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bck-lici-26-01-2018\COPEL-2018\COPEL\COPEL 2026\CONCORRÊNCIA ELETRÔNICA\CONCORRÊNCIA 01 2026 - Proc 788 2026 - Base da PM\ARQUIVOS PARA LICITANTES\"/>
    </mc:Choice>
  </mc:AlternateContent>
  <xr:revisionPtr revIDLastSave="0" documentId="8_{E42DD8F5-1E15-445C-AF99-58811661CD28}" xr6:coauthVersionLast="47" xr6:coauthVersionMax="47" xr10:uidLastSave="{00000000-0000-0000-0000-000000000000}"/>
  <bookViews>
    <workbookView xWindow="-120" yWindow="-120" windowWidth="29040" windowHeight="15720" tabRatio="884" activeTab="5" xr2:uid="{00000000-000D-0000-FFFF-FFFF00000000}"/>
  </bookViews>
  <sheets>
    <sheet name="200 DESONERADO" sheetId="15" r:id="rId1"/>
    <sheet name="BDI DESON." sheetId="16" r:id="rId2"/>
    <sheet name="P.O.-DES" sheetId="17" r:id="rId3"/>
    <sheet name="200 ONERADO" sheetId="1" r:id="rId4"/>
    <sheet name="BDI-ONER." sheetId="7" r:id="rId5"/>
    <sheet name="P.O." sheetId="34" r:id="rId6"/>
    <sheet name="CFF_PREF" sheetId="19" r:id="rId7"/>
    <sheet name="LICITAÇÃO" sheetId="45" r:id="rId8"/>
    <sheet name="INFRAESTRUTURA" sheetId="33" r:id="rId9"/>
    <sheet name="GARAGEM F." sheetId="43" r:id="rId10"/>
    <sheet name="PAGINAÇÃO" sheetId="36" r:id="rId11"/>
    <sheet name="REVESTIMENTOS" sheetId="28" r:id="rId12"/>
    <sheet name="CIMBRAMENTO" sheetId="42" r:id="rId13"/>
    <sheet name="ESQUADRIAS" sheetId="29" r:id="rId14"/>
    <sheet name="LAJES" sheetId="35" r:id="rId15"/>
    <sheet name="TELHADO" sheetId="38" r:id="rId16"/>
    <sheet name="PINTURA" sheetId="39" r:id="rId17"/>
    <sheet name="ILUMINAÇÃO" sheetId="26" r:id="rId18"/>
    <sheet name="ESCADA" sheetId="23" r:id="rId19"/>
    <sheet name="HIDRÁULICA" sheetId="31" r:id="rId20"/>
    <sheet name="DIVISA" sheetId="41" r:id="rId21"/>
    <sheet name="MURETA CONT." sheetId="27" r:id="rId22"/>
    <sheet name="ARMADURAS PAREDES" sheetId="44" r:id="rId23"/>
    <sheet name="PISO EXTERNO" sheetId="40" r:id="rId24"/>
    <sheet name="Planilha1" sheetId="37" r:id="rId25"/>
    <sheet name="Planilha2" sheetId="46" r:id="rId26"/>
    <sheet name="PÉRGOLAS" sheetId="30" r:id="rId27"/>
  </sheets>
  <externalReferences>
    <externalReference r:id="rId28"/>
  </externalReferences>
  <definedNames>
    <definedName name="_xlnm._FilterDatabase" localSheetId="3" hidden="1">'200 ONERADO'!#REF!</definedName>
    <definedName name="_xlnm.Print_Area" localSheetId="4">'BDI-ONER.'!$B$1:$J$53</definedName>
    <definedName name="_xlnm.Print_Area" localSheetId="6">CFF_PREF!$A$1:$O$96</definedName>
    <definedName name="_xlnm.Print_Area" localSheetId="5">P.O.!$A$1:$I$220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45" l="1"/>
  <c r="G9" i="45"/>
  <c r="G10" i="45"/>
  <c r="G11" i="45"/>
  <c r="G4" i="45"/>
  <c r="I8" i="45"/>
  <c r="J8" i="45" s="1"/>
  <c r="F8" i="45"/>
  <c r="G8" i="45" s="1"/>
  <c r="F6" i="45"/>
  <c r="F199" i="34"/>
  <c r="F5" i="45"/>
  <c r="G5" i="45" s="1"/>
  <c r="I11" i="45"/>
  <c r="F11" i="45"/>
  <c r="I10" i="45"/>
  <c r="F10" i="45"/>
  <c r="I9" i="45"/>
  <c r="F9" i="45"/>
  <c r="I7" i="45"/>
  <c r="I6" i="45"/>
  <c r="I5" i="45"/>
  <c r="I4" i="45"/>
  <c r="F7" i="45"/>
  <c r="G7" i="45" s="1"/>
  <c r="N172" i="34"/>
  <c r="N171" i="34"/>
  <c r="F227" i="34"/>
  <c r="I227" i="34" s="1"/>
  <c r="G227" i="34"/>
  <c r="H227" i="34" s="1"/>
  <c r="E227" i="34"/>
  <c r="D227" i="34"/>
  <c r="L10" i="34"/>
  <c r="D163" i="34"/>
  <c r="R101" i="28"/>
  <c r="R100" i="28"/>
  <c r="R99" i="28"/>
  <c r="R98" i="28"/>
  <c r="R105" i="28"/>
  <c r="E7" i="39" l="1"/>
  <c r="E6" i="39"/>
  <c r="E5" i="39"/>
  <c r="E4" i="39"/>
  <c r="O7" i="38"/>
  <c r="F4" i="33"/>
  <c r="G4" i="33"/>
  <c r="H4" i="33"/>
  <c r="J4" i="33"/>
  <c r="E5" i="33"/>
  <c r="F5" i="33"/>
  <c r="G5" i="33"/>
  <c r="H5" i="33"/>
  <c r="I5" i="33"/>
  <c r="J5" i="33"/>
  <c r="E6" i="33"/>
  <c r="F6" i="33"/>
  <c r="G6" i="33"/>
  <c r="H6" i="33"/>
  <c r="I6" i="33"/>
  <c r="J6" i="33"/>
  <c r="E7" i="33"/>
  <c r="F7" i="33"/>
  <c r="G7" i="33"/>
  <c r="H7" i="33"/>
  <c r="I7" i="33"/>
  <c r="J7" i="33"/>
  <c r="E8" i="33"/>
  <c r="F8" i="33"/>
  <c r="G8" i="33"/>
  <c r="H8" i="33"/>
  <c r="I8" i="33"/>
  <c r="J8" i="33"/>
  <c r="E9" i="33"/>
  <c r="F9" i="33"/>
  <c r="G9" i="33"/>
  <c r="H9" i="33"/>
  <c r="I9" i="33"/>
  <c r="J9" i="33"/>
  <c r="E10" i="33"/>
  <c r="F10" i="33"/>
  <c r="G10" i="33"/>
  <c r="H10" i="33"/>
  <c r="I10" i="33"/>
  <c r="J10" i="33"/>
  <c r="E11" i="33"/>
  <c r="F11" i="33"/>
  <c r="G11" i="33"/>
  <c r="H11" i="33"/>
  <c r="I11" i="33"/>
  <c r="J11" i="33"/>
  <c r="E12" i="33"/>
  <c r="F12" i="33"/>
  <c r="G12" i="33"/>
  <c r="H12" i="33"/>
  <c r="I12" i="33"/>
  <c r="J12" i="33"/>
  <c r="E13" i="33"/>
  <c r="F13" i="33"/>
  <c r="G13" i="33"/>
  <c r="H13" i="33"/>
  <c r="I13" i="33"/>
  <c r="J13" i="33"/>
  <c r="E14" i="33"/>
  <c r="F14" i="33"/>
  <c r="G14" i="33"/>
  <c r="H14" i="33"/>
  <c r="I14" i="33"/>
  <c r="J14" i="33"/>
  <c r="E15" i="33"/>
  <c r="F15" i="33"/>
  <c r="G15" i="33"/>
  <c r="H15" i="33"/>
  <c r="I15" i="33"/>
  <c r="J15" i="33"/>
  <c r="E16" i="33"/>
  <c r="F16" i="33"/>
  <c r="G16" i="33"/>
  <c r="H16" i="33"/>
  <c r="I16" i="33"/>
  <c r="J16" i="33"/>
  <c r="E17" i="33"/>
  <c r="F17" i="33"/>
  <c r="G17" i="33"/>
  <c r="H17" i="33"/>
  <c r="I17" i="33"/>
  <c r="J17" i="33"/>
  <c r="E18" i="33"/>
  <c r="F18" i="33"/>
  <c r="G18" i="33"/>
  <c r="H18" i="33"/>
  <c r="I18" i="33"/>
  <c r="J18" i="33"/>
  <c r="E19" i="33"/>
  <c r="F19" i="33"/>
  <c r="G19" i="33"/>
  <c r="H19" i="33"/>
  <c r="I19" i="33"/>
  <c r="J19" i="33"/>
  <c r="E20" i="33"/>
  <c r="F20" i="33"/>
  <c r="G20" i="33"/>
  <c r="H20" i="33"/>
  <c r="I20" i="33"/>
  <c r="J20" i="33"/>
  <c r="E21" i="33"/>
  <c r="F21" i="33"/>
  <c r="G21" i="33"/>
  <c r="H21" i="33"/>
  <c r="I21" i="33"/>
  <c r="J21" i="33"/>
  <c r="E22" i="33"/>
  <c r="F22" i="33"/>
  <c r="G22" i="33"/>
  <c r="H22" i="33"/>
  <c r="I22" i="33"/>
  <c r="J22" i="33"/>
  <c r="E23" i="33"/>
  <c r="F23" i="33"/>
  <c r="G23" i="33"/>
  <c r="H23" i="33"/>
  <c r="I23" i="33"/>
  <c r="J23" i="33"/>
  <c r="E24" i="33"/>
  <c r="F24" i="33"/>
  <c r="G24" i="33"/>
  <c r="H24" i="33"/>
  <c r="I24" i="33"/>
  <c r="J24" i="33"/>
  <c r="E25" i="33"/>
  <c r="F25" i="33"/>
  <c r="G25" i="33"/>
  <c r="H25" i="33"/>
  <c r="I25" i="33"/>
  <c r="J25" i="33"/>
  <c r="E26" i="33"/>
  <c r="F26" i="33"/>
  <c r="G26" i="33"/>
  <c r="H26" i="33"/>
  <c r="I26" i="33"/>
  <c r="J26" i="33"/>
  <c r="E27" i="33"/>
  <c r="F27" i="33"/>
  <c r="G27" i="33"/>
  <c r="H27" i="33"/>
  <c r="I27" i="33"/>
  <c r="J27" i="33"/>
  <c r="E28" i="33"/>
  <c r="F28" i="33"/>
  <c r="G28" i="33"/>
  <c r="H28" i="33"/>
  <c r="I28" i="33"/>
  <c r="J28" i="33"/>
  <c r="E29" i="33"/>
  <c r="F29" i="33"/>
  <c r="G29" i="33"/>
  <c r="H29" i="33"/>
  <c r="I29" i="33"/>
  <c r="J29" i="33"/>
  <c r="E30" i="33"/>
  <c r="F30" i="33"/>
  <c r="G30" i="33"/>
  <c r="H30" i="33"/>
  <c r="I30" i="33"/>
  <c r="J30" i="33"/>
  <c r="E31" i="33"/>
  <c r="F31" i="33"/>
  <c r="G31" i="33"/>
  <c r="H31" i="33"/>
  <c r="I31" i="33"/>
  <c r="J31" i="33"/>
  <c r="E32" i="33"/>
  <c r="F32" i="33"/>
  <c r="G32" i="33"/>
  <c r="H32" i="33"/>
  <c r="I32" i="33"/>
  <c r="J32" i="33"/>
  <c r="E33" i="33"/>
  <c r="F33" i="33"/>
  <c r="G33" i="33"/>
  <c r="H33" i="33"/>
  <c r="I33" i="33"/>
  <c r="J33" i="33"/>
  <c r="E34" i="33"/>
  <c r="F34" i="33"/>
  <c r="G34" i="33"/>
  <c r="H34" i="33"/>
  <c r="I34" i="33"/>
  <c r="J34" i="33"/>
  <c r="E35" i="33"/>
  <c r="F35" i="33"/>
  <c r="G35" i="33"/>
  <c r="H35" i="33"/>
  <c r="I35" i="33"/>
  <c r="J35" i="33"/>
  <c r="E36" i="33"/>
  <c r="F36" i="33"/>
  <c r="G36" i="33"/>
  <c r="H36" i="33"/>
  <c r="I36" i="33"/>
  <c r="J36" i="33"/>
  <c r="E37" i="33"/>
  <c r="F37" i="33"/>
  <c r="G37" i="33"/>
  <c r="H37" i="33"/>
  <c r="I37" i="33"/>
  <c r="J37" i="33"/>
  <c r="E38" i="33"/>
  <c r="F38" i="33"/>
  <c r="G38" i="33"/>
  <c r="H38" i="33"/>
  <c r="I38" i="33"/>
  <c r="J38" i="33"/>
  <c r="E39" i="33"/>
  <c r="F39" i="33"/>
  <c r="G39" i="33"/>
  <c r="H39" i="33"/>
  <c r="I39" i="33"/>
  <c r="J39" i="33"/>
  <c r="E40" i="33"/>
  <c r="F40" i="33"/>
  <c r="G40" i="33"/>
  <c r="H40" i="33"/>
  <c r="I40" i="33"/>
  <c r="J40" i="33"/>
  <c r="E41" i="33"/>
  <c r="F41" i="33"/>
  <c r="G41" i="33"/>
  <c r="H41" i="33"/>
  <c r="I41" i="33"/>
  <c r="J41" i="33"/>
  <c r="E42" i="33"/>
  <c r="F42" i="33"/>
  <c r="G42" i="33"/>
  <c r="H42" i="33"/>
  <c r="I42" i="33"/>
  <c r="J42" i="33"/>
  <c r="E43" i="33"/>
  <c r="F43" i="33"/>
  <c r="G43" i="33"/>
  <c r="H43" i="33"/>
  <c r="I43" i="33"/>
  <c r="J43" i="33"/>
  <c r="E44" i="33"/>
  <c r="F44" i="33"/>
  <c r="G44" i="33"/>
  <c r="H44" i="33"/>
  <c r="I44" i="33"/>
  <c r="J44" i="33"/>
  <c r="E45" i="33"/>
  <c r="F45" i="33"/>
  <c r="G45" i="33"/>
  <c r="H45" i="33"/>
  <c r="I45" i="33"/>
  <c r="J45" i="33"/>
  <c r="E46" i="33"/>
  <c r="F46" i="33"/>
  <c r="G46" i="33"/>
  <c r="H46" i="33"/>
  <c r="I46" i="33"/>
  <c r="J46" i="33"/>
  <c r="E47" i="33"/>
  <c r="F47" i="33"/>
  <c r="G47" i="33"/>
  <c r="H47" i="33"/>
  <c r="I47" i="33"/>
  <c r="J47" i="33"/>
  <c r="E48" i="33"/>
  <c r="F48" i="33"/>
  <c r="G48" i="33"/>
  <c r="H48" i="33"/>
  <c r="I48" i="33"/>
  <c r="J48" i="33"/>
  <c r="E49" i="33"/>
  <c r="F49" i="33"/>
  <c r="G49" i="33"/>
  <c r="H49" i="33"/>
  <c r="I49" i="33"/>
  <c r="J49" i="33"/>
  <c r="E50" i="33"/>
  <c r="F50" i="33"/>
  <c r="G50" i="33"/>
  <c r="H50" i="33"/>
  <c r="I50" i="33"/>
  <c r="J50" i="33"/>
  <c r="E51" i="33"/>
  <c r="F51" i="33"/>
  <c r="G51" i="33"/>
  <c r="H51" i="33"/>
  <c r="I51" i="33"/>
  <c r="J51" i="33"/>
  <c r="E52" i="33"/>
  <c r="F52" i="33"/>
  <c r="G52" i="33"/>
  <c r="H52" i="33"/>
  <c r="I52" i="33"/>
  <c r="J52" i="33"/>
  <c r="E53" i="33"/>
  <c r="F53" i="33"/>
  <c r="G53" i="33"/>
  <c r="H53" i="33"/>
  <c r="I53" i="33"/>
  <c r="J53" i="33"/>
  <c r="E54" i="33"/>
  <c r="F54" i="33"/>
  <c r="G54" i="33"/>
  <c r="H54" i="33"/>
  <c r="I54" i="33"/>
  <c r="J54" i="33"/>
  <c r="F55" i="33"/>
  <c r="G55" i="33"/>
  <c r="H55" i="33"/>
  <c r="J55" i="33"/>
  <c r="N1" i="33"/>
  <c r="G178" i="44" l="1"/>
  <c r="G179" i="44"/>
  <c r="G180" i="44"/>
  <c r="G181" i="44"/>
  <c r="G182" i="44"/>
  <c r="G183" i="44"/>
  <c r="G184" i="44"/>
  <c r="G177" i="44"/>
  <c r="G165" i="44"/>
  <c r="G166" i="44"/>
  <c r="G167" i="44"/>
  <c r="G168" i="44"/>
  <c r="G169" i="44"/>
  <c r="G170" i="44"/>
  <c r="G171" i="44"/>
  <c r="G172" i="44"/>
  <c r="G173" i="44"/>
  <c r="G174" i="44"/>
  <c r="G175" i="44"/>
  <c r="G164" i="44"/>
  <c r="G143" i="44"/>
  <c r="G144" i="44"/>
  <c r="G145" i="44"/>
  <c r="G146" i="44"/>
  <c r="G147" i="44"/>
  <c r="G148" i="44"/>
  <c r="G149" i="44"/>
  <c r="G150" i="44"/>
  <c r="G151" i="44"/>
  <c r="G152" i="44"/>
  <c r="G153" i="44"/>
  <c r="G154" i="44"/>
  <c r="G155" i="44"/>
  <c r="G156" i="44"/>
  <c r="G157" i="44"/>
  <c r="G158" i="44"/>
  <c r="G159" i="44"/>
  <c r="G161" i="44"/>
  <c r="G162" i="44"/>
  <c r="G142" i="44"/>
  <c r="G135" i="44"/>
  <c r="G136" i="44"/>
  <c r="G137" i="44"/>
  <c r="G138" i="44"/>
  <c r="G139" i="44"/>
  <c r="G140" i="44"/>
  <c r="G134" i="44"/>
  <c r="G119" i="44"/>
  <c r="G120" i="44"/>
  <c r="G121" i="44"/>
  <c r="G122" i="44"/>
  <c r="G123" i="44"/>
  <c r="G124" i="44"/>
  <c r="G125" i="44"/>
  <c r="G126" i="44"/>
  <c r="G129" i="44"/>
  <c r="G130" i="44"/>
  <c r="G131" i="44"/>
  <c r="G132" i="44"/>
  <c r="G118" i="44"/>
  <c r="G114" i="44"/>
  <c r="G115" i="44"/>
  <c r="G116" i="44"/>
  <c r="G106" i="44"/>
  <c r="G107" i="44"/>
  <c r="G108" i="44"/>
  <c r="G109" i="44"/>
  <c r="G110" i="44"/>
  <c r="G111" i="44"/>
  <c r="G113" i="44"/>
  <c r="G105" i="44"/>
  <c r="G91" i="44"/>
  <c r="G92" i="44"/>
  <c r="G93" i="44"/>
  <c r="G94" i="44"/>
  <c r="G95" i="44"/>
  <c r="G96" i="44"/>
  <c r="G97" i="44"/>
  <c r="G98" i="44"/>
  <c r="G99" i="44"/>
  <c r="G100" i="44"/>
  <c r="G101" i="44"/>
  <c r="G102" i="44"/>
  <c r="G103" i="44"/>
  <c r="G87" i="44"/>
  <c r="G88" i="44"/>
  <c r="G90" i="44"/>
  <c r="G86" i="44"/>
  <c r="G78" i="44"/>
  <c r="G79" i="44"/>
  <c r="G80" i="44"/>
  <c r="G81" i="44"/>
  <c r="G82" i="44"/>
  <c r="G83" i="44"/>
  <c r="G77" i="44"/>
  <c r="G74" i="44"/>
  <c r="G75" i="44"/>
  <c r="G73" i="44"/>
  <c r="G61" i="44"/>
  <c r="G62" i="44"/>
  <c r="G63" i="44"/>
  <c r="G64" i="44"/>
  <c r="G65" i="44"/>
  <c r="G66" i="44"/>
  <c r="G67" i="44"/>
  <c r="G68" i="44"/>
  <c r="G69" i="44"/>
  <c r="G70" i="44"/>
  <c r="G71" i="44"/>
  <c r="G52" i="44"/>
  <c r="G53" i="44"/>
  <c r="G54" i="44"/>
  <c r="G55" i="44"/>
  <c r="G56" i="44"/>
  <c r="G57" i="44"/>
  <c r="G58" i="44"/>
  <c r="G41" i="44"/>
  <c r="G42" i="44"/>
  <c r="G43" i="44"/>
  <c r="G44" i="44"/>
  <c r="G45" i="44"/>
  <c r="G46" i="44"/>
  <c r="G47" i="44"/>
  <c r="G48" i="44"/>
  <c r="G49" i="44"/>
  <c r="G35" i="44"/>
  <c r="G36" i="44"/>
  <c r="G37" i="44"/>
  <c r="G38" i="44"/>
  <c r="G26" i="44"/>
  <c r="G27" i="44"/>
  <c r="G28" i="44"/>
  <c r="G29" i="44"/>
  <c r="G30" i="44"/>
  <c r="G31" i="44"/>
  <c r="G32" i="44"/>
  <c r="G20" i="44"/>
  <c r="G21" i="44"/>
  <c r="G22" i="44"/>
  <c r="G23" i="44"/>
  <c r="G16" i="44"/>
  <c r="G17" i="44"/>
  <c r="G5" i="44"/>
  <c r="G6" i="44"/>
  <c r="G7" i="44"/>
  <c r="G10" i="44"/>
  <c r="G11" i="44"/>
  <c r="G12" i="44"/>
  <c r="G13" i="44"/>
  <c r="G60" i="44"/>
  <c r="G51" i="44"/>
  <c r="G40" i="44"/>
  <c r="G34" i="44"/>
  <c r="G25" i="44"/>
  <c r="G19" i="44"/>
  <c r="G15" i="44"/>
  <c r="G9" i="44"/>
  <c r="G4" i="44"/>
  <c r="I184" i="44"/>
  <c r="I183" i="44"/>
  <c r="I182" i="44"/>
  <c r="I181" i="44"/>
  <c r="I180" i="44"/>
  <c r="I179" i="44"/>
  <c r="I178" i="44"/>
  <c r="I177" i="44"/>
  <c r="I175" i="44"/>
  <c r="I174" i="44"/>
  <c r="I173" i="44"/>
  <c r="I172" i="44"/>
  <c r="I171" i="44"/>
  <c r="I170" i="44"/>
  <c r="I169" i="44"/>
  <c r="I168" i="44"/>
  <c r="I167" i="44"/>
  <c r="I166" i="44"/>
  <c r="I165" i="44"/>
  <c r="I164" i="44"/>
  <c r="D160" i="44"/>
  <c r="I160" i="44" s="1"/>
  <c r="I151" i="44"/>
  <c r="I152" i="44"/>
  <c r="I153" i="44"/>
  <c r="I154" i="44"/>
  <c r="I155" i="44"/>
  <c r="I156" i="44"/>
  <c r="I157" i="44"/>
  <c r="I158" i="44"/>
  <c r="I162" i="44"/>
  <c r="I161" i="44"/>
  <c r="I159" i="44"/>
  <c r="I150" i="44"/>
  <c r="I149" i="44"/>
  <c r="I148" i="44"/>
  <c r="I147" i="44"/>
  <c r="I146" i="44"/>
  <c r="I145" i="44"/>
  <c r="I144" i="44"/>
  <c r="I143" i="44"/>
  <c r="I142" i="44"/>
  <c r="I140" i="44"/>
  <c r="I139" i="44"/>
  <c r="I138" i="44"/>
  <c r="I137" i="44"/>
  <c r="I136" i="44"/>
  <c r="I135" i="44"/>
  <c r="I134" i="44"/>
  <c r="I141" i="44" s="1"/>
  <c r="D128" i="44"/>
  <c r="I128" i="44" s="1"/>
  <c r="D127" i="44"/>
  <c r="I127" i="44" s="1"/>
  <c r="I130" i="44"/>
  <c r="I132" i="44"/>
  <c r="I131" i="44"/>
  <c r="I129" i="44"/>
  <c r="I126" i="44"/>
  <c r="I125" i="44"/>
  <c r="I124" i="44"/>
  <c r="I123" i="44"/>
  <c r="I122" i="44"/>
  <c r="I121" i="44"/>
  <c r="I120" i="44"/>
  <c r="I119" i="44"/>
  <c r="I118" i="44"/>
  <c r="I116" i="44"/>
  <c r="I115" i="44"/>
  <c r="I114" i="44"/>
  <c r="I113" i="44"/>
  <c r="I111" i="44"/>
  <c r="I110" i="44"/>
  <c r="I109" i="44"/>
  <c r="I108" i="44"/>
  <c r="I107" i="44"/>
  <c r="I106" i="44"/>
  <c r="I105" i="44"/>
  <c r="D100" i="44"/>
  <c r="I100" i="44" s="1"/>
  <c r="I101" i="44"/>
  <c r="I98" i="44"/>
  <c r="I103" i="44"/>
  <c r="I102" i="44"/>
  <c r="I99" i="44"/>
  <c r="I97" i="44"/>
  <c r="I96" i="44"/>
  <c r="I95" i="44"/>
  <c r="I94" i="44"/>
  <c r="I93" i="44"/>
  <c r="I92" i="44"/>
  <c r="I91" i="44"/>
  <c r="I90" i="44"/>
  <c r="I88" i="44"/>
  <c r="I87" i="44"/>
  <c r="I86" i="44"/>
  <c r="D84" i="44"/>
  <c r="I84" i="44" s="1"/>
  <c r="I83" i="44"/>
  <c r="I82" i="44"/>
  <c r="I81" i="44"/>
  <c r="I80" i="44"/>
  <c r="I79" i="44"/>
  <c r="I78" i="44"/>
  <c r="I77" i="44"/>
  <c r="I75" i="44"/>
  <c r="I74" i="44"/>
  <c r="I73" i="44"/>
  <c r="I68" i="44"/>
  <c r="I69" i="44"/>
  <c r="I67" i="44"/>
  <c r="I66" i="44"/>
  <c r="I71" i="44"/>
  <c r="I70" i="44"/>
  <c r="I65" i="44"/>
  <c r="I64" i="44"/>
  <c r="I63" i="44"/>
  <c r="I62" i="44"/>
  <c r="I61" i="44"/>
  <c r="I60" i="44"/>
  <c r="D58" i="44"/>
  <c r="I58" i="44" s="1"/>
  <c r="I55" i="44"/>
  <c r="I56" i="44"/>
  <c r="I54" i="44"/>
  <c r="I57" i="44"/>
  <c r="I53" i="44"/>
  <c r="I52" i="44"/>
  <c r="I51" i="44"/>
  <c r="D49" i="44"/>
  <c r="I49" i="44" s="1"/>
  <c r="I46" i="44"/>
  <c r="I47" i="44"/>
  <c r="I48" i="44"/>
  <c r="I45" i="44"/>
  <c r="I44" i="44"/>
  <c r="I43" i="44"/>
  <c r="I42" i="44"/>
  <c r="I41" i="44"/>
  <c r="I40" i="44"/>
  <c r="I38" i="44"/>
  <c r="I37" i="44"/>
  <c r="I36" i="44"/>
  <c r="I35" i="44"/>
  <c r="I34" i="44"/>
  <c r="I32" i="44"/>
  <c r="I31" i="44"/>
  <c r="I30" i="44"/>
  <c r="I29" i="44"/>
  <c r="I28" i="44"/>
  <c r="I27" i="44"/>
  <c r="I26" i="44"/>
  <c r="I25" i="44"/>
  <c r="I23" i="44"/>
  <c r="I22" i="44"/>
  <c r="I21" i="44"/>
  <c r="I20" i="44"/>
  <c r="I19" i="44"/>
  <c r="I17" i="44"/>
  <c r="I16" i="44"/>
  <c r="I15" i="44"/>
  <c r="I13" i="44"/>
  <c r="I12" i="44"/>
  <c r="I11" i="44"/>
  <c r="L27" i="44"/>
  <c r="I10" i="44"/>
  <c r="I9" i="44"/>
  <c r="I14" i="44" s="1"/>
  <c r="I5" i="44"/>
  <c r="I6" i="44"/>
  <c r="I7" i="44"/>
  <c r="I4" i="44"/>
  <c r="I187" i="44" l="1"/>
  <c r="I190" i="44" s="1"/>
  <c r="I186" i="44"/>
  <c r="G160" i="44"/>
  <c r="G128" i="44"/>
  <c r="G127" i="44"/>
  <c r="G84" i="44"/>
  <c r="I8" i="44"/>
  <c r="I185" i="44"/>
  <c r="I176" i="44"/>
  <c r="I33" i="44"/>
  <c r="I18" i="44"/>
  <c r="I89" i="44"/>
  <c r="I163" i="44"/>
  <c r="I133" i="44"/>
  <c r="I117" i="44"/>
  <c r="I112" i="44"/>
  <c r="I104" i="44"/>
  <c r="I85" i="44"/>
  <c r="I76" i="44"/>
  <c r="I72" i="44"/>
  <c r="I59" i="44"/>
  <c r="I50" i="44"/>
  <c r="I39" i="44"/>
  <c r="I24" i="44"/>
  <c r="Q28" i="19"/>
  <c r="B83" i="19"/>
  <c r="B79" i="19"/>
  <c r="B75" i="19"/>
  <c r="B71" i="19"/>
  <c r="B67" i="19"/>
  <c r="B63" i="19"/>
  <c r="B59" i="19"/>
  <c r="B55" i="19"/>
  <c r="B51" i="19"/>
  <c r="B47" i="19"/>
  <c r="B43" i="19"/>
  <c r="B39" i="19"/>
  <c r="B35" i="19"/>
  <c r="B31" i="19"/>
  <c r="B27" i="19"/>
  <c r="B23" i="19"/>
  <c r="F80" i="19"/>
  <c r="G80" i="19" s="1"/>
  <c r="H80" i="19" s="1"/>
  <c r="I80" i="19" s="1"/>
  <c r="J80" i="19" s="1"/>
  <c r="K80" i="19" s="1"/>
  <c r="L80" i="19" s="1"/>
  <c r="M80" i="19" s="1"/>
  <c r="N80" i="19" s="1"/>
  <c r="F84" i="19"/>
  <c r="G84" i="19" s="1"/>
  <c r="H84" i="19" s="1"/>
  <c r="I84" i="19" s="1"/>
  <c r="J84" i="19" s="1"/>
  <c r="K84" i="19" s="1"/>
  <c r="L84" i="19" s="1"/>
  <c r="M84" i="19" s="1"/>
  <c r="N84" i="19" s="1"/>
  <c r="D175" i="34"/>
  <c r="E175" i="34"/>
  <c r="G175" i="34"/>
  <c r="D176" i="34"/>
  <c r="E176" i="34"/>
  <c r="G176" i="34"/>
  <c r="D30" i="35"/>
  <c r="F188" i="34"/>
  <c r="F209" i="34"/>
  <c r="G198" i="34"/>
  <c r="V4" i="43"/>
  <c r="F190" i="34"/>
  <c r="I4" i="40"/>
  <c r="F168" i="34"/>
  <c r="F169" i="34"/>
  <c r="D169" i="34"/>
  <c r="E169" i="34"/>
  <c r="G169" i="34"/>
  <c r="H13" i="29"/>
  <c r="J13" i="29" s="1"/>
  <c r="F150" i="34"/>
  <c r="D97" i="34"/>
  <c r="E97" i="34"/>
  <c r="G97" i="34"/>
  <c r="N76" i="34"/>
  <c r="D75" i="34"/>
  <c r="E75" i="34"/>
  <c r="G75" i="34"/>
  <c r="O209" i="34"/>
  <c r="E35" i="31"/>
  <c r="E34" i="31"/>
  <c r="E39" i="31"/>
  <c r="E38" i="31"/>
  <c r="S45" i="23"/>
  <c r="S46" i="23"/>
  <c r="S47" i="23"/>
  <c r="S48" i="23"/>
  <c r="S49" i="23"/>
  <c r="S50" i="23"/>
  <c r="S51" i="23"/>
  <c r="T51" i="23" s="1"/>
  <c r="U51" i="23" s="1"/>
  <c r="AH38" i="23"/>
  <c r="AF38" i="23"/>
  <c r="AH37" i="23" s="1"/>
  <c r="V65" i="31"/>
  <c r="F71" i="34"/>
  <c r="D89" i="34"/>
  <c r="E89" i="34"/>
  <c r="G89" i="34"/>
  <c r="G87" i="34"/>
  <c r="E87" i="34"/>
  <c r="D87" i="34"/>
  <c r="G88" i="34"/>
  <c r="E88" i="34"/>
  <c r="D88" i="34"/>
  <c r="G86" i="34"/>
  <c r="E86" i="34"/>
  <c r="D86" i="34"/>
  <c r="G85" i="34"/>
  <c r="E85" i="34"/>
  <c r="D85" i="34"/>
  <c r="D84" i="34"/>
  <c r="E84" i="34"/>
  <c r="G84" i="34"/>
  <c r="D96" i="34"/>
  <c r="E96" i="34"/>
  <c r="G96" i="34"/>
  <c r="D95" i="34"/>
  <c r="E95" i="34"/>
  <c r="G95" i="34"/>
  <c r="I44" i="35"/>
  <c r="G4" i="42"/>
  <c r="F4" i="42"/>
  <c r="G26" i="34"/>
  <c r="E26" i="34"/>
  <c r="D26" i="34"/>
  <c r="M4" i="33"/>
  <c r="P4" i="33" s="1"/>
  <c r="X4" i="33"/>
  <c r="Z4" i="33"/>
  <c r="AC4" i="33"/>
  <c r="M5" i="33"/>
  <c r="Q5" i="33" s="1"/>
  <c r="S5" i="33"/>
  <c r="X5" i="33"/>
  <c r="Z5" i="33"/>
  <c r="AA5" i="33"/>
  <c r="AB5" i="33"/>
  <c r="AC5" i="33" s="1"/>
  <c r="P6" i="33"/>
  <c r="Q6" i="33"/>
  <c r="R6" i="33"/>
  <c r="S6" i="33"/>
  <c r="X6" i="33"/>
  <c r="Z6" i="33"/>
  <c r="AA6" i="33"/>
  <c r="AB6" i="33"/>
  <c r="AC6" i="33" s="1"/>
  <c r="P7" i="33"/>
  <c r="Q7" i="33"/>
  <c r="R7" i="33"/>
  <c r="S7" i="33"/>
  <c r="X7" i="33"/>
  <c r="Z7" i="33"/>
  <c r="AA7" i="33"/>
  <c r="AB7" i="33"/>
  <c r="AC7" i="33" s="1"/>
  <c r="P8" i="33"/>
  <c r="Q8" i="33"/>
  <c r="R8" i="33"/>
  <c r="S8" i="33"/>
  <c r="X8" i="33"/>
  <c r="Z8" i="33"/>
  <c r="AA8" i="33"/>
  <c r="AB8" i="33"/>
  <c r="AC8" i="33" s="1"/>
  <c r="P9" i="33"/>
  <c r="Q9" i="33"/>
  <c r="R9" i="33"/>
  <c r="T9" i="33" s="1"/>
  <c r="S9" i="33"/>
  <c r="X9" i="33"/>
  <c r="Z9" i="33"/>
  <c r="AA9" i="33"/>
  <c r="AB9" i="33"/>
  <c r="AC9" i="33" s="1"/>
  <c r="P10" i="33"/>
  <c r="Q10" i="33"/>
  <c r="R10" i="33"/>
  <c r="S10" i="33"/>
  <c r="X10" i="33"/>
  <c r="Z10" i="33"/>
  <c r="AA10" i="33"/>
  <c r="AB10" i="33"/>
  <c r="AC10" i="33" s="1"/>
  <c r="M11" i="33"/>
  <c r="Q11" i="33" s="1"/>
  <c r="S11" i="33"/>
  <c r="X11" i="33"/>
  <c r="Z11" i="33"/>
  <c r="AA11" i="33"/>
  <c r="AB11" i="33"/>
  <c r="AC11" i="33" s="1"/>
  <c r="M12" i="33"/>
  <c r="R12" i="33" s="1"/>
  <c r="S12" i="33"/>
  <c r="X12" i="33"/>
  <c r="Z12" i="33"/>
  <c r="AA12" i="33"/>
  <c r="AB12" i="33"/>
  <c r="AC12" i="33" s="1"/>
  <c r="P13" i="33"/>
  <c r="Q13" i="33"/>
  <c r="R13" i="33"/>
  <c r="S13" i="33"/>
  <c r="X13" i="33"/>
  <c r="Z13" i="33"/>
  <c r="AA13" i="33"/>
  <c r="AB13" i="33"/>
  <c r="AC13" i="33" s="1"/>
  <c r="M14" i="33"/>
  <c r="Q14" i="33" s="1"/>
  <c r="S14" i="33"/>
  <c r="X14" i="33"/>
  <c r="Z14" i="33"/>
  <c r="AA14" i="33"/>
  <c r="AB14" i="33"/>
  <c r="AC14" i="33" s="1"/>
  <c r="P15" i="33"/>
  <c r="Q15" i="33"/>
  <c r="R15" i="33"/>
  <c r="S15" i="33"/>
  <c r="X15" i="33"/>
  <c r="Z15" i="33"/>
  <c r="AA15" i="33"/>
  <c r="AB15" i="33"/>
  <c r="AC15" i="33" s="1"/>
  <c r="M16" i="33"/>
  <c r="R16" i="33" s="1"/>
  <c r="S16" i="33"/>
  <c r="X16" i="33"/>
  <c r="Z16" i="33"/>
  <c r="AA16" i="33"/>
  <c r="AB16" i="33"/>
  <c r="AC16" i="33" s="1"/>
  <c r="P17" i="33"/>
  <c r="Q17" i="33"/>
  <c r="R17" i="33"/>
  <c r="S17" i="33"/>
  <c r="X17" i="33"/>
  <c r="Z17" i="33"/>
  <c r="AA17" i="33"/>
  <c r="AB17" i="33"/>
  <c r="AC17" i="33" s="1"/>
  <c r="M18" i="33"/>
  <c r="P18" i="33" s="1"/>
  <c r="S18" i="33"/>
  <c r="X18" i="33"/>
  <c r="Z18" i="33"/>
  <c r="AA18" i="33"/>
  <c r="AB18" i="33"/>
  <c r="AC18" i="33" s="1"/>
  <c r="M19" i="33"/>
  <c r="Q19" i="33" s="1"/>
  <c r="S19" i="33"/>
  <c r="X19" i="33"/>
  <c r="Z19" i="33"/>
  <c r="AA19" i="33"/>
  <c r="AB19" i="33"/>
  <c r="AC19" i="33" s="1"/>
  <c r="M20" i="33"/>
  <c r="R20" i="33" s="1"/>
  <c r="S20" i="33"/>
  <c r="X20" i="33"/>
  <c r="Z20" i="33"/>
  <c r="AA20" i="33"/>
  <c r="AB20" i="33"/>
  <c r="AC20" i="33" s="1"/>
  <c r="M21" i="33"/>
  <c r="P21" i="33" s="1"/>
  <c r="S21" i="33"/>
  <c r="X21" i="33"/>
  <c r="Z21" i="33"/>
  <c r="AA21" i="33"/>
  <c r="AB21" i="33"/>
  <c r="AC21" i="33" s="1"/>
  <c r="M22" i="33"/>
  <c r="Q22" i="33" s="1"/>
  <c r="S22" i="33"/>
  <c r="X22" i="33"/>
  <c r="Z22" i="33"/>
  <c r="AA22" i="33"/>
  <c r="AB22" i="33"/>
  <c r="AC22" i="33" s="1"/>
  <c r="M23" i="33"/>
  <c r="P23" i="33" s="1"/>
  <c r="S23" i="33"/>
  <c r="X23" i="33"/>
  <c r="Z23" i="33"/>
  <c r="AA23" i="33"/>
  <c r="AB23" i="33"/>
  <c r="AC23" i="33" s="1"/>
  <c r="M24" i="33"/>
  <c r="P24" i="33" s="1"/>
  <c r="S24" i="33"/>
  <c r="X24" i="33"/>
  <c r="Z24" i="33"/>
  <c r="AA24" i="33"/>
  <c r="AB24" i="33"/>
  <c r="AC24" i="33" s="1"/>
  <c r="M25" i="33"/>
  <c r="R25" i="33" s="1"/>
  <c r="S25" i="33"/>
  <c r="X25" i="33"/>
  <c r="Z25" i="33"/>
  <c r="AA25" i="33"/>
  <c r="AB25" i="33"/>
  <c r="AC25" i="33" s="1"/>
  <c r="M26" i="33"/>
  <c r="P26" i="33" s="1"/>
  <c r="S26" i="33"/>
  <c r="X26" i="33"/>
  <c r="Z26" i="33"/>
  <c r="AA26" i="33"/>
  <c r="AB26" i="33"/>
  <c r="AC26" i="33" s="1"/>
  <c r="P27" i="33"/>
  <c r="Q27" i="33"/>
  <c r="R27" i="33"/>
  <c r="S27" i="33"/>
  <c r="X27" i="33"/>
  <c r="Z27" i="33"/>
  <c r="AA27" i="33"/>
  <c r="AB27" i="33"/>
  <c r="AC27" i="33" s="1"/>
  <c r="M28" i="33"/>
  <c r="P28" i="33" s="1"/>
  <c r="S28" i="33"/>
  <c r="X28" i="33"/>
  <c r="Z28" i="33"/>
  <c r="AA28" i="33"/>
  <c r="AB28" i="33"/>
  <c r="AC28" i="33" s="1"/>
  <c r="X29" i="33"/>
  <c r="Z29" i="33"/>
  <c r="AA29" i="33"/>
  <c r="AB29" i="33"/>
  <c r="AC29" i="33" s="1"/>
  <c r="X30" i="33"/>
  <c r="Z30" i="33"/>
  <c r="AA30" i="33"/>
  <c r="AB30" i="33"/>
  <c r="AC30" i="33" s="1"/>
  <c r="X31" i="33"/>
  <c r="Z31" i="33"/>
  <c r="AA31" i="33"/>
  <c r="AB31" i="33"/>
  <c r="AC31" i="33" s="1"/>
  <c r="W32" i="33"/>
  <c r="O33" i="33"/>
  <c r="P36" i="33"/>
  <c r="L18" i="34"/>
  <c r="M210" i="34"/>
  <c r="F10" i="34"/>
  <c r="F12" i="34" s="1"/>
  <c r="D12" i="34"/>
  <c r="E12" i="34"/>
  <c r="G12" i="34"/>
  <c r="D164" i="17"/>
  <c r="E164" i="17"/>
  <c r="D165" i="17"/>
  <c r="E165" i="17"/>
  <c r="D185" i="17"/>
  <c r="E185" i="17"/>
  <c r="D186" i="17"/>
  <c r="E186" i="17"/>
  <c r="D187" i="17"/>
  <c r="E187" i="17"/>
  <c r="D188" i="17"/>
  <c r="E188" i="17"/>
  <c r="D189" i="17"/>
  <c r="E189" i="17"/>
  <c r="D190" i="17"/>
  <c r="E190" i="17"/>
  <c r="D191" i="17"/>
  <c r="E191" i="17"/>
  <c r="D192" i="17"/>
  <c r="E192" i="17"/>
  <c r="D193" i="17"/>
  <c r="E193" i="17"/>
  <c r="D194" i="17"/>
  <c r="E194" i="17"/>
  <c r="D195" i="17"/>
  <c r="E195" i="17"/>
  <c r="D176" i="17"/>
  <c r="E176" i="17"/>
  <c r="D177" i="17"/>
  <c r="E177" i="17"/>
  <c r="D178" i="17"/>
  <c r="E178" i="17"/>
  <c r="D179" i="17"/>
  <c r="E179" i="17"/>
  <c r="D180" i="17"/>
  <c r="E180" i="17"/>
  <c r="D181" i="17"/>
  <c r="E181" i="17"/>
  <c r="D182" i="17"/>
  <c r="E182" i="17"/>
  <c r="G185" i="17"/>
  <c r="G186" i="17"/>
  <c r="G187" i="17"/>
  <c r="G188" i="17"/>
  <c r="G189" i="17"/>
  <c r="G190" i="17"/>
  <c r="G191" i="17"/>
  <c r="G192" i="17"/>
  <c r="G193" i="17"/>
  <c r="G194" i="17"/>
  <c r="G195" i="17"/>
  <c r="G176" i="17"/>
  <c r="G177" i="17"/>
  <c r="G178" i="17"/>
  <c r="G179" i="17"/>
  <c r="G180" i="17"/>
  <c r="G181" i="17"/>
  <c r="G182" i="17"/>
  <c r="D168" i="17"/>
  <c r="E168" i="17"/>
  <c r="D169" i="17"/>
  <c r="E169" i="17"/>
  <c r="D170" i="17"/>
  <c r="E170" i="17"/>
  <c r="D171" i="17"/>
  <c r="E171" i="17"/>
  <c r="D172" i="17"/>
  <c r="E172" i="17"/>
  <c r="G168" i="17"/>
  <c r="G169" i="17"/>
  <c r="G170" i="17"/>
  <c r="G171" i="17"/>
  <c r="G172" i="17"/>
  <c r="G164" i="17"/>
  <c r="G165" i="17"/>
  <c r="G201" i="17"/>
  <c r="G199" i="17"/>
  <c r="G198" i="17"/>
  <c r="G197" i="17"/>
  <c r="G184" i="17"/>
  <c r="G175" i="17"/>
  <c r="G167" i="17"/>
  <c r="G163" i="17"/>
  <c r="E201" i="17"/>
  <c r="D201" i="17"/>
  <c r="E199" i="17"/>
  <c r="D199" i="17"/>
  <c r="E198" i="17"/>
  <c r="D198" i="17"/>
  <c r="E197" i="17"/>
  <c r="D197" i="17"/>
  <c r="E184" i="17"/>
  <c r="D184" i="17"/>
  <c r="E175" i="17"/>
  <c r="D175" i="17"/>
  <c r="E167" i="17"/>
  <c r="D167" i="17"/>
  <c r="E163" i="17"/>
  <c r="D163" i="17"/>
  <c r="F201" i="17"/>
  <c r="G196" i="17"/>
  <c r="F194" i="17"/>
  <c r="G183" i="17"/>
  <c r="F182" i="17"/>
  <c r="F181" i="17"/>
  <c r="F180" i="17"/>
  <c r="F179" i="17"/>
  <c r="G174" i="17"/>
  <c r="G166" i="17"/>
  <c r="F164" i="17"/>
  <c r="F163" i="17"/>
  <c r="G162" i="17"/>
  <c r="D157" i="17"/>
  <c r="E157" i="17"/>
  <c r="G157" i="17"/>
  <c r="D158" i="17"/>
  <c r="E158" i="17"/>
  <c r="G158" i="17"/>
  <c r="D159" i="17"/>
  <c r="E159" i="17"/>
  <c r="G159" i="17"/>
  <c r="D160" i="17"/>
  <c r="E160" i="17"/>
  <c r="G160" i="17"/>
  <c r="D161" i="17"/>
  <c r="E161" i="17"/>
  <c r="G161" i="17"/>
  <c r="G156" i="17"/>
  <c r="E156" i="17"/>
  <c r="D156" i="17"/>
  <c r="G155" i="17"/>
  <c r="D147" i="17"/>
  <c r="E147" i="17"/>
  <c r="G147" i="17"/>
  <c r="D148" i="17"/>
  <c r="E148" i="17"/>
  <c r="G148" i="17"/>
  <c r="D149" i="17"/>
  <c r="E149" i="17"/>
  <c r="G149" i="17"/>
  <c r="D150" i="17"/>
  <c r="E150" i="17"/>
  <c r="G150" i="17"/>
  <c r="D151" i="17"/>
  <c r="E151" i="17"/>
  <c r="G151" i="17"/>
  <c r="D152" i="17"/>
  <c r="E152" i="17"/>
  <c r="G152" i="17"/>
  <c r="D153" i="17"/>
  <c r="E153" i="17"/>
  <c r="G153" i="17"/>
  <c r="G146" i="17"/>
  <c r="E146" i="17"/>
  <c r="D146" i="17"/>
  <c r="G145" i="17"/>
  <c r="F137" i="17"/>
  <c r="F134" i="17"/>
  <c r="F133" i="17"/>
  <c r="F132" i="17"/>
  <c r="F131" i="17"/>
  <c r="D130" i="17"/>
  <c r="E130" i="17"/>
  <c r="G130" i="17"/>
  <c r="D131" i="17"/>
  <c r="E131" i="17"/>
  <c r="G131" i="17"/>
  <c r="D132" i="17"/>
  <c r="E132" i="17"/>
  <c r="G132" i="17"/>
  <c r="D133" i="17"/>
  <c r="E133" i="17"/>
  <c r="G133" i="17"/>
  <c r="D134" i="17"/>
  <c r="E134" i="17"/>
  <c r="G134" i="17"/>
  <c r="D135" i="17"/>
  <c r="E135" i="17"/>
  <c r="G135" i="17"/>
  <c r="D136" i="17"/>
  <c r="E136" i="17"/>
  <c r="G136" i="17"/>
  <c r="D137" i="17"/>
  <c r="E137" i="17"/>
  <c r="G137" i="17"/>
  <c r="D138" i="17"/>
  <c r="E138" i="17"/>
  <c r="G138" i="17"/>
  <c r="D139" i="17"/>
  <c r="E139" i="17"/>
  <c r="G139" i="17"/>
  <c r="D140" i="17"/>
  <c r="E140" i="17"/>
  <c r="G140" i="17"/>
  <c r="D141" i="17"/>
  <c r="E141" i="17"/>
  <c r="G141" i="17"/>
  <c r="D142" i="17"/>
  <c r="E142" i="17"/>
  <c r="G142" i="17"/>
  <c r="D144" i="17"/>
  <c r="E144" i="17"/>
  <c r="G144" i="17"/>
  <c r="G129" i="17"/>
  <c r="E129" i="17"/>
  <c r="D129" i="17"/>
  <c r="G128" i="17"/>
  <c r="D119" i="17"/>
  <c r="E119" i="17"/>
  <c r="G119" i="17"/>
  <c r="D121" i="17"/>
  <c r="E121" i="17"/>
  <c r="G121" i="17"/>
  <c r="D122" i="17"/>
  <c r="E122" i="17"/>
  <c r="G122" i="17"/>
  <c r="D123" i="17"/>
  <c r="E123" i="17"/>
  <c r="G123" i="17"/>
  <c r="D124" i="17"/>
  <c r="E124" i="17"/>
  <c r="G124" i="17"/>
  <c r="D125" i="17"/>
  <c r="E125" i="17"/>
  <c r="G125" i="17"/>
  <c r="D126" i="17"/>
  <c r="E126" i="17"/>
  <c r="G126" i="17"/>
  <c r="D127" i="17"/>
  <c r="E127" i="17"/>
  <c r="G127" i="17"/>
  <c r="G118" i="17"/>
  <c r="E118" i="17"/>
  <c r="D118" i="17"/>
  <c r="G117" i="17"/>
  <c r="F105" i="17"/>
  <c r="D114" i="17"/>
  <c r="E114" i="17"/>
  <c r="G114" i="17"/>
  <c r="D115" i="17"/>
  <c r="E115" i="17"/>
  <c r="G115" i="17"/>
  <c r="D116" i="17"/>
  <c r="E116" i="17"/>
  <c r="G116" i="17"/>
  <c r="D103" i="17"/>
  <c r="E103" i="17"/>
  <c r="G103" i="17"/>
  <c r="D104" i="17"/>
  <c r="E104" i="17"/>
  <c r="G104" i="17"/>
  <c r="D105" i="17"/>
  <c r="E105" i="17"/>
  <c r="G105" i="17"/>
  <c r="D106" i="17"/>
  <c r="E106" i="17"/>
  <c r="G106" i="17"/>
  <c r="D107" i="17"/>
  <c r="E107" i="17"/>
  <c r="G107" i="17"/>
  <c r="D108" i="17"/>
  <c r="E108" i="17"/>
  <c r="G108" i="17"/>
  <c r="D109" i="17"/>
  <c r="E109" i="17"/>
  <c r="G109" i="17"/>
  <c r="D110" i="17"/>
  <c r="E110" i="17"/>
  <c r="G110" i="17"/>
  <c r="D111" i="17"/>
  <c r="E111" i="17"/>
  <c r="G111" i="17"/>
  <c r="D112" i="17"/>
  <c r="E112" i="17"/>
  <c r="G112" i="17"/>
  <c r="D113" i="17"/>
  <c r="E113" i="17"/>
  <c r="G113" i="17"/>
  <c r="D94" i="17"/>
  <c r="E94" i="17"/>
  <c r="G94" i="17"/>
  <c r="D95" i="17"/>
  <c r="E95" i="17"/>
  <c r="G95" i="17"/>
  <c r="D96" i="17"/>
  <c r="E96" i="17"/>
  <c r="G96" i="17"/>
  <c r="D97" i="17"/>
  <c r="E97" i="17"/>
  <c r="G97" i="17"/>
  <c r="D98" i="17"/>
  <c r="E98" i="17"/>
  <c r="G98" i="17"/>
  <c r="D99" i="17"/>
  <c r="E99" i="17"/>
  <c r="G99" i="17"/>
  <c r="D100" i="17"/>
  <c r="E100" i="17"/>
  <c r="G100" i="17"/>
  <c r="D101" i="17"/>
  <c r="E101" i="17"/>
  <c r="G101" i="17"/>
  <c r="D102" i="17"/>
  <c r="E102" i="17"/>
  <c r="G102" i="17"/>
  <c r="G91" i="17"/>
  <c r="D86" i="17"/>
  <c r="E86" i="17"/>
  <c r="G86" i="17"/>
  <c r="D87" i="17"/>
  <c r="E87" i="17"/>
  <c r="G87" i="17"/>
  <c r="D88" i="17"/>
  <c r="E88" i="17"/>
  <c r="G88" i="17"/>
  <c r="D89" i="17"/>
  <c r="E89" i="17"/>
  <c r="G89" i="17"/>
  <c r="D90" i="17"/>
  <c r="E90" i="17"/>
  <c r="G90" i="17"/>
  <c r="G85" i="17"/>
  <c r="E85" i="17"/>
  <c r="D85" i="17"/>
  <c r="D79" i="17"/>
  <c r="E79" i="17"/>
  <c r="G79" i="17"/>
  <c r="D80" i="17"/>
  <c r="E80" i="17"/>
  <c r="G80" i="17"/>
  <c r="D81" i="17"/>
  <c r="E81" i="17"/>
  <c r="G81" i="17"/>
  <c r="D82" i="17"/>
  <c r="E82" i="17"/>
  <c r="G82" i="17"/>
  <c r="D83" i="17"/>
  <c r="E83" i="17"/>
  <c r="G83" i="17"/>
  <c r="G78" i="17"/>
  <c r="E78" i="17"/>
  <c r="D78" i="17"/>
  <c r="D63" i="17"/>
  <c r="E63" i="17"/>
  <c r="G63" i="17"/>
  <c r="D64" i="17"/>
  <c r="E64" i="17"/>
  <c r="G64" i="17"/>
  <c r="D65" i="17"/>
  <c r="E65" i="17"/>
  <c r="G65" i="17"/>
  <c r="D66" i="17"/>
  <c r="E66" i="17"/>
  <c r="G66" i="17"/>
  <c r="D67" i="17"/>
  <c r="E67" i="17"/>
  <c r="G67" i="17"/>
  <c r="D68" i="17"/>
  <c r="E68" i="17"/>
  <c r="G68" i="17"/>
  <c r="D69" i="17"/>
  <c r="E69" i="17"/>
  <c r="G69" i="17"/>
  <c r="D70" i="17"/>
  <c r="E70" i="17"/>
  <c r="G70" i="17"/>
  <c r="D71" i="17"/>
  <c r="E71" i="17"/>
  <c r="G71" i="17"/>
  <c r="D72" i="17"/>
  <c r="E72" i="17"/>
  <c r="G72" i="17"/>
  <c r="D73" i="17"/>
  <c r="E73" i="17"/>
  <c r="G73" i="17"/>
  <c r="D74" i="17"/>
  <c r="E74" i="17"/>
  <c r="G74" i="17"/>
  <c r="D75" i="17"/>
  <c r="E75" i="17"/>
  <c r="G75" i="17"/>
  <c r="D76" i="17"/>
  <c r="E76" i="17"/>
  <c r="G76" i="17"/>
  <c r="G62" i="17"/>
  <c r="E62" i="17"/>
  <c r="D62" i="17"/>
  <c r="G60" i="17"/>
  <c r="D51" i="17"/>
  <c r="E51" i="17"/>
  <c r="G51" i="17"/>
  <c r="D52" i="17"/>
  <c r="E52" i="17"/>
  <c r="G52" i="17"/>
  <c r="D53" i="17"/>
  <c r="E53" i="17"/>
  <c r="G53" i="17"/>
  <c r="D54" i="17"/>
  <c r="E54" i="17"/>
  <c r="G54" i="17"/>
  <c r="D55" i="17"/>
  <c r="E55" i="17"/>
  <c r="G55" i="17"/>
  <c r="D56" i="17"/>
  <c r="E56" i="17"/>
  <c r="G56" i="17"/>
  <c r="D57" i="17"/>
  <c r="E57" i="17"/>
  <c r="G57" i="17"/>
  <c r="D58" i="17"/>
  <c r="E58" i="17"/>
  <c r="G58" i="17"/>
  <c r="D59" i="17"/>
  <c r="E59" i="17"/>
  <c r="G59" i="17"/>
  <c r="G50" i="17"/>
  <c r="E50" i="17"/>
  <c r="D50" i="17"/>
  <c r="G48" i="17"/>
  <c r="E48" i="17"/>
  <c r="D48" i="17"/>
  <c r="G47" i="17"/>
  <c r="E47" i="17"/>
  <c r="D47" i="17"/>
  <c r="G46" i="17"/>
  <c r="E46" i="17"/>
  <c r="D46" i="17"/>
  <c r="G45" i="17"/>
  <c r="E45" i="17"/>
  <c r="D45" i="17"/>
  <c r="G44" i="17"/>
  <c r="E44" i="17"/>
  <c r="D44" i="17"/>
  <c r="G42" i="17"/>
  <c r="E42" i="17"/>
  <c r="D42" i="17"/>
  <c r="G41" i="17"/>
  <c r="E41" i="17"/>
  <c r="D41" i="17"/>
  <c r="G40" i="17"/>
  <c r="E40" i="17"/>
  <c r="D40" i="17"/>
  <c r="G39" i="17"/>
  <c r="E39" i="17"/>
  <c r="D39" i="17"/>
  <c r="G37" i="17"/>
  <c r="E37" i="17"/>
  <c r="D37" i="17"/>
  <c r="G36" i="17"/>
  <c r="E36" i="17"/>
  <c r="D36" i="17"/>
  <c r="G35" i="17"/>
  <c r="E35" i="17"/>
  <c r="D35" i="17"/>
  <c r="G34" i="17"/>
  <c r="E34" i="17"/>
  <c r="D34" i="17"/>
  <c r="G31" i="17"/>
  <c r="E31" i="17"/>
  <c r="D31" i="17"/>
  <c r="G30" i="17"/>
  <c r="E30" i="17"/>
  <c r="D30" i="17"/>
  <c r="G29" i="17"/>
  <c r="E29" i="17"/>
  <c r="D29" i="17"/>
  <c r="G28" i="17"/>
  <c r="E28" i="17"/>
  <c r="D28" i="17"/>
  <c r="F11" i="17"/>
  <c r="D10" i="17"/>
  <c r="E10" i="17"/>
  <c r="G10" i="17"/>
  <c r="D11" i="17"/>
  <c r="E11" i="17"/>
  <c r="G11" i="17"/>
  <c r="N208" i="34"/>
  <c r="AB18" i="43"/>
  <c r="AB19" i="43" s="1"/>
  <c r="F208" i="34" s="1"/>
  <c r="AD5" i="43"/>
  <c r="AD6" i="43"/>
  <c r="AD7" i="43"/>
  <c r="AD8" i="43"/>
  <c r="AD4" i="43"/>
  <c r="D207" i="34"/>
  <c r="E207" i="34"/>
  <c r="G207" i="34"/>
  <c r="D209" i="34"/>
  <c r="E209" i="34"/>
  <c r="G209" i="34"/>
  <c r="F202" i="34"/>
  <c r="D202" i="34"/>
  <c r="E202" i="34"/>
  <c r="G202" i="34"/>
  <c r="D203" i="34"/>
  <c r="E203" i="34"/>
  <c r="G203" i="34"/>
  <c r="G201" i="34"/>
  <c r="E201" i="34"/>
  <c r="D201" i="34"/>
  <c r="G200" i="34"/>
  <c r="E200" i="34"/>
  <c r="D200" i="34"/>
  <c r="G199" i="34"/>
  <c r="E199" i="34"/>
  <c r="D199" i="34"/>
  <c r="E198" i="34"/>
  <c r="D198" i="34"/>
  <c r="V5" i="43"/>
  <c r="W5" i="43"/>
  <c r="Y5" i="43" s="1"/>
  <c r="V6" i="43"/>
  <c r="W6" i="43"/>
  <c r="Y6" i="43" s="1"/>
  <c r="V7" i="43"/>
  <c r="W7" i="43"/>
  <c r="Y7" i="43" s="1"/>
  <c r="V8" i="43"/>
  <c r="W8" i="43"/>
  <c r="Y8" i="43" s="1"/>
  <c r="V9" i="43"/>
  <c r="W9" i="43"/>
  <c r="Y9" i="43" s="1"/>
  <c r="W4" i="43"/>
  <c r="Y4" i="43" s="1"/>
  <c r="M10" i="43"/>
  <c r="F192" i="34" s="1"/>
  <c r="G197" i="34"/>
  <c r="E197" i="34"/>
  <c r="D197" i="34"/>
  <c r="G196" i="34"/>
  <c r="E196" i="34"/>
  <c r="D196" i="34"/>
  <c r="G195" i="34"/>
  <c r="E195" i="34"/>
  <c r="D195" i="34"/>
  <c r="G194" i="34"/>
  <c r="E194" i="34"/>
  <c r="D194" i="34"/>
  <c r="G193" i="34"/>
  <c r="E193" i="34"/>
  <c r="D193" i="34"/>
  <c r="G192" i="34"/>
  <c r="E192" i="34"/>
  <c r="D192" i="34"/>
  <c r="O9" i="43"/>
  <c r="N9" i="43"/>
  <c r="O8" i="43"/>
  <c r="N8" i="43"/>
  <c r="O7" i="43"/>
  <c r="N7" i="43"/>
  <c r="O6" i="43"/>
  <c r="N6" i="43"/>
  <c r="P6" i="43" s="1"/>
  <c r="O5" i="43"/>
  <c r="N5" i="43"/>
  <c r="O4" i="43"/>
  <c r="N4" i="43"/>
  <c r="I9" i="43"/>
  <c r="H9" i="43"/>
  <c r="G9" i="43"/>
  <c r="F9" i="43"/>
  <c r="I8" i="43"/>
  <c r="H8" i="43"/>
  <c r="G8" i="43"/>
  <c r="F8" i="43"/>
  <c r="I7" i="43"/>
  <c r="G7" i="43"/>
  <c r="E7" i="43"/>
  <c r="F7" i="43" s="1"/>
  <c r="I6" i="43"/>
  <c r="G6" i="43"/>
  <c r="E6" i="43"/>
  <c r="H6" i="43" s="1"/>
  <c r="I5" i="43"/>
  <c r="G5" i="43"/>
  <c r="E5" i="43"/>
  <c r="H5" i="43" s="1"/>
  <c r="H4" i="43"/>
  <c r="G4" i="43"/>
  <c r="F4" i="43"/>
  <c r="F187" i="34"/>
  <c r="J8" i="43" l="1"/>
  <c r="I188" i="44"/>
  <c r="P9" i="43"/>
  <c r="P11" i="33"/>
  <c r="T16" i="33"/>
  <c r="R19" i="33"/>
  <c r="P19" i="33"/>
  <c r="T17" i="33"/>
  <c r="T50" i="23"/>
  <c r="U50" i="23" s="1"/>
  <c r="J6" i="43"/>
  <c r="T8" i="33"/>
  <c r="Q25" i="33"/>
  <c r="Q12" i="33"/>
  <c r="P8" i="43"/>
  <c r="T7" i="33"/>
  <c r="P25" i="33"/>
  <c r="P14" i="33"/>
  <c r="P4" i="43"/>
  <c r="AD9" i="43"/>
  <c r="F205" i="34" s="1"/>
  <c r="F206" i="34" s="1"/>
  <c r="F207" i="34" s="1"/>
  <c r="P5" i="43"/>
  <c r="P22" i="33"/>
  <c r="P12" i="33"/>
  <c r="P5" i="33"/>
  <c r="T13" i="33"/>
  <c r="V10" i="43"/>
  <c r="F198" i="34" s="1"/>
  <c r="AF37" i="23"/>
  <c r="T20" i="33"/>
  <c r="R14" i="33"/>
  <c r="T14" i="33" s="1"/>
  <c r="T6" i="33"/>
  <c r="W10" i="43"/>
  <c r="T10" i="33"/>
  <c r="R21" i="33"/>
  <c r="T21" i="33" s="1"/>
  <c r="R18" i="33"/>
  <c r="T18" i="33" s="1"/>
  <c r="R11" i="33"/>
  <c r="T11" i="33" s="1"/>
  <c r="Q18" i="33"/>
  <c r="G10" i="43"/>
  <c r="F193" i="34" s="1"/>
  <c r="O10" i="43"/>
  <c r="J5" i="43"/>
  <c r="T27" i="33"/>
  <c r="F184" i="17"/>
  <c r="T15" i="33"/>
  <c r="F200" i="17"/>
  <c r="J9" i="43"/>
  <c r="P7" i="43"/>
  <c r="N10" i="43"/>
  <c r="R24" i="33"/>
  <c r="T24" i="33" s="1"/>
  <c r="F5" i="43"/>
  <c r="Q24" i="33"/>
  <c r="P20" i="33"/>
  <c r="Q16" i="33"/>
  <c r="J4" i="43"/>
  <c r="P16" i="33"/>
  <c r="Z32" i="33"/>
  <c r="F24" i="34" s="1"/>
  <c r="F25" i="34" s="1"/>
  <c r="X32" i="33"/>
  <c r="F23" i="34" s="1"/>
  <c r="H7" i="43"/>
  <c r="J7" i="43" s="1"/>
  <c r="R26" i="33"/>
  <c r="T26" i="33" s="1"/>
  <c r="T25" i="33"/>
  <c r="Q21" i="33"/>
  <c r="Q26" i="33"/>
  <c r="R22" i="33"/>
  <c r="T22" i="33" s="1"/>
  <c r="T12" i="33"/>
  <c r="T19" i="33"/>
  <c r="AC32" i="33"/>
  <c r="Q20" i="33"/>
  <c r="R5" i="33"/>
  <c r="T5" i="33" s="1"/>
  <c r="R23" i="33"/>
  <c r="T23" i="33" s="1"/>
  <c r="Q23" i="33"/>
  <c r="R28" i="33"/>
  <c r="T28" i="33" s="1"/>
  <c r="R4" i="33"/>
  <c r="Q28" i="33"/>
  <c r="Q4" i="33"/>
  <c r="Y10" i="43"/>
  <c r="F6" i="43"/>
  <c r="D189" i="34"/>
  <c r="E189" i="34"/>
  <c r="G189" i="34"/>
  <c r="D188" i="34"/>
  <c r="E188" i="34"/>
  <c r="G188" i="34"/>
  <c r="D190" i="34"/>
  <c r="E190" i="34"/>
  <c r="G190" i="34"/>
  <c r="C44" i="42"/>
  <c r="F44" i="42" s="1"/>
  <c r="C43" i="42"/>
  <c r="G43" i="42" s="1"/>
  <c r="D40" i="35"/>
  <c r="H44" i="42"/>
  <c r="H43" i="42"/>
  <c r="H42" i="42"/>
  <c r="G42" i="42"/>
  <c r="F42" i="42"/>
  <c r="H41" i="42"/>
  <c r="G41" i="42"/>
  <c r="F41" i="42"/>
  <c r="H40" i="42"/>
  <c r="G40" i="42"/>
  <c r="F40" i="42"/>
  <c r="H39" i="42"/>
  <c r="G39" i="42"/>
  <c r="F39" i="42"/>
  <c r="H38" i="42"/>
  <c r="G38" i="42"/>
  <c r="H37" i="42"/>
  <c r="G37" i="42"/>
  <c r="F37" i="42"/>
  <c r="H36" i="42"/>
  <c r="G36" i="42"/>
  <c r="F36" i="42"/>
  <c r="H35" i="42"/>
  <c r="G35" i="42"/>
  <c r="F35" i="42"/>
  <c r="H34" i="42"/>
  <c r="G34" i="42"/>
  <c r="G33" i="42"/>
  <c r="F33" i="42"/>
  <c r="C27" i="42"/>
  <c r="F27" i="42" s="1"/>
  <c r="C26" i="42"/>
  <c r="F26" i="42" s="1"/>
  <c r="C25" i="42"/>
  <c r="G25" i="42" s="1"/>
  <c r="H26" i="42"/>
  <c r="C24" i="42"/>
  <c r="G24" i="42" s="1"/>
  <c r="C20" i="42"/>
  <c r="G20" i="42" s="1"/>
  <c r="C22" i="42"/>
  <c r="G22" i="42" s="1"/>
  <c r="C21" i="42"/>
  <c r="F21" i="42" s="1"/>
  <c r="H6" i="42"/>
  <c r="H7" i="42"/>
  <c r="H8" i="42"/>
  <c r="H9" i="42"/>
  <c r="H10" i="42"/>
  <c r="H11" i="42"/>
  <c r="H12" i="42"/>
  <c r="H13" i="42"/>
  <c r="H14" i="42"/>
  <c r="H15" i="42"/>
  <c r="H16" i="42"/>
  <c r="H17" i="42"/>
  <c r="H18" i="42"/>
  <c r="H19" i="42"/>
  <c r="H20" i="42"/>
  <c r="H21" i="42"/>
  <c r="H22" i="42"/>
  <c r="H23" i="42"/>
  <c r="H24" i="42"/>
  <c r="H25" i="42"/>
  <c r="H27" i="42"/>
  <c r="H5" i="42"/>
  <c r="C17" i="42"/>
  <c r="F17" i="42" s="1"/>
  <c r="C9" i="42"/>
  <c r="G9" i="42" s="1"/>
  <c r="G43" i="34"/>
  <c r="E43" i="34"/>
  <c r="D43" i="34"/>
  <c r="G42" i="34"/>
  <c r="E42" i="34"/>
  <c r="D42" i="34"/>
  <c r="G41" i="34"/>
  <c r="E41" i="34"/>
  <c r="D41" i="34"/>
  <c r="G40" i="34"/>
  <c r="E40" i="34"/>
  <c r="D40" i="34"/>
  <c r="C5" i="42"/>
  <c r="G5" i="42" s="1"/>
  <c r="F5" i="42"/>
  <c r="F6" i="42"/>
  <c r="G6" i="42"/>
  <c r="F7" i="42"/>
  <c r="G7" i="42"/>
  <c r="F8" i="42"/>
  <c r="G8" i="42"/>
  <c r="F10" i="42"/>
  <c r="G10" i="42"/>
  <c r="F11" i="42"/>
  <c r="G11" i="42"/>
  <c r="F12" i="42"/>
  <c r="G12" i="42"/>
  <c r="F13" i="42"/>
  <c r="G13" i="42"/>
  <c r="F14" i="42"/>
  <c r="G14" i="42"/>
  <c r="F15" i="42"/>
  <c r="G15" i="42"/>
  <c r="F16" i="42"/>
  <c r="G16" i="42"/>
  <c r="F18" i="42"/>
  <c r="G18" i="42"/>
  <c r="F19" i="42"/>
  <c r="G19" i="42"/>
  <c r="F23" i="42"/>
  <c r="G23" i="42"/>
  <c r="I4" i="42"/>
  <c r="D36" i="34"/>
  <c r="E36" i="34"/>
  <c r="G36" i="34"/>
  <c r="D37" i="34"/>
  <c r="E37" i="34"/>
  <c r="G37" i="34"/>
  <c r="D38" i="34"/>
  <c r="E38" i="34"/>
  <c r="G38" i="34"/>
  <c r="G35" i="34"/>
  <c r="E35" i="34"/>
  <c r="D35" i="34"/>
  <c r="G33" i="34"/>
  <c r="R6" i="41"/>
  <c r="R8" i="41" s="1"/>
  <c r="F178" i="17" s="1"/>
  <c r="R5" i="41"/>
  <c r="K189" i="44" l="1"/>
  <c r="L189" i="44" s="1"/>
  <c r="F32" i="34"/>
  <c r="I38" i="42"/>
  <c r="I42" i="42"/>
  <c r="H10" i="43"/>
  <c r="F195" i="34" s="1"/>
  <c r="F196" i="34" s="1"/>
  <c r="I15" i="42"/>
  <c r="T49" i="23"/>
  <c r="U49" i="23" s="1"/>
  <c r="P29" i="33"/>
  <c r="F20" i="42"/>
  <c r="F197" i="17"/>
  <c r="F198" i="17" s="1"/>
  <c r="F199" i="17" s="1"/>
  <c r="I43" i="42"/>
  <c r="I36" i="42"/>
  <c r="F10" i="43"/>
  <c r="F194" i="34" s="1"/>
  <c r="P10" i="43"/>
  <c r="F185" i="17"/>
  <c r="F190" i="17"/>
  <c r="I25" i="42"/>
  <c r="AH36" i="23"/>
  <c r="AF36" i="23"/>
  <c r="I39" i="42"/>
  <c r="F191" i="17"/>
  <c r="F192" i="17" s="1"/>
  <c r="F200" i="34"/>
  <c r="F21" i="17"/>
  <c r="F26" i="34"/>
  <c r="F186" i="34"/>
  <c r="I34" i="42"/>
  <c r="F43" i="42"/>
  <c r="F201" i="34"/>
  <c r="F193" i="17"/>
  <c r="G26" i="42"/>
  <c r="I26" i="42" s="1"/>
  <c r="Q29" i="33"/>
  <c r="F22" i="42"/>
  <c r="J10" i="43"/>
  <c r="T4" i="33"/>
  <c r="T29" i="33" s="1"/>
  <c r="AM6" i="33" s="1"/>
  <c r="R29" i="33"/>
  <c r="AK6" i="33" s="1"/>
  <c r="I19" i="42"/>
  <c r="G44" i="42"/>
  <c r="I44" i="42" s="1"/>
  <c r="I41" i="42"/>
  <c r="I35" i="42"/>
  <c r="I18" i="42"/>
  <c r="I40" i="42"/>
  <c r="I16" i="42"/>
  <c r="I14" i="42"/>
  <c r="I13" i="42"/>
  <c r="I37" i="42"/>
  <c r="I33" i="42"/>
  <c r="F34" i="42"/>
  <c r="G27" i="42"/>
  <c r="I27" i="42" s="1"/>
  <c r="F25" i="42"/>
  <c r="I9" i="42"/>
  <c r="I8" i="42"/>
  <c r="I6" i="42"/>
  <c r="I12" i="42"/>
  <c r="I11" i="42"/>
  <c r="I10" i="42"/>
  <c r="F24" i="42"/>
  <c r="I22" i="42"/>
  <c r="G21" i="42"/>
  <c r="I21" i="42" s="1"/>
  <c r="I20" i="42"/>
  <c r="I24" i="42"/>
  <c r="I23" i="42"/>
  <c r="I7" i="42"/>
  <c r="I5" i="42"/>
  <c r="F9" i="42"/>
  <c r="G17" i="42"/>
  <c r="I17" i="42" s="1"/>
  <c r="T7" i="41"/>
  <c r="T6" i="41"/>
  <c r="T5" i="41"/>
  <c r="T4" i="41"/>
  <c r="F187" i="17" l="1"/>
  <c r="F188" i="17" s="1"/>
  <c r="T48" i="23"/>
  <c r="T47" i="23" s="1"/>
  <c r="F186" i="17"/>
  <c r="AH35" i="23"/>
  <c r="AF35" i="23"/>
  <c r="F197" i="34"/>
  <c r="F189" i="17"/>
  <c r="F28" i="42"/>
  <c r="G28" i="42"/>
  <c r="G45" i="42"/>
  <c r="F45" i="42"/>
  <c r="I45" i="42"/>
  <c r="I28" i="42"/>
  <c r="T8" i="41"/>
  <c r="U48" i="23" l="1"/>
  <c r="T46" i="23"/>
  <c r="U47" i="23"/>
  <c r="AF34" i="23"/>
  <c r="AH34" i="23"/>
  <c r="F185" i="34"/>
  <c r="F177" i="17"/>
  <c r="F42" i="17"/>
  <c r="F43" i="34"/>
  <c r="F40" i="17"/>
  <c r="F41" i="17" s="1"/>
  <c r="F41" i="34"/>
  <c r="F42" i="34" s="1"/>
  <c r="F39" i="17"/>
  <c r="F40" i="34"/>
  <c r="F38" i="34"/>
  <c r="F37" i="17"/>
  <c r="F36" i="34"/>
  <c r="F37" i="34" s="1"/>
  <c r="F35" i="17"/>
  <c r="F36" i="17" s="1"/>
  <c r="F35" i="34"/>
  <c r="F34" i="17"/>
  <c r="D186" i="34"/>
  <c r="E186" i="34"/>
  <c r="G186" i="34"/>
  <c r="D187" i="34"/>
  <c r="E187" i="34"/>
  <c r="G187" i="34"/>
  <c r="E183" i="34"/>
  <c r="M14" i="41"/>
  <c r="M15" i="41"/>
  <c r="M16" i="41"/>
  <c r="M17" i="41"/>
  <c r="M18" i="41"/>
  <c r="M19" i="41"/>
  <c r="M20" i="41"/>
  <c r="M21" i="41"/>
  <c r="M22" i="41"/>
  <c r="M23" i="41"/>
  <c r="M24" i="41"/>
  <c r="M25" i="41"/>
  <c r="M26" i="41"/>
  <c r="M27" i="41"/>
  <c r="M28" i="41"/>
  <c r="M29" i="41"/>
  <c r="M30" i="41"/>
  <c r="M31" i="41"/>
  <c r="M32" i="41"/>
  <c r="M33" i="41"/>
  <c r="M34" i="41"/>
  <c r="M35" i="41"/>
  <c r="M36" i="41"/>
  <c r="M37" i="41"/>
  <c r="M38" i="41"/>
  <c r="M39" i="41"/>
  <c r="M40" i="41"/>
  <c r="M41" i="41"/>
  <c r="M42" i="41"/>
  <c r="M43" i="41"/>
  <c r="M44" i="41"/>
  <c r="M45" i="41"/>
  <c r="M46" i="41"/>
  <c r="M47" i="41"/>
  <c r="M48" i="41"/>
  <c r="M49" i="41"/>
  <c r="M50" i="41"/>
  <c r="M51" i="41"/>
  <c r="M52" i="41"/>
  <c r="M53" i="41"/>
  <c r="M54" i="41"/>
  <c r="M55" i="41"/>
  <c r="M56" i="41"/>
  <c r="M57" i="41"/>
  <c r="M58" i="41"/>
  <c r="M13" i="41"/>
  <c r="C6" i="41"/>
  <c r="F6" i="41" s="1"/>
  <c r="M6" i="41" s="1"/>
  <c r="C5" i="41"/>
  <c r="H5" i="41" s="1"/>
  <c r="N5" i="41" s="1"/>
  <c r="G7" i="41"/>
  <c r="F7" i="41"/>
  <c r="M7" i="41" s="1"/>
  <c r="H7" i="41"/>
  <c r="N7" i="41" s="1"/>
  <c r="G4" i="41"/>
  <c r="N100" i="34"/>
  <c r="N127" i="34"/>
  <c r="D130" i="34"/>
  <c r="E130" i="34"/>
  <c r="G130" i="34"/>
  <c r="D131" i="34"/>
  <c r="E131" i="34"/>
  <c r="G131" i="34"/>
  <c r="D129" i="34"/>
  <c r="E129" i="34"/>
  <c r="G129" i="34"/>
  <c r="D122" i="34"/>
  <c r="E122" i="34"/>
  <c r="G122" i="34"/>
  <c r="D123" i="34"/>
  <c r="E123" i="34"/>
  <c r="G123" i="34"/>
  <c r="D114" i="34"/>
  <c r="E114" i="34"/>
  <c r="G114" i="34"/>
  <c r="F112" i="34"/>
  <c r="D110" i="34"/>
  <c r="E110" i="34"/>
  <c r="G110" i="34"/>
  <c r="D105" i="34"/>
  <c r="E105" i="34"/>
  <c r="G105" i="34"/>
  <c r="C30" i="26"/>
  <c r="I30" i="26" s="1"/>
  <c r="D30" i="26"/>
  <c r="J30" i="26" s="1"/>
  <c r="E30" i="26"/>
  <c r="F30" i="26"/>
  <c r="C31" i="26"/>
  <c r="I31" i="26" s="1"/>
  <c r="D31" i="26"/>
  <c r="J31" i="26" s="1"/>
  <c r="E31" i="26"/>
  <c r="F31" i="26"/>
  <c r="C32" i="26"/>
  <c r="I32" i="26" s="1"/>
  <c r="D32" i="26"/>
  <c r="J32" i="26" s="1"/>
  <c r="E32" i="26"/>
  <c r="F32" i="26"/>
  <c r="C33" i="26"/>
  <c r="D33" i="26"/>
  <c r="J33" i="26" s="1"/>
  <c r="E33" i="26"/>
  <c r="F33" i="26"/>
  <c r="C34" i="26"/>
  <c r="I34" i="26" s="1"/>
  <c r="D34" i="26"/>
  <c r="J34" i="26" s="1"/>
  <c r="E34" i="26"/>
  <c r="F34" i="26"/>
  <c r="C35" i="26"/>
  <c r="I35" i="26" s="1"/>
  <c r="D35" i="26"/>
  <c r="J35" i="26" s="1"/>
  <c r="E35" i="26"/>
  <c r="F35" i="26"/>
  <c r="D71" i="26"/>
  <c r="E71" i="26"/>
  <c r="F71" i="26"/>
  <c r="G71" i="26"/>
  <c r="H71" i="26"/>
  <c r="I71" i="26"/>
  <c r="J71" i="26"/>
  <c r="L71" i="26"/>
  <c r="M71" i="26"/>
  <c r="N71" i="26"/>
  <c r="O71" i="26"/>
  <c r="P71" i="26"/>
  <c r="Q71" i="26"/>
  <c r="R71" i="26"/>
  <c r="S71" i="26"/>
  <c r="S74" i="26" s="1"/>
  <c r="S76" i="26" s="1"/>
  <c r="C71" i="26"/>
  <c r="K70" i="26"/>
  <c r="K69" i="26"/>
  <c r="K68" i="26"/>
  <c r="K67" i="26"/>
  <c r="U65" i="26"/>
  <c r="V65" i="26" s="1"/>
  <c r="K66" i="26"/>
  <c r="K65" i="26"/>
  <c r="U60" i="26"/>
  <c r="V60" i="26" s="1"/>
  <c r="U59" i="26"/>
  <c r="V59" i="26" s="1"/>
  <c r="U57" i="26"/>
  <c r="V57" i="26" s="1"/>
  <c r="U51" i="26"/>
  <c r="V51" i="26" s="1"/>
  <c r="U41" i="26"/>
  <c r="V41" i="26" s="1"/>
  <c r="U42" i="26"/>
  <c r="V42" i="26" s="1"/>
  <c r="U43" i="26"/>
  <c r="V43" i="26" s="1"/>
  <c r="U44" i="26"/>
  <c r="V44" i="26" s="1"/>
  <c r="U45" i="26"/>
  <c r="V45" i="26" s="1"/>
  <c r="U46" i="26"/>
  <c r="V46" i="26" s="1"/>
  <c r="U47" i="26"/>
  <c r="V47" i="26" s="1"/>
  <c r="U48" i="26"/>
  <c r="V48" i="26" s="1"/>
  <c r="U49" i="26"/>
  <c r="V49" i="26" s="1"/>
  <c r="U50" i="26"/>
  <c r="V50" i="26" s="1"/>
  <c r="U52" i="26"/>
  <c r="V52" i="26" s="1"/>
  <c r="U53" i="26"/>
  <c r="V53" i="26" s="1"/>
  <c r="U54" i="26"/>
  <c r="V54" i="26" s="1"/>
  <c r="U55" i="26"/>
  <c r="V55" i="26" s="1"/>
  <c r="U56" i="26"/>
  <c r="V56" i="26" s="1"/>
  <c r="U58" i="26"/>
  <c r="V58" i="26" s="1"/>
  <c r="U61" i="26"/>
  <c r="V61" i="26" s="1"/>
  <c r="U62" i="26"/>
  <c r="V62" i="26" s="1"/>
  <c r="U63" i="26"/>
  <c r="V63" i="26" s="1"/>
  <c r="U64" i="26"/>
  <c r="V64" i="26" s="1"/>
  <c r="D6" i="26"/>
  <c r="J6" i="26" s="1"/>
  <c r="D7" i="26"/>
  <c r="J7" i="26" s="1"/>
  <c r="D8" i="26"/>
  <c r="J8" i="26" s="1"/>
  <c r="D9" i="26"/>
  <c r="J9" i="26" s="1"/>
  <c r="D10" i="26"/>
  <c r="J10" i="26" s="1"/>
  <c r="D11" i="26"/>
  <c r="J11" i="26" s="1"/>
  <c r="D12" i="26"/>
  <c r="J12" i="26" s="1"/>
  <c r="D13" i="26"/>
  <c r="J13" i="26" s="1"/>
  <c r="D14" i="26"/>
  <c r="J14" i="26" s="1"/>
  <c r="D15" i="26"/>
  <c r="J15" i="26" s="1"/>
  <c r="D16" i="26"/>
  <c r="J16" i="26" s="1"/>
  <c r="D17" i="26"/>
  <c r="J17" i="26" s="1"/>
  <c r="D18" i="26"/>
  <c r="J18" i="26" s="1"/>
  <c r="D19" i="26"/>
  <c r="J19" i="26" s="1"/>
  <c r="D20" i="26"/>
  <c r="J20" i="26" s="1"/>
  <c r="D21" i="26"/>
  <c r="J21" i="26" s="1"/>
  <c r="D22" i="26"/>
  <c r="K22" i="26" s="1"/>
  <c r="D23" i="26"/>
  <c r="J23" i="26" s="1"/>
  <c r="D24" i="26"/>
  <c r="K24" i="26" s="1"/>
  <c r="D25" i="26"/>
  <c r="J25" i="26" s="1"/>
  <c r="D26" i="26"/>
  <c r="J26" i="26" s="1"/>
  <c r="D27" i="26"/>
  <c r="J27" i="26" s="1"/>
  <c r="D28" i="26"/>
  <c r="D29" i="26"/>
  <c r="J29" i="26" s="1"/>
  <c r="C6" i="26"/>
  <c r="C7" i="26"/>
  <c r="I7" i="26" s="1"/>
  <c r="C8" i="26"/>
  <c r="I8" i="26" s="1"/>
  <c r="C9" i="26"/>
  <c r="C10" i="26"/>
  <c r="I10" i="26" s="1"/>
  <c r="C11" i="26"/>
  <c r="C12" i="26"/>
  <c r="I12" i="26" s="1"/>
  <c r="C13" i="26"/>
  <c r="I13" i="26" s="1"/>
  <c r="C14" i="26"/>
  <c r="C15" i="26"/>
  <c r="I15" i="26" s="1"/>
  <c r="C16" i="26"/>
  <c r="I16" i="26" s="1"/>
  <c r="C17" i="26"/>
  <c r="C18" i="26"/>
  <c r="C19" i="26"/>
  <c r="I19" i="26" s="1"/>
  <c r="C20" i="26"/>
  <c r="C21" i="26"/>
  <c r="I21" i="26" s="1"/>
  <c r="C22" i="26"/>
  <c r="I22" i="26" s="1"/>
  <c r="C23" i="26"/>
  <c r="C24" i="26"/>
  <c r="I24" i="26" s="1"/>
  <c r="C25" i="26"/>
  <c r="C26" i="26"/>
  <c r="C27" i="26"/>
  <c r="C28" i="26"/>
  <c r="C29" i="26"/>
  <c r="I29" i="26" s="1"/>
  <c r="D5" i="26"/>
  <c r="J5" i="26" s="1"/>
  <c r="C5" i="26"/>
  <c r="F6" i="26"/>
  <c r="F7" i="26"/>
  <c r="F8" i="26"/>
  <c r="F9" i="26"/>
  <c r="F10" i="26"/>
  <c r="F11" i="26"/>
  <c r="F12" i="26"/>
  <c r="F13" i="26"/>
  <c r="F14" i="26"/>
  <c r="F15" i="26"/>
  <c r="F16" i="26"/>
  <c r="F17" i="26"/>
  <c r="F18" i="26"/>
  <c r="F19" i="26"/>
  <c r="F20" i="26"/>
  <c r="F21" i="26"/>
  <c r="F22" i="26"/>
  <c r="F23" i="26"/>
  <c r="F24" i="26"/>
  <c r="F25" i="26"/>
  <c r="F26" i="26"/>
  <c r="F27" i="26"/>
  <c r="F28" i="26"/>
  <c r="F29" i="26"/>
  <c r="E6" i="26"/>
  <c r="E7" i="26"/>
  <c r="E8" i="26"/>
  <c r="E9" i="26"/>
  <c r="E10" i="26"/>
  <c r="E11" i="26"/>
  <c r="E12" i="26"/>
  <c r="E13" i="26"/>
  <c r="E14" i="26"/>
  <c r="E15" i="26"/>
  <c r="E16" i="26"/>
  <c r="E17" i="26"/>
  <c r="E18" i="26"/>
  <c r="E19" i="26"/>
  <c r="E20" i="26"/>
  <c r="E21" i="26"/>
  <c r="E22" i="26"/>
  <c r="E23" i="26"/>
  <c r="E24" i="26"/>
  <c r="E25" i="26"/>
  <c r="E26" i="26"/>
  <c r="E27" i="26"/>
  <c r="E28" i="26"/>
  <c r="E29" i="26"/>
  <c r="E5" i="26"/>
  <c r="AD99" i="26"/>
  <c r="AD100" i="26"/>
  <c r="AD101" i="26"/>
  <c r="AD102" i="26"/>
  <c r="AD103" i="26"/>
  <c r="AD104" i="26"/>
  <c r="AD98" i="26"/>
  <c r="AA99" i="26"/>
  <c r="AA100" i="26"/>
  <c r="AA101" i="26"/>
  <c r="AA102" i="26"/>
  <c r="AA103" i="26"/>
  <c r="AA104" i="26"/>
  <c r="AA98" i="26"/>
  <c r="F136" i="26"/>
  <c r="F137" i="26"/>
  <c r="F138" i="26"/>
  <c r="F139" i="26"/>
  <c r="F140" i="26"/>
  <c r="F141" i="26"/>
  <c r="F135" i="26"/>
  <c r="K41" i="26"/>
  <c r="K42" i="26"/>
  <c r="K43" i="26"/>
  <c r="K44" i="26"/>
  <c r="K45" i="26"/>
  <c r="K46" i="26"/>
  <c r="K47" i="26"/>
  <c r="K48" i="26"/>
  <c r="K49" i="26"/>
  <c r="K50" i="26"/>
  <c r="K51" i="26"/>
  <c r="K52" i="26"/>
  <c r="K53" i="26"/>
  <c r="K54" i="26"/>
  <c r="K55" i="26"/>
  <c r="K56" i="26"/>
  <c r="K57" i="26"/>
  <c r="K58" i="26"/>
  <c r="K59" i="26"/>
  <c r="K60" i="26"/>
  <c r="K61" i="26"/>
  <c r="K62" i="26"/>
  <c r="K63" i="26"/>
  <c r="K64" i="26"/>
  <c r="AG41" i="26"/>
  <c r="AF41" i="26"/>
  <c r="AD41" i="26"/>
  <c r="AH41" i="26" s="1"/>
  <c r="AE82" i="26"/>
  <c r="AC82" i="26"/>
  <c r="AB82" i="26"/>
  <c r="X82" i="26"/>
  <c r="AG76" i="26"/>
  <c r="AF76" i="26"/>
  <c r="AD76" i="26"/>
  <c r="AH76" i="26" s="1"/>
  <c r="AG75" i="26"/>
  <c r="AF75" i="26"/>
  <c r="AD75" i="26"/>
  <c r="AH75" i="26" s="1"/>
  <c r="AG74" i="26"/>
  <c r="AF74" i="26"/>
  <c r="AD74" i="26"/>
  <c r="AH74" i="26" s="1"/>
  <c r="AG72" i="26"/>
  <c r="AF72" i="26"/>
  <c r="AD72" i="26"/>
  <c r="AH72" i="26" s="1"/>
  <c r="AG71" i="26"/>
  <c r="AF71" i="26"/>
  <c r="AD71" i="26"/>
  <c r="AH71" i="26" s="1"/>
  <c r="AG70" i="26"/>
  <c r="AF70" i="26"/>
  <c r="AD70" i="26"/>
  <c r="AH70" i="26" s="1"/>
  <c r="AG81" i="26"/>
  <c r="AF81" i="26"/>
  <c r="AD81" i="26"/>
  <c r="AH81" i="26" s="1"/>
  <c r="AG79" i="26"/>
  <c r="AF79" i="26"/>
  <c r="AD79" i="26"/>
  <c r="AH79" i="26" s="1"/>
  <c r="AG78" i="26"/>
  <c r="AF78" i="26"/>
  <c r="AD78" i="26"/>
  <c r="AH78" i="26" s="1"/>
  <c r="AG80" i="26"/>
  <c r="AF80" i="26"/>
  <c r="AD80" i="26"/>
  <c r="AH80" i="26" s="1"/>
  <c r="AG77" i="26"/>
  <c r="AF77" i="26"/>
  <c r="AD77" i="26"/>
  <c r="AH77" i="26" s="1"/>
  <c r="AG68" i="26"/>
  <c r="AF68" i="26"/>
  <c r="AD68" i="26"/>
  <c r="AH68" i="26" s="1"/>
  <c r="AG67" i="26"/>
  <c r="AF67" i="26"/>
  <c r="AD67" i="26"/>
  <c r="AH67" i="26" s="1"/>
  <c r="AG59" i="26"/>
  <c r="AF59" i="26"/>
  <c r="AD59" i="26"/>
  <c r="AH59" i="26" s="1"/>
  <c r="AG55" i="26"/>
  <c r="AF55" i="26"/>
  <c r="AD55" i="26"/>
  <c r="AH55" i="26" s="1"/>
  <c r="AG54" i="26"/>
  <c r="AF54" i="26"/>
  <c r="AD54" i="26"/>
  <c r="AH54" i="26" s="1"/>
  <c r="T40" i="26"/>
  <c r="K40" i="26" s="1"/>
  <c r="C5" i="40"/>
  <c r="C6" i="40" s="1"/>
  <c r="W62" i="33"/>
  <c r="AB61" i="33"/>
  <c r="AC61" i="33" s="1"/>
  <c r="AA61" i="33"/>
  <c r="Z61" i="33"/>
  <c r="X61" i="33"/>
  <c r="AB60" i="33"/>
  <c r="AC60" i="33" s="1"/>
  <c r="AA60" i="33"/>
  <c r="Z60" i="33"/>
  <c r="X60" i="33"/>
  <c r="H37" i="28"/>
  <c r="J37" i="28" s="1"/>
  <c r="H6" i="28"/>
  <c r="J6" i="28" s="1"/>
  <c r="H7" i="28"/>
  <c r="J7" i="28" s="1"/>
  <c r="H8" i="28"/>
  <c r="J8" i="28" s="1"/>
  <c r="H9" i="28"/>
  <c r="J9" i="28" s="1"/>
  <c r="H11" i="28"/>
  <c r="J11" i="28" s="1"/>
  <c r="H13" i="28"/>
  <c r="J13" i="28" s="1"/>
  <c r="H14" i="28"/>
  <c r="J14" i="28" s="1"/>
  <c r="H16" i="28"/>
  <c r="J16" i="28" s="1"/>
  <c r="H18" i="28"/>
  <c r="J18" i="28" s="1"/>
  <c r="H20" i="28"/>
  <c r="J20" i="28" s="1"/>
  <c r="H21" i="28"/>
  <c r="J21" i="28" s="1"/>
  <c r="H22" i="28"/>
  <c r="J22" i="28" s="1"/>
  <c r="H23" i="28"/>
  <c r="J23" i="28" s="1"/>
  <c r="H24" i="28"/>
  <c r="J24" i="28" s="1"/>
  <c r="H25" i="28"/>
  <c r="J25" i="28" s="1"/>
  <c r="H26" i="28"/>
  <c r="J26" i="28" s="1"/>
  <c r="H27" i="28"/>
  <c r="J27" i="28" s="1"/>
  <c r="H29" i="28"/>
  <c r="J29" i="28" s="1"/>
  <c r="H31" i="28"/>
  <c r="J31" i="28" s="1"/>
  <c r="H32" i="28"/>
  <c r="J32" i="28" s="1"/>
  <c r="H4" i="28"/>
  <c r="J4" i="28" s="1"/>
  <c r="D155" i="34"/>
  <c r="E155" i="34"/>
  <c r="G155" i="34"/>
  <c r="F4" i="40"/>
  <c r="D4" i="40"/>
  <c r="F170" i="34"/>
  <c r="M76" i="28"/>
  <c r="M56" i="28"/>
  <c r="D159" i="34"/>
  <c r="E159" i="34"/>
  <c r="G159" i="34"/>
  <c r="G191" i="34"/>
  <c r="G171" i="34"/>
  <c r="E171" i="34"/>
  <c r="D171" i="34"/>
  <c r="G170" i="34"/>
  <c r="E170" i="34"/>
  <c r="D170" i="34"/>
  <c r="G168" i="34"/>
  <c r="E168" i="34"/>
  <c r="D168" i="34"/>
  <c r="G167" i="34"/>
  <c r="M56" i="39"/>
  <c r="O56" i="39" s="1"/>
  <c r="O55" i="39"/>
  <c r="H99" i="39"/>
  <c r="J99" i="39" s="1"/>
  <c r="J98" i="39"/>
  <c r="J97" i="39"/>
  <c r="J96" i="39"/>
  <c r="J95" i="39"/>
  <c r="J89" i="39"/>
  <c r="J88" i="39"/>
  <c r="J87" i="39"/>
  <c r="J83" i="39"/>
  <c r="J82" i="39"/>
  <c r="J81" i="39"/>
  <c r="J80" i="39"/>
  <c r="J79" i="39"/>
  <c r="J78" i="39"/>
  <c r="J77" i="39"/>
  <c r="J76" i="39"/>
  <c r="J75" i="39"/>
  <c r="J74" i="39"/>
  <c r="J72" i="39"/>
  <c r="J71" i="39"/>
  <c r="J70" i="39"/>
  <c r="J69" i="39"/>
  <c r="J68" i="39"/>
  <c r="J67" i="39"/>
  <c r="J66" i="39"/>
  <c r="J65" i="39"/>
  <c r="J64" i="39"/>
  <c r="J63" i="39"/>
  <c r="J62" i="39"/>
  <c r="J61" i="39"/>
  <c r="J60" i="39"/>
  <c r="J59" i="39"/>
  <c r="J58" i="39"/>
  <c r="J57" i="39"/>
  <c r="J56" i="39"/>
  <c r="H55" i="39"/>
  <c r="J55" i="39" s="1"/>
  <c r="J54" i="39"/>
  <c r="E28" i="39"/>
  <c r="E29" i="39"/>
  <c r="E30" i="39"/>
  <c r="E31" i="39"/>
  <c r="E32" i="39"/>
  <c r="E33" i="39"/>
  <c r="E34" i="39"/>
  <c r="E35" i="39"/>
  <c r="E36" i="39"/>
  <c r="E37" i="39"/>
  <c r="E38" i="39"/>
  <c r="E39" i="39"/>
  <c r="E40" i="39"/>
  <c r="E41" i="39"/>
  <c r="E42" i="39"/>
  <c r="E43" i="39"/>
  <c r="E44" i="39"/>
  <c r="E45" i="39"/>
  <c r="E46" i="39"/>
  <c r="E47" i="39"/>
  <c r="E48" i="39"/>
  <c r="E49" i="39"/>
  <c r="E27" i="39"/>
  <c r="D165" i="34"/>
  <c r="E165" i="34"/>
  <c r="G165" i="34"/>
  <c r="R177" i="28"/>
  <c r="R169" i="28"/>
  <c r="R176" i="28"/>
  <c r="R175" i="28"/>
  <c r="R174" i="28"/>
  <c r="R173" i="28"/>
  <c r="R168" i="28"/>
  <c r="R167" i="28"/>
  <c r="R166" i="28"/>
  <c r="R165" i="28"/>
  <c r="R164" i="28"/>
  <c r="R163" i="28"/>
  <c r="R162" i="28"/>
  <c r="R161" i="28"/>
  <c r="R160" i="28"/>
  <c r="R159" i="28"/>
  <c r="R158" i="28"/>
  <c r="R157" i="28"/>
  <c r="R156" i="28"/>
  <c r="R155" i="28"/>
  <c r="R154" i="28"/>
  <c r="R153" i="28"/>
  <c r="D154" i="34"/>
  <c r="E154" i="34"/>
  <c r="G154" i="34"/>
  <c r="R147" i="28"/>
  <c r="R146" i="28"/>
  <c r="R145" i="28"/>
  <c r="R141" i="28"/>
  <c r="R140" i="28"/>
  <c r="R139" i="28"/>
  <c r="R138" i="28"/>
  <c r="R137" i="28"/>
  <c r="R136" i="28"/>
  <c r="R135" i="28"/>
  <c r="R134" i="28"/>
  <c r="R133" i="28"/>
  <c r="R132" i="28"/>
  <c r="R130" i="28"/>
  <c r="R129" i="28"/>
  <c r="R128" i="28"/>
  <c r="R127" i="28"/>
  <c r="R126" i="28"/>
  <c r="R125" i="28"/>
  <c r="R124" i="28"/>
  <c r="R123" i="28"/>
  <c r="R122" i="28"/>
  <c r="R121" i="28"/>
  <c r="R120" i="28"/>
  <c r="R119" i="28"/>
  <c r="R118" i="28"/>
  <c r="R117" i="28"/>
  <c r="R116" i="28"/>
  <c r="R115" i="28"/>
  <c r="R114" i="28"/>
  <c r="P113" i="28"/>
  <c r="R113" i="28" s="1"/>
  <c r="R112" i="28"/>
  <c r="D152" i="34"/>
  <c r="E152" i="34"/>
  <c r="G152" i="34"/>
  <c r="D153" i="34"/>
  <c r="E153" i="34"/>
  <c r="G153" i="34"/>
  <c r="C50" i="28"/>
  <c r="E50" i="28" s="1"/>
  <c r="E49" i="28"/>
  <c r="E43" i="28"/>
  <c r="H43" i="28" s="1"/>
  <c r="J43" i="28" s="1"/>
  <c r="M24" i="28"/>
  <c r="E33" i="28"/>
  <c r="H33" i="28" s="1"/>
  <c r="J33" i="28" s="1"/>
  <c r="M18" i="28"/>
  <c r="M17" i="28"/>
  <c r="M4" i="28"/>
  <c r="C4" i="28"/>
  <c r="F141" i="34"/>
  <c r="D141" i="34"/>
  <c r="E141" i="34"/>
  <c r="G141" i="34"/>
  <c r="F140" i="34"/>
  <c r="F139" i="34"/>
  <c r="D140" i="34"/>
  <c r="E140" i="34"/>
  <c r="G140" i="34"/>
  <c r="F138" i="34"/>
  <c r="D147" i="34"/>
  <c r="E147" i="34"/>
  <c r="G147" i="34"/>
  <c r="F144" i="34"/>
  <c r="D145" i="34"/>
  <c r="E145" i="34"/>
  <c r="G145" i="34"/>
  <c r="D146" i="34"/>
  <c r="E146" i="34"/>
  <c r="G146" i="34"/>
  <c r="G158" i="34"/>
  <c r="E158" i="34"/>
  <c r="D158" i="34"/>
  <c r="G157" i="34"/>
  <c r="E157" i="34"/>
  <c r="D157" i="34"/>
  <c r="G156" i="34"/>
  <c r="E156" i="34"/>
  <c r="D156" i="34"/>
  <c r="G151" i="34"/>
  <c r="D101" i="34"/>
  <c r="E101" i="34"/>
  <c r="G101" i="34"/>
  <c r="D104" i="34"/>
  <c r="E104" i="34"/>
  <c r="G104" i="34"/>
  <c r="D106" i="34"/>
  <c r="E106" i="34"/>
  <c r="G106" i="34"/>
  <c r="D107" i="34"/>
  <c r="E107" i="34"/>
  <c r="G107" i="34"/>
  <c r="D108" i="34"/>
  <c r="E108" i="34"/>
  <c r="G108" i="34"/>
  <c r="D109" i="34"/>
  <c r="E109" i="34"/>
  <c r="G109" i="34"/>
  <c r="D111" i="34"/>
  <c r="E111" i="34"/>
  <c r="G111" i="34"/>
  <c r="D112" i="34"/>
  <c r="E112" i="34"/>
  <c r="G112" i="34"/>
  <c r="D113" i="34"/>
  <c r="E113" i="34"/>
  <c r="G113" i="34"/>
  <c r="D115" i="34"/>
  <c r="E115" i="34"/>
  <c r="G115" i="34"/>
  <c r="D116" i="34"/>
  <c r="E116" i="34"/>
  <c r="G116" i="34"/>
  <c r="D117" i="34"/>
  <c r="E117" i="34"/>
  <c r="G117" i="34"/>
  <c r="D118" i="34"/>
  <c r="E118" i="34"/>
  <c r="G118" i="34"/>
  <c r="D119" i="34"/>
  <c r="E119" i="34"/>
  <c r="G119" i="34"/>
  <c r="D120" i="34"/>
  <c r="E120" i="34"/>
  <c r="G120" i="34"/>
  <c r="D121" i="34"/>
  <c r="E121" i="34"/>
  <c r="G121" i="34"/>
  <c r="H35" i="26" l="1"/>
  <c r="O7" i="41"/>
  <c r="AF33" i="23"/>
  <c r="AH33" i="23"/>
  <c r="T45" i="23"/>
  <c r="U46" i="23"/>
  <c r="I5" i="26"/>
  <c r="I5" i="40"/>
  <c r="I6" i="40" s="1"/>
  <c r="F133" i="34"/>
  <c r="F126" i="17"/>
  <c r="F120" i="17"/>
  <c r="H32" i="26"/>
  <c r="D5" i="40"/>
  <c r="D6" i="40" s="1"/>
  <c r="M74" i="26"/>
  <c r="M76" i="26" s="1"/>
  <c r="F118" i="17"/>
  <c r="F120" i="34"/>
  <c r="F113" i="17"/>
  <c r="F119" i="34"/>
  <c r="F112" i="17"/>
  <c r="F118" i="34"/>
  <c r="F111" i="17"/>
  <c r="F103" i="34"/>
  <c r="F96" i="17"/>
  <c r="F74" i="26"/>
  <c r="F76" i="26" s="1"/>
  <c r="F109" i="17"/>
  <c r="F129" i="34"/>
  <c r="F122" i="17"/>
  <c r="E74" i="26"/>
  <c r="E76" i="26" s="1"/>
  <c r="F110" i="17"/>
  <c r="H33" i="26"/>
  <c r="F178" i="34"/>
  <c r="F179" i="34" s="1"/>
  <c r="F170" i="17"/>
  <c r="F130" i="34"/>
  <c r="F123" i="17"/>
  <c r="D74" i="26"/>
  <c r="D76" i="26" s="1"/>
  <c r="F108" i="17"/>
  <c r="F131" i="34"/>
  <c r="F124" i="17"/>
  <c r="F126" i="34"/>
  <c r="F119" i="17"/>
  <c r="G32" i="26"/>
  <c r="Z62" i="33"/>
  <c r="J7" i="41"/>
  <c r="M59" i="41"/>
  <c r="H6" i="41"/>
  <c r="J5" i="41"/>
  <c r="G6" i="41"/>
  <c r="G8" i="41" s="1"/>
  <c r="H4" i="41"/>
  <c r="F4" i="41"/>
  <c r="F5" i="41"/>
  <c r="M5" i="41" s="1"/>
  <c r="O5" i="41" s="1"/>
  <c r="G5" i="41"/>
  <c r="E36" i="26"/>
  <c r="F5" i="40"/>
  <c r="F6" i="40" s="1"/>
  <c r="G31" i="26"/>
  <c r="G35" i="26"/>
  <c r="F125" i="34"/>
  <c r="G30" i="26"/>
  <c r="G34" i="26"/>
  <c r="G33" i="26"/>
  <c r="F115" i="34"/>
  <c r="D36" i="26"/>
  <c r="F116" i="34"/>
  <c r="F117" i="34"/>
  <c r="N74" i="26"/>
  <c r="N76" i="26" s="1"/>
  <c r="O74" i="26"/>
  <c r="O76" i="26" s="1"/>
  <c r="P74" i="26"/>
  <c r="P76" i="26" s="1"/>
  <c r="H30" i="26"/>
  <c r="Q74" i="26"/>
  <c r="Q76" i="26" s="1"/>
  <c r="F127" i="34"/>
  <c r="R74" i="26"/>
  <c r="R76" i="26" s="1"/>
  <c r="H34" i="26"/>
  <c r="C36" i="26"/>
  <c r="H31" i="26"/>
  <c r="I33" i="26"/>
  <c r="K71" i="26"/>
  <c r="T71" i="26"/>
  <c r="F121" i="17" s="1"/>
  <c r="H9" i="26"/>
  <c r="H28" i="26"/>
  <c r="H27" i="26"/>
  <c r="H24" i="26"/>
  <c r="H20" i="26"/>
  <c r="H19" i="26"/>
  <c r="H10" i="26"/>
  <c r="G18" i="26"/>
  <c r="H22" i="26"/>
  <c r="G14" i="26"/>
  <c r="I18" i="26"/>
  <c r="H8" i="26"/>
  <c r="H7" i="26"/>
  <c r="J24" i="26"/>
  <c r="H6" i="26"/>
  <c r="G26" i="26"/>
  <c r="G24" i="26"/>
  <c r="H29" i="26"/>
  <c r="G10" i="26"/>
  <c r="G28" i="26"/>
  <c r="I28" i="26"/>
  <c r="G27" i="26"/>
  <c r="I26" i="26"/>
  <c r="G8" i="26"/>
  <c r="G25" i="26"/>
  <c r="G23" i="26"/>
  <c r="H26" i="26"/>
  <c r="G20" i="26"/>
  <c r="H25" i="26"/>
  <c r="G19" i="26"/>
  <c r="H23" i="26"/>
  <c r="G17" i="26"/>
  <c r="H21" i="26"/>
  <c r="G15" i="26"/>
  <c r="H18" i="26"/>
  <c r="G12" i="26"/>
  <c r="H17" i="26"/>
  <c r="G11" i="26"/>
  <c r="H16" i="26"/>
  <c r="H15" i="26"/>
  <c r="G9" i="26"/>
  <c r="H14" i="26"/>
  <c r="H13" i="26"/>
  <c r="G7" i="26"/>
  <c r="H12" i="26"/>
  <c r="G6" i="26"/>
  <c r="G22" i="26"/>
  <c r="H11" i="26"/>
  <c r="G16" i="26"/>
  <c r="I27" i="26"/>
  <c r="G29" i="26"/>
  <c r="I25" i="26"/>
  <c r="I23" i="26"/>
  <c r="K25" i="26"/>
  <c r="F5" i="26"/>
  <c r="H5" i="26" s="1"/>
  <c r="I20" i="26"/>
  <c r="U40" i="26"/>
  <c r="V40" i="26" s="1"/>
  <c r="K16" i="26"/>
  <c r="G21" i="26"/>
  <c r="I17" i="26"/>
  <c r="J28" i="26"/>
  <c r="I14" i="26"/>
  <c r="I11" i="26"/>
  <c r="G13" i="26"/>
  <c r="I9" i="26"/>
  <c r="I6" i="26"/>
  <c r="X62" i="33"/>
  <c r="AC62" i="33"/>
  <c r="R170" i="28"/>
  <c r="M80" i="28"/>
  <c r="R178" i="28"/>
  <c r="M19" i="28"/>
  <c r="M25" i="28" s="1"/>
  <c r="J100" i="39"/>
  <c r="E50" i="39"/>
  <c r="J90" i="39"/>
  <c r="J84" i="39"/>
  <c r="R148" i="28"/>
  <c r="R142" i="28"/>
  <c r="L4" i="31"/>
  <c r="D82" i="34"/>
  <c r="E82" i="34"/>
  <c r="G82" i="34"/>
  <c r="E48" i="31"/>
  <c r="E47" i="31"/>
  <c r="E46" i="31"/>
  <c r="E45" i="31"/>
  <c r="E44" i="31"/>
  <c r="E27" i="31"/>
  <c r="E24" i="31"/>
  <c r="E25" i="31"/>
  <c r="E26" i="31"/>
  <c r="C36" i="31"/>
  <c r="E36" i="31" s="1"/>
  <c r="E37" i="31"/>
  <c r="D90" i="34"/>
  <c r="E90" i="34"/>
  <c r="G90" i="34"/>
  <c r="D91" i="34"/>
  <c r="E91" i="34"/>
  <c r="G91" i="34"/>
  <c r="D92" i="34"/>
  <c r="E92" i="34"/>
  <c r="G92" i="34"/>
  <c r="D93" i="34"/>
  <c r="E93" i="34"/>
  <c r="G93" i="34"/>
  <c r="D94" i="34"/>
  <c r="E94" i="34"/>
  <c r="G94" i="34"/>
  <c r="D98" i="34"/>
  <c r="E98" i="34"/>
  <c r="G98" i="34"/>
  <c r="D66" i="34"/>
  <c r="E66" i="34"/>
  <c r="G66" i="34"/>
  <c r="D64" i="34"/>
  <c r="E64" i="34"/>
  <c r="G64" i="34"/>
  <c r="D65" i="34"/>
  <c r="E65" i="34"/>
  <c r="G65" i="34"/>
  <c r="D67" i="34"/>
  <c r="E67" i="34"/>
  <c r="G67" i="34"/>
  <c r="AB64" i="31"/>
  <c r="AC64" i="31"/>
  <c r="AA64" i="31"/>
  <c r="W65" i="31"/>
  <c r="X65" i="31"/>
  <c r="I66" i="31"/>
  <c r="J66" i="31"/>
  <c r="K66" i="31"/>
  <c r="F87" i="34" s="1"/>
  <c r="L66" i="31"/>
  <c r="M66" i="31"/>
  <c r="F95" i="34" s="1"/>
  <c r="N66" i="31"/>
  <c r="F96" i="34" s="1"/>
  <c r="O66" i="31"/>
  <c r="F89" i="34" s="1"/>
  <c r="P66" i="31"/>
  <c r="H66" i="31"/>
  <c r="U56" i="31"/>
  <c r="X56" i="31" s="1"/>
  <c r="U57" i="31"/>
  <c r="X57" i="31" s="1"/>
  <c r="U58" i="31"/>
  <c r="X58" i="31" s="1"/>
  <c r="U59" i="31"/>
  <c r="X59" i="31" s="1"/>
  <c r="U60" i="31"/>
  <c r="X60" i="31" s="1"/>
  <c r="U61" i="31"/>
  <c r="X61" i="31" s="1"/>
  <c r="U62" i="31"/>
  <c r="X62" i="31" s="1"/>
  <c r="U63" i="31"/>
  <c r="X63" i="31" s="1"/>
  <c r="U64" i="31"/>
  <c r="X64" i="31" s="1"/>
  <c r="U55" i="31"/>
  <c r="X55" i="31" s="1"/>
  <c r="T56" i="31"/>
  <c r="W56" i="31" s="1"/>
  <c r="T57" i="31"/>
  <c r="W57" i="31" s="1"/>
  <c r="T58" i="31"/>
  <c r="W58" i="31" s="1"/>
  <c r="T59" i="31"/>
  <c r="W59" i="31" s="1"/>
  <c r="T60" i="31"/>
  <c r="W60" i="31" s="1"/>
  <c r="T61" i="31"/>
  <c r="W61" i="31" s="1"/>
  <c r="T62" i="31"/>
  <c r="W62" i="31" s="1"/>
  <c r="T63" i="31"/>
  <c r="W63" i="31" s="1"/>
  <c r="T64" i="31"/>
  <c r="W64" i="31" s="1"/>
  <c r="T55" i="31"/>
  <c r="W55" i="31" s="1"/>
  <c r="S56" i="31"/>
  <c r="V56" i="31" s="1"/>
  <c r="S57" i="31"/>
  <c r="V57" i="31" s="1"/>
  <c r="S58" i="31"/>
  <c r="V58" i="31" s="1"/>
  <c r="S59" i="31"/>
  <c r="V59" i="31" s="1"/>
  <c r="S60" i="31"/>
  <c r="V60" i="31" s="1"/>
  <c r="S61" i="31"/>
  <c r="V61" i="31" s="1"/>
  <c r="S62" i="31"/>
  <c r="V62" i="31" s="1"/>
  <c r="S63" i="31"/>
  <c r="V63" i="31" s="1"/>
  <c r="S64" i="31"/>
  <c r="V64" i="31" s="1"/>
  <c r="S55" i="31"/>
  <c r="V55" i="31" s="1"/>
  <c r="T44" i="23" l="1"/>
  <c r="U44" i="23" s="1"/>
  <c r="U45" i="23"/>
  <c r="AF32" i="23"/>
  <c r="AH32" i="23"/>
  <c r="G5" i="26"/>
  <c r="G36" i="26" s="1"/>
  <c r="F180" i="34"/>
  <c r="F172" i="17"/>
  <c r="F114" i="34"/>
  <c r="F107" i="17"/>
  <c r="F68" i="34"/>
  <c r="F67" i="17"/>
  <c r="F159" i="34"/>
  <c r="F153" i="17"/>
  <c r="K36" i="26"/>
  <c r="F74" i="17"/>
  <c r="F85" i="34"/>
  <c r="M4" i="41"/>
  <c r="F8" i="41"/>
  <c r="F82" i="34"/>
  <c r="F83" i="17"/>
  <c r="F70" i="34"/>
  <c r="F69" i="17"/>
  <c r="F91" i="34"/>
  <c r="F86" i="17"/>
  <c r="J6" i="41"/>
  <c r="N6" i="41"/>
  <c r="O6" i="41" s="1"/>
  <c r="F90" i="34"/>
  <c r="F85" i="17"/>
  <c r="J4" i="41"/>
  <c r="H8" i="41"/>
  <c r="N4" i="41"/>
  <c r="F69" i="34"/>
  <c r="F68" i="17"/>
  <c r="F92" i="34"/>
  <c r="F87" i="17"/>
  <c r="F176" i="17"/>
  <c r="F184" i="34"/>
  <c r="F165" i="34"/>
  <c r="F160" i="17"/>
  <c r="F171" i="17"/>
  <c r="F163" i="34"/>
  <c r="F158" i="17"/>
  <c r="F173" i="34"/>
  <c r="F167" i="17"/>
  <c r="F157" i="34"/>
  <c r="F151" i="17"/>
  <c r="F174" i="34"/>
  <c r="F168" i="17"/>
  <c r="I36" i="26"/>
  <c r="J36" i="26"/>
  <c r="J91" i="39"/>
  <c r="H36" i="26"/>
  <c r="T74" i="26"/>
  <c r="F128" i="34"/>
  <c r="F36" i="26"/>
  <c r="E49" i="31"/>
  <c r="R149" i="28"/>
  <c r="R179" i="28"/>
  <c r="V66" i="31"/>
  <c r="W66" i="31"/>
  <c r="X66" i="31"/>
  <c r="U66" i="31"/>
  <c r="S66" i="31"/>
  <c r="T66" i="31"/>
  <c r="E33" i="31"/>
  <c r="E32" i="31"/>
  <c r="E23" i="31"/>
  <c r="E12" i="31"/>
  <c r="E13" i="31"/>
  <c r="C4" i="31"/>
  <c r="E4" i="31" s="1"/>
  <c r="W23" i="31"/>
  <c r="W22" i="31"/>
  <c r="W21" i="31"/>
  <c r="E22" i="31"/>
  <c r="E21" i="31"/>
  <c r="E16" i="31"/>
  <c r="E15" i="31"/>
  <c r="E14" i="31"/>
  <c r="E11" i="31"/>
  <c r="E10" i="31"/>
  <c r="E5" i="31"/>
  <c r="F177" i="34" l="1"/>
  <c r="F176" i="34"/>
  <c r="F175" i="34"/>
  <c r="E40" i="31"/>
  <c r="J8" i="41"/>
  <c r="O4" i="41"/>
  <c r="O8" i="41" s="1"/>
  <c r="AG32" i="23"/>
  <c r="AH31" i="23"/>
  <c r="F74" i="34"/>
  <c r="F73" i="17"/>
  <c r="F110" i="34"/>
  <c r="F103" i="17"/>
  <c r="F108" i="34"/>
  <c r="F101" i="17"/>
  <c r="F162" i="34"/>
  <c r="F157" i="17"/>
  <c r="F109" i="34"/>
  <c r="F102" i="17"/>
  <c r="F169" i="17"/>
  <c r="F152" i="34"/>
  <c r="F153" i="34" s="1"/>
  <c r="F146" i="17"/>
  <c r="F111" i="34"/>
  <c r="F104" i="17"/>
  <c r="F107" i="34"/>
  <c r="F100" i="17"/>
  <c r="F154" i="34"/>
  <c r="F148" i="17"/>
  <c r="F98" i="34"/>
  <c r="F90" i="17"/>
  <c r="F73" i="34"/>
  <c r="F72" i="17"/>
  <c r="F72" i="34"/>
  <c r="F71" i="17"/>
  <c r="T75" i="26"/>
  <c r="U75" i="26" s="1"/>
  <c r="T76" i="26"/>
  <c r="T77" i="26" s="1"/>
  <c r="U77" i="26" s="1"/>
  <c r="E28" i="31"/>
  <c r="E17" i="31"/>
  <c r="E6" i="31"/>
  <c r="W24" i="31"/>
  <c r="F84" i="34" s="1"/>
  <c r="F78" i="34" l="1"/>
  <c r="F78" i="17"/>
  <c r="F79" i="34"/>
  <c r="F79" i="17"/>
  <c r="F81" i="34"/>
  <c r="F81" i="17"/>
  <c r="F147" i="17"/>
  <c r="F175" i="17"/>
  <c r="F183" i="34"/>
  <c r="R46" i="38"/>
  <c r="L68" i="34"/>
  <c r="M78" i="34"/>
  <c r="M74" i="34"/>
  <c r="D69" i="34"/>
  <c r="E69" i="34"/>
  <c r="G69" i="34"/>
  <c r="D70" i="34"/>
  <c r="E70" i="34"/>
  <c r="G70" i="34"/>
  <c r="D71" i="34"/>
  <c r="E71" i="34"/>
  <c r="G71" i="34"/>
  <c r="D72" i="34"/>
  <c r="E72" i="34"/>
  <c r="G72" i="34"/>
  <c r="D73" i="34"/>
  <c r="E73" i="34"/>
  <c r="G73" i="34"/>
  <c r="D74" i="34"/>
  <c r="E74" i="34"/>
  <c r="G74" i="34"/>
  <c r="D78" i="34"/>
  <c r="E78" i="34"/>
  <c r="G78" i="34"/>
  <c r="D79" i="34"/>
  <c r="E79" i="34"/>
  <c r="G79" i="34"/>
  <c r="D80" i="34"/>
  <c r="E80" i="34"/>
  <c r="G80" i="34"/>
  <c r="D81" i="34"/>
  <c r="E81" i="34"/>
  <c r="G81" i="34"/>
  <c r="G180" i="34"/>
  <c r="E180" i="34"/>
  <c r="D180" i="34"/>
  <c r="D178" i="34"/>
  <c r="E178" i="34"/>
  <c r="G178" i="34"/>
  <c r="D179" i="34"/>
  <c r="E179" i="34"/>
  <c r="G179" i="34"/>
  <c r="F53" i="34" l="1"/>
  <c r="F52" i="17"/>
  <c r="D59" i="34"/>
  <c r="E59" i="34"/>
  <c r="G59" i="34"/>
  <c r="D60" i="34"/>
  <c r="E60" i="34"/>
  <c r="G60" i="34"/>
  <c r="Y26" i="38"/>
  <c r="U23" i="38"/>
  <c r="R27" i="38"/>
  <c r="M32" i="38"/>
  <c r="G27" i="34"/>
  <c r="E27" i="34"/>
  <c r="D27" i="34"/>
  <c r="D25" i="34"/>
  <c r="E25" i="34"/>
  <c r="G25" i="34"/>
  <c r="G24" i="34"/>
  <c r="E24" i="34"/>
  <c r="D24" i="34"/>
  <c r="G23" i="34"/>
  <c r="E23" i="34"/>
  <c r="D23" i="34"/>
  <c r="G22" i="34"/>
  <c r="G48" i="34"/>
  <c r="E48" i="34"/>
  <c r="D48" i="34"/>
  <c r="G47" i="34"/>
  <c r="E47" i="34"/>
  <c r="D47" i="34"/>
  <c r="D31" i="34"/>
  <c r="E31" i="34"/>
  <c r="G31" i="34"/>
  <c r="D32" i="34"/>
  <c r="E32" i="34"/>
  <c r="G32" i="34"/>
  <c r="G46" i="34"/>
  <c r="E46" i="34"/>
  <c r="D46" i="34"/>
  <c r="G45" i="34"/>
  <c r="E45" i="34"/>
  <c r="D45" i="34"/>
  <c r="G44" i="34"/>
  <c r="D141" i="33"/>
  <c r="D140" i="33"/>
  <c r="D100" i="33"/>
  <c r="D101" i="33"/>
  <c r="D102" i="33"/>
  <c r="D103" i="33"/>
  <c r="D104" i="33"/>
  <c r="D105" i="33"/>
  <c r="D106" i="33"/>
  <c r="D107" i="33"/>
  <c r="D108" i="33"/>
  <c r="D109" i="33"/>
  <c r="D110" i="33"/>
  <c r="D111" i="33"/>
  <c r="D112" i="33"/>
  <c r="D113" i="33"/>
  <c r="D114" i="33"/>
  <c r="D115" i="33"/>
  <c r="D116" i="33"/>
  <c r="D117" i="33"/>
  <c r="D118" i="33"/>
  <c r="D119" i="33"/>
  <c r="D120" i="33"/>
  <c r="D121" i="33"/>
  <c r="D122" i="33"/>
  <c r="D123" i="33"/>
  <c r="D124" i="33"/>
  <c r="D125" i="33"/>
  <c r="D126" i="33"/>
  <c r="D127" i="33"/>
  <c r="D128" i="33"/>
  <c r="D129" i="33"/>
  <c r="D130" i="33"/>
  <c r="D131" i="33"/>
  <c r="D132" i="33"/>
  <c r="D133" i="33"/>
  <c r="D134" i="33"/>
  <c r="D135" i="33"/>
  <c r="D136" i="33"/>
  <c r="D137" i="33"/>
  <c r="D138" i="33"/>
  <c r="D139" i="33"/>
  <c r="D99" i="33"/>
  <c r="D98" i="33"/>
  <c r="D61" i="33"/>
  <c r="D62" i="33"/>
  <c r="D63" i="33"/>
  <c r="D64" i="33"/>
  <c r="D65" i="33"/>
  <c r="D66" i="33"/>
  <c r="D67" i="33"/>
  <c r="D68" i="33"/>
  <c r="D69" i="33"/>
  <c r="D70" i="33"/>
  <c r="D71" i="33"/>
  <c r="D72" i="33"/>
  <c r="D73" i="33"/>
  <c r="D74" i="33"/>
  <c r="D75" i="33"/>
  <c r="D76" i="33"/>
  <c r="D77" i="33"/>
  <c r="D78" i="33"/>
  <c r="D79" i="33"/>
  <c r="D80" i="33"/>
  <c r="D81" i="33"/>
  <c r="D82" i="33"/>
  <c r="D83" i="33"/>
  <c r="D84" i="33"/>
  <c r="D85" i="33"/>
  <c r="D86" i="33"/>
  <c r="D87" i="33"/>
  <c r="D88" i="33"/>
  <c r="D89" i="33"/>
  <c r="D90" i="33"/>
  <c r="D91" i="33"/>
  <c r="D92" i="33"/>
  <c r="D93" i="33"/>
  <c r="D94" i="33"/>
  <c r="D95" i="33"/>
  <c r="D96" i="33"/>
  <c r="D97" i="33"/>
  <c r="D60" i="33"/>
  <c r="M61" i="33"/>
  <c r="M60" i="33"/>
  <c r="E141" i="33"/>
  <c r="E140" i="33"/>
  <c r="E100" i="33"/>
  <c r="E101" i="33"/>
  <c r="E102" i="33"/>
  <c r="E103" i="33"/>
  <c r="E104" i="33"/>
  <c r="E105" i="33"/>
  <c r="E106" i="33"/>
  <c r="E107" i="33"/>
  <c r="E108" i="33"/>
  <c r="E109" i="33"/>
  <c r="E110" i="33"/>
  <c r="E111" i="33"/>
  <c r="E112" i="33"/>
  <c r="E113" i="33"/>
  <c r="E114" i="33"/>
  <c r="E115" i="33"/>
  <c r="E116" i="33"/>
  <c r="E117" i="33"/>
  <c r="E118" i="33"/>
  <c r="E119" i="33"/>
  <c r="E120" i="33"/>
  <c r="E121" i="33"/>
  <c r="E122" i="33"/>
  <c r="E123" i="33"/>
  <c r="E124" i="33"/>
  <c r="E125" i="33"/>
  <c r="E126" i="33"/>
  <c r="E127" i="33"/>
  <c r="E128" i="33"/>
  <c r="E129" i="33"/>
  <c r="E130" i="33"/>
  <c r="E131" i="33"/>
  <c r="E132" i="33"/>
  <c r="E133" i="33"/>
  <c r="E134" i="33"/>
  <c r="E135" i="33"/>
  <c r="E136" i="33"/>
  <c r="E137" i="33"/>
  <c r="E138" i="33"/>
  <c r="E139" i="33"/>
  <c r="E99" i="33"/>
  <c r="E61" i="33"/>
  <c r="E62" i="33"/>
  <c r="E63" i="33"/>
  <c r="E64" i="33"/>
  <c r="E65" i="33"/>
  <c r="E66" i="33"/>
  <c r="E67" i="33"/>
  <c r="E68" i="33"/>
  <c r="E69" i="33"/>
  <c r="E70" i="33"/>
  <c r="E71" i="33"/>
  <c r="E72" i="33"/>
  <c r="E73" i="33"/>
  <c r="E74" i="33"/>
  <c r="E75" i="33"/>
  <c r="E76" i="33"/>
  <c r="E77" i="33"/>
  <c r="E78" i="33"/>
  <c r="E79" i="33"/>
  <c r="E80" i="33"/>
  <c r="E81" i="33"/>
  <c r="E82" i="33"/>
  <c r="E83" i="33"/>
  <c r="E84" i="33"/>
  <c r="E85" i="33"/>
  <c r="E86" i="33"/>
  <c r="E87" i="33"/>
  <c r="E88" i="33"/>
  <c r="E89" i="33"/>
  <c r="E90" i="33"/>
  <c r="E91" i="33"/>
  <c r="E92" i="33"/>
  <c r="E93" i="33"/>
  <c r="E94" i="33"/>
  <c r="E95" i="33"/>
  <c r="E96" i="33"/>
  <c r="E97" i="33"/>
  <c r="E60" i="33"/>
  <c r="E98" i="33"/>
  <c r="L60" i="33"/>
  <c r="N62" i="33"/>
  <c r="G30" i="34"/>
  <c r="E30" i="34"/>
  <c r="E29" i="34"/>
  <c r="D30" i="34"/>
  <c r="D16" i="34"/>
  <c r="E16" i="34"/>
  <c r="G16" i="34"/>
  <c r="O6" i="38"/>
  <c r="O5" i="38"/>
  <c r="O4" i="38"/>
  <c r="W65" i="28"/>
  <c r="W64" i="28"/>
  <c r="U63" i="28"/>
  <c r="W63" i="28" s="1"/>
  <c r="W62" i="28"/>
  <c r="W57" i="28"/>
  <c r="W56" i="28"/>
  <c r="R92" i="28"/>
  <c r="R91" i="28"/>
  <c r="R90" i="28"/>
  <c r="R85" i="28"/>
  <c r="R86" i="28"/>
  <c r="R83" i="28"/>
  <c r="R84" i="28"/>
  <c r="R82" i="28"/>
  <c r="R81" i="28"/>
  <c r="R80" i="28"/>
  <c r="R79" i="28"/>
  <c r="R78" i="28"/>
  <c r="R77" i="28"/>
  <c r="R75" i="28"/>
  <c r="R73" i="28"/>
  <c r="R72" i="28"/>
  <c r="R71" i="28"/>
  <c r="R70" i="28"/>
  <c r="R69" i="28"/>
  <c r="R68" i="28"/>
  <c r="R67" i="28"/>
  <c r="R66" i="28"/>
  <c r="R65" i="28"/>
  <c r="R64" i="28"/>
  <c r="R63" i="28"/>
  <c r="R62" i="28"/>
  <c r="R61" i="28"/>
  <c r="R60" i="28"/>
  <c r="R59" i="28"/>
  <c r="R58" i="28"/>
  <c r="P57" i="28"/>
  <c r="R57" i="28" s="1"/>
  <c r="R56" i="28"/>
  <c r="J11" i="38"/>
  <c r="E5" i="38"/>
  <c r="E7" i="38"/>
  <c r="E9" i="38"/>
  <c r="E4" i="38"/>
  <c r="J8" i="38"/>
  <c r="J9" i="38"/>
  <c r="J10" i="38"/>
  <c r="J5" i="38"/>
  <c r="J6" i="38"/>
  <c r="J7" i="38"/>
  <c r="H4" i="38"/>
  <c r="J4" i="38" s="1"/>
  <c r="E41" i="28"/>
  <c r="H41" i="28" s="1"/>
  <c r="J41" i="28" s="1"/>
  <c r="E40" i="28"/>
  <c r="E39" i="28"/>
  <c r="H39" i="28" s="1"/>
  <c r="J39" i="28" s="1"/>
  <c r="E42" i="28"/>
  <c r="H42" i="28" s="1"/>
  <c r="J42" i="28" s="1"/>
  <c r="E38" i="28"/>
  <c r="E30" i="28"/>
  <c r="H30" i="28" s="1"/>
  <c r="J30" i="28" s="1"/>
  <c r="E28" i="28"/>
  <c r="H28" i="28" s="1"/>
  <c r="J28" i="28" s="1"/>
  <c r="E19" i="28"/>
  <c r="H19" i="28" s="1"/>
  <c r="J19" i="28" s="1"/>
  <c r="C103" i="28"/>
  <c r="E103" i="28" s="1"/>
  <c r="E17" i="28"/>
  <c r="H17" i="28" s="1"/>
  <c r="J17" i="28" s="1"/>
  <c r="E15" i="28"/>
  <c r="H15" i="28" s="1"/>
  <c r="J15" i="28" s="1"/>
  <c r="E12" i="28"/>
  <c r="H12" i="28" s="1"/>
  <c r="J12" i="28" s="1"/>
  <c r="E10" i="28"/>
  <c r="H10" i="28" s="1"/>
  <c r="J10" i="28" s="1"/>
  <c r="C5" i="28"/>
  <c r="E5" i="28" s="1"/>
  <c r="H5" i="28" s="1"/>
  <c r="J5" i="28" s="1"/>
  <c r="H32" i="29"/>
  <c r="I32" i="29" s="1"/>
  <c r="H31" i="29"/>
  <c r="H30" i="29"/>
  <c r="J30" i="29" s="1"/>
  <c r="H28" i="29"/>
  <c r="I28" i="29" s="1"/>
  <c r="H18" i="29"/>
  <c r="H22" i="29"/>
  <c r="H26" i="29"/>
  <c r="I26" i="29" s="1"/>
  <c r="H24" i="29"/>
  <c r="I24" i="29" s="1"/>
  <c r="H20" i="29"/>
  <c r="I20" i="29" s="1"/>
  <c r="H29" i="29"/>
  <c r="J29" i="29" s="1"/>
  <c r="H27" i="29"/>
  <c r="J27" i="29" s="1"/>
  <c r="H23" i="29"/>
  <c r="J23" i="29" s="1"/>
  <c r="H25" i="29"/>
  <c r="I25" i="29" s="1"/>
  <c r="H21" i="29"/>
  <c r="I21" i="29" s="1"/>
  <c r="H19" i="29"/>
  <c r="H17" i="29"/>
  <c r="H38" i="29" s="1"/>
  <c r="H16" i="29"/>
  <c r="H14" i="29"/>
  <c r="J14" i="29" s="1"/>
  <c r="H15" i="29"/>
  <c r="J15" i="29" s="1"/>
  <c r="H5" i="29"/>
  <c r="I5" i="29" s="1"/>
  <c r="H6" i="29"/>
  <c r="J6" i="29" s="1"/>
  <c r="H7" i="29"/>
  <c r="J7" i="29" s="1"/>
  <c r="H8" i="29"/>
  <c r="J8" i="29" s="1"/>
  <c r="H9" i="29"/>
  <c r="J9" i="29" s="1"/>
  <c r="H10" i="29"/>
  <c r="J10" i="29" s="1"/>
  <c r="H11" i="29"/>
  <c r="J11" i="29" s="1"/>
  <c r="H12" i="29"/>
  <c r="H4" i="29"/>
  <c r="Q5" i="35"/>
  <c r="Q6" i="35"/>
  <c r="Q7" i="35"/>
  <c r="Q8" i="35"/>
  <c r="Q9" i="35"/>
  <c r="Q10" i="35"/>
  <c r="Q11" i="35"/>
  <c r="Q12" i="35"/>
  <c r="Q13" i="35"/>
  <c r="Q14" i="35"/>
  <c r="Q15" i="35"/>
  <c r="Q16" i="35"/>
  <c r="Q17" i="35"/>
  <c r="Q18" i="35"/>
  <c r="Q19" i="35"/>
  <c r="Q20" i="35"/>
  <c r="Q21" i="35"/>
  <c r="Q22" i="35"/>
  <c r="Q23" i="35"/>
  <c r="Q24" i="35"/>
  <c r="Q4" i="35"/>
  <c r="L36" i="35"/>
  <c r="L37" i="35"/>
  <c r="L38" i="35"/>
  <c r="L35" i="35"/>
  <c r="D41" i="35"/>
  <c r="D42" i="35"/>
  <c r="D39" i="35"/>
  <c r="F35" i="35"/>
  <c r="F36" i="35"/>
  <c r="F42" i="35" s="1"/>
  <c r="F37" i="35"/>
  <c r="F41" i="35" s="1"/>
  <c r="F38" i="35"/>
  <c r="W6" i="35"/>
  <c r="X6" i="35" s="1"/>
  <c r="W7" i="35"/>
  <c r="X7" i="35" s="1"/>
  <c r="W8" i="35"/>
  <c r="X8" i="35" s="1"/>
  <c r="D29" i="35"/>
  <c r="D26" i="35"/>
  <c r="D28" i="35"/>
  <c r="D27" i="35"/>
  <c r="D25" i="35"/>
  <c r="F12" i="37"/>
  <c r="G12" i="37" s="1"/>
  <c r="E12" i="37"/>
  <c r="F6" i="37"/>
  <c r="G6" i="37" s="1"/>
  <c r="E6" i="37"/>
  <c r="F10" i="37"/>
  <c r="G10" i="37" s="1"/>
  <c r="E10" i="37"/>
  <c r="F11" i="37"/>
  <c r="G11" i="37" s="1"/>
  <c r="G7" i="37"/>
  <c r="G8" i="37"/>
  <c r="G9" i="37"/>
  <c r="F5" i="37"/>
  <c r="G5" i="37" s="1"/>
  <c r="E5" i="37"/>
  <c r="F121" i="33" l="1"/>
  <c r="H40" i="29"/>
  <c r="F146" i="34" s="1"/>
  <c r="H44" i="29"/>
  <c r="J31" i="29"/>
  <c r="F189" i="34"/>
  <c r="L39" i="35"/>
  <c r="F90" i="33"/>
  <c r="J19" i="29"/>
  <c r="H39" i="29"/>
  <c r="J12" i="29"/>
  <c r="F144" i="17"/>
  <c r="H41" i="29"/>
  <c r="F145" i="34" s="1"/>
  <c r="J16" i="29"/>
  <c r="J36" i="29" s="1"/>
  <c r="F130" i="17" s="1"/>
  <c r="H36" i="29"/>
  <c r="F137" i="34" s="1"/>
  <c r="J18" i="29"/>
  <c r="J37" i="29" s="1"/>
  <c r="H37" i="29"/>
  <c r="F136" i="34" s="1"/>
  <c r="F40" i="35"/>
  <c r="F44" i="35" s="1"/>
  <c r="F55" i="34"/>
  <c r="F54" i="17"/>
  <c r="F56" i="34"/>
  <c r="F55" i="17"/>
  <c r="F63" i="33"/>
  <c r="D44" i="35"/>
  <c r="F44" i="17"/>
  <c r="F47" i="34"/>
  <c r="F46" i="17"/>
  <c r="D31" i="35"/>
  <c r="F45" i="17"/>
  <c r="F58" i="34"/>
  <c r="F57" i="17"/>
  <c r="F147" i="34"/>
  <c r="F149" i="34" s="1"/>
  <c r="F140" i="17"/>
  <c r="F142" i="17" s="1"/>
  <c r="F57" i="34"/>
  <c r="F56" i="17"/>
  <c r="F140" i="33"/>
  <c r="F141" i="33"/>
  <c r="F98" i="33"/>
  <c r="F113" i="33"/>
  <c r="F84" i="33"/>
  <c r="F137" i="33"/>
  <c r="F82" i="33"/>
  <c r="F99" i="33"/>
  <c r="F116" i="33"/>
  <c r="F95" i="33"/>
  <c r="F71" i="33"/>
  <c r="F128" i="33"/>
  <c r="F104" i="33"/>
  <c r="F138" i="33"/>
  <c r="F114" i="33"/>
  <c r="F93" i="33"/>
  <c r="F69" i="33"/>
  <c r="F126" i="33"/>
  <c r="F102" i="33"/>
  <c r="F92" i="33"/>
  <c r="F68" i="33"/>
  <c r="F125" i="33"/>
  <c r="F101" i="33"/>
  <c r="F79" i="33"/>
  <c r="F136" i="33"/>
  <c r="F112" i="33"/>
  <c r="F91" i="33"/>
  <c r="F67" i="33"/>
  <c r="F78" i="33"/>
  <c r="F135" i="33"/>
  <c r="F111" i="33"/>
  <c r="F66" i="33"/>
  <c r="F123" i="33"/>
  <c r="F77" i="33"/>
  <c r="F89" i="33"/>
  <c r="F65" i="33"/>
  <c r="F88" i="33"/>
  <c r="F64" i="33"/>
  <c r="F87" i="33"/>
  <c r="F45" i="34"/>
  <c r="F119" i="33"/>
  <c r="F117" i="33"/>
  <c r="F96" i="33"/>
  <c r="F72" i="33"/>
  <c r="F129" i="33"/>
  <c r="F105" i="33"/>
  <c r="E44" i="28"/>
  <c r="H38" i="28"/>
  <c r="J38" i="28" s="1"/>
  <c r="F139" i="33"/>
  <c r="F115" i="33"/>
  <c r="F94" i="33"/>
  <c r="F70" i="33"/>
  <c r="F127" i="33"/>
  <c r="F103" i="33"/>
  <c r="N60" i="33"/>
  <c r="F76" i="33"/>
  <c r="F133" i="33"/>
  <c r="F109" i="33"/>
  <c r="J22" i="29"/>
  <c r="J41" i="29" s="1"/>
  <c r="E51" i="28"/>
  <c r="H40" i="28"/>
  <c r="J40" i="28" s="1"/>
  <c r="F83" i="33"/>
  <c r="F81" i="33"/>
  <c r="F80" i="33"/>
  <c r="F46" i="34"/>
  <c r="J34" i="28"/>
  <c r="F124" i="33"/>
  <c r="F100" i="33"/>
  <c r="F122" i="33"/>
  <c r="F134" i="33"/>
  <c r="F110" i="33"/>
  <c r="F120" i="33"/>
  <c r="F75" i="33"/>
  <c r="F132" i="33"/>
  <c r="F108" i="33"/>
  <c r="F86" i="33"/>
  <c r="F62" i="33"/>
  <c r="F60" i="33"/>
  <c r="F74" i="33"/>
  <c r="F131" i="33"/>
  <c r="F107" i="33"/>
  <c r="F85" i="33"/>
  <c r="E142" i="33"/>
  <c r="F118" i="33"/>
  <c r="F97" i="33"/>
  <c r="F73" i="33"/>
  <c r="F130" i="33"/>
  <c r="F106" i="33"/>
  <c r="N61" i="33"/>
  <c r="F61" i="33"/>
  <c r="R93" i="28"/>
  <c r="F39" i="35"/>
  <c r="D142" i="33"/>
  <c r="W66" i="28"/>
  <c r="Q25" i="35"/>
  <c r="E10" i="38"/>
  <c r="J12" i="38"/>
  <c r="O11" i="38"/>
  <c r="R87" i="28"/>
  <c r="J24" i="29"/>
  <c r="E34" i="28"/>
  <c r="J20" i="29"/>
  <c r="I23" i="29"/>
  <c r="I27" i="29"/>
  <c r="I18" i="29"/>
  <c r="J28" i="29"/>
  <c r="I29" i="29"/>
  <c r="I19" i="29"/>
  <c r="I22" i="29"/>
  <c r="J26" i="29"/>
  <c r="J5" i="29"/>
  <c r="I16" i="29"/>
  <c r="J25" i="29"/>
  <c r="J21" i="29"/>
  <c r="J17" i="29"/>
  <c r="J38" i="29" s="1"/>
  <c r="J4" i="29"/>
  <c r="J6" i="35"/>
  <c r="J8" i="35"/>
  <c r="J9" i="35"/>
  <c r="J10" i="35"/>
  <c r="J11" i="35"/>
  <c r="J12" i="35"/>
  <c r="J13" i="35"/>
  <c r="J14" i="35"/>
  <c r="J15" i="35"/>
  <c r="J16" i="35"/>
  <c r="J17" i="35"/>
  <c r="J18" i="35"/>
  <c r="J19" i="35"/>
  <c r="J20" i="35"/>
  <c r="J21" i="35"/>
  <c r="J22" i="35"/>
  <c r="J23" i="35"/>
  <c r="J24" i="35"/>
  <c r="J5" i="35"/>
  <c r="K6" i="35"/>
  <c r="L6" i="35" s="1"/>
  <c r="K8" i="35"/>
  <c r="L8" i="35" s="1"/>
  <c r="K9" i="35"/>
  <c r="L9" i="35" s="1"/>
  <c r="K10" i="35"/>
  <c r="L10" i="35" s="1"/>
  <c r="K11" i="35"/>
  <c r="L11" i="35" s="1"/>
  <c r="K12" i="35"/>
  <c r="L12" i="35" s="1"/>
  <c r="K13" i="35"/>
  <c r="L13" i="35" s="1"/>
  <c r="K14" i="35"/>
  <c r="L14" i="35" s="1"/>
  <c r="K15" i="35"/>
  <c r="L15" i="35" s="1"/>
  <c r="K16" i="35"/>
  <c r="L16" i="35" s="1"/>
  <c r="K17" i="35"/>
  <c r="L17" i="35" s="1"/>
  <c r="K18" i="35"/>
  <c r="L18" i="35" s="1"/>
  <c r="K19" i="35"/>
  <c r="L19" i="35" s="1"/>
  <c r="K20" i="35"/>
  <c r="L20" i="35" s="1"/>
  <c r="K21" i="35"/>
  <c r="L21" i="35" s="1"/>
  <c r="K22" i="35"/>
  <c r="L22" i="35" s="1"/>
  <c r="K23" i="35"/>
  <c r="L23" i="35" s="1"/>
  <c r="K24" i="35"/>
  <c r="L24" i="35" s="1"/>
  <c r="K5" i="35"/>
  <c r="L5" i="35" s="1"/>
  <c r="L7" i="35"/>
  <c r="L4" i="35"/>
  <c r="F5" i="35"/>
  <c r="F6" i="35"/>
  <c r="F7" i="35"/>
  <c r="F26" i="35" s="1"/>
  <c r="F8" i="35"/>
  <c r="F9" i="35"/>
  <c r="F10" i="35"/>
  <c r="F11" i="35"/>
  <c r="F12" i="35"/>
  <c r="F13" i="35"/>
  <c r="F14" i="35"/>
  <c r="F15" i="35"/>
  <c r="F16" i="35"/>
  <c r="F17" i="35"/>
  <c r="F29" i="35" s="1"/>
  <c r="F18" i="35"/>
  <c r="F19" i="35"/>
  <c r="F20" i="35"/>
  <c r="F21" i="35"/>
  <c r="F22" i="35"/>
  <c r="F23" i="35"/>
  <c r="F24" i="35"/>
  <c r="H43" i="29" l="1"/>
  <c r="H46" i="29" s="1"/>
  <c r="J40" i="29"/>
  <c r="F139" i="17" s="1"/>
  <c r="F129" i="17"/>
  <c r="J34" i="29"/>
  <c r="O54" i="39" s="1"/>
  <c r="O57" i="39" s="1"/>
  <c r="F52" i="34"/>
  <c r="F51" i="17"/>
  <c r="F49" i="34"/>
  <c r="F48" i="17"/>
  <c r="F158" i="34"/>
  <c r="F152" i="17"/>
  <c r="F138" i="17"/>
  <c r="F59" i="34"/>
  <c r="F60" i="34" s="1"/>
  <c r="F58" i="17"/>
  <c r="F59" i="17" s="1"/>
  <c r="F156" i="17"/>
  <c r="F50" i="17"/>
  <c r="F17" i="34"/>
  <c r="F16" i="17"/>
  <c r="J35" i="29"/>
  <c r="F159" i="17" s="1"/>
  <c r="J39" i="29"/>
  <c r="R94" i="28"/>
  <c r="F51" i="34"/>
  <c r="F161" i="34"/>
  <c r="J44" i="28"/>
  <c r="J45" i="28" s="1"/>
  <c r="F142" i="33"/>
  <c r="AM4" i="33" s="1"/>
  <c r="E45" i="28"/>
  <c r="I33" i="29"/>
  <c r="F30" i="35"/>
  <c r="F28" i="35"/>
  <c r="L25" i="35"/>
  <c r="F4" i="35"/>
  <c r="K49" i="36"/>
  <c r="K48" i="36"/>
  <c r="K47" i="36"/>
  <c r="K46" i="36"/>
  <c r="K45" i="36"/>
  <c r="K44" i="36"/>
  <c r="K43" i="36"/>
  <c r="K41" i="36"/>
  <c r="K42" i="36"/>
  <c r="K149" i="36"/>
  <c r="K148" i="36"/>
  <c r="K147" i="36"/>
  <c r="K146" i="36"/>
  <c r="K145" i="36"/>
  <c r="K144" i="36"/>
  <c r="K143" i="36"/>
  <c r="K142" i="36"/>
  <c r="K141" i="36"/>
  <c r="K140" i="36"/>
  <c r="K139" i="36"/>
  <c r="K138" i="36"/>
  <c r="K137" i="36"/>
  <c r="K40" i="36"/>
  <c r="K39" i="36"/>
  <c r="K38" i="36"/>
  <c r="K37" i="36"/>
  <c r="K36" i="36"/>
  <c r="K35" i="36"/>
  <c r="K33" i="36"/>
  <c r="K34" i="36"/>
  <c r="K32" i="36"/>
  <c r="K31" i="36"/>
  <c r="K136" i="36"/>
  <c r="K135" i="36"/>
  <c r="K134" i="36"/>
  <c r="K133" i="36"/>
  <c r="K132" i="36"/>
  <c r="K131" i="36"/>
  <c r="K130" i="36"/>
  <c r="K129" i="36"/>
  <c r="K128" i="36"/>
  <c r="K127" i="36"/>
  <c r="K126" i="36"/>
  <c r="K125" i="36"/>
  <c r="K124" i="36"/>
  <c r="J123" i="36"/>
  <c r="K123" i="36" s="1"/>
  <c r="J122" i="36"/>
  <c r="K122" i="36" s="1"/>
  <c r="K121" i="36"/>
  <c r="K120" i="36"/>
  <c r="K29" i="36"/>
  <c r="K30" i="36"/>
  <c r="K28" i="36"/>
  <c r="K24" i="36"/>
  <c r="K25" i="36"/>
  <c r="K26" i="36"/>
  <c r="K27" i="36"/>
  <c r="K23" i="36"/>
  <c r="K21" i="36"/>
  <c r="K22" i="36"/>
  <c r="K20" i="36"/>
  <c r="K119" i="36"/>
  <c r="K118" i="36"/>
  <c r="K117" i="36"/>
  <c r="K116" i="36"/>
  <c r="J19" i="36"/>
  <c r="K19" i="36" s="1"/>
  <c r="J18" i="36"/>
  <c r="K18" i="36" s="1"/>
  <c r="K17" i="36"/>
  <c r="K16" i="36"/>
  <c r="K115" i="36"/>
  <c r="K114" i="36"/>
  <c r="K13" i="36"/>
  <c r="K14" i="36"/>
  <c r="K15" i="36"/>
  <c r="K12" i="36"/>
  <c r="K11" i="36"/>
  <c r="K113" i="36"/>
  <c r="K112" i="36"/>
  <c r="J111" i="36"/>
  <c r="K111" i="36" s="1"/>
  <c r="K110" i="36"/>
  <c r="K109" i="36"/>
  <c r="J105" i="36"/>
  <c r="K105" i="36" s="1"/>
  <c r="K107" i="36"/>
  <c r="K108" i="36"/>
  <c r="K106" i="36"/>
  <c r="E63" i="36"/>
  <c r="K104" i="36"/>
  <c r="J87" i="36"/>
  <c r="K87" i="36" s="1"/>
  <c r="J103" i="36"/>
  <c r="K103" i="36" s="1"/>
  <c r="K102" i="36"/>
  <c r="K101" i="36"/>
  <c r="J99" i="36"/>
  <c r="K99" i="36" s="1"/>
  <c r="K100" i="36"/>
  <c r="K98" i="36"/>
  <c r="K97" i="36"/>
  <c r="K96" i="36"/>
  <c r="K95" i="36"/>
  <c r="K94" i="36"/>
  <c r="K93" i="36"/>
  <c r="K92" i="36"/>
  <c r="K91" i="36"/>
  <c r="K89" i="36"/>
  <c r="K90" i="36"/>
  <c r="K88" i="36"/>
  <c r="K86" i="36"/>
  <c r="K85" i="36"/>
  <c r="K82" i="36"/>
  <c r="K83" i="36"/>
  <c r="K84" i="36"/>
  <c r="K81" i="36"/>
  <c r="K80" i="36"/>
  <c r="K79" i="36"/>
  <c r="K78" i="36"/>
  <c r="K77" i="36"/>
  <c r="K76" i="36"/>
  <c r="K75" i="36"/>
  <c r="K74" i="36"/>
  <c r="K73" i="36"/>
  <c r="K71" i="36"/>
  <c r="K72" i="36"/>
  <c r="K69" i="36"/>
  <c r="K70" i="36"/>
  <c r="K68" i="36"/>
  <c r="K67" i="36"/>
  <c r="K66" i="36"/>
  <c r="K65" i="36"/>
  <c r="K63" i="36"/>
  <c r="K64" i="36"/>
  <c r="K62" i="36"/>
  <c r="K61" i="36"/>
  <c r="K60" i="36"/>
  <c r="K59" i="36"/>
  <c r="K58" i="36"/>
  <c r="K57" i="36"/>
  <c r="K9" i="36"/>
  <c r="K10" i="36"/>
  <c r="K7" i="36"/>
  <c r="K8" i="36"/>
  <c r="K6" i="36"/>
  <c r="K5" i="36"/>
  <c r="K4" i="36"/>
  <c r="E10" i="36"/>
  <c r="E71" i="36"/>
  <c r="E8" i="36"/>
  <c r="E69" i="36"/>
  <c r="E66" i="36"/>
  <c r="E67" i="36"/>
  <c r="F23" i="17" s="1"/>
  <c r="E7" i="36"/>
  <c r="E6" i="36"/>
  <c r="F25" i="17" s="1"/>
  <c r="E64" i="36"/>
  <c r="E62" i="36"/>
  <c r="E61" i="36"/>
  <c r="C58" i="36"/>
  <c r="E58" i="36" s="1"/>
  <c r="C59" i="36"/>
  <c r="E59" i="36" s="1"/>
  <c r="E68" i="36"/>
  <c r="E65" i="36"/>
  <c r="E60" i="36"/>
  <c r="E57" i="36"/>
  <c r="C5" i="36"/>
  <c r="E5" i="36" s="1"/>
  <c r="F24" i="17" s="1"/>
  <c r="C4" i="36"/>
  <c r="E4" i="36" s="1"/>
  <c r="AH4" i="33"/>
  <c r="AG6" i="33"/>
  <c r="AH6" i="33" s="1"/>
  <c r="AG7" i="33"/>
  <c r="AH7" i="33" s="1"/>
  <c r="AG8" i="33"/>
  <c r="AH8" i="33" s="1"/>
  <c r="AG9" i="33"/>
  <c r="AH9" i="33" s="1"/>
  <c r="AG10" i="33"/>
  <c r="AH10" i="33" s="1"/>
  <c r="AG11" i="33"/>
  <c r="AH11" i="33" s="1"/>
  <c r="AG12" i="33"/>
  <c r="AH12" i="33" s="1"/>
  <c r="AG13" i="33"/>
  <c r="AH13" i="33" s="1"/>
  <c r="AG14" i="33"/>
  <c r="AH14" i="33" s="1"/>
  <c r="AG15" i="33"/>
  <c r="AH15" i="33" s="1"/>
  <c r="AG16" i="33"/>
  <c r="AH16" i="33" s="1"/>
  <c r="AG17" i="33"/>
  <c r="AH17" i="33" s="1"/>
  <c r="AG18" i="33"/>
  <c r="AH18" i="33" s="1"/>
  <c r="AG19" i="33"/>
  <c r="AH19" i="33" s="1"/>
  <c r="AG20" i="33"/>
  <c r="AH20" i="33" s="1"/>
  <c r="AG21" i="33"/>
  <c r="AH21" i="33" s="1"/>
  <c r="AG22" i="33"/>
  <c r="AH22" i="33" s="1"/>
  <c r="AG23" i="33"/>
  <c r="AH23" i="33" s="1"/>
  <c r="AG24" i="33"/>
  <c r="AH24" i="33" s="1"/>
  <c r="AG25" i="33"/>
  <c r="AH25" i="33" s="1"/>
  <c r="AG26" i="33"/>
  <c r="AH26" i="33" s="1"/>
  <c r="AG27" i="33"/>
  <c r="AH27" i="33" s="1"/>
  <c r="AG5" i="33"/>
  <c r="AH5" i="33" s="1"/>
  <c r="C142" i="33"/>
  <c r="F15" i="17" s="1"/>
  <c r="J61" i="33"/>
  <c r="J62" i="33" s="1"/>
  <c r="AD42" i="26"/>
  <c r="AH42" i="26" s="1"/>
  <c r="AF42" i="26"/>
  <c r="AG42" i="26"/>
  <c r="AG62" i="26"/>
  <c r="AF62" i="26"/>
  <c r="AD62" i="26"/>
  <c r="AH62" i="26" s="1"/>
  <c r="AG61" i="26"/>
  <c r="AF61" i="26"/>
  <c r="AD61" i="26"/>
  <c r="AH61" i="26" s="1"/>
  <c r="AG66" i="26"/>
  <c r="AF66" i="26"/>
  <c r="AD66" i="26"/>
  <c r="AH66" i="26" s="1"/>
  <c r="AJ72" i="26"/>
  <c r="AJ75" i="26" s="1"/>
  <c r="AG53" i="26"/>
  <c r="AF53" i="26"/>
  <c r="AD53" i="26"/>
  <c r="AH53" i="26" s="1"/>
  <c r="AG69" i="26"/>
  <c r="AF69" i="26"/>
  <c r="AD69" i="26"/>
  <c r="AH69" i="26" s="1"/>
  <c r="AG64" i="26"/>
  <c r="AF64" i="26"/>
  <c r="AD64" i="26"/>
  <c r="AH64" i="26" s="1"/>
  <c r="AG63" i="26"/>
  <c r="AF63" i="26"/>
  <c r="AD63" i="26"/>
  <c r="AH63" i="26" s="1"/>
  <c r="AD49" i="26"/>
  <c r="AH49" i="26" s="1"/>
  <c r="AF49" i="26"/>
  <c r="AG49" i="26"/>
  <c r="AD46" i="26"/>
  <c r="AH46" i="26" s="1"/>
  <c r="AG46" i="26"/>
  <c r="AF46" i="26"/>
  <c r="AG60" i="26"/>
  <c r="AF60" i="26"/>
  <c r="AD60" i="26"/>
  <c r="AH60" i="26" s="1"/>
  <c r="AG58" i="26"/>
  <c r="AF58" i="26"/>
  <c r="AD58" i="26"/>
  <c r="AH58" i="26" s="1"/>
  <c r="AG48" i="26"/>
  <c r="AF48" i="26"/>
  <c r="AD48" i="26"/>
  <c r="AH48" i="26" s="1"/>
  <c r="AJ56" i="26"/>
  <c r="AG52" i="26"/>
  <c r="AF52" i="26"/>
  <c r="AD52" i="26"/>
  <c r="AH52" i="26" s="1"/>
  <c r="AG51" i="26"/>
  <c r="AF51" i="26"/>
  <c r="AD51" i="26"/>
  <c r="AH51" i="26" s="1"/>
  <c r="AG50" i="26"/>
  <c r="AF50" i="26"/>
  <c r="AD50" i="26"/>
  <c r="AH50" i="26" s="1"/>
  <c r="AG57" i="26"/>
  <c r="AG65" i="26"/>
  <c r="AG56" i="26"/>
  <c r="AD40" i="26"/>
  <c r="AH40" i="26" s="1"/>
  <c r="AF40" i="26"/>
  <c r="AG40" i="26"/>
  <c r="AJ64" i="26"/>
  <c r="AF56" i="26"/>
  <c r="AF57" i="26"/>
  <c r="AF65" i="26"/>
  <c r="AD56" i="26"/>
  <c r="AH56" i="26" s="1"/>
  <c r="AD57" i="26"/>
  <c r="AH57" i="26" s="1"/>
  <c r="AD65" i="26"/>
  <c r="AH65" i="26" s="1"/>
  <c r="K70" i="33"/>
  <c r="F164" i="34" l="1"/>
  <c r="N164" i="34" s="1"/>
  <c r="R106" i="28"/>
  <c r="F148" i="34"/>
  <c r="F141" i="17"/>
  <c r="F166" i="34"/>
  <c r="F161" i="17"/>
  <c r="F156" i="34"/>
  <c r="F150" i="17"/>
  <c r="F155" i="34"/>
  <c r="F149" i="17"/>
  <c r="F16" i="34"/>
  <c r="K50" i="36"/>
  <c r="K150" i="36"/>
  <c r="F25" i="35"/>
  <c r="F27" i="35"/>
  <c r="E11" i="36"/>
  <c r="E73" i="36"/>
  <c r="AH28" i="33"/>
  <c r="F30" i="34" l="1"/>
  <c r="F29" i="17"/>
  <c r="F29" i="34"/>
  <c r="F28" i="17"/>
  <c r="F27" i="34"/>
  <c r="F26" i="17"/>
  <c r="F30" i="17"/>
  <c r="F31" i="17" s="1"/>
  <c r="K52" i="36"/>
  <c r="F31" i="34"/>
  <c r="F11" i="34"/>
  <c r="AM5" i="33" l="1"/>
  <c r="AM7" i="33" s="1"/>
  <c r="L130" i="26"/>
  <c r="R31" i="33" l="1"/>
  <c r="AK5" i="33"/>
  <c r="F19" i="34"/>
  <c r="F20" i="34" s="1"/>
  <c r="Z35" i="33"/>
  <c r="F18" i="34"/>
  <c r="Q31" i="33"/>
  <c r="F17" i="17"/>
  <c r="F18" i="17"/>
  <c r="F19" i="17" s="1"/>
  <c r="F13" i="17"/>
  <c r="F14" i="34"/>
  <c r="D143" i="34"/>
  <c r="E143" i="34"/>
  <c r="G143" i="34"/>
  <c r="D144" i="34"/>
  <c r="E144" i="34"/>
  <c r="G144" i="34"/>
  <c r="M55" i="34"/>
  <c r="F21" i="34" l="1"/>
  <c r="F20" i="17"/>
  <c r="L131" i="26"/>
  <c r="L133" i="26" s="1"/>
  <c r="K71" i="30"/>
  <c r="K70" i="30"/>
  <c r="L102" i="34"/>
  <c r="M102" i="34" s="1"/>
  <c r="M61" i="34"/>
  <c r="K72" i="30" l="1"/>
  <c r="M10" i="34"/>
  <c r="N9" i="34"/>
  <c r="O9" i="34" s="1"/>
  <c r="F24" i="19"/>
  <c r="G24" i="19" s="1"/>
  <c r="H24" i="19" s="1"/>
  <c r="I24" i="19" s="1"/>
  <c r="J24" i="19" s="1"/>
  <c r="K24" i="19" s="1"/>
  <c r="L24" i="19" s="1"/>
  <c r="M24" i="19" s="1"/>
  <c r="N24" i="19" s="1"/>
  <c r="F28" i="19"/>
  <c r="G28" i="19" s="1"/>
  <c r="H28" i="19" s="1"/>
  <c r="I28" i="19" s="1"/>
  <c r="J28" i="19" s="1"/>
  <c r="K28" i="19" s="1"/>
  <c r="L28" i="19" s="1"/>
  <c r="M28" i="19" s="1"/>
  <c r="N28" i="19" s="1"/>
  <c r="F32" i="19"/>
  <c r="G32" i="19" s="1"/>
  <c r="H32" i="19" s="1"/>
  <c r="I32" i="19" s="1"/>
  <c r="J32" i="19" s="1"/>
  <c r="K32" i="19" s="1"/>
  <c r="L32" i="19" s="1"/>
  <c r="M32" i="19" s="1"/>
  <c r="N32" i="19" s="1"/>
  <c r="F36" i="19"/>
  <c r="G36" i="19" s="1"/>
  <c r="H36" i="19" s="1"/>
  <c r="I36" i="19" s="1"/>
  <c r="J36" i="19" s="1"/>
  <c r="K36" i="19" s="1"/>
  <c r="L36" i="19" s="1"/>
  <c r="M36" i="19" s="1"/>
  <c r="N36" i="19" s="1"/>
  <c r="F40" i="19"/>
  <c r="G40" i="19" s="1"/>
  <c r="H40" i="19" s="1"/>
  <c r="I40" i="19" s="1"/>
  <c r="J40" i="19" s="1"/>
  <c r="K40" i="19" s="1"/>
  <c r="L40" i="19" s="1"/>
  <c r="M40" i="19" s="1"/>
  <c r="N40" i="19" s="1"/>
  <c r="F44" i="19"/>
  <c r="G44" i="19" s="1"/>
  <c r="H44" i="19" s="1"/>
  <c r="I44" i="19" s="1"/>
  <c r="J44" i="19" s="1"/>
  <c r="K44" i="19" s="1"/>
  <c r="L44" i="19" s="1"/>
  <c r="M44" i="19" s="1"/>
  <c r="N44" i="19" s="1"/>
  <c r="F48" i="19"/>
  <c r="G48" i="19" s="1"/>
  <c r="H48" i="19" s="1"/>
  <c r="I48" i="19" s="1"/>
  <c r="J48" i="19" s="1"/>
  <c r="K48" i="19" s="1"/>
  <c r="L48" i="19" s="1"/>
  <c r="M48" i="19" s="1"/>
  <c r="N48" i="19" s="1"/>
  <c r="F52" i="19"/>
  <c r="G52" i="19" s="1"/>
  <c r="H52" i="19" s="1"/>
  <c r="I52" i="19" s="1"/>
  <c r="J52" i="19" s="1"/>
  <c r="K52" i="19" s="1"/>
  <c r="L52" i="19" s="1"/>
  <c r="M52" i="19" s="1"/>
  <c r="N52" i="19" s="1"/>
  <c r="F56" i="19"/>
  <c r="G56" i="19" s="1"/>
  <c r="H56" i="19" s="1"/>
  <c r="I56" i="19" s="1"/>
  <c r="J56" i="19" s="1"/>
  <c r="K56" i="19" s="1"/>
  <c r="L56" i="19" s="1"/>
  <c r="M56" i="19" s="1"/>
  <c r="N56" i="19" s="1"/>
  <c r="F60" i="19"/>
  <c r="G60" i="19" s="1"/>
  <c r="H60" i="19" s="1"/>
  <c r="I60" i="19" s="1"/>
  <c r="J60" i="19" s="1"/>
  <c r="K60" i="19" s="1"/>
  <c r="L60" i="19" s="1"/>
  <c r="M60" i="19" s="1"/>
  <c r="N60" i="19" s="1"/>
  <c r="F64" i="19"/>
  <c r="G64" i="19" s="1"/>
  <c r="H64" i="19" s="1"/>
  <c r="I64" i="19" s="1"/>
  <c r="J64" i="19" s="1"/>
  <c r="K64" i="19" s="1"/>
  <c r="L64" i="19" s="1"/>
  <c r="M64" i="19" s="1"/>
  <c r="N64" i="19" s="1"/>
  <c r="F68" i="19"/>
  <c r="G68" i="19" s="1"/>
  <c r="H68" i="19" s="1"/>
  <c r="I68" i="19" s="1"/>
  <c r="J68" i="19" s="1"/>
  <c r="K68" i="19" s="1"/>
  <c r="L68" i="19" s="1"/>
  <c r="M68" i="19" s="1"/>
  <c r="N68" i="19" s="1"/>
  <c r="F72" i="19"/>
  <c r="G72" i="19" s="1"/>
  <c r="H72" i="19" s="1"/>
  <c r="I72" i="19" s="1"/>
  <c r="J72" i="19" s="1"/>
  <c r="K72" i="19" s="1"/>
  <c r="L72" i="19" s="1"/>
  <c r="M72" i="19" s="1"/>
  <c r="N72" i="19" s="1"/>
  <c r="B19" i="19"/>
  <c r="AO122" i="26"/>
  <c r="AL122" i="26"/>
  <c r="H107" i="26"/>
  <c r="G107" i="26"/>
  <c r="H106" i="26"/>
  <c r="H103" i="26"/>
  <c r="H104" i="26"/>
  <c r="H99" i="26"/>
  <c r="D11" i="34"/>
  <c r="E11" i="34"/>
  <c r="G11" i="34"/>
  <c r="D109" i="26" l="1"/>
  <c r="C109" i="26"/>
  <c r="H98" i="26"/>
  <c r="G101" i="26"/>
  <c r="H108" i="26"/>
  <c r="H101" i="26"/>
  <c r="G105" i="26"/>
  <c r="G100" i="26"/>
  <c r="H102" i="26"/>
  <c r="H105" i="26"/>
  <c r="G99" i="26"/>
  <c r="F104" i="26"/>
  <c r="F109" i="26" s="1"/>
  <c r="H100" i="26"/>
  <c r="G108" i="26"/>
  <c r="G103" i="26"/>
  <c r="G106" i="26"/>
  <c r="D68" i="34"/>
  <c r="E68" i="34"/>
  <c r="G68" i="34"/>
  <c r="D63" i="34"/>
  <c r="E63" i="34"/>
  <c r="G63" i="34"/>
  <c r="G61" i="34"/>
  <c r="D206" i="34"/>
  <c r="E206" i="34"/>
  <c r="G206" i="34"/>
  <c r="G205" i="34"/>
  <c r="E205" i="34"/>
  <c r="D205" i="34"/>
  <c r="G204" i="34"/>
  <c r="H109" i="26" l="1"/>
  <c r="G98" i="26"/>
  <c r="G104" i="26"/>
  <c r="L122" i="26" l="1"/>
  <c r="G177" i="34"/>
  <c r="E177" i="34"/>
  <c r="D177" i="34"/>
  <c r="G174" i="34"/>
  <c r="E174" i="34"/>
  <c r="D174" i="34"/>
  <c r="G173" i="34"/>
  <c r="E173" i="34"/>
  <c r="D173" i="34"/>
  <c r="G172" i="34"/>
  <c r="G166" i="34"/>
  <c r="E166" i="34"/>
  <c r="D166" i="34"/>
  <c r="G164" i="34"/>
  <c r="E164" i="34"/>
  <c r="D164" i="34"/>
  <c r="G163" i="34"/>
  <c r="E163" i="34"/>
  <c r="G162" i="34"/>
  <c r="E162" i="34"/>
  <c r="D162" i="34"/>
  <c r="G161" i="34"/>
  <c r="E161" i="34"/>
  <c r="D161" i="34"/>
  <c r="G160" i="34"/>
  <c r="G185" i="34"/>
  <c r="E185" i="34"/>
  <c r="D185" i="34"/>
  <c r="G184" i="34"/>
  <c r="E184" i="34"/>
  <c r="D184" i="34"/>
  <c r="G183" i="34"/>
  <c r="D183" i="34"/>
  <c r="G182" i="34"/>
  <c r="G150" i="34"/>
  <c r="E150" i="34"/>
  <c r="D150" i="34"/>
  <c r="G149" i="34"/>
  <c r="E149" i="34"/>
  <c r="D149" i="34"/>
  <c r="G148" i="34"/>
  <c r="E148" i="34"/>
  <c r="D148" i="34"/>
  <c r="G142" i="34"/>
  <c r="E142" i="34"/>
  <c r="D142" i="34"/>
  <c r="G139" i="34"/>
  <c r="E139" i="34"/>
  <c r="D139" i="34"/>
  <c r="G138" i="34"/>
  <c r="E138" i="34"/>
  <c r="D138" i="34"/>
  <c r="G137" i="34"/>
  <c r="E137" i="34"/>
  <c r="D137" i="34"/>
  <c r="G136" i="34"/>
  <c r="E136" i="34"/>
  <c r="D136" i="34"/>
  <c r="G135" i="34"/>
  <c r="G134" i="34"/>
  <c r="E134" i="34"/>
  <c r="D134" i="34"/>
  <c r="G133" i="34"/>
  <c r="E133" i="34"/>
  <c r="D133" i="34"/>
  <c r="G132" i="34"/>
  <c r="E132" i="34"/>
  <c r="D132" i="34"/>
  <c r="G128" i="34"/>
  <c r="E128" i="34"/>
  <c r="D128" i="34"/>
  <c r="G126" i="34"/>
  <c r="E126" i="34"/>
  <c r="D126" i="34"/>
  <c r="G125" i="34"/>
  <c r="E125" i="34"/>
  <c r="D125" i="34"/>
  <c r="G124" i="34"/>
  <c r="G103" i="34"/>
  <c r="E103" i="34"/>
  <c r="D103" i="34"/>
  <c r="G102" i="34"/>
  <c r="E102" i="34"/>
  <c r="D102" i="34"/>
  <c r="G99" i="34"/>
  <c r="G58" i="34"/>
  <c r="E58" i="34"/>
  <c r="D58" i="34"/>
  <c r="G57" i="34"/>
  <c r="E57" i="34"/>
  <c r="D57" i="34"/>
  <c r="G56" i="34"/>
  <c r="E56" i="34"/>
  <c r="D56" i="34"/>
  <c r="G55" i="34"/>
  <c r="E55" i="34"/>
  <c r="D55" i="34"/>
  <c r="G54" i="34"/>
  <c r="E54" i="34"/>
  <c r="D54" i="34"/>
  <c r="G53" i="34"/>
  <c r="E53" i="34"/>
  <c r="D53" i="34"/>
  <c r="G52" i="34"/>
  <c r="E52" i="34"/>
  <c r="D52" i="34"/>
  <c r="G51" i="34"/>
  <c r="E51" i="34"/>
  <c r="D51" i="34"/>
  <c r="G50" i="34"/>
  <c r="G49" i="34"/>
  <c r="E49" i="34"/>
  <c r="D49" i="34"/>
  <c r="M30" i="34"/>
  <c r="G29" i="34"/>
  <c r="D29" i="34"/>
  <c r="N28" i="34"/>
  <c r="G28" i="34"/>
  <c r="G21" i="34"/>
  <c r="E21" i="34"/>
  <c r="D21" i="34"/>
  <c r="G20" i="34"/>
  <c r="E20" i="34"/>
  <c r="D20" i="34"/>
  <c r="M19" i="34"/>
  <c r="G19" i="34"/>
  <c r="E19" i="34"/>
  <c r="D19" i="34"/>
  <c r="G18" i="34"/>
  <c r="E18" i="34"/>
  <c r="D18" i="34"/>
  <c r="M17" i="34"/>
  <c r="N17" i="34" s="1"/>
  <c r="G17" i="34"/>
  <c r="E17" i="34"/>
  <c r="D17" i="34"/>
  <c r="M15" i="34"/>
  <c r="N15" i="34" s="1"/>
  <c r="G15" i="34"/>
  <c r="E15" i="34"/>
  <c r="D15" i="34"/>
  <c r="G14" i="34"/>
  <c r="E14" i="34"/>
  <c r="D14" i="34"/>
  <c r="G13" i="34"/>
  <c r="G10" i="34"/>
  <c r="E10" i="34"/>
  <c r="D10" i="34"/>
  <c r="G9" i="34"/>
  <c r="E9" i="34"/>
  <c r="D9" i="34"/>
  <c r="G8" i="34"/>
  <c r="E8" i="34"/>
  <c r="D8" i="34"/>
  <c r="G7" i="34"/>
  <c r="L4" i="34"/>
  <c r="L126" i="26" l="1"/>
  <c r="AN122" i="26"/>
  <c r="AP122" i="26" s="1"/>
  <c r="AO5" i="26" l="1"/>
  <c r="AL5" i="26"/>
  <c r="E116" i="26" l="1"/>
  <c r="F116" i="26" s="1"/>
  <c r="E115" i="26"/>
  <c r="F115" i="26" l="1"/>
  <c r="I6" i="30" l="1"/>
  <c r="Z7" i="30" l="1"/>
  <c r="AD7" i="30" s="1"/>
  <c r="AF7" i="30" s="1"/>
  <c r="Z6" i="30"/>
  <c r="AD6" i="30" s="1"/>
  <c r="AD18" i="30"/>
  <c r="AD16" i="30"/>
  <c r="AD17" i="30"/>
  <c r="Z5" i="30"/>
  <c r="AD5" i="30" s="1"/>
  <c r="AF5" i="30" s="1"/>
  <c r="AE11" i="30"/>
  <c r="AF11" i="30" s="1"/>
  <c r="AD4" i="30"/>
  <c r="AF4" i="30" s="1"/>
  <c r="V7" i="30"/>
  <c r="W7" i="30"/>
  <c r="V6" i="30"/>
  <c r="W6" i="30"/>
  <c r="V5" i="30"/>
  <c r="W5" i="30"/>
  <c r="W4" i="30"/>
  <c r="V4" i="30"/>
  <c r="L49" i="30"/>
  <c r="N49" i="30" s="1"/>
  <c r="L48" i="30"/>
  <c r="N48" i="30" s="1"/>
  <c r="L47" i="30"/>
  <c r="N47" i="30" s="1"/>
  <c r="L46" i="30"/>
  <c r="N46" i="30" s="1"/>
  <c r="L45" i="30"/>
  <c r="N45" i="30" s="1"/>
  <c r="L44" i="30"/>
  <c r="N44" i="30" s="1"/>
  <c r="L43" i="30"/>
  <c r="N43" i="30" s="1"/>
  <c r="L42" i="30"/>
  <c r="N42" i="30" s="1"/>
  <c r="F65" i="30"/>
  <c r="F64" i="30"/>
  <c r="F63" i="30"/>
  <c r="F62" i="30"/>
  <c r="F61" i="30"/>
  <c r="F60" i="30"/>
  <c r="F59" i="30"/>
  <c r="F58" i="30"/>
  <c r="F57" i="30"/>
  <c r="F56" i="30"/>
  <c r="F51" i="30"/>
  <c r="F50" i="30"/>
  <c r="F49" i="30"/>
  <c r="F46" i="30"/>
  <c r="F47" i="30"/>
  <c r="F48" i="30"/>
  <c r="F34" i="30"/>
  <c r="F35" i="30"/>
  <c r="F36" i="30"/>
  <c r="F37" i="30"/>
  <c r="F24" i="30"/>
  <c r="F23" i="30"/>
  <c r="F22" i="30"/>
  <c r="F21" i="30"/>
  <c r="F20" i="30"/>
  <c r="C12" i="30"/>
  <c r="F25" i="30"/>
  <c r="F45" i="30"/>
  <c r="F44" i="30"/>
  <c r="F43" i="30"/>
  <c r="F42" i="30"/>
  <c r="F31" i="30"/>
  <c r="F32" i="30"/>
  <c r="F33" i="30"/>
  <c r="F30" i="30"/>
  <c r="F19" i="30"/>
  <c r="F18" i="30"/>
  <c r="F17" i="30"/>
  <c r="F16" i="30"/>
  <c r="F6" i="23"/>
  <c r="F15" i="23"/>
  <c r="F14" i="23"/>
  <c r="F22" i="23"/>
  <c r="L8" i="23"/>
  <c r="N8" i="23" s="1"/>
  <c r="L6" i="23"/>
  <c r="N6" i="23" s="1"/>
  <c r="L5" i="23"/>
  <c r="N5" i="23" s="1"/>
  <c r="L4" i="23"/>
  <c r="N4" i="23" s="1"/>
  <c r="L7" i="23"/>
  <c r="N7" i="23" s="1"/>
  <c r="F13" i="23"/>
  <c r="F12" i="23"/>
  <c r="F21" i="23"/>
  <c r="F20" i="23"/>
  <c r="F5" i="23"/>
  <c r="F4" i="23"/>
  <c r="F52" i="30" l="1"/>
  <c r="F23" i="23"/>
  <c r="AD19" i="30"/>
  <c r="N50" i="30"/>
  <c r="V8" i="30"/>
  <c r="W8" i="30"/>
  <c r="F7" i="23"/>
  <c r="F16" i="23"/>
  <c r="F38" i="30"/>
  <c r="AF6" i="30"/>
  <c r="AF8" i="30" s="1"/>
  <c r="F66" i="30"/>
  <c r="F26" i="30"/>
  <c r="N9" i="23"/>
  <c r="AI6" i="27"/>
  <c r="AI7" i="27"/>
  <c r="AI8" i="27"/>
  <c r="AI9" i="27"/>
  <c r="AI10" i="27"/>
  <c r="AI11" i="27"/>
  <c r="AI12" i="27"/>
  <c r="AI5" i="27"/>
  <c r="U10" i="27"/>
  <c r="W10" i="27" s="1"/>
  <c r="U11" i="27"/>
  <c r="W11" i="27" s="1"/>
  <c r="U12" i="27"/>
  <c r="W12" i="27" s="1"/>
  <c r="U9" i="27"/>
  <c r="W9" i="27" s="1"/>
  <c r="W8" i="27"/>
  <c r="W7" i="27"/>
  <c r="W6" i="27"/>
  <c r="W5" i="27"/>
  <c r="X41" i="27"/>
  <c r="X40" i="27"/>
  <c r="X39" i="27"/>
  <c r="X38" i="27"/>
  <c r="X31" i="27"/>
  <c r="X32" i="27"/>
  <c r="X33" i="27"/>
  <c r="X30" i="27"/>
  <c r="W25" i="27"/>
  <c r="W24" i="27"/>
  <c r="AA5" i="27"/>
  <c r="AC5" i="27" s="1"/>
  <c r="W13" i="27" l="1"/>
  <c r="W26" i="27"/>
  <c r="AI13" i="27"/>
  <c r="X34" i="27"/>
  <c r="X42" i="27"/>
  <c r="R6" i="27"/>
  <c r="R7" i="27"/>
  <c r="R8" i="27"/>
  <c r="R5" i="27"/>
  <c r="G19" i="27"/>
  <c r="G18" i="27"/>
  <c r="G17" i="27"/>
  <c r="G15" i="27"/>
  <c r="G14" i="27"/>
  <c r="G13" i="27"/>
  <c r="G11" i="27"/>
  <c r="G10" i="27"/>
  <c r="G7" i="27"/>
  <c r="G8" i="27"/>
  <c r="G6" i="27"/>
  <c r="K5" i="27" l="1"/>
  <c r="M5" i="27" s="1"/>
  <c r="K7" i="27"/>
  <c r="M7" i="27" s="1"/>
  <c r="K6" i="27"/>
  <c r="M6" i="27" s="1"/>
  <c r="R9" i="27"/>
  <c r="M8" i="27" l="1"/>
  <c r="I118" i="26"/>
  <c r="AG47" i="26"/>
  <c r="AF47" i="26"/>
  <c r="AD47" i="26"/>
  <c r="AH47" i="26" s="1"/>
  <c r="AG45" i="26"/>
  <c r="AF45" i="26"/>
  <c r="AD45" i="26"/>
  <c r="AH45" i="26" s="1"/>
  <c r="AF44" i="26"/>
  <c r="AG44" i="26"/>
  <c r="AG43" i="26"/>
  <c r="AF43" i="26"/>
  <c r="AD43" i="26"/>
  <c r="AF82" i="26" l="1"/>
  <c r="AG82" i="26"/>
  <c r="E109" i="26"/>
  <c r="AH43" i="26"/>
  <c r="AD44" i="26"/>
  <c r="AH44" i="26" s="1"/>
  <c r="G102" i="26" l="1"/>
  <c r="G109" i="26" s="1"/>
  <c r="AD82" i="26"/>
  <c r="K122" i="26" l="1"/>
  <c r="R122" i="26" l="1"/>
  <c r="K126" i="26"/>
  <c r="R126" i="26" s="1"/>
  <c r="AK122" i="26"/>
  <c r="AM122" i="26" s="1"/>
  <c r="AN5" i="26"/>
  <c r="AP5" i="26" s="1"/>
  <c r="AK5" i="26"/>
  <c r="AM5" i="26" s="1"/>
  <c r="N5" i="26"/>
  <c r="M5" i="26"/>
  <c r="T5" i="26" l="1"/>
  <c r="AJ5" i="26" s="1"/>
  <c r="AQ5" i="26" s="1"/>
  <c r="AJ122" i="26"/>
  <c r="AQ122" i="26" s="1"/>
  <c r="O2" i="7" l="1"/>
  <c r="Q2" i="7" s="1"/>
  <c r="F76" i="19" l="1"/>
  <c r="G76" i="19" s="1"/>
  <c r="H76" i="19" s="1"/>
  <c r="I76" i="19" s="1"/>
  <c r="J76" i="19" s="1"/>
  <c r="K76" i="19" s="1"/>
  <c r="L76" i="19" s="1"/>
  <c r="M76" i="19" s="1"/>
  <c r="N76" i="19" s="1"/>
  <c r="D25" i="17"/>
  <c r="E25" i="17"/>
  <c r="G25" i="17"/>
  <c r="F20" i="19" l="1"/>
  <c r="G20" i="19" s="1"/>
  <c r="H20" i="19" s="1"/>
  <c r="I20" i="19" s="1"/>
  <c r="J20" i="19" s="1"/>
  <c r="K20" i="19" s="1"/>
  <c r="L20" i="19" s="1"/>
  <c r="M20" i="19" s="1"/>
  <c r="N20" i="19" s="1"/>
  <c r="F16" i="19"/>
  <c r="G16" i="19" s="1"/>
  <c r="H16" i="19" s="1"/>
  <c r="I16" i="19" s="1"/>
  <c r="J16" i="19" s="1"/>
  <c r="K16" i="19" s="1"/>
  <c r="L16" i="19" s="1"/>
  <c r="M16" i="19" s="1"/>
  <c r="N16" i="19" s="1"/>
  <c r="D20" i="17" l="1"/>
  <c r="E20" i="17"/>
  <c r="G20" i="17"/>
  <c r="D21" i="17"/>
  <c r="E21" i="17"/>
  <c r="G21" i="17"/>
  <c r="D14" i="17"/>
  <c r="E14" i="17"/>
  <c r="G14" i="17"/>
  <c r="D15" i="17"/>
  <c r="E15" i="17"/>
  <c r="G15" i="17"/>
  <c r="D16" i="17"/>
  <c r="E16" i="17"/>
  <c r="G16" i="17"/>
  <c r="D17" i="17"/>
  <c r="E17" i="17"/>
  <c r="G17" i="17"/>
  <c r="D18" i="17"/>
  <c r="E18" i="17"/>
  <c r="G18" i="17"/>
  <c r="D19" i="17"/>
  <c r="E19" i="17"/>
  <c r="G19" i="17"/>
  <c r="E13" i="17"/>
  <c r="D13" i="17"/>
  <c r="G13" i="17" l="1"/>
  <c r="D26" i="17" l="1"/>
  <c r="D24" i="17"/>
  <c r="D23" i="17"/>
  <c r="D9" i="17"/>
  <c r="D8" i="17"/>
  <c r="G8" i="17" l="1"/>
  <c r="G24" i="17"/>
  <c r="G26" i="17"/>
  <c r="G23" i="17"/>
  <c r="G9" i="17"/>
  <c r="E26" i="17" l="1"/>
  <c r="E24" i="17"/>
  <c r="E23" i="17"/>
  <c r="E9" i="17"/>
  <c r="E8" i="17"/>
  <c r="C23" i="16" l="1"/>
  <c r="C24" i="16" l="1"/>
  <c r="E17" i="16" s="1"/>
  <c r="E29" i="16" l="1"/>
  <c r="I5" i="17" s="1"/>
  <c r="C31" i="16"/>
  <c r="H154" i="17" l="1"/>
  <c r="I154" i="17" s="1"/>
  <c r="H173" i="17"/>
  <c r="I173" i="17" s="1"/>
  <c r="H189" i="17"/>
  <c r="I189" i="17" s="1"/>
  <c r="H176" i="17"/>
  <c r="I176" i="17" s="1"/>
  <c r="H200" i="17"/>
  <c r="I200" i="17" s="1"/>
  <c r="H143" i="17"/>
  <c r="I143" i="17" s="1"/>
  <c r="H188" i="17"/>
  <c r="I188" i="17" s="1"/>
  <c r="H199" i="17"/>
  <c r="I199" i="17" s="1"/>
  <c r="H172" i="17"/>
  <c r="I172" i="17" s="1"/>
  <c r="H150" i="17"/>
  <c r="I150" i="17" s="1"/>
  <c r="H144" i="17"/>
  <c r="I144" i="17" s="1"/>
  <c r="H178" i="17"/>
  <c r="I178" i="17" s="1"/>
  <c r="H193" i="17"/>
  <c r="I193" i="17" s="1"/>
  <c r="H167" i="17"/>
  <c r="I167" i="17" s="1"/>
  <c r="H160" i="17"/>
  <c r="I160" i="17" s="1"/>
  <c r="H137" i="17"/>
  <c r="I137" i="17" s="1"/>
  <c r="H139" i="17"/>
  <c r="I139" i="17" s="1"/>
  <c r="H135" i="17"/>
  <c r="I135" i="17" s="1"/>
  <c r="H186" i="17"/>
  <c r="I186" i="17" s="1"/>
  <c r="H141" i="17"/>
  <c r="I141" i="17" s="1"/>
  <c r="H170" i="17"/>
  <c r="I170" i="17" s="1"/>
  <c r="H184" i="17"/>
  <c r="I184" i="17" s="1"/>
  <c r="H134" i="17"/>
  <c r="I134" i="17" s="1"/>
  <c r="H147" i="17"/>
  <c r="I147" i="17" s="1"/>
  <c r="H158" i="17"/>
  <c r="I158" i="17" s="1"/>
  <c r="H131" i="17"/>
  <c r="I131" i="17" s="1"/>
  <c r="H138" i="17"/>
  <c r="I138" i="17" s="1"/>
  <c r="H151" i="17"/>
  <c r="I151" i="17" s="1"/>
  <c r="H191" i="17"/>
  <c r="I191" i="17" s="1"/>
  <c r="H168" i="17"/>
  <c r="I168" i="17" s="1"/>
  <c r="H129" i="17"/>
  <c r="I129" i="17" s="1"/>
  <c r="H201" i="17"/>
  <c r="I201" i="17" s="1"/>
  <c r="H181" i="17"/>
  <c r="I181" i="17" s="1"/>
  <c r="H192" i="17"/>
  <c r="I192" i="17" s="1"/>
  <c r="H198" i="17"/>
  <c r="I198" i="17" s="1"/>
  <c r="H142" i="17"/>
  <c r="I142" i="17" s="1"/>
  <c r="H130" i="17"/>
  <c r="I130" i="17" s="1"/>
  <c r="H194" i="17"/>
  <c r="I194" i="17" s="1"/>
  <c r="H161" i="17"/>
  <c r="I161" i="17" s="1"/>
  <c r="H136" i="17"/>
  <c r="I136" i="17" s="1"/>
  <c r="H177" i="17"/>
  <c r="I177" i="17" s="1"/>
  <c r="H153" i="17"/>
  <c r="I153" i="17" s="1"/>
  <c r="H179" i="17"/>
  <c r="I179" i="17" s="1"/>
  <c r="H152" i="17"/>
  <c r="I152" i="17" s="1"/>
  <c r="H165" i="17"/>
  <c r="I165" i="17" s="1"/>
  <c r="H157" i="17"/>
  <c r="I157" i="17" s="1"/>
  <c r="H132" i="17"/>
  <c r="I132" i="17" s="1"/>
  <c r="H171" i="17"/>
  <c r="I171" i="17" s="1"/>
  <c r="H175" i="17"/>
  <c r="I175" i="17" s="1"/>
  <c r="H149" i="17"/>
  <c r="I149" i="17" s="1"/>
  <c r="H187" i="17"/>
  <c r="I187" i="17" s="1"/>
  <c r="H148" i="17"/>
  <c r="I148" i="17" s="1"/>
  <c r="H163" i="17"/>
  <c r="I163" i="17" s="1"/>
  <c r="H146" i="17"/>
  <c r="I146" i="17" s="1"/>
  <c r="H197" i="17"/>
  <c r="I197" i="17" s="1"/>
  <c r="H185" i="17"/>
  <c r="I185" i="17" s="1"/>
  <c r="H164" i="17"/>
  <c r="I164" i="17" s="1"/>
  <c r="H133" i="17"/>
  <c r="I133" i="17" s="1"/>
  <c r="H182" i="17"/>
  <c r="I182" i="17" s="1"/>
  <c r="H180" i="17"/>
  <c r="I180" i="17" s="1"/>
  <c r="H159" i="17"/>
  <c r="I159" i="17" s="1"/>
  <c r="H195" i="17"/>
  <c r="I195" i="17" s="1"/>
  <c r="H156" i="17"/>
  <c r="I156" i="17" s="1"/>
  <c r="H140" i="17"/>
  <c r="I140" i="17" s="1"/>
  <c r="H190" i="17"/>
  <c r="I190" i="17" s="1"/>
  <c r="H169" i="17"/>
  <c r="I169" i="17" s="1"/>
  <c r="H120" i="17"/>
  <c r="I120" i="17" s="1"/>
  <c r="H124" i="17"/>
  <c r="I124" i="17" s="1"/>
  <c r="H123" i="17"/>
  <c r="I123" i="17" s="1"/>
  <c r="H122" i="17"/>
  <c r="I122" i="17" s="1"/>
  <c r="H121" i="17"/>
  <c r="I121" i="17" s="1"/>
  <c r="H119" i="17"/>
  <c r="I119" i="17" s="1"/>
  <c r="H127" i="17"/>
  <c r="I127" i="17" s="1"/>
  <c r="H126" i="17"/>
  <c r="I126" i="17" s="1"/>
  <c r="H125" i="17"/>
  <c r="I125" i="17" s="1"/>
  <c r="H92" i="17"/>
  <c r="I92" i="17" s="1"/>
  <c r="H93" i="17"/>
  <c r="I93" i="17" s="1"/>
  <c r="H115" i="17"/>
  <c r="I115" i="17" s="1"/>
  <c r="H108" i="17"/>
  <c r="I108" i="17" s="1"/>
  <c r="H112" i="17"/>
  <c r="I112" i="17" s="1"/>
  <c r="H110" i="17"/>
  <c r="I110" i="17" s="1"/>
  <c r="H116" i="17"/>
  <c r="I116" i="17" s="1"/>
  <c r="H99" i="17"/>
  <c r="I99" i="17" s="1"/>
  <c r="H98" i="17"/>
  <c r="I98" i="17" s="1"/>
  <c r="H103" i="17"/>
  <c r="I103" i="17" s="1"/>
  <c r="H114" i="17"/>
  <c r="I114" i="17" s="1"/>
  <c r="H100" i="17"/>
  <c r="I100" i="17" s="1"/>
  <c r="H96" i="17"/>
  <c r="I96" i="17" s="1"/>
  <c r="H104" i="17"/>
  <c r="I104" i="17" s="1"/>
  <c r="H95" i="17"/>
  <c r="I95" i="17" s="1"/>
  <c r="H111" i="17"/>
  <c r="I111" i="17" s="1"/>
  <c r="H109" i="17"/>
  <c r="I109" i="17" s="1"/>
  <c r="H97" i="17"/>
  <c r="I97" i="17" s="1"/>
  <c r="H107" i="17"/>
  <c r="I107" i="17" s="1"/>
  <c r="H106" i="17"/>
  <c r="I106" i="17" s="1"/>
  <c r="H105" i="17"/>
  <c r="I105" i="17" s="1"/>
  <c r="H94" i="17"/>
  <c r="I94" i="17" s="1"/>
  <c r="H113" i="17"/>
  <c r="I113" i="17" s="1"/>
  <c r="H101" i="17"/>
  <c r="I101" i="17" s="1"/>
  <c r="H118" i="17"/>
  <c r="I118" i="17" s="1"/>
  <c r="H102" i="17"/>
  <c r="I102" i="17" s="1"/>
  <c r="H69" i="17"/>
  <c r="I69" i="17" s="1"/>
  <c r="H82" i="17"/>
  <c r="I82" i="17" s="1"/>
  <c r="H65" i="17"/>
  <c r="I65" i="17" s="1"/>
  <c r="H72" i="17"/>
  <c r="I72" i="17" s="1"/>
  <c r="H87" i="17"/>
  <c r="I87" i="17" s="1"/>
  <c r="H90" i="17"/>
  <c r="I90" i="17" s="1"/>
  <c r="H63" i="17"/>
  <c r="I63" i="17" s="1"/>
  <c r="H68" i="17"/>
  <c r="I68" i="17" s="1"/>
  <c r="H89" i="17"/>
  <c r="I89" i="17" s="1"/>
  <c r="H76" i="17"/>
  <c r="I76" i="17" s="1"/>
  <c r="H88" i="17"/>
  <c r="I88" i="17" s="1"/>
  <c r="H71" i="17"/>
  <c r="I71" i="17" s="1"/>
  <c r="H70" i="17"/>
  <c r="I70" i="17" s="1"/>
  <c r="H79" i="17"/>
  <c r="I79" i="17" s="1"/>
  <c r="H66" i="17"/>
  <c r="I66" i="17" s="1"/>
  <c r="H80" i="17"/>
  <c r="I80" i="17" s="1"/>
  <c r="H78" i="17"/>
  <c r="I78" i="17" s="1"/>
  <c r="H83" i="17"/>
  <c r="I83" i="17" s="1"/>
  <c r="H86" i="17"/>
  <c r="I86" i="17" s="1"/>
  <c r="H81" i="17"/>
  <c r="I81" i="17" s="1"/>
  <c r="H62" i="17"/>
  <c r="I62" i="17" s="1"/>
  <c r="H67" i="17"/>
  <c r="I67" i="17" s="1"/>
  <c r="H75" i="17"/>
  <c r="I75" i="17" s="1"/>
  <c r="H74" i="17"/>
  <c r="I74" i="17" s="1"/>
  <c r="H85" i="17"/>
  <c r="I85" i="17" s="1"/>
  <c r="H73" i="17"/>
  <c r="I73" i="17" s="1"/>
  <c r="H64" i="17"/>
  <c r="I64" i="17" s="1"/>
  <c r="H59" i="17"/>
  <c r="I59" i="17" s="1"/>
  <c r="H58" i="17"/>
  <c r="I58" i="17" s="1"/>
  <c r="H57" i="17"/>
  <c r="I57" i="17" s="1"/>
  <c r="H56" i="17"/>
  <c r="I56" i="17" s="1"/>
  <c r="H55" i="17"/>
  <c r="I55" i="17" s="1"/>
  <c r="H54" i="17"/>
  <c r="I54" i="17" s="1"/>
  <c r="H53" i="17"/>
  <c r="I53" i="17" s="1"/>
  <c r="H52" i="17"/>
  <c r="I52" i="17" s="1"/>
  <c r="H51" i="17"/>
  <c r="I51" i="17" s="1"/>
  <c r="H50" i="17"/>
  <c r="I50" i="17" s="1"/>
  <c r="H45" i="17"/>
  <c r="I45" i="17" s="1"/>
  <c r="H44" i="17"/>
  <c r="I44" i="17" s="1"/>
  <c r="H47" i="17"/>
  <c r="H48" i="17"/>
  <c r="I48" i="17" s="1"/>
  <c r="H46" i="17"/>
  <c r="I46" i="17" s="1"/>
  <c r="H39" i="17"/>
  <c r="I39" i="17" s="1"/>
  <c r="H40" i="17"/>
  <c r="I40" i="17" s="1"/>
  <c r="H41" i="17"/>
  <c r="I41" i="17" s="1"/>
  <c r="H42" i="17"/>
  <c r="I42" i="17" s="1"/>
  <c r="H28" i="17"/>
  <c r="I28" i="17" s="1"/>
  <c r="H29" i="17"/>
  <c r="I29" i="17" s="1"/>
  <c r="H30" i="17"/>
  <c r="I30" i="17" s="1"/>
  <c r="H31" i="17"/>
  <c r="I31" i="17" s="1"/>
  <c r="H34" i="17"/>
  <c r="I34" i="17" s="1"/>
  <c r="H35" i="17"/>
  <c r="I35" i="17" s="1"/>
  <c r="H36" i="17"/>
  <c r="I36" i="17" s="1"/>
  <c r="H37" i="17"/>
  <c r="I37" i="17" s="1"/>
  <c r="H24" i="17"/>
  <c r="H10" i="17"/>
  <c r="I10" i="17" s="1"/>
  <c r="H11" i="17"/>
  <c r="I11" i="17" s="1"/>
  <c r="H26" i="17"/>
  <c r="H8" i="17"/>
  <c r="I8" i="17" s="1"/>
  <c r="H9" i="17"/>
  <c r="H25" i="17"/>
  <c r="H15" i="17"/>
  <c r="I15" i="17" s="1"/>
  <c r="H23" i="17"/>
  <c r="H13" i="17"/>
  <c r="I13" i="17" s="1"/>
  <c r="H14" i="17"/>
  <c r="I14" i="17" s="1"/>
  <c r="H16" i="17"/>
  <c r="I16" i="17" s="1"/>
  <c r="H17" i="17"/>
  <c r="I17" i="17" s="1"/>
  <c r="H18" i="17"/>
  <c r="I18" i="17" s="1"/>
  <c r="H19" i="17"/>
  <c r="I19" i="17" s="1"/>
  <c r="H20" i="17"/>
  <c r="I20" i="17" s="1"/>
  <c r="H21" i="17"/>
  <c r="I21" i="17" s="1"/>
  <c r="I145" i="17" l="1"/>
  <c r="I196" i="17"/>
  <c r="I128" i="17"/>
  <c r="I162" i="17"/>
  <c r="I183" i="17"/>
  <c r="I174" i="17"/>
  <c r="I155" i="17"/>
  <c r="I166" i="17"/>
  <c r="I84" i="17"/>
  <c r="I91" i="17"/>
  <c r="I77" i="17"/>
  <c r="I61" i="17"/>
  <c r="I49" i="17"/>
  <c r="I38" i="17"/>
  <c r="I33" i="17"/>
  <c r="I27" i="17"/>
  <c r="I12" i="17"/>
  <c r="I117" i="17" l="1"/>
  <c r="I60" i="17"/>
  <c r="I32" i="17"/>
  <c r="I23" i="17"/>
  <c r="I24" i="17" l="1"/>
  <c r="I9" i="17" l="1"/>
  <c r="I7" i="17" l="1"/>
  <c r="C32" i="7"/>
  <c r="C33" i="7" s="1"/>
  <c r="E18" i="7" s="1"/>
  <c r="C22" i="7" l="1"/>
  <c r="C23" i="7" s="1"/>
  <c r="E20" i="7"/>
  <c r="I5" i="34" s="1"/>
  <c r="H17" i="34" l="1"/>
  <c r="I17" i="34" s="1"/>
  <c r="H176" i="34"/>
  <c r="I176" i="34" s="1"/>
  <c r="H175" i="34"/>
  <c r="I175" i="34" s="1"/>
  <c r="H97" i="34"/>
  <c r="I97" i="34" s="1"/>
  <c r="H169" i="34"/>
  <c r="I169" i="34" s="1"/>
  <c r="H76" i="34"/>
  <c r="I76" i="34" s="1"/>
  <c r="H75" i="34"/>
  <c r="I75" i="34" s="1"/>
  <c r="H87" i="34"/>
  <c r="I87" i="34" s="1"/>
  <c r="H89" i="34"/>
  <c r="I89" i="34" s="1"/>
  <c r="H84" i="34"/>
  <c r="I84" i="34" s="1"/>
  <c r="H85" i="34"/>
  <c r="I85" i="34" s="1"/>
  <c r="H86" i="34"/>
  <c r="I86" i="34" s="1"/>
  <c r="H88" i="34"/>
  <c r="I88" i="34" s="1"/>
  <c r="H95" i="34"/>
  <c r="I95" i="34" s="1"/>
  <c r="H96" i="34"/>
  <c r="I96" i="34" s="1"/>
  <c r="H12" i="34"/>
  <c r="I12" i="34" s="1"/>
  <c r="H26" i="34"/>
  <c r="I26" i="34" s="1"/>
  <c r="H208" i="34"/>
  <c r="I208" i="34" s="1"/>
  <c r="H209" i="34"/>
  <c r="I209" i="34" s="1"/>
  <c r="H207" i="34"/>
  <c r="I207" i="34" s="1"/>
  <c r="H203" i="34"/>
  <c r="I203" i="34" s="1"/>
  <c r="H202" i="34"/>
  <c r="I202" i="34" s="1"/>
  <c r="H198" i="34"/>
  <c r="I198" i="34" s="1"/>
  <c r="H199" i="34"/>
  <c r="I199" i="34" s="1"/>
  <c r="H200" i="34"/>
  <c r="I200" i="34" s="1"/>
  <c r="H201" i="34"/>
  <c r="I201" i="34" s="1"/>
  <c r="H195" i="34"/>
  <c r="I195" i="34" s="1"/>
  <c r="H197" i="34"/>
  <c r="I197" i="34" s="1"/>
  <c r="H194" i="34"/>
  <c r="I194" i="34" s="1"/>
  <c r="H196" i="34"/>
  <c r="I196" i="34" s="1"/>
  <c r="H192" i="34"/>
  <c r="I192" i="34" s="1"/>
  <c r="H193" i="34"/>
  <c r="I193" i="34" s="1"/>
  <c r="H189" i="34"/>
  <c r="I189" i="34" s="1"/>
  <c r="H190" i="34"/>
  <c r="I190" i="34" s="1"/>
  <c r="H188" i="34"/>
  <c r="I188" i="34" s="1"/>
  <c r="H43" i="34"/>
  <c r="I43" i="34" s="1"/>
  <c r="H42" i="34"/>
  <c r="I42" i="34" s="1"/>
  <c r="H40" i="34"/>
  <c r="I40" i="34" s="1"/>
  <c r="H41" i="34"/>
  <c r="I41" i="34" s="1"/>
  <c r="H37" i="34"/>
  <c r="I37" i="34" s="1"/>
  <c r="H36" i="34"/>
  <c r="I36" i="34" s="1"/>
  <c r="H35" i="34"/>
  <c r="I35" i="34" s="1"/>
  <c r="H38" i="34"/>
  <c r="I38" i="34" s="1"/>
  <c r="H187" i="34"/>
  <c r="I187" i="34" s="1"/>
  <c r="H186" i="34"/>
  <c r="I186" i="34" s="1"/>
  <c r="H100" i="34"/>
  <c r="I100" i="34" s="1"/>
  <c r="H131" i="34"/>
  <c r="I131" i="34" s="1"/>
  <c r="H130" i="34"/>
  <c r="I130" i="34" s="1"/>
  <c r="H129" i="34"/>
  <c r="I129" i="34" s="1"/>
  <c r="H114" i="34"/>
  <c r="I114" i="34" s="1"/>
  <c r="H123" i="34"/>
  <c r="I123" i="34" s="1"/>
  <c r="H122" i="34"/>
  <c r="I122" i="34" s="1"/>
  <c r="H105" i="34"/>
  <c r="I105" i="34" s="1"/>
  <c r="H110" i="34"/>
  <c r="I110" i="34" s="1"/>
  <c r="H159" i="34"/>
  <c r="I159" i="34" s="1"/>
  <c r="H155" i="34"/>
  <c r="I155" i="34" s="1"/>
  <c r="H168" i="34"/>
  <c r="I168" i="34" s="1"/>
  <c r="H170" i="34"/>
  <c r="I170" i="34" s="1"/>
  <c r="H171" i="34"/>
  <c r="I171" i="34" s="1"/>
  <c r="H154" i="34"/>
  <c r="I154" i="34" s="1"/>
  <c r="H165" i="34"/>
  <c r="I165" i="34" s="1"/>
  <c r="H152" i="34"/>
  <c r="I152" i="34" s="1"/>
  <c r="H153" i="34"/>
  <c r="I153" i="34" s="1"/>
  <c r="H141" i="34"/>
  <c r="I141" i="34" s="1"/>
  <c r="H181" i="34"/>
  <c r="I181" i="34" s="1"/>
  <c r="H147" i="34"/>
  <c r="I147" i="34" s="1"/>
  <c r="H140" i="34"/>
  <c r="I140" i="34" s="1"/>
  <c r="H146" i="34"/>
  <c r="I146" i="34" s="1"/>
  <c r="H145" i="34"/>
  <c r="I145" i="34" s="1"/>
  <c r="H101" i="34"/>
  <c r="I101" i="34" s="1"/>
  <c r="H157" i="34"/>
  <c r="I157" i="34" s="1"/>
  <c r="H156" i="34"/>
  <c r="I156" i="34" s="1"/>
  <c r="H158" i="34"/>
  <c r="I158" i="34" s="1"/>
  <c r="H82" i="34"/>
  <c r="I82" i="34" s="1"/>
  <c r="H118" i="34"/>
  <c r="I118" i="34" s="1"/>
  <c r="H109" i="34"/>
  <c r="I109" i="34" s="1"/>
  <c r="H112" i="34"/>
  <c r="I112" i="34" s="1"/>
  <c r="H108" i="34"/>
  <c r="I108" i="34" s="1"/>
  <c r="H117" i="34"/>
  <c r="I117" i="34" s="1"/>
  <c r="H107" i="34"/>
  <c r="I107" i="34" s="1"/>
  <c r="H120" i="34"/>
  <c r="I120" i="34" s="1"/>
  <c r="H121" i="34"/>
  <c r="I121" i="34" s="1"/>
  <c r="H119" i="34"/>
  <c r="I119" i="34" s="1"/>
  <c r="H113" i="34"/>
  <c r="I113" i="34" s="1"/>
  <c r="H104" i="34"/>
  <c r="I104" i="34" s="1"/>
  <c r="H106" i="34"/>
  <c r="I106" i="34" s="1"/>
  <c r="H111" i="34"/>
  <c r="I111" i="34" s="1"/>
  <c r="H116" i="34"/>
  <c r="I116" i="34" s="1"/>
  <c r="H115" i="34"/>
  <c r="I115" i="34" s="1"/>
  <c r="H93" i="34"/>
  <c r="I93" i="34" s="1"/>
  <c r="H92" i="34"/>
  <c r="I92" i="34" s="1"/>
  <c r="H90" i="34"/>
  <c r="I90" i="34" s="1"/>
  <c r="H98" i="34"/>
  <c r="I98" i="34" s="1"/>
  <c r="H94" i="34"/>
  <c r="I94" i="34" s="1"/>
  <c r="H91" i="34"/>
  <c r="I91" i="34" s="1"/>
  <c r="H66" i="34"/>
  <c r="I66" i="34" s="1"/>
  <c r="H67" i="34"/>
  <c r="I67" i="34" s="1"/>
  <c r="H65" i="34"/>
  <c r="I65" i="34" s="1"/>
  <c r="H64" i="34"/>
  <c r="I64" i="34" s="1"/>
  <c r="H71" i="34"/>
  <c r="I71" i="34" s="1"/>
  <c r="H70" i="34"/>
  <c r="I70" i="34" s="1"/>
  <c r="H69" i="34"/>
  <c r="I69" i="34" s="1"/>
  <c r="H78" i="34"/>
  <c r="I78" i="34" s="1"/>
  <c r="H74" i="34"/>
  <c r="I74" i="34" s="1"/>
  <c r="H81" i="34"/>
  <c r="I81" i="34" s="1"/>
  <c r="H72" i="34"/>
  <c r="I72" i="34" s="1"/>
  <c r="H80" i="34"/>
  <c r="I80" i="34" s="1"/>
  <c r="H73" i="34"/>
  <c r="I73" i="34" s="1"/>
  <c r="H79" i="34"/>
  <c r="I79" i="34" s="1"/>
  <c r="H178" i="34"/>
  <c r="I178" i="34" s="1"/>
  <c r="H180" i="34"/>
  <c r="I180" i="34" s="1"/>
  <c r="H179" i="34"/>
  <c r="I179" i="34" s="1"/>
  <c r="H60" i="34"/>
  <c r="I60" i="34" s="1"/>
  <c r="H59" i="34"/>
  <c r="I59" i="34" s="1"/>
  <c r="H23" i="34"/>
  <c r="I23" i="34" s="1"/>
  <c r="H25" i="34"/>
  <c r="I25" i="34" s="1"/>
  <c r="H27" i="34"/>
  <c r="I27" i="34" s="1"/>
  <c r="H24" i="34"/>
  <c r="I24" i="34" s="1"/>
  <c r="H47" i="34"/>
  <c r="I47" i="34" s="1"/>
  <c r="H48" i="34"/>
  <c r="H16" i="34"/>
  <c r="I16" i="34" s="1"/>
  <c r="H46" i="34"/>
  <c r="I46" i="34" s="1"/>
  <c r="H32" i="34"/>
  <c r="I32" i="34" s="1"/>
  <c r="H45" i="34"/>
  <c r="I45" i="34" s="1"/>
  <c r="H31" i="34"/>
  <c r="I31" i="34" s="1"/>
  <c r="H144" i="34"/>
  <c r="I144" i="34" s="1"/>
  <c r="H143" i="34"/>
  <c r="I143" i="34" s="1"/>
  <c r="H11" i="34"/>
  <c r="I11" i="34" s="1"/>
  <c r="H68" i="34"/>
  <c r="I68" i="34" s="1"/>
  <c r="H63" i="34"/>
  <c r="I63" i="34" s="1"/>
  <c r="H206" i="34"/>
  <c r="I206" i="34" s="1"/>
  <c r="H205" i="34"/>
  <c r="I205" i="34" s="1"/>
  <c r="H148" i="34"/>
  <c r="I148" i="34" s="1"/>
  <c r="H132" i="34"/>
  <c r="I132" i="34" s="1"/>
  <c r="H18" i="34"/>
  <c r="I18" i="34" s="1"/>
  <c r="H49" i="34"/>
  <c r="I49" i="34" s="1"/>
  <c r="H166" i="34"/>
  <c r="I166" i="34" s="1"/>
  <c r="H164" i="34"/>
  <c r="I164" i="34" s="1"/>
  <c r="H30" i="34"/>
  <c r="I30" i="34" s="1"/>
  <c r="H51" i="34"/>
  <c r="I51" i="34" s="1"/>
  <c r="H184" i="34"/>
  <c r="I184" i="34" s="1"/>
  <c r="H55" i="34"/>
  <c r="I55" i="34" s="1"/>
  <c r="H53" i="34"/>
  <c r="I53" i="34" s="1"/>
  <c r="H136" i="34"/>
  <c r="I136" i="34" s="1"/>
  <c r="H56" i="34"/>
  <c r="I56" i="34" s="1"/>
  <c r="H15" i="34"/>
  <c r="I15" i="34" s="1"/>
  <c r="H21" i="34"/>
  <c r="I21" i="34" s="1"/>
  <c r="H177" i="34"/>
  <c r="I177" i="34" s="1"/>
  <c r="H174" i="34"/>
  <c r="I174" i="34" s="1"/>
  <c r="H185" i="34"/>
  <c r="I185" i="34" s="1"/>
  <c r="H8" i="34"/>
  <c r="I8" i="34" s="1"/>
  <c r="H162" i="34"/>
  <c r="I162" i="34" s="1"/>
  <c r="H138" i="34"/>
  <c r="I138" i="34" s="1"/>
  <c r="H161" i="34"/>
  <c r="I161" i="34" s="1"/>
  <c r="H126" i="34"/>
  <c r="I126" i="34" s="1"/>
  <c r="H139" i="34"/>
  <c r="I139" i="34" s="1"/>
  <c r="H133" i="34"/>
  <c r="I133" i="34" s="1"/>
  <c r="H52" i="34"/>
  <c r="I52" i="34" s="1"/>
  <c r="H128" i="34"/>
  <c r="I128" i="34" s="1"/>
  <c r="H134" i="34"/>
  <c r="I134" i="34" s="1"/>
  <c r="H142" i="34"/>
  <c r="I142" i="34" s="1"/>
  <c r="H54" i="34"/>
  <c r="I54" i="34" s="1"/>
  <c r="H183" i="34"/>
  <c r="I183" i="34" s="1"/>
  <c r="H163" i="34"/>
  <c r="I163" i="34" s="1"/>
  <c r="H103" i="34"/>
  <c r="I103" i="34" s="1"/>
  <c r="H14" i="34"/>
  <c r="I14" i="34" s="1"/>
  <c r="H57" i="34"/>
  <c r="I57" i="34" s="1"/>
  <c r="H173" i="34"/>
  <c r="I173" i="34" s="1"/>
  <c r="H9" i="34"/>
  <c r="I9" i="34" s="1"/>
  <c r="H10" i="34"/>
  <c r="I10" i="34" s="1"/>
  <c r="H149" i="34"/>
  <c r="I149" i="34" s="1"/>
  <c r="H58" i="34"/>
  <c r="I58" i="34" s="1"/>
  <c r="H29" i="34"/>
  <c r="I29" i="34" s="1"/>
  <c r="H102" i="34"/>
  <c r="I102" i="34" s="1"/>
  <c r="H127" i="34"/>
  <c r="I127" i="34" s="1"/>
  <c r="H137" i="34"/>
  <c r="I137" i="34" s="1"/>
  <c r="H19" i="34"/>
  <c r="I19" i="34" s="1"/>
  <c r="H125" i="34"/>
  <c r="I125" i="34" s="1"/>
  <c r="H20" i="34"/>
  <c r="I20" i="34" s="1"/>
  <c r="H150" i="34"/>
  <c r="I150" i="34" s="1"/>
  <c r="I99" i="34" l="1"/>
  <c r="I62" i="34"/>
  <c r="I83" i="34"/>
  <c r="I7" i="34"/>
  <c r="I191" i="34"/>
  <c r="I182" i="34"/>
  <c r="I39" i="34"/>
  <c r="I34" i="34"/>
  <c r="I151" i="34"/>
  <c r="I172" i="34"/>
  <c r="I167" i="34"/>
  <c r="L149" i="34"/>
  <c r="I13" i="34"/>
  <c r="I77" i="34"/>
  <c r="I50" i="34"/>
  <c r="I22" i="34"/>
  <c r="I28" i="34"/>
  <c r="I204" i="34"/>
  <c r="I124" i="34"/>
  <c r="I160" i="34"/>
  <c r="I135" i="34"/>
  <c r="C15" i="19" l="1"/>
  <c r="C79" i="19"/>
  <c r="C55" i="19"/>
  <c r="K58" i="19" s="1"/>
  <c r="C67" i="19"/>
  <c r="G70" i="19" s="1"/>
  <c r="C51" i="19"/>
  <c r="L54" i="19" s="1"/>
  <c r="C71" i="19"/>
  <c r="H74" i="19" s="1"/>
  <c r="C83" i="19"/>
  <c r="M86" i="19" s="1"/>
  <c r="C63" i="19"/>
  <c r="L66" i="19" s="1"/>
  <c r="C27" i="19"/>
  <c r="I30" i="19" s="1"/>
  <c r="C23" i="19"/>
  <c r="N26" i="19" s="1"/>
  <c r="I33" i="34"/>
  <c r="C47" i="19"/>
  <c r="M50" i="19" s="1"/>
  <c r="C39" i="19"/>
  <c r="F42" i="19" s="1"/>
  <c r="C59" i="19"/>
  <c r="G62" i="19" s="1"/>
  <c r="C75" i="19"/>
  <c r="K70" i="19"/>
  <c r="L70" i="19"/>
  <c r="M70" i="19"/>
  <c r="N70" i="19"/>
  <c r="F70" i="19"/>
  <c r="H70" i="19"/>
  <c r="F82" i="19"/>
  <c r="M82" i="19"/>
  <c r="N82" i="19"/>
  <c r="K82" i="19"/>
  <c r="L82" i="19"/>
  <c r="J82" i="19"/>
  <c r="I82" i="19"/>
  <c r="H82" i="19"/>
  <c r="G82" i="19"/>
  <c r="N54" i="19"/>
  <c r="K54" i="19"/>
  <c r="L86" i="19"/>
  <c r="I86" i="19"/>
  <c r="G86" i="19"/>
  <c r="L26" i="19"/>
  <c r="N58" i="19"/>
  <c r="I70" i="19"/>
  <c r="J70" i="19"/>
  <c r="K42" i="19"/>
  <c r="L42" i="19"/>
  <c r="M42" i="19"/>
  <c r="N42" i="19"/>
  <c r="K62" i="19"/>
  <c r="C19" i="19"/>
  <c r="J18" i="19"/>
  <c r="K18" i="19"/>
  <c r="L18" i="19"/>
  <c r="M18" i="19"/>
  <c r="N18" i="19"/>
  <c r="J78" i="19"/>
  <c r="K78" i="19"/>
  <c r="L78" i="19"/>
  <c r="M78" i="19"/>
  <c r="N78" i="19"/>
  <c r="I61" i="34"/>
  <c r="J58" i="19"/>
  <c r="F58" i="19"/>
  <c r="G58" i="19"/>
  <c r="H58" i="19"/>
  <c r="G54" i="19"/>
  <c r="J54" i="19"/>
  <c r="F54" i="19"/>
  <c r="I54" i="19"/>
  <c r="H54" i="19"/>
  <c r="H62" i="19"/>
  <c r="F62" i="19"/>
  <c r="H86" i="19" l="1"/>
  <c r="J86" i="19"/>
  <c r="F86" i="19"/>
  <c r="N86" i="19"/>
  <c r="N74" i="19"/>
  <c r="M74" i="19"/>
  <c r="K74" i="19"/>
  <c r="K50" i="19"/>
  <c r="L50" i="19"/>
  <c r="H50" i="19"/>
  <c r="G42" i="19"/>
  <c r="N62" i="19"/>
  <c r="J50" i="19"/>
  <c r="F50" i="19"/>
  <c r="H42" i="19"/>
  <c r="I42" i="19"/>
  <c r="M62" i="19"/>
  <c r="G50" i="19"/>
  <c r="N50" i="19"/>
  <c r="I50" i="19"/>
  <c r="L74" i="19"/>
  <c r="L62" i="19"/>
  <c r="M30" i="19"/>
  <c r="H66" i="19"/>
  <c r="K86" i="19"/>
  <c r="F74" i="19"/>
  <c r="M54" i="19"/>
  <c r="K26" i="19"/>
  <c r="M26" i="19"/>
  <c r="N30" i="19"/>
  <c r="J66" i="19"/>
  <c r="G66" i="19"/>
  <c r="J30" i="19"/>
  <c r="F30" i="19"/>
  <c r="L30" i="19"/>
  <c r="H30" i="19"/>
  <c r="G74" i="19"/>
  <c r="K30" i="19"/>
  <c r="F66" i="19"/>
  <c r="G30" i="19"/>
  <c r="J74" i="19"/>
  <c r="J42" i="19"/>
  <c r="M58" i="19"/>
  <c r="I74" i="19"/>
  <c r="N66" i="19"/>
  <c r="L58" i="19"/>
  <c r="K66" i="19"/>
  <c r="I62" i="19"/>
  <c r="J62" i="19"/>
  <c r="I58" i="19"/>
  <c r="M66" i="19"/>
  <c r="I66" i="19"/>
  <c r="C31" i="19"/>
  <c r="C43" i="19"/>
  <c r="K22" i="19"/>
  <c r="M22" i="19"/>
  <c r="N22" i="19"/>
  <c r="L22" i="19"/>
  <c r="J22" i="19"/>
  <c r="F26" i="19"/>
  <c r="J26" i="19"/>
  <c r="I26" i="19"/>
  <c r="G26" i="19"/>
  <c r="H26" i="19"/>
  <c r="H34" i="19" l="1"/>
  <c r="J34" i="19"/>
  <c r="G34" i="19"/>
  <c r="L34" i="19"/>
  <c r="F34" i="19"/>
  <c r="N34" i="19"/>
  <c r="I34" i="19"/>
  <c r="M34" i="19"/>
  <c r="K34" i="19"/>
  <c r="K46" i="19"/>
  <c r="L46" i="19"/>
  <c r="M46" i="19"/>
  <c r="N46" i="19"/>
  <c r="G46" i="19"/>
  <c r="F46" i="19"/>
  <c r="I46" i="19"/>
  <c r="H46" i="19"/>
  <c r="J46" i="19"/>
  <c r="F22" i="19"/>
  <c r="F18" i="19"/>
  <c r="H18" i="19"/>
  <c r="G18" i="19"/>
  <c r="I18" i="19"/>
  <c r="G22" i="19" l="1"/>
  <c r="I22" i="19"/>
  <c r="H22" i="19"/>
  <c r="I26" i="17" l="1"/>
  <c r="I25" i="17" l="1"/>
  <c r="I22" i="17" s="1"/>
  <c r="H78" i="19" l="1"/>
  <c r="F78" i="19"/>
  <c r="G78" i="19"/>
  <c r="I78" i="19"/>
  <c r="E89" i="19" l="1"/>
  <c r="F47" i="17" l="1"/>
  <c r="I47" i="17" s="1"/>
  <c r="I43" i="17" s="1"/>
  <c r="I202" i="17" s="1"/>
  <c r="F48" i="34"/>
  <c r="I48" i="34" s="1"/>
  <c r="L42" i="35"/>
  <c r="I44" i="34" l="1"/>
  <c r="I210" i="34"/>
  <c r="C35" i="19"/>
  <c r="J6" i="45" l="1"/>
  <c r="J5" i="45"/>
  <c r="J9" i="45"/>
  <c r="J4" i="45"/>
  <c r="J10" i="45"/>
  <c r="J7" i="45"/>
  <c r="J11" i="45"/>
  <c r="K48" i="34"/>
  <c r="K227" i="34"/>
  <c r="M211" i="34"/>
  <c r="K210" i="34"/>
  <c r="K38" i="34"/>
  <c r="K35" i="34"/>
  <c r="K30" i="34"/>
  <c r="K73" i="34"/>
  <c r="K68" i="34"/>
  <c r="K143" i="34"/>
  <c r="K144" i="34"/>
  <c r="K29" i="34"/>
  <c r="K71" i="34"/>
  <c r="K183" i="34"/>
  <c r="K195" i="34"/>
  <c r="K85" i="34"/>
  <c r="K200" i="34"/>
  <c r="K57" i="34"/>
  <c r="K95" i="34"/>
  <c r="K25" i="34"/>
  <c r="K93" i="34"/>
  <c r="K92" i="34"/>
  <c r="K26" i="34"/>
  <c r="K19" i="34"/>
  <c r="K207" i="34"/>
  <c r="K89" i="34"/>
  <c r="K165" i="34"/>
  <c r="K198" i="34"/>
  <c r="K18" i="34"/>
  <c r="K164" i="34"/>
  <c r="K206" i="34"/>
  <c r="K107" i="34"/>
  <c r="K69" i="34"/>
  <c r="K174" i="34"/>
  <c r="K58" i="34"/>
  <c r="K31" i="34"/>
  <c r="K171" i="34"/>
  <c r="K158" i="34"/>
  <c r="K112" i="34"/>
  <c r="K129" i="34"/>
  <c r="K81" i="34"/>
  <c r="K175" i="34"/>
  <c r="K11" i="34"/>
  <c r="K202" i="34"/>
  <c r="K76" i="34"/>
  <c r="K208" i="34"/>
  <c r="K184" i="34"/>
  <c r="K192" i="34"/>
  <c r="K156" i="34"/>
  <c r="K190" i="34"/>
  <c r="K98" i="34"/>
  <c r="K88" i="34"/>
  <c r="K60" i="34"/>
  <c r="K63" i="34"/>
  <c r="K127" i="34"/>
  <c r="K149" i="34"/>
  <c r="K15" i="34"/>
  <c r="K10" i="34"/>
  <c r="K16" i="34"/>
  <c r="K118" i="34"/>
  <c r="K147" i="34"/>
  <c r="K201" i="34"/>
  <c r="K122" i="34"/>
  <c r="K176" i="34"/>
  <c r="K166" i="34"/>
  <c r="K91" i="34"/>
  <c r="K97" i="34"/>
  <c r="K108" i="34"/>
  <c r="K130" i="34"/>
  <c r="K209" i="34"/>
  <c r="K196" i="34"/>
  <c r="K137" i="34"/>
  <c r="K148" i="34"/>
  <c r="K90" i="34"/>
  <c r="K205" i="34"/>
  <c r="K188" i="34"/>
  <c r="K75" i="34"/>
  <c r="K96" i="34"/>
  <c r="K8" i="34"/>
  <c r="K23" i="34"/>
  <c r="K87" i="34"/>
  <c r="K37" i="34"/>
  <c r="K189" i="34"/>
  <c r="K185" i="34"/>
  <c r="K21" i="34"/>
  <c r="K46" i="34"/>
  <c r="K9" i="34"/>
  <c r="K114" i="34"/>
  <c r="K109" i="34"/>
  <c r="K111" i="34"/>
  <c r="K173" i="34"/>
  <c r="K14" i="34"/>
  <c r="K47" i="34"/>
  <c r="K43" i="34"/>
  <c r="K94" i="34"/>
  <c r="K161" i="34"/>
  <c r="K134" i="34"/>
  <c r="K180" i="34"/>
  <c r="K84" i="34"/>
  <c r="K41" i="34"/>
  <c r="K153" i="34"/>
  <c r="K181" i="34"/>
  <c r="K168" i="34"/>
  <c r="K80" i="34"/>
  <c r="K74" i="34"/>
  <c r="K162" i="34"/>
  <c r="K150" i="34"/>
  <c r="K136" i="34"/>
  <c r="K132" i="34"/>
  <c r="K155" i="34"/>
  <c r="K177" i="34"/>
  <c r="K32" i="34"/>
  <c r="K65" i="34"/>
  <c r="K56" i="34"/>
  <c r="K70" i="34"/>
  <c r="K54" i="34"/>
  <c r="K105" i="34"/>
  <c r="K12" i="34"/>
  <c r="K27" i="34"/>
  <c r="K146" i="34"/>
  <c r="K187" i="34"/>
  <c r="K141" i="34"/>
  <c r="K128" i="34"/>
  <c r="K24" i="34"/>
  <c r="K106" i="34"/>
  <c r="K179" i="34"/>
  <c r="K42" i="34"/>
  <c r="K152" i="34"/>
  <c r="K140" i="34"/>
  <c r="K104" i="34"/>
  <c r="K193" i="34"/>
  <c r="K199" i="34"/>
  <c r="K131" i="34"/>
  <c r="K79" i="34"/>
  <c r="K78" i="34"/>
  <c r="K45" i="34"/>
  <c r="L47" i="34" s="1"/>
  <c r="K64" i="34"/>
  <c r="K82" i="34"/>
  <c r="K72" i="34"/>
  <c r="K197" i="34"/>
  <c r="K194" i="34"/>
  <c r="K17" i="34"/>
  <c r="K169" i="34"/>
  <c r="K110" i="34"/>
  <c r="K59" i="34"/>
  <c r="K142" i="34"/>
  <c r="K49" i="34"/>
  <c r="K117" i="34"/>
  <c r="K113" i="34"/>
  <c r="K178" i="34"/>
  <c r="K125" i="34"/>
  <c r="K121" i="34"/>
  <c r="K51" i="34"/>
  <c r="K203" i="34"/>
  <c r="K145" i="34"/>
  <c r="K139" i="34"/>
  <c r="K67" i="34"/>
  <c r="K123" i="34"/>
  <c r="K55" i="34"/>
  <c r="K126" i="34"/>
  <c r="K115" i="34"/>
  <c r="K103" i="34"/>
  <c r="K163" i="34"/>
  <c r="K159" i="34"/>
  <c r="K40" i="34"/>
  <c r="K100" i="34"/>
  <c r="K102" i="34"/>
  <c r="K101" i="34"/>
  <c r="K53" i="34"/>
  <c r="K157" i="34"/>
  <c r="K86" i="34"/>
  <c r="K119" i="34"/>
  <c r="K138" i="34"/>
  <c r="K120" i="34"/>
  <c r="K133" i="34"/>
  <c r="K20" i="34"/>
  <c r="K170" i="34"/>
  <c r="K66" i="34"/>
  <c r="K154" i="34"/>
  <c r="K52" i="34"/>
  <c r="K36" i="34"/>
  <c r="K116" i="34"/>
  <c r="K186" i="34"/>
  <c r="K167" i="34"/>
  <c r="K182" i="34"/>
  <c r="K160" i="34"/>
  <c r="K7" i="34"/>
  <c r="K39" i="34"/>
  <c r="K13" i="34"/>
  <c r="K34" i="34"/>
  <c r="K77" i="34"/>
  <c r="K191" i="34"/>
  <c r="K99" i="34"/>
  <c r="K62" i="34"/>
  <c r="K151" i="34"/>
  <c r="K124" i="34"/>
  <c r="K172" i="34"/>
  <c r="K83" i="34"/>
  <c r="K135" i="34"/>
  <c r="K50" i="34"/>
  <c r="K22" i="34"/>
  <c r="K28" i="34"/>
  <c r="K204" i="34"/>
  <c r="K61" i="34"/>
  <c r="K33" i="34"/>
  <c r="K44" i="34"/>
  <c r="M218" i="34"/>
  <c r="K38" i="19"/>
  <c r="K87" i="19" s="1"/>
  <c r="N38" i="19"/>
  <c r="N87" i="19" s="1"/>
  <c r="M38" i="19"/>
  <c r="M87" i="19" s="1"/>
  <c r="L38" i="19"/>
  <c r="L87" i="19" s="1"/>
  <c r="H38" i="19"/>
  <c r="H87" i="19" s="1"/>
  <c r="I38" i="19"/>
  <c r="I87" i="19" s="1"/>
  <c r="J38" i="19"/>
  <c r="J87" i="19" s="1"/>
  <c r="C87" i="19"/>
  <c r="F38" i="19"/>
  <c r="F87" i="19" s="1"/>
  <c r="G38" i="19"/>
  <c r="G87" i="19" s="1"/>
  <c r="L112" i="34" l="1"/>
  <c r="G88" i="19"/>
  <c r="L88" i="19"/>
  <c r="J88" i="19"/>
  <c r="E88" i="19"/>
  <c r="E90" i="19"/>
  <c r="M88" i="19"/>
  <c r="F88" i="19"/>
  <c r="F89" i="19"/>
  <c r="I88" i="19"/>
  <c r="K88" i="19"/>
  <c r="H88" i="19"/>
  <c r="O87" i="19"/>
  <c r="O88" i="19" s="1"/>
  <c r="N88" i="19"/>
  <c r="F90" i="19" l="1"/>
  <c r="G89" i="19"/>
  <c r="H89" i="19" l="1"/>
  <c r="G90" i="19"/>
  <c r="I89" i="19" l="1"/>
  <c r="H90" i="19"/>
  <c r="J89" i="19" l="1"/>
  <c r="I90" i="19"/>
  <c r="K89" i="19" l="1"/>
  <c r="J90" i="19"/>
  <c r="L89" i="19" l="1"/>
  <c r="K90" i="19"/>
  <c r="M89" i="19" l="1"/>
  <c r="L90" i="19"/>
  <c r="M90" i="19" l="1"/>
  <c r="N89" i="19"/>
  <c r="O89" i="19" l="1"/>
  <c r="O90" i="19" s="1"/>
  <c r="N90" i="19"/>
</calcChain>
</file>

<file path=xl/sharedStrings.xml><?xml version="1.0" encoding="utf-8"?>
<sst xmlns="http://schemas.openxmlformats.org/spreadsheetml/2006/main" count="61041" uniqueCount="21998">
  <si>
    <t>CÓDIGO</t>
  </si>
  <si>
    <t>DESCRIÇÃO</t>
  </si>
  <si>
    <t>m²</t>
  </si>
  <si>
    <t>FONTE</t>
  </si>
  <si>
    <t>UNID.</t>
  </si>
  <si>
    <t>QUANT.</t>
  </si>
  <si>
    <t>VALOR UNIT.</t>
  </si>
  <si>
    <t>TOTAL</t>
  </si>
  <si>
    <t>1.0</t>
  </si>
  <si>
    <t>TOTAL GERAL</t>
  </si>
  <si>
    <t>02.08.040</t>
  </si>
  <si>
    <t>11.18.140</t>
  </si>
  <si>
    <t>54.01.210</t>
  </si>
  <si>
    <t>54.03.210</t>
  </si>
  <si>
    <t>54.03.230</t>
  </si>
  <si>
    <t>54.03.240</t>
  </si>
  <si>
    <t>54.06.040</t>
  </si>
  <si>
    <t>54.06.170</t>
  </si>
  <si>
    <t>97.05.140</t>
  </si>
  <si>
    <t>BDI adotado</t>
  </si>
  <si>
    <t>2.0</t>
  </si>
  <si>
    <t>3.0</t>
  </si>
  <si>
    <t>VALOR COM BDI</t>
  </si>
  <si>
    <t>Referência</t>
  </si>
  <si>
    <t xml:space="preserve"> Descrição</t>
  </si>
  <si>
    <t>Material</t>
  </si>
  <si>
    <t>Mão de Obra</t>
  </si>
  <si>
    <t>Custo Total</t>
  </si>
  <si>
    <t>RUA PRUDENTE DE MORAES, 93, CENTRO, CEP 12380-970 - SANTA BRANCA - SP</t>
  </si>
  <si>
    <t>MUNICÍPIO DE SANTA BRANCA -  Secretaria Municipal de Serviços, Obras e Transportes</t>
  </si>
  <si>
    <t xml:space="preserve">MUNICÍPIO DE SANTA BRANCA </t>
  </si>
  <si>
    <t>Secretaria Municipal de Serviços, Obras e Transportes</t>
  </si>
  <si>
    <t>CRONOGRAMA FÍSICO-FINANCEIRO</t>
  </si>
  <si>
    <t>ITEM</t>
  </si>
  <si>
    <t>SERVIÇOS</t>
  </si>
  <si>
    <t>SERVIÇOS PRELIMINARES</t>
  </si>
  <si>
    <t>% Executada</t>
  </si>
  <si>
    <t>% Acumulada</t>
  </si>
  <si>
    <t>Cronograma</t>
  </si>
  <si>
    <t>Vencimento</t>
  </si>
  <si>
    <t>R$ ACUMULADO PERÍODO</t>
  </si>
  <si>
    <t>% ACUMULADA TOTAL</t>
  </si>
  <si>
    <t>Secretário Municipal de Serviços, Obras e Transportes</t>
  </si>
  <si>
    <t>1.1</t>
  </si>
  <si>
    <t>2.2</t>
  </si>
  <si>
    <t>2.3</t>
  </si>
  <si>
    <t>3.1</t>
  </si>
  <si>
    <t>3.2</t>
  </si>
  <si>
    <t>3.3</t>
  </si>
  <si>
    <t>Item</t>
  </si>
  <si>
    <t>1º quartil</t>
  </si>
  <si>
    <t>3º quartil</t>
  </si>
  <si>
    <t>Médio</t>
  </si>
  <si>
    <t>Identificação</t>
  </si>
  <si>
    <t>AC</t>
  </si>
  <si>
    <t>Administração Central</t>
  </si>
  <si>
    <t>S e G</t>
  </si>
  <si>
    <t>Seguro e Garantia</t>
  </si>
  <si>
    <t>R</t>
  </si>
  <si>
    <t>Risco</t>
  </si>
  <si>
    <t>DF</t>
  </si>
  <si>
    <t>Despesas Financeiras</t>
  </si>
  <si>
    <t>L</t>
  </si>
  <si>
    <t>Lucro</t>
  </si>
  <si>
    <t>I *</t>
  </si>
  <si>
    <t>conforme legislação</t>
  </si>
  <si>
    <t>Tributos *</t>
  </si>
  <si>
    <t>BDI A SER ADOTADO (sem desoneração)</t>
  </si>
  <si>
    <t>Verificação:</t>
  </si>
  <si>
    <t>* Em geral, os tributos ( I ) aplicáveis são PIS (0,65%), COFINS (3%) e ISS (variável, conforme</t>
  </si>
  <si>
    <t>Município, de 2 a 5% e, em alguns casos, isento).</t>
  </si>
  <si>
    <t>** Caso a empresa seja tributada de forma diferente, alterar os valores abaixo:</t>
  </si>
  <si>
    <t>TRIBUTOS</t>
  </si>
  <si>
    <t>%</t>
  </si>
  <si>
    <t>PIS**</t>
  </si>
  <si>
    <t>COFINS**</t>
  </si>
  <si>
    <t>Cont. Previd.</t>
  </si>
  <si>
    <t>(Contribuição Previdenciária sobre a receita bruta, no caso de desoneração na folha)</t>
  </si>
  <si>
    <t>ISS</t>
  </si>
  <si>
    <t>Total</t>
  </si>
  <si>
    <r>
      <t>Declaramos que, conforme</t>
    </r>
    <r>
      <rPr>
        <b/>
        <sz val="10"/>
        <rFont val="Arial"/>
        <family val="2"/>
      </rPr>
      <t xml:space="preserve"> legislação tributária municipal</t>
    </r>
    <r>
      <rPr>
        <sz val="10"/>
        <rFont val="Arial"/>
        <family val="2"/>
      </rPr>
      <t>, a base de cálculo do ISS é de</t>
    </r>
  </si>
  <si>
    <t xml:space="preserve">sobre o valor da obra e a aliquota do ISS aplicável no Município é de </t>
  </si>
  <si>
    <t>← (limitado a 5,00%)</t>
  </si>
  <si>
    <t>FÓRMULA</t>
  </si>
  <si>
    <r>
      <t xml:space="preserve">BDI calculado pela expressão:
</t>
    </r>
    <r>
      <rPr>
        <b/>
        <sz val="10"/>
        <rFont val="Arial"/>
        <family val="2"/>
      </rPr>
      <t>BDI = { [ (1+AC/100+S/100+R/100+G/100) x (1+DF/100) x (1+L/100) / (1-I/100)] -1} x 100</t>
    </r>
  </si>
  <si>
    <r>
      <t>Cálculo do BDI - SEM DESONERAÇÃO</t>
    </r>
    <r>
      <rPr>
        <b/>
        <sz val="13"/>
        <rFont val="Arial"/>
        <family val="2"/>
      </rPr>
      <t xml:space="preserve">
</t>
    </r>
    <r>
      <rPr>
        <sz val="12"/>
        <rFont val="Arial"/>
        <family val="2"/>
      </rPr>
      <t>Fórmula e parâmetros estabelecidos pelo Acórdão 2622/2013-TCU-Plenário</t>
    </r>
  </si>
  <si>
    <r>
      <rPr>
        <b/>
        <sz val="14"/>
        <rFont val="Arial"/>
        <family val="2"/>
      </rPr>
      <t>←</t>
    </r>
    <r>
      <rPr>
        <b/>
        <sz val="10"/>
        <rFont val="Arial"/>
        <family val="2"/>
      </rPr>
      <t xml:space="preserve">  limite 19,60% a 24,23% (sem desoneração)</t>
    </r>
  </si>
  <si>
    <t>Altura [m]</t>
  </si>
  <si>
    <t>Área [m²]</t>
  </si>
  <si>
    <t>Largura [m]</t>
  </si>
  <si>
    <t>70.02.016</t>
  </si>
  <si>
    <t>70.03.003</t>
  </si>
  <si>
    <t>70.06.011</t>
  </si>
  <si>
    <t>70.06.012</t>
  </si>
  <si>
    <t>4º MÊS</t>
  </si>
  <si>
    <t xml:space="preserve">% EXECUTADA </t>
  </si>
  <si>
    <t>BOLETIM REFERENCIAL DE CUSTOS - TABELA DE SERVIÇOS</t>
  </si>
  <si>
    <t>CDHU</t>
  </si>
  <si>
    <t>Comprimento [m]</t>
  </si>
  <si>
    <t>Joel Frederico Pereira Junior</t>
  </si>
  <si>
    <t>Engenheiro Civil - CREA/SP: 5063632920</t>
  </si>
  <si>
    <t>COMPANHIA DE DESENVOLVIMENTO HABITACIONAL E URBANO</t>
  </si>
  <si>
    <t>DO ESTADO DE SÃO PAULO</t>
  </si>
  <si>
    <t>SEM DESONERAÇÃO</t>
  </si>
  <si>
    <t>BDI :</t>
  </si>
  <si>
    <t>L.S.:</t>
  </si>
  <si>
    <t>AutoCAD</t>
  </si>
  <si>
    <t>Elemento</t>
  </si>
  <si>
    <t>PLANILHA ORÇAMENTÁRIA - RECOMPOSIÇÃO ASFÁLTICA DE TRECHO DE VIA PÚBLICA</t>
  </si>
  <si>
    <t>4.0</t>
  </si>
  <si>
    <t>4.1</t>
  </si>
  <si>
    <t>4.2</t>
  </si>
  <si>
    <t>4.3</t>
  </si>
  <si>
    <t>5º MÊS</t>
  </si>
  <si>
    <t>MOBILIZAÇÃO</t>
  </si>
  <si>
    <t>Arthur Ribeiro Alvares Pimenta</t>
  </si>
  <si>
    <t>Engenheiro Civil - CREA/SP: 5069103559</t>
  </si>
  <si>
    <t>2.1</t>
  </si>
  <si>
    <t>Sarjeta ou sarjetão moldado no local, tipo PMSP em concreto com fck 25 MPa</t>
  </si>
  <si>
    <t>Sarjeta ou sarjetão moldado no local, tipo PMSP em concreto com fck 20 MPa</t>
  </si>
  <si>
    <t>Sinalização horizontal em massa termoplástica à quente por extrusão, espessura de 3,0 mm, para faixas</t>
  </si>
  <si>
    <t>Sinalização horizontal em massa termoplástica à quente por aspersão, espessura de 1,5 mm, para faixas</t>
  </si>
  <si>
    <t>Sinalização horizontal em laminado elastoplástico retrorefletivo e antiderrapante, para símbolos e letras</t>
  </si>
  <si>
    <t>Sinalização horizontal em massa termoplástica à quente por extrusão, espessura de 3,0 mm, para legendas</t>
  </si>
  <si>
    <t>Sinalização horizontal em tinta a base de resina acrílica emulsionada em água</t>
  </si>
  <si>
    <t>Escavação mecanizada de valas ou cavas com profundidade acima de 4 m, com escavadeira hidráulica</t>
  </si>
  <si>
    <t>Escavação e carga mecanizada em campo aberto, com rompedor hidráulico, em rocha</t>
  </si>
  <si>
    <t>Compactação de aterro mecanizado mínimo de 95% PN, sem fornecimento de solo em áreas fechadas</t>
  </si>
  <si>
    <t>Compactação de aterro mecanizado mínimo de 95% PN, sem fornecimento de solo em campo aberto</t>
  </si>
  <si>
    <t>Compactação de aterro mecanizado a 100% PN, sem fornecimento de solo em campo aberto</t>
  </si>
  <si>
    <t>Aterro mecanizado por compensação, solo de 1ª categoria em campo aberto, sem compactação do aterro</t>
  </si>
  <si>
    <t>Lançamento, espalhamento e adensamento de concreto ou massa em lastro e/ou enchimento</t>
  </si>
  <si>
    <t>Leito para cabos, tipo pesado, em aço galvanizado de 300 x 100 mm - com acessórios</t>
  </si>
  <si>
    <t>Leito para cabos, tipo pesado, em aço galvanizado de 400 x 100 mm - com acessórios</t>
  </si>
  <si>
    <t>Leito para cabos, tipo pesado, em aço galvanizado de 600 x 100 mm - com acessórios</t>
  </si>
  <si>
    <t>Leito para cabos, tipo pesado, em aço galvanizado de 500 x 100 mm - com acessórios</t>
  </si>
  <si>
    <t>Leito para cabos, tipo pesado, em aço galvanizado de 800 x 100 mm - com acessórios</t>
  </si>
  <si>
    <t>Eletroduto corrugado em polietileno de alta densidade, DN= 30 mm, com acessórios</t>
  </si>
  <si>
    <t>Eletroduto corrugado em polietileno de alta densidade, DN= 40 mm, com acessórios</t>
  </si>
  <si>
    <t>Eletroduto corrugado em polietileno de alta densidade, DN= 50 mm, com acessórios</t>
  </si>
  <si>
    <t>Eletroduto corrugado em polietileno de alta densidade, DN= 75 mm, com acessórios</t>
  </si>
  <si>
    <t>Eletroduto corrugado em polietileno de alta densidade, DN= 100 mm, com acessórios</t>
  </si>
  <si>
    <t>Eletroduto corrugado em polietileno de alta densidade, DN= 125 mm, com acessórios</t>
  </si>
  <si>
    <t>Eletroduto corrugado em polietileno de alta densidade, DN= 150 mm, com acessórios</t>
  </si>
  <si>
    <t>Cabo de cobre flexível de 1,5 mm², isolamento 0,6/1kV - isolação HEPR 90°C</t>
  </si>
  <si>
    <t>Cabo de cobre flexível de 2,5 mm², isolamento 0,6/1kV - isolação HEPR 90°C</t>
  </si>
  <si>
    <t>Cabo de cobre flexível de 4 mm², isolamento 0,6/1kV - isolação HEPR 90°C</t>
  </si>
  <si>
    <t>Cabo de cobre flexível de 6 mm², isolamento 0,6/1kV - isolação HEPR 90°C</t>
  </si>
  <si>
    <t>Cabo de cobre flexível de 10 mm², isolamento 0,6/1kV - isolação HEPR 90°C</t>
  </si>
  <si>
    <t>Cabo de cobre flexível de 16 mm², isolamento 0,6/1kV - isolação HEPR 90°C</t>
  </si>
  <si>
    <t>Cabo de cobre flexível de 25 mm², isolamento 0,6/1kV - isolação HEPR 90°C</t>
  </si>
  <si>
    <t>Cabo de cobre flexível de 35 mm², isolamento 0,6/1kV - isolação HEPR 90°C</t>
  </si>
  <si>
    <t>Cabo de cobre flexível de 50 mm², isolamento 0,6/1kV - isolação HEPR 90°C</t>
  </si>
  <si>
    <t>Cabo de cobre flexível de 70 mm², isolamento 0,6/1kV - isolação HEPR 90°C</t>
  </si>
  <si>
    <t>Cabo de cobre flexível de 95 mm², isolamento 0,6/1kV - isolação HEPR 90°C</t>
  </si>
  <si>
    <t>Cabo de cobre flexível de 120 mm², isolamento 0,6/1kV - isolação HEPR 90°C</t>
  </si>
  <si>
    <t>Cabo de cobre flexível de 150 mm², isolamento 0,6/1 kV - isolação HEPR 90°C</t>
  </si>
  <si>
    <t>Cabo de cobre flexível de 185 mm², isolamento 0,6/1kV - isolação HEPR 90°C</t>
  </si>
  <si>
    <t>Cabo de cobre flexível de 240 mm², isolamento 0,6/1kV - isolação HEPR 90°C</t>
  </si>
  <si>
    <t>Cabo de cobre flexível de 2 x 2,5 mm², isolamento 0,6/1 kV - isolação HEPR 90°C</t>
  </si>
  <si>
    <t>Cabo de cobre flexível de 3 x 1,5 mm², isolamento 0,6/1 kV - isolação HEPR 90°C</t>
  </si>
  <si>
    <t>Cabo de cobre flexível de 3 x 2,5 mm², isolamento 0,6/1 kV - isolação HEPR 90°C</t>
  </si>
  <si>
    <t>Cabo de cobre flexível de 3 x 10 mm², isolamento 0,6/1 kV - isolação HEPR 90°C</t>
  </si>
  <si>
    <t>Cabo de cobre flexível de 3 x 25 mm², isolamento 0,6/1 kV - isolação HEPR 90°C</t>
  </si>
  <si>
    <t>Cabo de cobre flexível de 3 x 35 mm², isolamento 0,6/1 kV - isolação HEPR 90°C</t>
  </si>
  <si>
    <t>Cabo de cobre flexível de 4 x 10 mm², isolamento 0,6/1 kV - isolação HEPR 90°C</t>
  </si>
  <si>
    <t>Caixa de passagem em chapa, com tampa parafusada, 200 x 200 x 100 mm</t>
  </si>
  <si>
    <t>Caixa de passagem em chapa, com tampa parafusada, 300 x 300 x 120 mm</t>
  </si>
  <si>
    <t>Caixa de passagem em chapa, com tampa parafusada, 400 x 400 x 150 mm</t>
  </si>
  <si>
    <t>Caixa de passagem em chapa, com tampa parafusada, 500 x 500 x 150 mm</t>
  </si>
  <si>
    <t>Caixa em alumínio fundido à prova de tempo, umidade, gases, vapores e pó, 150 x 150 x 150 mm</t>
  </si>
  <si>
    <t>Caixa em alumínio fundido à prova de tempo, umidade, gases, vapores e pó, 200 x 200 x 200 mm</t>
  </si>
  <si>
    <t>Caixa em alumínio fundido à prova de tempo, umidade, gases, vapores e pó, 240 x 240 x 150 mm</t>
  </si>
  <si>
    <t>Caixa em alumínio fundido à prova de tempo, umidade, gases, vapores e pó, 445 x 350 x 220 mm</t>
  </si>
  <si>
    <t>Luminária blindada de sobrepor ou pendente em calha fechada, para 2 lâmpadas fluorescentes de 32 W/36 W/40 W</t>
  </si>
  <si>
    <t>Luminária blindada oval de sobrepor ou arandela, para lâmpada fluorescentes compacta</t>
  </si>
  <si>
    <t>Regularização e compactação mecanizada de superfície, sem controle do proctor normal</t>
  </si>
  <si>
    <t>Abertura e preparo de caixa até 40 cm, compactação do subleito mínimo de 95% do PN e transporte até o raio de 1 km</t>
  </si>
  <si>
    <t>Abertura de caixa até 25 cm, inclui escavação, compactação, transporte e preparo do sub-leito</t>
  </si>
  <si>
    <t>Sinalização horizontal em laminado elastoplástico retrorefletivo e antiderrapante, para faixas</t>
  </si>
  <si>
    <t>1.2</t>
  </si>
  <si>
    <t>54.01.030</t>
  </si>
  <si>
    <t>54.01.400</t>
  </si>
  <si>
    <t>CREA/SP: 5069103559</t>
  </si>
  <si>
    <t>LOCAL DA OBRA: RUA PADRE ÁLVARO RUIZ, JARDIM OLÍMPIA - SANTA BRANCA - SP</t>
  </si>
  <si>
    <t>DEMONSTRATIVO DE COMPOSIÇÃO DO BDI (acórdào 2622/2013-TCU-Plenário)</t>
  </si>
  <si>
    <t>Prefeitura do Município de Santa Branca</t>
  </si>
  <si>
    <t>Processo nº ST-PRC_2021-00146-DM</t>
  </si>
  <si>
    <t>Convênio nº</t>
  </si>
  <si>
    <t>Data da Elaboração: 02/09/2021</t>
  </si>
  <si>
    <t>Declaramos sob pena da Lei que a alternativa adotada pela Prefeitura do Município de Santa Branca é Sem Desoneração e que é a mais vantajosa para a Administração Pública.</t>
  </si>
  <si>
    <t>Santa Branca, 02 de setembro de 2021.</t>
  </si>
  <si>
    <t>Hudson de Melo Domiciano</t>
  </si>
  <si>
    <t>Responsável Técnico</t>
  </si>
  <si>
    <t>Gestor Contábil</t>
  </si>
  <si>
    <t>CRC-SP 1SP302996/O-1</t>
  </si>
  <si>
    <t>Objeto: XXXXXXXXXXXXX</t>
  </si>
  <si>
    <r>
      <rPr>
        <b/>
        <i/>
        <sz val="8"/>
        <rFont val="Arial"/>
        <family val="2"/>
      </rPr>
      <t>Referência</t>
    </r>
  </si>
  <si>
    <r>
      <rPr>
        <b/>
        <i/>
        <sz val="8"/>
        <rFont val="Arial"/>
        <family val="2"/>
      </rPr>
      <t>Descrição</t>
    </r>
  </si>
  <si>
    <r>
      <rPr>
        <b/>
        <i/>
        <sz val="8"/>
        <rFont val="Arial"/>
        <family val="2"/>
      </rPr>
      <t>Un</t>
    </r>
  </si>
  <si>
    <r>
      <rPr>
        <b/>
        <i/>
        <sz val="8"/>
        <rFont val="Arial"/>
        <family val="2"/>
      </rPr>
      <t>Material</t>
    </r>
  </si>
  <si>
    <r>
      <rPr>
        <b/>
        <i/>
        <sz val="8"/>
        <rFont val="Arial"/>
        <family val="2"/>
      </rPr>
      <t>Mão de Obra</t>
    </r>
  </si>
  <si>
    <r>
      <rPr>
        <b/>
        <i/>
        <sz val="8"/>
        <rFont val="Arial"/>
        <family val="2"/>
      </rPr>
      <t>Custo Total</t>
    </r>
  </si>
  <si>
    <r>
      <rPr>
        <sz val="8.5"/>
        <rFont val="Calibri"/>
        <family val="2"/>
      </rPr>
      <t>UN</t>
    </r>
  </si>
  <si>
    <r>
      <rPr>
        <sz val="8.5"/>
        <rFont val="Calibri"/>
        <family val="2"/>
      </rPr>
      <t>M2</t>
    </r>
  </si>
  <si>
    <r>
      <rPr>
        <sz val="8.5"/>
        <rFont val="Calibri"/>
        <family val="2"/>
      </rPr>
      <t>0,39</t>
    </r>
  </si>
  <si>
    <r>
      <rPr>
        <sz val="8.5"/>
        <rFont val="Calibri"/>
        <family val="2"/>
      </rPr>
      <t>0,79</t>
    </r>
  </si>
  <si>
    <r>
      <rPr>
        <sz val="8.5"/>
        <rFont val="Calibri"/>
        <family val="2"/>
      </rPr>
      <t>0,35</t>
    </r>
  </si>
  <si>
    <r>
      <rPr>
        <sz val="8.5"/>
        <rFont val="Calibri"/>
        <family val="2"/>
      </rPr>
      <t>0,42</t>
    </r>
  </si>
  <si>
    <r>
      <rPr>
        <sz val="8.5"/>
        <rFont val="Calibri"/>
        <family val="2"/>
      </rPr>
      <t>0,33</t>
    </r>
  </si>
  <si>
    <r>
      <rPr>
        <sz val="8.5"/>
        <rFont val="Calibri"/>
        <family val="2"/>
      </rPr>
      <t>0,67</t>
    </r>
  </si>
  <si>
    <r>
      <rPr>
        <sz val="8.5"/>
        <rFont val="Calibri"/>
        <family val="2"/>
      </rPr>
      <t>0,71</t>
    </r>
  </si>
  <si>
    <r>
      <rPr>
        <sz val="8.5"/>
        <rFont val="Calibri"/>
        <family val="2"/>
      </rPr>
      <t>0,58</t>
    </r>
  </si>
  <si>
    <r>
      <rPr>
        <sz val="8.5"/>
        <rFont val="Calibri"/>
        <family val="2"/>
      </rPr>
      <t>0,23</t>
    </r>
  </si>
  <si>
    <r>
      <rPr>
        <sz val="8.5"/>
        <rFont val="Calibri"/>
        <family val="2"/>
      </rPr>
      <t>0,48</t>
    </r>
  </si>
  <si>
    <r>
      <rPr>
        <sz val="8.5"/>
        <rFont val="Calibri"/>
        <family val="2"/>
      </rPr>
      <t>0,82</t>
    </r>
  </si>
  <si>
    <r>
      <rPr>
        <sz val="8.5"/>
        <rFont val="Calibri"/>
        <family val="2"/>
      </rPr>
      <t>0,17</t>
    </r>
  </si>
  <si>
    <r>
      <rPr>
        <sz val="8.5"/>
        <rFont val="Calibri"/>
        <family val="2"/>
      </rPr>
      <t>0,45</t>
    </r>
  </si>
  <si>
    <r>
      <rPr>
        <sz val="8.5"/>
        <rFont val="Calibri"/>
        <family val="2"/>
      </rPr>
      <t>0,13</t>
    </r>
  </si>
  <si>
    <r>
      <rPr>
        <sz val="8.5"/>
        <rFont val="Calibri"/>
        <family val="2"/>
      </rPr>
      <t>0,09</t>
    </r>
  </si>
  <si>
    <r>
      <rPr>
        <sz val="8.5"/>
        <rFont val="Calibri"/>
        <family val="2"/>
      </rPr>
      <t>0,07</t>
    </r>
  </si>
  <si>
    <r>
      <rPr>
        <sz val="8.5"/>
        <rFont val="Calibri"/>
        <family val="2"/>
      </rPr>
      <t>M</t>
    </r>
  </si>
  <si>
    <r>
      <rPr>
        <sz val="8.5"/>
        <rFont val="Calibri"/>
        <family val="2"/>
      </rPr>
      <t>3,13</t>
    </r>
  </si>
  <si>
    <r>
      <rPr>
        <sz val="8.5"/>
        <rFont val="Calibri"/>
        <family val="2"/>
      </rPr>
      <t>4,36</t>
    </r>
  </si>
  <si>
    <r>
      <rPr>
        <sz val="8.5"/>
        <rFont val="Calibri"/>
        <family val="2"/>
      </rPr>
      <t>32,16</t>
    </r>
  </si>
  <si>
    <r>
      <rPr>
        <sz val="8.5"/>
        <rFont val="Calibri"/>
        <family val="2"/>
      </rPr>
      <t>21,78</t>
    </r>
  </si>
  <si>
    <r>
      <rPr>
        <sz val="8.5"/>
        <rFont val="Calibri"/>
        <family val="2"/>
      </rPr>
      <t>3,21</t>
    </r>
  </si>
  <si>
    <r>
      <rPr>
        <sz val="8.5"/>
        <rFont val="Calibri"/>
        <family val="2"/>
      </rPr>
      <t>4,05</t>
    </r>
  </si>
  <si>
    <r>
      <rPr>
        <sz val="8.5"/>
        <rFont val="Calibri"/>
        <family val="2"/>
      </rPr>
      <t>M3</t>
    </r>
  </si>
  <si>
    <r>
      <rPr>
        <sz val="8.5"/>
        <rFont val="Calibri"/>
        <family val="2"/>
      </rPr>
      <t>7,39</t>
    </r>
  </si>
  <si>
    <r>
      <rPr>
        <sz val="8.5"/>
        <rFont val="Calibri"/>
        <family val="2"/>
      </rPr>
      <t>8,25</t>
    </r>
  </si>
  <si>
    <r>
      <rPr>
        <sz val="8.5"/>
        <rFont val="Calibri"/>
        <family val="2"/>
      </rPr>
      <t>12,59</t>
    </r>
  </si>
  <si>
    <r>
      <rPr>
        <sz val="8.5"/>
        <rFont val="Calibri"/>
        <family val="2"/>
      </rPr>
      <t>16,35</t>
    </r>
  </si>
  <si>
    <r>
      <rPr>
        <sz val="8.5"/>
        <rFont val="Calibri"/>
        <family val="2"/>
      </rPr>
      <t>18,56</t>
    </r>
  </si>
  <si>
    <r>
      <rPr>
        <sz val="8.5"/>
        <rFont val="Calibri"/>
        <family val="2"/>
      </rPr>
      <t>14,91</t>
    </r>
  </si>
  <si>
    <r>
      <rPr>
        <sz val="8.5"/>
        <rFont val="Calibri"/>
        <family val="2"/>
      </rPr>
      <t>21,52</t>
    </r>
  </si>
  <si>
    <r>
      <rPr>
        <sz val="8.5"/>
        <rFont val="Calibri"/>
        <family val="2"/>
      </rPr>
      <t>26,56</t>
    </r>
  </si>
  <si>
    <r>
      <rPr>
        <sz val="8.5"/>
        <rFont val="Calibri"/>
        <family val="2"/>
      </rPr>
      <t>187,63</t>
    </r>
  </si>
  <si>
    <r>
      <rPr>
        <sz val="8.5"/>
        <rFont val="Calibri"/>
        <family val="2"/>
      </rPr>
      <t>466,40</t>
    </r>
  </si>
  <si>
    <r>
      <rPr>
        <sz val="8.5"/>
        <rFont val="Calibri"/>
        <family val="2"/>
      </rPr>
      <t>142,13</t>
    </r>
  </si>
  <si>
    <r>
      <rPr>
        <sz val="8.5"/>
        <rFont val="Calibri"/>
        <family val="2"/>
      </rPr>
      <t>CJ</t>
    </r>
  </si>
  <si>
    <r>
      <rPr>
        <sz val="8.5"/>
        <rFont val="Calibri"/>
        <family val="2"/>
      </rPr>
      <t>5,13</t>
    </r>
  </si>
  <si>
    <r>
      <rPr>
        <sz val="8.5"/>
        <rFont val="Calibri"/>
        <family val="2"/>
      </rPr>
      <t>16,98</t>
    </r>
  </si>
  <si>
    <r>
      <rPr>
        <sz val="8.5"/>
        <rFont val="Calibri"/>
        <family val="2"/>
      </rPr>
      <t>1,45</t>
    </r>
  </si>
  <si>
    <r>
      <rPr>
        <sz val="8.5"/>
        <rFont val="Calibri"/>
        <family val="2"/>
      </rPr>
      <t>4,48</t>
    </r>
  </si>
  <si>
    <r>
      <rPr>
        <sz val="8.5"/>
        <rFont val="Calibri"/>
        <family val="2"/>
      </rPr>
      <t>14,32</t>
    </r>
  </si>
  <si>
    <r>
      <rPr>
        <sz val="8.5"/>
        <rFont val="Calibri"/>
        <family val="2"/>
      </rPr>
      <t>21,34</t>
    </r>
  </si>
  <si>
    <r>
      <rPr>
        <sz val="8.5"/>
        <rFont val="Calibri"/>
        <family val="2"/>
      </rPr>
      <t>0,73</t>
    </r>
  </si>
  <si>
    <r>
      <rPr>
        <sz val="8.5"/>
        <rFont val="Calibri"/>
        <family val="2"/>
      </rPr>
      <t>33,40</t>
    </r>
  </si>
  <si>
    <r>
      <rPr>
        <sz val="8.5"/>
        <rFont val="Calibri"/>
        <family val="2"/>
      </rPr>
      <t>2,90</t>
    </r>
  </si>
  <si>
    <r>
      <rPr>
        <sz val="8.5"/>
        <rFont val="Calibri"/>
        <family val="2"/>
      </rPr>
      <t>13,27</t>
    </r>
  </si>
  <si>
    <r>
      <rPr>
        <sz val="8.5"/>
        <rFont val="Calibri"/>
        <family val="2"/>
      </rPr>
      <t>68,63</t>
    </r>
  </si>
  <si>
    <r>
      <rPr>
        <sz val="8.5"/>
        <rFont val="Calibri"/>
        <family val="2"/>
      </rPr>
      <t>111,71</t>
    </r>
  </si>
  <si>
    <r>
      <rPr>
        <sz val="8.5"/>
        <rFont val="Calibri"/>
        <family val="2"/>
      </rPr>
      <t>31,93</t>
    </r>
  </si>
  <si>
    <r>
      <rPr>
        <sz val="8.5"/>
        <rFont val="Calibri"/>
        <family val="2"/>
      </rPr>
      <t>9,01</t>
    </r>
  </si>
  <si>
    <r>
      <rPr>
        <sz val="8.5"/>
        <rFont val="Calibri"/>
        <family val="2"/>
      </rPr>
      <t>MXMES</t>
    </r>
  </si>
  <si>
    <r>
      <rPr>
        <sz val="8.5"/>
        <rFont val="Calibri"/>
        <family val="2"/>
      </rPr>
      <t>3,48</t>
    </r>
  </si>
  <si>
    <r>
      <rPr>
        <sz val="8.5"/>
        <rFont val="Calibri"/>
        <family val="2"/>
      </rPr>
      <t>6,86</t>
    </r>
  </si>
  <si>
    <r>
      <rPr>
        <sz val="8.5"/>
        <rFont val="Calibri"/>
        <family val="2"/>
      </rPr>
      <t>358,72</t>
    </r>
  </si>
  <si>
    <r>
      <rPr>
        <sz val="8.5"/>
        <rFont val="Calibri"/>
        <family val="2"/>
      </rPr>
      <t>19,26</t>
    </r>
  </si>
  <si>
    <r>
      <rPr>
        <sz val="8.5"/>
        <rFont val="Calibri"/>
        <family val="2"/>
      </rPr>
      <t>1,82</t>
    </r>
  </si>
  <si>
    <r>
      <rPr>
        <sz val="8.5"/>
        <rFont val="Calibri"/>
        <family val="2"/>
      </rPr>
      <t>3,63</t>
    </r>
  </si>
  <si>
    <r>
      <rPr>
        <sz val="8.5"/>
        <rFont val="Calibri"/>
        <family val="2"/>
      </rPr>
      <t>5,45</t>
    </r>
  </si>
  <si>
    <r>
      <rPr>
        <sz val="8.5"/>
        <rFont val="Calibri"/>
        <family val="2"/>
      </rPr>
      <t>2,79</t>
    </r>
  </si>
  <si>
    <r>
      <rPr>
        <sz val="8.5"/>
        <rFont val="Calibri"/>
        <family val="2"/>
      </rPr>
      <t>0,12</t>
    </r>
  </si>
  <si>
    <r>
      <rPr>
        <sz val="8.5"/>
        <rFont val="Calibri"/>
        <family val="2"/>
      </rPr>
      <t>2,91</t>
    </r>
  </si>
  <si>
    <r>
      <rPr>
        <sz val="8.5"/>
        <rFont val="Calibri"/>
        <family val="2"/>
      </rPr>
      <t>3,10</t>
    </r>
  </si>
  <si>
    <r>
      <rPr>
        <sz val="8.5"/>
        <rFont val="Calibri"/>
        <family val="2"/>
      </rPr>
      <t>57,97</t>
    </r>
  </si>
  <si>
    <r>
      <rPr>
        <sz val="8.5"/>
        <rFont val="Calibri"/>
        <family val="2"/>
      </rPr>
      <t>6,53</t>
    </r>
  </si>
  <si>
    <r>
      <rPr>
        <sz val="8.5"/>
        <rFont val="Calibri"/>
        <family val="2"/>
      </rPr>
      <t>75,97</t>
    </r>
  </si>
  <si>
    <r>
      <rPr>
        <sz val="8.5"/>
        <rFont val="Calibri"/>
        <family val="2"/>
      </rPr>
      <t>4,18</t>
    </r>
  </si>
  <si>
    <r>
      <rPr>
        <sz val="8.5"/>
        <rFont val="Calibri"/>
        <family val="2"/>
      </rPr>
      <t>87,12</t>
    </r>
  </si>
  <si>
    <r>
      <rPr>
        <sz val="8.5"/>
        <rFont val="Calibri"/>
        <family val="2"/>
      </rPr>
      <t>58,08</t>
    </r>
  </si>
  <si>
    <r>
      <rPr>
        <sz val="8.5"/>
        <rFont val="Calibri"/>
        <family val="2"/>
      </rPr>
      <t>5,81</t>
    </r>
  </si>
  <si>
    <r>
      <rPr>
        <sz val="8.5"/>
        <rFont val="Calibri"/>
        <family val="2"/>
      </rPr>
      <t>2,18</t>
    </r>
  </si>
  <si>
    <r>
      <rPr>
        <sz val="8.5"/>
        <rFont val="Calibri"/>
        <family val="2"/>
      </rPr>
      <t>7,26</t>
    </r>
  </si>
  <si>
    <r>
      <rPr>
        <sz val="8.5"/>
        <rFont val="Calibri"/>
        <family val="2"/>
      </rPr>
      <t>8,71</t>
    </r>
  </si>
  <si>
    <r>
      <rPr>
        <sz val="8.5"/>
        <rFont val="Calibri"/>
        <family val="2"/>
      </rPr>
      <t>1,10</t>
    </r>
  </si>
  <si>
    <r>
      <rPr>
        <sz val="8.5"/>
        <rFont val="Calibri"/>
        <family val="2"/>
      </rPr>
      <t>8,36</t>
    </r>
  </si>
  <si>
    <r>
      <rPr>
        <sz val="8.5"/>
        <rFont val="Calibri"/>
        <family val="2"/>
      </rPr>
      <t>17,94</t>
    </r>
  </si>
  <si>
    <r>
      <rPr>
        <sz val="8.5"/>
        <rFont val="Calibri"/>
        <family val="2"/>
      </rPr>
      <t>1,02</t>
    </r>
  </si>
  <si>
    <r>
      <rPr>
        <sz val="8.5"/>
        <rFont val="Calibri"/>
        <family val="2"/>
      </rPr>
      <t>6,20</t>
    </r>
  </si>
  <si>
    <r>
      <rPr>
        <sz val="8.5"/>
        <rFont val="Calibri"/>
        <family val="2"/>
      </rPr>
      <t>7,55</t>
    </r>
  </si>
  <si>
    <r>
      <rPr>
        <sz val="8.5"/>
        <rFont val="Calibri"/>
        <family val="2"/>
      </rPr>
      <t>11,67</t>
    </r>
  </si>
  <si>
    <r>
      <rPr>
        <sz val="8.5"/>
        <rFont val="Calibri"/>
        <family val="2"/>
      </rPr>
      <t>14,00</t>
    </r>
  </si>
  <si>
    <r>
      <rPr>
        <sz val="8.5"/>
        <rFont val="Calibri"/>
        <family val="2"/>
      </rPr>
      <t>4,66</t>
    </r>
  </si>
  <si>
    <r>
      <rPr>
        <sz val="8.5"/>
        <rFont val="Calibri"/>
        <family val="2"/>
      </rPr>
      <t>1,13</t>
    </r>
  </si>
  <si>
    <r>
      <rPr>
        <sz val="8.5"/>
        <rFont val="Calibri"/>
        <family val="2"/>
      </rPr>
      <t>8,46</t>
    </r>
  </si>
  <si>
    <r>
      <rPr>
        <sz val="8.5"/>
        <rFont val="Calibri"/>
        <family val="2"/>
      </rPr>
      <t>6,34</t>
    </r>
  </si>
  <si>
    <r>
      <rPr>
        <sz val="8.5"/>
        <rFont val="Calibri"/>
        <family val="2"/>
      </rPr>
      <t>6,71</t>
    </r>
  </si>
  <si>
    <r>
      <rPr>
        <sz val="8.5"/>
        <rFont val="Calibri"/>
        <family val="2"/>
      </rPr>
      <t>9,40</t>
    </r>
  </si>
  <si>
    <r>
      <rPr>
        <sz val="8.5"/>
        <rFont val="Calibri"/>
        <family val="2"/>
      </rPr>
      <t>4,23</t>
    </r>
  </si>
  <si>
    <r>
      <rPr>
        <sz val="8.5"/>
        <rFont val="Calibri"/>
        <family val="2"/>
      </rPr>
      <t>4,60</t>
    </r>
  </si>
  <si>
    <r>
      <rPr>
        <sz val="8.5"/>
        <rFont val="Calibri"/>
        <family val="2"/>
      </rPr>
      <t>6,43</t>
    </r>
  </si>
  <si>
    <r>
      <rPr>
        <sz val="8.5"/>
        <rFont val="Calibri"/>
        <family val="2"/>
      </rPr>
      <t>8,47</t>
    </r>
  </si>
  <si>
    <r>
      <rPr>
        <sz val="8.5"/>
        <rFont val="Calibri"/>
        <family val="2"/>
      </rPr>
      <t>2,36</t>
    </r>
  </si>
  <si>
    <r>
      <rPr>
        <sz val="8.5"/>
        <rFont val="Calibri"/>
        <family val="2"/>
      </rPr>
      <t>9,00</t>
    </r>
  </si>
  <si>
    <r>
      <rPr>
        <sz val="8.5"/>
        <rFont val="Calibri"/>
        <family val="2"/>
      </rPr>
      <t>17,69</t>
    </r>
  </si>
  <si>
    <r>
      <rPr>
        <sz val="8.5"/>
        <rFont val="Calibri"/>
        <family val="2"/>
      </rPr>
      <t>12,87</t>
    </r>
  </si>
  <si>
    <r>
      <rPr>
        <sz val="8.5"/>
        <rFont val="Calibri"/>
        <family val="2"/>
      </rPr>
      <t>9,65</t>
    </r>
  </si>
  <si>
    <r>
      <rPr>
        <sz val="8.5"/>
        <rFont val="Calibri"/>
        <family val="2"/>
      </rPr>
      <t>KG</t>
    </r>
  </si>
  <si>
    <r>
      <rPr>
        <sz val="8.5"/>
        <rFont val="Calibri"/>
        <family val="2"/>
      </rPr>
      <t>11,62</t>
    </r>
  </si>
  <si>
    <r>
      <rPr>
        <sz val="8.5"/>
        <rFont val="Calibri"/>
        <family val="2"/>
      </rPr>
      <t>8,82</t>
    </r>
  </si>
  <si>
    <r>
      <rPr>
        <sz val="8.5"/>
        <rFont val="Calibri"/>
        <family val="2"/>
      </rPr>
      <t>14,52</t>
    </r>
  </si>
  <si>
    <r>
      <rPr>
        <sz val="8.5"/>
        <rFont val="Calibri"/>
        <family val="2"/>
      </rPr>
      <t>11,25</t>
    </r>
  </si>
  <si>
    <r>
      <rPr>
        <sz val="8.5"/>
        <rFont val="Calibri"/>
        <family val="2"/>
      </rPr>
      <t>19,29</t>
    </r>
  </si>
  <si>
    <r>
      <rPr>
        <sz val="8.5"/>
        <rFont val="Calibri"/>
        <family val="2"/>
      </rPr>
      <t>2,99</t>
    </r>
  </si>
  <si>
    <r>
      <rPr>
        <sz val="8.5"/>
        <rFont val="Calibri"/>
        <family val="2"/>
      </rPr>
      <t>4,83</t>
    </r>
  </si>
  <si>
    <r>
      <rPr>
        <sz val="8.5"/>
        <rFont val="Calibri"/>
        <family val="2"/>
      </rPr>
      <t>16,08</t>
    </r>
  </si>
  <si>
    <r>
      <rPr>
        <sz val="8.5"/>
        <rFont val="Calibri"/>
        <family val="2"/>
      </rPr>
      <t>22,51</t>
    </r>
  </si>
  <si>
    <r>
      <rPr>
        <sz val="8.5"/>
        <rFont val="Calibri"/>
        <family val="2"/>
      </rPr>
      <t>7,71</t>
    </r>
  </si>
  <si>
    <r>
      <rPr>
        <sz val="8.5"/>
        <rFont val="Calibri"/>
        <family val="2"/>
      </rPr>
      <t>3,53</t>
    </r>
  </si>
  <si>
    <r>
      <rPr>
        <sz val="8.5"/>
        <rFont val="Calibri"/>
        <family val="2"/>
      </rPr>
      <t>32,81</t>
    </r>
  </si>
  <si>
    <r>
      <rPr>
        <sz val="8.5"/>
        <rFont val="Calibri"/>
        <family val="2"/>
      </rPr>
      <t>45,03</t>
    </r>
  </si>
  <si>
    <r>
      <rPr>
        <sz val="8.5"/>
        <rFont val="Calibri"/>
        <family val="2"/>
      </rPr>
      <t>10,58</t>
    </r>
  </si>
  <si>
    <r>
      <rPr>
        <sz val="8.5"/>
        <rFont val="Calibri"/>
        <family val="2"/>
      </rPr>
      <t>4,41</t>
    </r>
  </si>
  <si>
    <r>
      <rPr>
        <sz val="8.5"/>
        <rFont val="Calibri"/>
        <family val="2"/>
      </rPr>
      <t>5,69</t>
    </r>
  </si>
  <si>
    <r>
      <rPr>
        <sz val="8.5"/>
        <rFont val="Calibri"/>
        <family val="2"/>
      </rPr>
      <t>54,59</t>
    </r>
  </si>
  <si>
    <r>
      <rPr>
        <sz val="8.5"/>
        <rFont val="Calibri"/>
        <family val="2"/>
      </rPr>
      <t>14,56</t>
    </r>
  </si>
  <si>
    <r>
      <rPr>
        <sz val="8.5"/>
        <rFont val="Calibri"/>
        <family val="2"/>
      </rPr>
      <t>18,20</t>
    </r>
  </si>
  <si>
    <r>
      <rPr>
        <sz val="8.5"/>
        <rFont val="Calibri"/>
        <family val="2"/>
      </rPr>
      <t>5,46</t>
    </r>
  </si>
  <si>
    <r>
      <rPr>
        <sz val="8.5"/>
        <rFont val="Calibri"/>
        <family val="2"/>
      </rPr>
      <t>36,39</t>
    </r>
  </si>
  <si>
    <r>
      <rPr>
        <sz val="8.5"/>
        <rFont val="Calibri"/>
        <family val="2"/>
      </rPr>
      <t>16,37</t>
    </r>
  </si>
  <si>
    <r>
      <rPr>
        <sz val="8.5"/>
        <rFont val="Calibri"/>
        <family val="2"/>
      </rPr>
      <t>10,92</t>
    </r>
  </si>
  <si>
    <r>
      <rPr>
        <sz val="8.5"/>
        <rFont val="Calibri"/>
        <family val="2"/>
      </rPr>
      <t>9,10</t>
    </r>
  </si>
  <si>
    <r>
      <rPr>
        <sz val="8.5"/>
        <rFont val="Calibri"/>
        <family val="2"/>
      </rPr>
      <t>12,73</t>
    </r>
  </si>
  <si>
    <r>
      <rPr>
        <sz val="8.5"/>
        <rFont val="Calibri"/>
        <family val="2"/>
      </rPr>
      <t>181,95</t>
    </r>
  </si>
  <si>
    <r>
      <rPr>
        <sz val="8.5"/>
        <rFont val="Calibri"/>
        <family val="2"/>
      </rPr>
      <t>145,56</t>
    </r>
  </si>
  <si>
    <r>
      <rPr>
        <sz val="8.5"/>
        <rFont val="Calibri"/>
        <family val="2"/>
      </rPr>
      <t>72,78</t>
    </r>
  </si>
  <si>
    <r>
      <rPr>
        <sz val="8.5"/>
        <rFont val="Calibri"/>
        <family val="2"/>
      </rPr>
      <t>5,47</t>
    </r>
  </si>
  <si>
    <r>
      <rPr>
        <sz val="8.5"/>
        <rFont val="Calibri"/>
        <family val="2"/>
      </rPr>
      <t>6,56</t>
    </r>
  </si>
  <si>
    <r>
      <rPr>
        <sz val="8.5"/>
        <rFont val="Calibri"/>
        <family val="2"/>
      </rPr>
      <t>21,83</t>
    </r>
  </si>
  <si>
    <r>
      <rPr>
        <sz val="8.5"/>
        <rFont val="Calibri"/>
        <family val="2"/>
      </rPr>
      <t>101,82</t>
    </r>
  </si>
  <si>
    <r>
      <rPr>
        <sz val="8.5"/>
        <rFont val="Calibri"/>
        <family val="2"/>
      </rPr>
      <t>27,29</t>
    </r>
  </si>
  <si>
    <r>
      <rPr>
        <sz val="8.5"/>
        <rFont val="Calibri"/>
        <family val="2"/>
      </rPr>
      <t>3,64</t>
    </r>
  </si>
  <si>
    <r>
      <rPr>
        <sz val="8.5"/>
        <rFont val="Calibri"/>
        <family val="2"/>
      </rPr>
      <t>25,46</t>
    </r>
  </si>
  <si>
    <r>
      <rPr>
        <sz val="8.5"/>
        <rFont val="Calibri"/>
        <family val="2"/>
      </rPr>
      <t>7,27</t>
    </r>
  </si>
  <si>
    <r>
      <rPr>
        <sz val="8.5"/>
        <rFont val="Calibri"/>
        <family val="2"/>
      </rPr>
      <t>50,91</t>
    </r>
  </si>
  <si>
    <r>
      <rPr>
        <sz val="8.5"/>
        <rFont val="Calibri"/>
        <family val="2"/>
      </rPr>
      <t>L</t>
    </r>
  </si>
  <si>
    <r>
      <rPr>
        <sz val="8.5"/>
        <rFont val="Calibri"/>
        <family val="2"/>
      </rPr>
      <t>114,21</t>
    </r>
  </si>
  <si>
    <r>
      <rPr>
        <sz val="8.5"/>
        <rFont val="Calibri"/>
        <family val="2"/>
      </rPr>
      <t>23,23</t>
    </r>
  </si>
  <si>
    <r>
      <rPr>
        <sz val="8.5"/>
        <rFont val="Calibri"/>
        <family val="2"/>
      </rPr>
      <t>23,66</t>
    </r>
  </si>
  <si>
    <r>
      <rPr>
        <sz val="8.5"/>
        <rFont val="Calibri"/>
        <family val="2"/>
      </rPr>
      <t>291,12</t>
    </r>
  </si>
  <si>
    <r>
      <rPr>
        <sz val="8.5"/>
        <rFont val="Calibri"/>
        <family val="2"/>
      </rPr>
      <t>3,34</t>
    </r>
  </si>
  <si>
    <r>
      <rPr>
        <sz val="8.5"/>
        <rFont val="Calibri"/>
        <family val="2"/>
      </rPr>
      <t>65,61</t>
    </r>
  </si>
  <si>
    <r>
      <rPr>
        <sz val="8.5"/>
        <rFont val="Calibri"/>
        <family val="2"/>
      </rPr>
      <t>109,17</t>
    </r>
  </si>
  <si>
    <r>
      <rPr>
        <sz val="8.5"/>
        <rFont val="Calibri"/>
        <family val="2"/>
      </rPr>
      <t>16,36</t>
    </r>
  </si>
  <si>
    <r>
      <rPr>
        <sz val="8.5"/>
        <rFont val="Calibri"/>
        <family val="2"/>
      </rPr>
      <t>93,39</t>
    </r>
  </si>
  <si>
    <r>
      <rPr>
        <sz val="8.5"/>
        <rFont val="Calibri"/>
        <family val="2"/>
      </rPr>
      <t>14,77</t>
    </r>
  </si>
  <si>
    <r>
      <rPr>
        <sz val="8.5"/>
        <rFont val="Calibri"/>
        <family val="2"/>
      </rPr>
      <t>27,69</t>
    </r>
  </si>
  <si>
    <r>
      <rPr>
        <sz val="8.5"/>
        <rFont val="Calibri"/>
        <family val="2"/>
      </rPr>
      <t>34,38</t>
    </r>
  </si>
  <si>
    <r>
      <rPr>
        <sz val="8.5"/>
        <rFont val="Calibri"/>
        <family val="2"/>
      </rPr>
      <t>12,03</t>
    </r>
  </si>
  <si>
    <r>
      <rPr>
        <sz val="8.5"/>
        <rFont val="Calibri"/>
        <family val="2"/>
      </rPr>
      <t>31,74</t>
    </r>
  </si>
  <si>
    <r>
      <rPr>
        <sz val="8.5"/>
        <rFont val="Calibri"/>
        <family val="2"/>
      </rPr>
      <t>3,92</t>
    </r>
  </si>
  <si>
    <r>
      <rPr>
        <sz val="8.5"/>
        <rFont val="Calibri"/>
        <family val="2"/>
      </rPr>
      <t>5,84</t>
    </r>
  </si>
  <si>
    <r>
      <rPr>
        <sz val="8.5"/>
        <rFont val="Calibri"/>
        <family val="2"/>
      </rPr>
      <t>8,72</t>
    </r>
  </si>
  <si>
    <r>
      <rPr>
        <sz val="8.5"/>
        <rFont val="Calibri"/>
        <family val="2"/>
      </rPr>
      <t>25,72</t>
    </r>
  </si>
  <si>
    <r>
      <rPr>
        <sz val="8.5"/>
        <rFont val="Calibri"/>
        <family val="2"/>
      </rPr>
      <t>1,24</t>
    </r>
  </si>
  <si>
    <r>
      <rPr>
        <sz val="8.5"/>
        <rFont val="Calibri"/>
        <family val="2"/>
      </rPr>
      <t>10,05</t>
    </r>
  </si>
  <si>
    <r>
      <rPr>
        <sz val="8.5"/>
        <rFont val="Calibri"/>
        <family val="2"/>
      </rPr>
      <t>13,86</t>
    </r>
  </si>
  <si>
    <r>
      <rPr>
        <sz val="8.5"/>
        <rFont val="Calibri"/>
        <family val="2"/>
      </rPr>
      <t>18,49</t>
    </r>
  </si>
  <si>
    <r>
      <rPr>
        <sz val="8.5"/>
        <rFont val="Calibri"/>
        <family val="2"/>
      </rPr>
      <t>27,73</t>
    </r>
  </si>
  <si>
    <r>
      <rPr>
        <sz val="8.5"/>
        <rFont val="Calibri"/>
        <family val="2"/>
      </rPr>
      <t>36,30</t>
    </r>
  </si>
  <si>
    <r>
      <rPr>
        <sz val="8.5"/>
        <rFont val="Calibri"/>
        <family val="2"/>
      </rPr>
      <t>43,56</t>
    </r>
  </si>
  <si>
    <r>
      <rPr>
        <sz val="8.5"/>
        <rFont val="Calibri"/>
        <family val="2"/>
      </rPr>
      <t>6,24</t>
    </r>
  </si>
  <si>
    <r>
      <rPr>
        <sz val="8.5"/>
        <rFont val="Calibri"/>
        <family val="2"/>
      </rPr>
      <t>16,76</t>
    </r>
  </si>
  <si>
    <r>
      <rPr>
        <sz val="8.5"/>
        <rFont val="Calibri"/>
        <family val="2"/>
      </rPr>
      <t>11,64</t>
    </r>
  </si>
  <si>
    <r>
      <rPr>
        <sz val="8.5"/>
        <rFont val="Calibri"/>
        <family val="2"/>
      </rPr>
      <t>10,56</t>
    </r>
  </si>
  <si>
    <r>
      <rPr>
        <sz val="8.5"/>
        <rFont val="Calibri"/>
        <family val="2"/>
      </rPr>
      <t>7,08</t>
    </r>
  </si>
  <si>
    <r>
      <rPr>
        <sz val="8.5"/>
        <rFont val="Calibri"/>
        <family val="2"/>
      </rPr>
      <t>7,98</t>
    </r>
  </si>
  <si>
    <r>
      <rPr>
        <sz val="8.5"/>
        <rFont val="Calibri"/>
        <family val="2"/>
      </rPr>
      <t>9,03</t>
    </r>
  </si>
  <si>
    <r>
      <rPr>
        <sz val="8.5"/>
        <rFont val="Calibri"/>
        <family val="2"/>
      </rPr>
      <t>14,65</t>
    </r>
  </si>
  <si>
    <r>
      <rPr>
        <sz val="8.5"/>
        <rFont val="Calibri"/>
        <family val="2"/>
      </rPr>
      <t>1,35</t>
    </r>
  </si>
  <si>
    <r>
      <rPr>
        <sz val="8.5"/>
        <rFont val="Calibri"/>
        <family val="2"/>
      </rPr>
      <t>4,78</t>
    </r>
  </si>
  <si>
    <r>
      <rPr>
        <sz val="8.5"/>
        <rFont val="Calibri"/>
        <family val="2"/>
      </rPr>
      <t>0,08</t>
    </r>
  </si>
  <si>
    <r>
      <rPr>
        <sz val="8.5"/>
        <rFont val="Calibri"/>
        <family val="2"/>
      </rPr>
      <t>3,15</t>
    </r>
  </si>
  <si>
    <r>
      <rPr>
        <sz val="8.5"/>
        <rFont val="Calibri"/>
        <family val="2"/>
      </rPr>
      <t>2,03</t>
    </r>
  </si>
  <si>
    <r>
      <rPr>
        <sz val="8.5"/>
        <rFont val="Calibri"/>
        <family val="2"/>
      </rPr>
      <t>1,86</t>
    </r>
  </si>
  <si>
    <r>
      <rPr>
        <sz val="8.5"/>
        <rFont val="Calibri"/>
        <family val="2"/>
      </rPr>
      <t>14,46</t>
    </r>
  </si>
  <si>
    <r>
      <rPr>
        <sz val="8.5"/>
        <rFont val="Calibri"/>
        <family val="2"/>
      </rPr>
      <t>10,29</t>
    </r>
  </si>
  <si>
    <r>
      <rPr>
        <sz val="8.5"/>
        <rFont val="Calibri"/>
        <family val="2"/>
      </rPr>
      <t>10,51</t>
    </r>
  </si>
  <si>
    <r>
      <rPr>
        <sz val="8.5"/>
        <rFont val="Calibri"/>
        <family val="2"/>
      </rPr>
      <t>33,94</t>
    </r>
  </si>
  <si>
    <r>
      <rPr>
        <sz val="8.5"/>
        <rFont val="Calibri"/>
        <family val="2"/>
      </rPr>
      <t>76,71</t>
    </r>
  </si>
  <si>
    <r>
      <rPr>
        <sz val="8.5"/>
        <rFont val="Calibri"/>
        <family val="2"/>
      </rPr>
      <t>12,64</t>
    </r>
  </si>
  <si>
    <r>
      <rPr>
        <sz val="8.5"/>
        <rFont val="Calibri"/>
        <family val="2"/>
      </rPr>
      <t>6,22</t>
    </r>
  </si>
  <si>
    <r>
      <rPr>
        <sz val="8.5"/>
        <rFont val="Calibri"/>
        <family val="2"/>
      </rPr>
      <t>49,79</t>
    </r>
  </si>
  <si>
    <r>
      <rPr>
        <sz val="8.5"/>
        <rFont val="Calibri"/>
        <family val="2"/>
      </rPr>
      <t>91,19</t>
    </r>
  </si>
  <si>
    <r>
      <rPr>
        <sz val="8.5"/>
        <rFont val="Calibri"/>
        <family val="2"/>
      </rPr>
      <t>23,34</t>
    </r>
  </si>
  <si>
    <r>
      <rPr>
        <sz val="8.5"/>
        <rFont val="Calibri"/>
        <family val="2"/>
      </rPr>
      <t>9,29</t>
    </r>
  </si>
  <si>
    <r>
      <rPr>
        <sz val="8.5"/>
        <rFont val="Calibri"/>
        <family val="2"/>
      </rPr>
      <t>1,61</t>
    </r>
  </si>
  <si>
    <r>
      <rPr>
        <sz val="8.5"/>
        <rFont val="Calibri"/>
        <family val="2"/>
      </rPr>
      <t>28,25</t>
    </r>
  </si>
  <si>
    <r>
      <rPr>
        <sz val="8.5"/>
        <rFont val="Calibri"/>
        <family val="2"/>
      </rPr>
      <t>28,80</t>
    </r>
  </si>
  <si>
    <r>
      <rPr>
        <sz val="8.5"/>
        <rFont val="Calibri"/>
        <family val="2"/>
      </rPr>
      <t>87,07</t>
    </r>
  </si>
  <si>
    <r>
      <rPr>
        <sz val="8.5"/>
        <rFont val="Calibri"/>
        <family val="2"/>
      </rPr>
      <t>13,79</t>
    </r>
  </si>
  <si>
    <r>
      <rPr>
        <sz val="8.5"/>
        <rFont val="Calibri"/>
        <family val="2"/>
      </rPr>
      <t>12,92</t>
    </r>
  </si>
  <si>
    <r>
      <rPr>
        <sz val="8.5"/>
        <rFont val="Calibri"/>
        <family val="2"/>
      </rPr>
      <t>22,57</t>
    </r>
  </si>
  <si>
    <r>
      <rPr>
        <sz val="8.5"/>
        <rFont val="Calibri"/>
        <family val="2"/>
      </rPr>
      <t>12,25</t>
    </r>
  </si>
  <si>
    <r>
      <rPr>
        <sz val="8.5"/>
        <rFont val="Calibri"/>
        <family val="2"/>
      </rPr>
      <t>23,50</t>
    </r>
  </si>
  <si>
    <r>
      <rPr>
        <sz val="8.5"/>
        <rFont val="Calibri"/>
        <family val="2"/>
      </rPr>
      <t>17,84</t>
    </r>
  </si>
  <si>
    <r>
      <rPr>
        <sz val="8.5"/>
        <rFont val="Calibri"/>
        <family val="2"/>
      </rPr>
      <t>2,40</t>
    </r>
  </si>
  <si>
    <r>
      <rPr>
        <sz val="8.5"/>
        <rFont val="Calibri"/>
        <family val="2"/>
      </rPr>
      <t>96,48</t>
    </r>
  </si>
  <si>
    <r>
      <rPr>
        <sz val="8.5"/>
        <rFont val="Calibri"/>
        <family val="2"/>
      </rPr>
      <t>41,81</t>
    </r>
  </si>
  <si>
    <r>
      <rPr>
        <sz val="8.5"/>
        <rFont val="Calibri"/>
        <family val="2"/>
      </rPr>
      <t>48,24</t>
    </r>
  </si>
  <si>
    <r>
      <rPr>
        <sz val="8.5"/>
        <rFont val="Calibri"/>
        <family val="2"/>
      </rPr>
      <t>38,59</t>
    </r>
  </si>
  <si>
    <r>
      <rPr>
        <sz val="8.5"/>
        <rFont val="Calibri"/>
        <family val="2"/>
      </rPr>
      <t>4,95</t>
    </r>
  </si>
  <si>
    <r>
      <rPr>
        <sz val="8.5"/>
        <rFont val="Calibri"/>
        <family val="2"/>
      </rPr>
      <t>43,41</t>
    </r>
  </si>
  <si>
    <r>
      <rPr>
        <sz val="8.5"/>
        <rFont val="Calibri"/>
        <family val="2"/>
      </rPr>
      <t>95,23</t>
    </r>
  </si>
  <si>
    <r>
      <rPr>
        <sz val="8.5"/>
        <rFont val="Calibri"/>
        <family val="2"/>
      </rPr>
      <t>70,34</t>
    </r>
  </si>
  <si>
    <r>
      <rPr>
        <sz val="8.5"/>
        <rFont val="Calibri"/>
        <family val="2"/>
      </rPr>
      <t>7,64</t>
    </r>
  </si>
  <si>
    <r>
      <rPr>
        <sz val="8.5"/>
        <rFont val="Calibri"/>
        <family val="2"/>
      </rPr>
      <t>15,56</t>
    </r>
  </si>
  <si>
    <r>
      <rPr>
        <sz val="8.5"/>
        <rFont val="Calibri"/>
        <family val="2"/>
      </rPr>
      <t>11,78</t>
    </r>
  </si>
  <si>
    <r>
      <rPr>
        <sz val="8.5"/>
        <rFont val="Calibri"/>
        <family val="2"/>
      </rPr>
      <t>61,20</t>
    </r>
  </si>
  <si>
    <r>
      <rPr>
        <sz val="8.5"/>
        <rFont val="Calibri"/>
        <family val="2"/>
      </rPr>
      <t>40,77</t>
    </r>
  </si>
  <si>
    <r>
      <rPr>
        <sz val="8.5"/>
        <rFont val="Calibri"/>
        <family val="2"/>
      </rPr>
      <t>93,36</t>
    </r>
  </si>
  <si>
    <r>
      <rPr>
        <sz val="8.5"/>
        <rFont val="Calibri"/>
        <family val="2"/>
      </rPr>
      <t>29,04</t>
    </r>
  </si>
  <si>
    <r>
      <rPr>
        <sz val="8.5"/>
        <rFont val="Calibri"/>
        <family val="2"/>
      </rPr>
      <t>68,46</t>
    </r>
  </si>
  <si>
    <r>
      <rPr>
        <sz val="8.5"/>
        <rFont val="Calibri"/>
        <family val="2"/>
      </rPr>
      <t>1,42</t>
    </r>
  </si>
  <si>
    <r>
      <rPr>
        <sz val="8.5"/>
        <rFont val="Calibri"/>
        <family val="2"/>
      </rPr>
      <t>16,39</t>
    </r>
  </si>
  <si>
    <r>
      <rPr>
        <sz val="8.5"/>
        <rFont val="Calibri"/>
        <family val="2"/>
      </rPr>
      <t>50,27</t>
    </r>
  </si>
  <si>
    <r>
      <rPr>
        <sz val="8.5"/>
        <rFont val="Calibri"/>
        <family val="2"/>
      </rPr>
      <t>25,54</t>
    </r>
  </si>
  <si>
    <r>
      <rPr>
        <sz val="8.5"/>
        <rFont val="Calibri"/>
        <family val="2"/>
      </rPr>
      <t>142,78</t>
    </r>
  </si>
  <si>
    <r>
      <rPr>
        <sz val="8.5"/>
        <rFont val="Calibri"/>
        <family val="2"/>
      </rPr>
      <t>157,85</t>
    </r>
  </si>
  <si>
    <r>
      <rPr>
        <sz val="8.5"/>
        <rFont val="Calibri"/>
        <family val="2"/>
      </rPr>
      <t>21,24</t>
    </r>
  </si>
  <si>
    <r>
      <rPr>
        <sz val="8.5"/>
        <rFont val="Calibri"/>
        <family val="2"/>
      </rPr>
      <t>62,21</t>
    </r>
  </si>
  <si>
    <r>
      <rPr>
        <sz val="8.5"/>
        <rFont val="Calibri"/>
        <family val="2"/>
      </rPr>
      <t>13,04</t>
    </r>
  </si>
  <si>
    <r>
      <rPr>
        <sz val="8.5"/>
        <rFont val="Calibri"/>
        <family val="2"/>
      </rPr>
      <t>17,78</t>
    </r>
  </si>
  <si>
    <r>
      <rPr>
        <sz val="8.5"/>
        <rFont val="Calibri"/>
        <family val="2"/>
      </rPr>
      <t>161,83</t>
    </r>
  </si>
  <si>
    <r>
      <rPr>
        <sz val="8.5"/>
        <rFont val="Calibri"/>
        <family val="2"/>
      </rPr>
      <t>175,53</t>
    </r>
  </si>
  <si>
    <r>
      <rPr>
        <sz val="8.5"/>
        <rFont val="Calibri"/>
        <family val="2"/>
      </rPr>
      <t>12,47</t>
    </r>
  </si>
  <si>
    <r>
      <rPr>
        <sz val="8.5"/>
        <rFont val="Calibri"/>
        <family val="2"/>
      </rPr>
      <t>260,52</t>
    </r>
  </si>
  <si>
    <r>
      <rPr>
        <sz val="8.5"/>
        <rFont val="Calibri"/>
        <family val="2"/>
      </rPr>
      <t>17,44</t>
    </r>
  </si>
  <si>
    <r>
      <rPr>
        <sz val="8.5"/>
        <rFont val="Calibri"/>
        <family val="2"/>
      </rPr>
      <t>26,65</t>
    </r>
  </si>
  <si>
    <r>
      <rPr>
        <sz val="8.5"/>
        <rFont val="Calibri"/>
        <family val="2"/>
      </rPr>
      <t>516,32</t>
    </r>
  </si>
  <si>
    <r>
      <rPr>
        <sz val="8.5"/>
        <rFont val="Calibri"/>
        <family val="2"/>
      </rPr>
      <t>30,65</t>
    </r>
  </si>
  <si>
    <r>
      <rPr>
        <sz val="8.5"/>
        <rFont val="Calibri"/>
        <family val="2"/>
      </rPr>
      <t>50,48</t>
    </r>
  </si>
  <si>
    <r>
      <rPr>
        <sz val="8.5"/>
        <rFont val="Calibri"/>
        <family val="2"/>
      </rPr>
      <t>98,40</t>
    </r>
  </si>
  <si>
    <r>
      <rPr>
        <sz val="8.5"/>
        <rFont val="Calibri"/>
        <family val="2"/>
      </rPr>
      <t>25,75</t>
    </r>
  </si>
  <si>
    <r>
      <rPr>
        <sz val="8.5"/>
        <rFont val="Calibri"/>
        <family val="2"/>
      </rPr>
      <t>28,08</t>
    </r>
  </si>
  <si>
    <r>
      <rPr>
        <sz val="8.5"/>
        <rFont val="Calibri"/>
        <family val="2"/>
      </rPr>
      <t>13.01.190</t>
    </r>
  </si>
  <si>
    <r>
      <rPr>
        <sz val="8.5"/>
        <rFont val="Calibri"/>
        <family val="2"/>
      </rPr>
      <t xml:space="preserve">Laje pré-fabricada mista vigota treliçada/lajota cerâmica - LT 24 (20+4) e
</t>
    </r>
    <r>
      <rPr>
        <sz val="8.5"/>
        <rFont val="Calibri"/>
        <family val="2"/>
      </rPr>
      <t>capa com concreto de 25 MPa</t>
    </r>
  </si>
  <si>
    <r>
      <rPr>
        <sz val="8.5"/>
        <rFont val="Calibri"/>
        <family val="2"/>
      </rPr>
      <t>141,86</t>
    </r>
  </si>
  <si>
    <r>
      <rPr>
        <sz val="8.5"/>
        <rFont val="Calibri"/>
        <family val="2"/>
      </rPr>
      <t>30,41</t>
    </r>
  </si>
  <si>
    <r>
      <rPr>
        <sz val="8.5"/>
        <rFont val="Calibri"/>
        <family val="2"/>
      </rPr>
      <t>172,27</t>
    </r>
  </si>
  <si>
    <r>
      <rPr>
        <sz val="8.5"/>
        <rFont val="Calibri"/>
        <family val="2"/>
      </rPr>
      <t>13.01.210</t>
    </r>
  </si>
  <si>
    <r>
      <rPr>
        <sz val="8.5"/>
        <rFont val="Calibri"/>
        <family val="2"/>
      </rPr>
      <t xml:space="preserve">Laje pré-fabricada mista vigota treliçada/lajota cerâmica - LT 30 (24+6) e
</t>
    </r>
    <r>
      <rPr>
        <sz val="8.5"/>
        <rFont val="Calibri"/>
        <family val="2"/>
      </rPr>
      <t>capa com concreto de 25 MPa</t>
    </r>
  </si>
  <si>
    <r>
      <rPr>
        <sz val="8.5"/>
        <rFont val="Calibri"/>
        <family val="2"/>
      </rPr>
      <t>178,03</t>
    </r>
  </si>
  <si>
    <r>
      <rPr>
        <sz val="8.5"/>
        <rFont val="Calibri"/>
        <family val="2"/>
      </rPr>
      <t>33,38</t>
    </r>
  </si>
  <si>
    <r>
      <rPr>
        <sz val="8.5"/>
        <rFont val="Calibri"/>
        <family val="2"/>
      </rPr>
      <t>211,41</t>
    </r>
  </si>
  <si>
    <r>
      <rPr>
        <sz val="8.5"/>
        <rFont val="Calibri"/>
        <family val="2"/>
      </rPr>
      <t>13.01.310</t>
    </r>
  </si>
  <si>
    <r>
      <rPr>
        <sz val="8.5"/>
        <rFont val="Calibri"/>
        <family val="2"/>
      </rPr>
      <t xml:space="preserve">Laje pré-fabricada unidirecional em viga treliçada/lajota em EPS LT 12 (8
</t>
    </r>
    <r>
      <rPr>
        <sz val="8.5"/>
        <rFont val="Calibri"/>
        <family val="2"/>
      </rPr>
      <t>+ 4), com capa de concreto de 25 MPa</t>
    </r>
  </si>
  <si>
    <r>
      <rPr>
        <sz val="8.5"/>
        <rFont val="Calibri"/>
        <family val="2"/>
      </rPr>
      <t>102,42</t>
    </r>
  </si>
  <si>
    <r>
      <rPr>
        <sz val="8.5"/>
        <rFont val="Calibri"/>
        <family val="2"/>
      </rPr>
      <t>128,17</t>
    </r>
  </si>
  <si>
    <r>
      <rPr>
        <sz val="8.5"/>
        <rFont val="Calibri"/>
        <family val="2"/>
      </rPr>
      <t>13.01.320</t>
    </r>
  </si>
  <si>
    <r>
      <rPr>
        <sz val="8.5"/>
        <rFont val="Calibri"/>
        <family val="2"/>
      </rPr>
      <t xml:space="preserve">Laje pré-fabricada unidirecional em viga treliçada/lajota em EPS LT 16
</t>
    </r>
    <r>
      <rPr>
        <sz val="8.5"/>
        <rFont val="Calibri"/>
        <family val="2"/>
      </rPr>
      <t>(12 + 4), com capa de concreto de 25 MPa</t>
    </r>
  </si>
  <si>
    <r>
      <rPr>
        <sz val="8.5"/>
        <rFont val="Calibri"/>
        <family val="2"/>
      </rPr>
      <t>119,56</t>
    </r>
  </si>
  <si>
    <r>
      <rPr>
        <sz val="8.5"/>
        <rFont val="Calibri"/>
        <family val="2"/>
      </rPr>
      <t>145,31</t>
    </r>
  </si>
  <si>
    <r>
      <rPr>
        <sz val="8.5"/>
        <rFont val="Calibri"/>
        <family val="2"/>
      </rPr>
      <t>13.01.330</t>
    </r>
  </si>
  <si>
    <r>
      <rPr>
        <sz val="8.5"/>
        <rFont val="Calibri"/>
        <family val="2"/>
      </rPr>
      <t xml:space="preserve">Laje pré-fabricada unidirecional em viga treliçada/lajota em EPS LT 20
</t>
    </r>
    <r>
      <rPr>
        <sz val="8.5"/>
        <rFont val="Calibri"/>
        <family val="2"/>
      </rPr>
      <t>(16 + 4), com capa de concreto de 25 MPa</t>
    </r>
  </si>
  <si>
    <r>
      <rPr>
        <sz val="8.5"/>
        <rFont val="Calibri"/>
        <family val="2"/>
      </rPr>
      <t>163,32</t>
    </r>
  </si>
  <si>
    <r>
      <rPr>
        <sz val="8.5"/>
        <rFont val="Calibri"/>
        <family val="2"/>
      </rPr>
      <t>191,40</t>
    </r>
  </si>
  <si>
    <r>
      <rPr>
        <sz val="8.5"/>
        <rFont val="Calibri"/>
        <family val="2"/>
      </rPr>
      <t>13.01.340</t>
    </r>
  </si>
  <si>
    <r>
      <rPr>
        <sz val="8.5"/>
        <rFont val="Calibri"/>
        <family val="2"/>
      </rPr>
      <t xml:space="preserve">Laje pré-fabricada unidirecional em viga treliçada/lajota em EPS LT 25
</t>
    </r>
    <r>
      <rPr>
        <sz val="8.5"/>
        <rFont val="Calibri"/>
        <family val="2"/>
      </rPr>
      <t>(20 + 5), com capa de concreto de 25 MPa</t>
    </r>
  </si>
  <si>
    <r>
      <rPr>
        <sz val="8.5"/>
        <rFont val="Calibri"/>
        <family val="2"/>
      </rPr>
      <t>152,83</t>
    </r>
  </si>
  <si>
    <r>
      <rPr>
        <sz val="8.5"/>
        <rFont val="Calibri"/>
        <family val="2"/>
      </rPr>
      <t>183,24</t>
    </r>
  </si>
  <si>
    <r>
      <rPr>
        <sz val="8.5"/>
        <rFont val="Calibri"/>
        <family val="2"/>
      </rPr>
      <t>13.01.350</t>
    </r>
  </si>
  <si>
    <r>
      <rPr>
        <sz val="8.5"/>
        <rFont val="Calibri"/>
        <family val="2"/>
      </rPr>
      <t xml:space="preserve">Laje pré-fabricada unidirecional em viga treliçada/lajota em EPS LT 30
</t>
    </r>
    <r>
      <rPr>
        <sz val="8.5"/>
        <rFont val="Calibri"/>
        <family val="2"/>
      </rPr>
      <t>(25 + 5), com capa de concreto de 25 MPa</t>
    </r>
  </si>
  <si>
    <r>
      <rPr>
        <sz val="8.5"/>
        <rFont val="Calibri"/>
        <family val="2"/>
      </rPr>
      <t>240,53</t>
    </r>
  </si>
  <si>
    <r>
      <rPr>
        <sz val="8.5"/>
        <rFont val="Calibri"/>
        <family val="2"/>
      </rPr>
      <t>273,91</t>
    </r>
  </si>
  <si>
    <r>
      <rPr>
        <sz val="8.5"/>
        <rFont val="Calibri"/>
        <family val="2"/>
      </rPr>
      <t>Laje pre-fabricada mista em vigotas protendidas e lajotas</t>
    </r>
  </si>
  <si>
    <r>
      <rPr>
        <sz val="8.5"/>
        <rFont val="Calibri"/>
        <family val="2"/>
      </rPr>
      <t>13.02.150</t>
    </r>
  </si>
  <si>
    <r>
      <rPr>
        <sz val="8.5"/>
        <rFont val="Calibri"/>
        <family val="2"/>
      </rPr>
      <t xml:space="preserve">Laje pré-fabricada mista vigota protendida/lajota cerâmica - LP 12 (8+4)
</t>
    </r>
    <r>
      <rPr>
        <sz val="8.5"/>
        <rFont val="Calibri"/>
        <family val="2"/>
      </rPr>
      <t>e capa com concreto de 25 MPa</t>
    </r>
  </si>
  <si>
    <r>
      <rPr>
        <sz val="8.5"/>
        <rFont val="Calibri"/>
        <family val="2"/>
      </rPr>
      <t>114,25</t>
    </r>
  </si>
  <si>
    <r>
      <rPr>
        <sz val="8.5"/>
        <rFont val="Calibri"/>
        <family val="2"/>
      </rPr>
      <t>140,00</t>
    </r>
  </si>
  <si>
    <r>
      <rPr>
        <sz val="8.5"/>
        <rFont val="Calibri"/>
        <family val="2"/>
      </rPr>
      <t>13.02.170</t>
    </r>
  </si>
  <si>
    <r>
      <rPr>
        <sz val="8.5"/>
        <rFont val="Calibri"/>
        <family val="2"/>
      </rPr>
      <t xml:space="preserve">Laje pré-fabricada mista vigota protendida/lajota cerâmica - LP 16 (12+4)
</t>
    </r>
    <r>
      <rPr>
        <sz val="8.5"/>
        <rFont val="Calibri"/>
        <family val="2"/>
      </rPr>
      <t>e capa com concreto de 25 MPa</t>
    </r>
  </si>
  <si>
    <r>
      <rPr>
        <sz val="8.5"/>
        <rFont val="Calibri"/>
        <family val="2"/>
      </rPr>
      <t>131,21</t>
    </r>
  </si>
  <si>
    <r>
      <rPr>
        <sz val="8.5"/>
        <rFont val="Calibri"/>
        <family val="2"/>
      </rPr>
      <t>159,29</t>
    </r>
  </si>
  <si>
    <r>
      <rPr>
        <sz val="8.5"/>
        <rFont val="Calibri"/>
        <family val="2"/>
      </rPr>
      <t>13.02.190</t>
    </r>
  </si>
  <si>
    <r>
      <rPr>
        <sz val="8.5"/>
        <rFont val="Calibri"/>
        <family val="2"/>
      </rPr>
      <t xml:space="preserve">Laje pré-fabricada mista vigota protendida/lajota cerâmica - LP 20 (16+4)
</t>
    </r>
    <r>
      <rPr>
        <sz val="8.5"/>
        <rFont val="Calibri"/>
        <family val="2"/>
      </rPr>
      <t>e capa com concreto de 25 MPa</t>
    </r>
  </si>
  <si>
    <r>
      <rPr>
        <sz val="8.5"/>
        <rFont val="Calibri"/>
        <family val="2"/>
      </rPr>
      <t>141,10</t>
    </r>
  </si>
  <si>
    <r>
      <rPr>
        <sz val="8.5"/>
        <rFont val="Calibri"/>
        <family val="2"/>
      </rPr>
      <t>171,51</t>
    </r>
  </si>
  <si>
    <r>
      <rPr>
        <sz val="8.5"/>
        <rFont val="Calibri"/>
        <family val="2"/>
      </rPr>
      <t>13.02.210</t>
    </r>
  </si>
  <si>
    <r>
      <rPr>
        <sz val="8.5"/>
        <rFont val="Calibri"/>
        <family val="2"/>
      </rPr>
      <t xml:space="preserve">Laje pré-fabricada mista vigota protendida/lajota cerâmica - LP 25 (20+5)
</t>
    </r>
    <r>
      <rPr>
        <sz val="8.5"/>
        <rFont val="Calibri"/>
        <family val="2"/>
      </rPr>
      <t>e capa com concreto de 25 MPa</t>
    </r>
  </si>
  <si>
    <r>
      <rPr>
        <sz val="8.5"/>
        <rFont val="Calibri"/>
        <family val="2"/>
      </rPr>
      <t>152,71</t>
    </r>
  </si>
  <si>
    <r>
      <rPr>
        <sz val="8.5"/>
        <rFont val="Calibri"/>
        <family val="2"/>
      </rPr>
      <t>186,09</t>
    </r>
  </si>
  <si>
    <r>
      <rPr>
        <sz val="8.5"/>
        <rFont val="Calibri"/>
        <family val="2"/>
      </rPr>
      <t>Pre-laje</t>
    </r>
  </si>
  <si>
    <r>
      <rPr>
        <sz val="8.5"/>
        <rFont val="Calibri"/>
        <family val="2"/>
      </rPr>
      <t>13.05.084</t>
    </r>
  </si>
  <si>
    <r>
      <rPr>
        <sz val="8.5"/>
        <rFont val="Calibri"/>
        <family val="2"/>
      </rPr>
      <t>Pré-laje em painel pré-fabricado treliçado, com EPS, H= 12 cm</t>
    </r>
  </si>
  <si>
    <r>
      <rPr>
        <sz val="8.5"/>
        <rFont val="Calibri"/>
        <family val="2"/>
      </rPr>
      <t>129,94</t>
    </r>
  </si>
  <si>
    <r>
      <rPr>
        <sz val="8.5"/>
        <rFont val="Calibri"/>
        <family val="2"/>
      </rPr>
      <t>7,85</t>
    </r>
  </si>
  <si>
    <r>
      <rPr>
        <sz val="8.5"/>
        <rFont val="Calibri"/>
        <family val="2"/>
      </rPr>
      <t>137,79</t>
    </r>
  </si>
  <si>
    <r>
      <rPr>
        <sz val="8.5"/>
        <rFont val="Calibri"/>
        <family val="2"/>
      </rPr>
      <t>13.05.090</t>
    </r>
  </si>
  <si>
    <r>
      <rPr>
        <sz val="8.5"/>
        <rFont val="Calibri"/>
        <family val="2"/>
      </rPr>
      <t>Pré-laje em painel pré-fabricado treliçado, com EPS, H= 16 cm</t>
    </r>
  </si>
  <si>
    <r>
      <rPr>
        <sz val="8.5"/>
        <rFont val="Calibri"/>
        <family val="2"/>
      </rPr>
      <t>134,52</t>
    </r>
  </si>
  <si>
    <r>
      <rPr>
        <sz val="8.5"/>
        <rFont val="Calibri"/>
        <family val="2"/>
      </rPr>
      <t>8,26</t>
    </r>
  </si>
  <si>
    <r>
      <rPr>
        <sz val="8.5"/>
        <rFont val="Calibri"/>
        <family val="2"/>
      </rPr>
      <t>13.05.094</t>
    </r>
  </si>
  <si>
    <r>
      <rPr>
        <sz val="8.5"/>
        <rFont val="Calibri"/>
        <family val="2"/>
      </rPr>
      <t>Pré-laje em painel pré-fabricado treliçado, com EPS, H= 20 cm</t>
    </r>
  </si>
  <si>
    <r>
      <rPr>
        <sz val="8.5"/>
        <rFont val="Calibri"/>
        <family val="2"/>
      </rPr>
      <t>146,74</t>
    </r>
  </si>
  <si>
    <r>
      <rPr>
        <sz val="8.5"/>
        <rFont val="Calibri"/>
        <family val="2"/>
      </rPr>
      <t>8,66</t>
    </r>
  </si>
  <si>
    <r>
      <rPr>
        <sz val="8.5"/>
        <rFont val="Calibri"/>
        <family val="2"/>
      </rPr>
      <t>155,40</t>
    </r>
  </si>
  <si>
    <r>
      <rPr>
        <sz val="8.5"/>
        <rFont val="Calibri"/>
        <family val="2"/>
      </rPr>
      <t>13.05.096</t>
    </r>
  </si>
  <si>
    <r>
      <rPr>
        <sz val="8.5"/>
        <rFont val="Calibri"/>
        <family val="2"/>
      </rPr>
      <t>Pré-laje em painel pré-fabricado treliçado, com EPS, H= 25 cm</t>
    </r>
  </si>
  <si>
    <r>
      <rPr>
        <sz val="8.5"/>
        <rFont val="Calibri"/>
        <family val="2"/>
      </rPr>
      <t>169,79</t>
    </r>
  </si>
  <si>
    <r>
      <rPr>
        <sz val="8.5"/>
        <rFont val="Calibri"/>
        <family val="2"/>
      </rPr>
      <t>178,61</t>
    </r>
  </si>
  <si>
    <r>
      <rPr>
        <sz val="8.5"/>
        <rFont val="Calibri"/>
        <family val="2"/>
      </rPr>
      <t>13.05.110</t>
    </r>
  </si>
  <si>
    <r>
      <rPr>
        <sz val="8.5"/>
        <rFont val="Calibri"/>
        <family val="2"/>
      </rPr>
      <t>Pré-laje em painel pré-fabricado treliçado, H= 12 cm</t>
    </r>
  </si>
  <si>
    <r>
      <rPr>
        <sz val="8.5"/>
        <rFont val="Calibri"/>
        <family val="2"/>
      </rPr>
      <t>121,44</t>
    </r>
  </si>
  <si>
    <r>
      <rPr>
        <sz val="8.5"/>
        <rFont val="Calibri"/>
        <family val="2"/>
      </rPr>
      <t>129,29</t>
    </r>
  </si>
  <si>
    <r>
      <rPr>
        <sz val="8.5"/>
        <rFont val="Calibri"/>
        <family val="2"/>
      </rPr>
      <t>13.05.150</t>
    </r>
  </si>
  <si>
    <r>
      <rPr>
        <sz val="8.5"/>
        <rFont val="Calibri"/>
        <family val="2"/>
      </rPr>
      <t>Pré-laje em painel pré-fabricado treliçado, H= 16 cm</t>
    </r>
  </si>
  <si>
    <r>
      <rPr>
        <sz val="8.5"/>
        <rFont val="Calibri"/>
        <family val="2"/>
      </rPr>
      <t>131,40</t>
    </r>
  </si>
  <si>
    <r>
      <rPr>
        <sz val="8.5"/>
        <rFont val="Calibri"/>
        <family val="2"/>
      </rPr>
      <t>139,65</t>
    </r>
  </si>
  <si>
    <r>
      <rPr>
        <sz val="8.5"/>
        <rFont val="Calibri"/>
        <family val="2"/>
      </rPr>
      <t>ALVENARIA E ELEMENTO DIVISOR</t>
    </r>
  </si>
  <si>
    <r>
      <rPr>
        <sz val="8.5"/>
        <rFont val="Calibri"/>
        <family val="2"/>
      </rPr>
      <t>Alvenaria de fundação (embasamento)</t>
    </r>
  </si>
  <si>
    <r>
      <rPr>
        <sz val="8.5"/>
        <rFont val="Calibri"/>
        <family val="2"/>
      </rPr>
      <t>14.01.020</t>
    </r>
  </si>
  <si>
    <r>
      <rPr>
        <sz val="8.5"/>
        <rFont val="Calibri"/>
        <family val="2"/>
      </rPr>
      <t>Alvenaria de embasamento em tijolo maciço comum</t>
    </r>
  </si>
  <si>
    <r>
      <rPr>
        <sz val="8.5"/>
        <rFont val="Calibri"/>
        <family val="2"/>
      </rPr>
      <t>459,31</t>
    </r>
  </si>
  <si>
    <r>
      <rPr>
        <sz val="8.5"/>
        <rFont val="Calibri"/>
        <family val="2"/>
      </rPr>
      <t>266,50</t>
    </r>
  </si>
  <si>
    <r>
      <rPr>
        <sz val="8.5"/>
        <rFont val="Calibri"/>
        <family val="2"/>
      </rPr>
      <t>725,81</t>
    </r>
  </si>
  <si>
    <r>
      <rPr>
        <sz val="8.5"/>
        <rFont val="Calibri"/>
        <family val="2"/>
      </rPr>
      <t>14.01.050</t>
    </r>
  </si>
  <si>
    <r>
      <rPr>
        <sz val="8.5"/>
        <rFont val="Calibri"/>
        <family val="2"/>
      </rPr>
      <t xml:space="preserve">Alvenaria de embasamento em bloco de concreto de 14 x 19 x 39 cm -
</t>
    </r>
    <r>
      <rPr>
        <sz val="8.5"/>
        <rFont val="Calibri"/>
        <family val="2"/>
      </rPr>
      <t>classe A</t>
    </r>
  </si>
  <si>
    <r>
      <rPr>
        <sz val="8.5"/>
        <rFont val="Calibri"/>
        <family val="2"/>
      </rPr>
      <t>47,06</t>
    </r>
  </si>
  <si>
    <r>
      <rPr>
        <sz val="8.5"/>
        <rFont val="Calibri"/>
        <family val="2"/>
      </rPr>
      <t>25,57</t>
    </r>
  </si>
  <si>
    <r>
      <rPr>
        <sz val="8.5"/>
        <rFont val="Calibri"/>
        <family val="2"/>
      </rPr>
      <t>72,63</t>
    </r>
  </si>
  <si>
    <r>
      <rPr>
        <sz val="8.5"/>
        <rFont val="Calibri"/>
        <family val="2"/>
      </rPr>
      <t>14.01.060</t>
    </r>
  </si>
  <si>
    <r>
      <rPr>
        <sz val="8.5"/>
        <rFont val="Calibri"/>
        <family val="2"/>
      </rPr>
      <t xml:space="preserve">Alvenaria de embasamento em bloco de concreto de 19 x 19 x 39 cm -
</t>
    </r>
    <r>
      <rPr>
        <sz val="8.5"/>
        <rFont val="Calibri"/>
        <family val="2"/>
      </rPr>
      <t>classe A</t>
    </r>
  </si>
  <si>
    <r>
      <rPr>
        <sz val="8.5"/>
        <rFont val="Calibri"/>
        <family val="2"/>
      </rPr>
      <t>61,29</t>
    </r>
  </si>
  <si>
    <r>
      <rPr>
        <sz val="8.5"/>
        <rFont val="Calibri"/>
        <family val="2"/>
      </rPr>
      <t>26,15</t>
    </r>
  </si>
  <si>
    <r>
      <rPr>
        <sz val="8.5"/>
        <rFont val="Calibri"/>
        <family val="2"/>
      </rPr>
      <t>87,44</t>
    </r>
  </si>
  <si>
    <r>
      <rPr>
        <sz val="8.5"/>
        <rFont val="Calibri"/>
        <family val="2"/>
      </rPr>
      <t>Alvenaria com tijolo maciço comum ou especial</t>
    </r>
  </si>
  <si>
    <r>
      <rPr>
        <sz val="8.5"/>
        <rFont val="Calibri"/>
        <family val="2"/>
      </rPr>
      <t>14.02.020</t>
    </r>
  </si>
  <si>
    <r>
      <rPr>
        <sz val="8.5"/>
        <rFont val="Calibri"/>
        <family val="2"/>
      </rPr>
      <t>Alvenaria de elevação de 1/4 tijolo maciço comum</t>
    </r>
  </si>
  <si>
    <r>
      <rPr>
        <sz val="8.5"/>
        <rFont val="Calibri"/>
        <family val="2"/>
      </rPr>
      <t>28,34</t>
    </r>
  </si>
  <si>
    <r>
      <rPr>
        <sz val="8.5"/>
        <rFont val="Calibri"/>
        <family val="2"/>
      </rPr>
      <t>32,90</t>
    </r>
  </si>
  <si>
    <r>
      <rPr>
        <sz val="8.5"/>
        <rFont val="Calibri"/>
        <family val="2"/>
      </rPr>
      <t>61,24</t>
    </r>
  </si>
  <si>
    <r>
      <rPr>
        <sz val="8.5"/>
        <rFont val="Calibri"/>
        <family val="2"/>
      </rPr>
      <t>14.02.030</t>
    </r>
  </si>
  <si>
    <r>
      <rPr>
        <sz val="8.5"/>
        <rFont val="Calibri"/>
        <family val="2"/>
      </rPr>
      <t>Alvenaria de elevação de 1/2 tijolo maciço comum</t>
    </r>
  </si>
  <si>
    <r>
      <rPr>
        <sz val="8.5"/>
        <rFont val="Calibri"/>
        <family val="2"/>
      </rPr>
      <t>39,03</t>
    </r>
  </si>
  <si>
    <r>
      <rPr>
        <sz val="8.5"/>
        <rFont val="Calibri"/>
        <family val="2"/>
      </rPr>
      <t>52,07</t>
    </r>
  </si>
  <si>
    <r>
      <rPr>
        <sz val="8.5"/>
        <rFont val="Calibri"/>
        <family val="2"/>
      </rPr>
      <t>91,10</t>
    </r>
  </si>
  <si>
    <r>
      <rPr>
        <sz val="8.5"/>
        <rFont val="Calibri"/>
        <family val="2"/>
      </rPr>
      <t>14.02.040</t>
    </r>
  </si>
  <si>
    <r>
      <rPr>
        <sz val="8.5"/>
        <rFont val="Calibri"/>
        <family val="2"/>
      </rPr>
      <t>Alvenaria de elevação de 1 tijolo maciço comum</t>
    </r>
  </si>
  <si>
    <r>
      <rPr>
        <sz val="8.5"/>
        <rFont val="Calibri"/>
        <family val="2"/>
      </rPr>
      <t>86,16</t>
    </r>
  </si>
  <si>
    <r>
      <rPr>
        <sz val="8.5"/>
        <rFont val="Calibri"/>
        <family val="2"/>
      </rPr>
      <t>84,51</t>
    </r>
  </si>
  <si>
    <r>
      <rPr>
        <sz val="8.5"/>
        <rFont val="Calibri"/>
        <family val="2"/>
      </rPr>
      <t>170,67</t>
    </r>
  </si>
  <si>
    <r>
      <rPr>
        <sz val="8.5"/>
        <rFont val="Calibri"/>
        <family val="2"/>
      </rPr>
      <t>14.02.050</t>
    </r>
  </si>
  <si>
    <r>
      <rPr>
        <sz val="8.5"/>
        <rFont val="Calibri"/>
        <family val="2"/>
      </rPr>
      <t>Alvenaria de elevação de 1 1/2 tijolo maciço comum</t>
    </r>
  </si>
  <si>
    <r>
      <rPr>
        <sz val="8.5"/>
        <rFont val="Calibri"/>
        <family val="2"/>
      </rPr>
      <t>124,59</t>
    </r>
  </si>
  <si>
    <r>
      <rPr>
        <sz val="8.5"/>
        <rFont val="Calibri"/>
        <family val="2"/>
      </rPr>
      <t>104,22</t>
    </r>
  </si>
  <si>
    <r>
      <rPr>
        <sz val="8.5"/>
        <rFont val="Calibri"/>
        <family val="2"/>
      </rPr>
      <t>228,81</t>
    </r>
  </si>
  <si>
    <r>
      <rPr>
        <sz val="8.5"/>
        <rFont val="Calibri"/>
        <family val="2"/>
      </rPr>
      <t>14.02.070</t>
    </r>
  </si>
  <si>
    <r>
      <rPr>
        <sz val="8.5"/>
        <rFont val="Calibri"/>
        <family val="2"/>
      </rPr>
      <t>Alvenaria de elevação de 1/2 tijolo maciço aparente</t>
    </r>
  </si>
  <si>
    <r>
      <rPr>
        <sz val="8.5"/>
        <rFont val="Calibri"/>
        <family val="2"/>
      </rPr>
      <t>108,04</t>
    </r>
  </si>
  <si>
    <r>
      <rPr>
        <sz val="8.5"/>
        <rFont val="Calibri"/>
        <family val="2"/>
      </rPr>
      <t>160,11</t>
    </r>
  </si>
  <si>
    <r>
      <rPr>
        <sz val="8.5"/>
        <rFont val="Calibri"/>
        <family val="2"/>
      </rPr>
      <t>14.02.080</t>
    </r>
  </si>
  <si>
    <r>
      <rPr>
        <sz val="8.5"/>
        <rFont val="Calibri"/>
        <family val="2"/>
      </rPr>
      <t>Alvenaria de elevação de 1 tijolo maciço aparente</t>
    </r>
  </si>
  <si>
    <r>
      <rPr>
        <sz val="8.5"/>
        <rFont val="Calibri"/>
        <family val="2"/>
      </rPr>
      <t>244,78</t>
    </r>
  </si>
  <si>
    <r>
      <rPr>
        <sz val="8.5"/>
        <rFont val="Calibri"/>
        <family val="2"/>
      </rPr>
      <t>329,29</t>
    </r>
  </si>
  <si>
    <r>
      <rPr>
        <sz val="8.5"/>
        <rFont val="Calibri"/>
        <family val="2"/>
      </rPr>
      <t>Alvenaria com tijolo laminado aparente</t>
    </r>
  </si>
  <si>
    <r>
      <rPr>
        <sz val="8.5"/>
        <rFont val="Calibri"/>
        <family val="2"/>
      </rPr>
      <t>14.03.020</t>
    </r>
  </si>
  <si>
    <r>
      <rPr>
        <sz val="8.5"/>
        <rFont val="Calibri"/>
        <family val="2"/>
      </rPr>
      <t>Alvenaria de elevação de 1/4 tijolo laminado</t>
    </r>
  </si>
  <si>
    <r>
      <rPr>
        <sz val="8.5"/>
        <rFont val="Calibri"/>
        <family val="2"/>
      </rPr>
      <t>96,71</t>
    </r>
  </si>
  <si>
    <r>
      <rPr>
        <sz val="8.5"/>
        <rFont val="Calibri"/>
        <family val="2"/>
      </rPr>
      <t>46,41</t>
    </r>
  </si>
  <si>
    <r>
      <rPr>
        <sz val="8.5"/>
        <rFont val="Calibri"/>
        <family val="2"/>
      </rPr>
      <t>143,12</t>
    </r>
  </si>
  <si>
    <r>
      <rPr>
        <sz val="8.5"/>
        <rFont val="Calibri"/>
        <family val="2"/>
      </rPr>
      <t>14.03.040</t>
    </r>
  </si>
  <si>
    <r>
      <rPr>
        <sz val="8.5"/>
        <rFont val="Calibri"/>
        <family val="2"/>
      </rPr>
      <t>Alvenaria de elevação de 1/2 tijolo laminado</t>
    </r>
  </si>
  <si>
    <r>
      <rPr>
        <sz val="8.5"/>
        <rFont val="Calibri"/>
        <family val="2"/>
      </rPr>
      <t>182,47</t>
    </r>
  </si>
  <si>
    <r>
      <rPr>
        <sz val="8.5"/>
        <rFont val="Calibri"/>
        <family val="2"/>
      </rPr>
      <t>87,53</t>
    </r>
  </si>
  <si>
    <r>
      <rPr>
        <sz val="8.5"/>
        <rFont val="Calibri"/>
        <family val="2"/>
      </rPr>
      <t>270,00</t>
    </r>
  </si>
  <si>
    <r>
      <rPr>
        <sz val="8.5"/>
        <rFont val="Calibri"/>
        <family val="2"/>
      </rPr>
      <t>14.03.060</t>
    </r>
  </si>
  <si>
    <r>
      <rPr>
        <sz val="8.5"/>
        <rFont val="Calibri"/>
        <family val="2"/>
      </rPr>
      <t>Alvenaria de elevação de 1 tijolo laminado</t>
    </r>
  </si>
  <si>
    <r>
      <rPr>
        <sz val="8.5"/>
        <rFont val="Calibri"/>
        <family val="2"/>
      </rPr>
      <t>377,90</t>
    </r>
  </si>
  <si>
    <r>
      <rPr>
        <sz val="8.5"/>
        <rFont val="Calibri"/>
        <family val="2"/>
      </rPr>
      <t>122,43</t>
    </r>
  </si>
  <si>
    <r>
      <rPr>
        <sz val="8.5"/>
        <rFont val="Calibri"/>
        <family val="2"/>
      </rPr>
      <t>500,33</t>
    </r>
  </si>
  <si>
    <r>
      <rPr>
        <sz val="8.5"/>
        <rFont val="Calibri"/>
        <family val="2"/>
      </rPr>
      <t>Alvenaria com bloco cerâmico de vedação</t>
    </r>
  </si>
  <si>
    <r>
      <rPr>
        <sz val="8.5"/>
        <rFont val="Calibri"/>
        <family val="2"/>
      </rPr>
      <t>14.04.200</t>
    </r>
  </si>
  <si>
    <r>
      <rPr>
        <sz val="8.5"/>
        <rFont val="Calibri"/>
        <family val="2"/>
      </rPr>
      <t>Alvenaria de bloco cerâmico de vedação, uso revestido, de 9 cm</t>
    </r>
  </si>
  <si>
    <r>
      <rPr>
        <sz val="8.5"/>
        <rFont val="Calibri"/>
        <family val="2"/>
      </rPr>
      <t>27,45</t>
    </r>
  </si>
  <si>
    <r>
      <rPr>
        <sz val="8.5"/>
        <rFont val="Calibri"/>
        <family val="2"/>
      </rPr>
      <t>23,56</t>
    </r>
  </si>
  <si>
    <r>
      <rPr>
        <sz val="8.5"/>
        <rFont val="Calibri"/>
        <family val="2"/>
      </rPr>
      <t>51,01</t>
    </r>
  </si>
  <si>
    <r>
      <rPr>
        <sz val="8.5"/>
        <rFont val="Calibri"/>
        <family val="2"/>
      </rPr>
      <t>14.04.210</t>
    </r>
  </si>
  <si>
    <r>
      <rPr>
        <sz val="8.5"/>
        <rFont val="Calibri"/>
        <family val="2"/>
      </rPr>
      <t>Alvenaria de bloco cerâmico de vedação, uso revestido, de 14 cm</t>
    </r>
  </si>
  <si>
    <r>
      <rPr>
        <sz val="8.5"/>
        <rFont val="Calibri"/>
        <family val="2"/>
      </rPr>
      <t>37,83</t>
    </r>
  </si>
  <si>
    <r>
      <rPr>
        <sz val="8.5"/>
        <rFont val="Calibri"/>
        <family val="2"/>
      </rPr>
      <t>63,40</t>
    </r>
  </si>
  <si>
    <r>
      <rPr>
        <sz val="8.5"/>
        <rFont val="Calibri"/>
        <family val="2"/>
      </rPr>
      <t>14.04.220</t>
    </r>
  </si>
  <si>
    <r>
      <rPr>
        <sz val="8.5"/>
        <rFont val="Calibri"/>
        <family val="2"/>
      </rPr>
      <t>Alvenaria de bloco cerâmico de vedação, uso revestido, de 19 cm</t>
    </r>
  </si>
  <si>
    <r>
      <rPr>
        <sz val="8.5"/>
        <rFont val="Calibri"/>
        <family val="2"/>
      </rPr>
      <t>38,67</t>
    </r>
  </si>
  <si>
    <r>
      <rPr>
        <sz val="8.5"/>
        <rFont val="Calibri"/>
        <family val="2"/>
      </rPr>
      <t>27,44</t>
    </r>
  </si>
  <si>
    <r>
      <rPr>
        <sz val="8.5"/>
        <rFont val="Calibri"/>
        <family val="2"/>
      </rPr>
      <t>66,11</t>
    </r>
  </si>
  <si>
    <r>
      <rPr>
        <sz val="8.5"/>
        <rFont val="Calibri"/>
        <family val="2"/>
      </rPr>
      <t>Alvenaria com bloco cerâmico estrutural</t>
    </r>
  </si>
  <si>
    <r>
      <rPr>
        <sz val="8.5"/>
        <rFont val="Calibri"/>
        <family val="2"/>
      </rPr>
      <t>14.05.050</t>
    </r>
  </si>
  <si>
    <r>
      <rPr>
        <sz val="8.5"/>
        <rFont val="Calibri"/>
        <family val="2"/>
      </rPr>
      <t>Alvenaria de bloco cerâmico estrutural, uso revestido, de 14 cm</t>
    </r>
  </si>
  <si>
    <r>
      <rPr>
        <sz val="8.5"/>
        <rFont val="Calibri"/>
        <family val="2"/>
      </rPr>
      <t>30,14</t>
    </r>
  </si>
  <si>
    <r>
      <rPr>
        <sz val="8.5"/>
        <rFont val="Calibri"/>
        <family val="2"/>
      </rPr>
      <t>55,71</t>
    </r>
  </si>
  <si>
    <r>
      <rPr>
        <sz val="8.5"/>
        <rFont val="Calibri"/>
        <family val="2"/>
      </rPr>
      <t>14.05.060</t>
    </r>
  </si>
  <si>
    <r>
      <rPr>
        <sz val="8.5"/>
        <rFont val="Calibri"/>
        <family val="2"/>
      </rPr>
      <t>Alvenaria de bloco cerâmico estrutural, uso revestido, de 19 cm</t>
    </r>
  </si>
  <si>
    <r>
      <rPr>
        <sz val="8.5"/>
        <rFont val="Calibri"/>
        <family val="2"/>
      </rPr>
      <t>37,73</t>
    </r>
  </si>
  <si>
    <r>
      <rPr>
        <sz val="8.5"/>
        <rFont val="Calibri"/>
        <family val="2"/>
      </rPr>
      <t>65,17</t>
    </r>
  </si>
  <si>
    <r>
      <rPr>
        <sz val="8.5"/>
        <rFont val="Calibri"/>
        <family val="2"/>
      </rPr>
      <t>Alvenaria com bloco de concreto de vedação</t>
    </r>
  </si>
  <si>
    <r>
      <rPr>
        <sz val="8.5"/>
        <rFont val="Calibri"/>
        <family val="2"/>
      </rPr>
      <t>14.10.101</t>
    </r>
  </si>
  <si>
    <r>
      <rPr>
        <sz val="8.5"/>
        <rFont val="Calibri"/>
        <family val="2"/>
      </rPr>
      <t>Alvenaria de bloco de concreto de vedação de 9 x 19 x 39 cm - classe C</t>
    </r>
  </si>
  <si>
    <r>
      <rPr>
        <sz val="8.5"/>
        <rFont val="Calibri"/>
        <family val="2"/>
      </rPr>
      <t>27,05</t>
    </r>
  </si>
  <si>
    <r>
      <rPr>
        <sz val="8.5"/>
        <rFont val="Calibri"/>
        <family val="2"/>
      </rPr>
      <t>50,61</t>
    </r>
  </si>
  <si>
    <r>
      <rPr>
        <sz val="8.5"/>
        <rFont val="Calibri"/>
        <family val="2"/>
      </rPr>
      <t>14.10.111</t>
    </r>
  </si>
  <si>
    <r>
      <rPr>
        <sz val="8.5"/>
        <rFont val="Calibri"/>
        <family val="2"/>
      </rPr>
      <t>Alvenaria de bloco de concreto de vedação de 14 x 19 x 39 cm - classe C</t>
    </r>
  </si>
  <si>
    <r>
      <rPr>
        <sz val="8.5"/>
        <rFont val="Calibri"/>
        <family val="2"/>
      </rPr>
      <t>33,61</t>
    </r>
  </si>
  <si>
    <r>
      <rPr>
        <sz val="8.5"/>
        <rFont val="Calibri"/>
        <family val="2"/>
      </rPr>
      <t>59,18</t>
    </r>
  </si>
  <si>
    <r>
      <rPr>
        <sz val="8.5"/>
        <rFont val="Calibri"/>
        <family val="2"/>
      </rPr>
      <t>14.10.121</t>
    </r>
  </si>
  <si>
    <r>
      <rPr>
        <sz val="8.5"/>
        <rFont val="Calibri"/>
        <family val="2"/>
      </rPr>
      <t>Alvenaria de bloco de concreto de vedação de 19 x 19 x 39 cm - classe C</t>
    </r>
  </si>
  <si>
    <r>
      <rPr>
        <sz val="8.5"/>
        <rFont val="Calibri"/>
        <family val="2"/>
      </rPr>
      <t>43,32</t>
    </r>
  </si>
  <si>
    <r>
      <rPr>
        <sz val="8.5"/>
        <rFont val="Calibri"/>
        <family val="2"/>
      </rPr>
      <t>69,47</t>
    </r>
  </si>
  <si>
    <r>
      <rPr>
        <sz val="8.5"/>
        <rFont val="Calibri"/>
        <family val="2"/>
      </rPr>
      <t>Alvenaria com bloco de concreto estrutural</t>
    </r>
  </si>
  <si>
    <r>
      <rPr>
        <sz val="8.5"/>
        <rFont val="Calibri"/>
        <family val="2"/>
      </rPr>
      <t>14.11.221</t>
    </r>
  </si>
  <si>
    <r>
      <rPr>
        <sz val="8.5"/>
        <rFont val="Calibri"/>
        <family val="2"/>
      </rPr>
      <t>Alvenaria de bloco de concreto estrutural 14 x 19 x 39 cm - classe B</t>
    </r>
  </si>
  <si>
    <r>
      <rPr>
        <sz val="8.5"/>
        <rFont val="Calibri"/>
        <family val="2"/>
      </rPr>
      <t>42,24</t>
    </r>
  </si>
  <si>
    <r>
      <rPr>
        <sz val="8.5"/>
        <rFont val="Calibri"/>
        <family val="2"/>
      </rPr>
      <t>28,78</t>
    </r>
  </si>
  <si>
    <r>
      <rPr>
        <sz val="8.5"/>
        <rFont val="Calibri"/>
        <family val="2"/>
      </rPr>
      <t>71,02</t>
    </r>
  </si>
  <si>
    <r>
      <rPr>
        <sz val="8.5"/>
        <rFont val="Calibri"/>
        <family val="2"/>
      </rPr>
      <t>14.11.231</t>
    </r>
  </si>
  <si>
    <r>
      <rPr>
        <sz val="8.5"/>
        <rFont val="Calibri"/>
        <family val="2"/>
      </rPr>
      <t>Alvenaria de bloco de concreto estrutural 19 x 19 x 39 cm - classe B</t>
    </r>
  </si>
  <si>
    <r>
      <rPr>
        <sz val="8.5"/>
        <rFont val="Calibri"/>
        <family val="2"/>
      </rPr>
      <t>56,67</t>
    </r>
  </si>
  <si>
    <r>
      <rPr>
        <sz val="8.5"/>
        <rFont val="Calibri"/>
        <family val="2"/>
      </rPr>
      <t>29,51</t>
    </r>
  </si>
  <si>
    <r>
      <rPr>
        <sz val="8.5"/>
        <rFont val="Calibri"/>
        <family val="2"/>
      </rPr>
      <t>86,18</t>
    </r>
  </si>
  <si>
    <r>
      <rPr>
        <sz val="8.5"/>
        <rFont val="Calibri"/>
        <family val="2"/>
      </rPr>
      <t>14.11.261</t>
    </r>
  </si>
  <si>
    <r>
      <rPr>
        <sz val="8.5"/>
        <rFont val="Calibri"/>
        <family val="2"/>
      </rPr>
      <t>Alvenaria de bloco de concreto estrutural 14 x 19 x 39 cm - classe A</t>
    </r>
  </si>
  <si>
    <r>
      <rPr>
        <sz val="8.5"/>
        <rFont val="Calibri"/>
        <family val="2"/>
      </rPr>
      <t>48,09</t>
    </r>
  </si>
  <si>
    <r>
      <rPr>
        <sz val="8.5"/>
        <rFont val="Calibri"/>
        <family val="2"/>
      </rPr>
      <t>38,11</t>
    </r>
  </si>
  <si>
    <r>
      <rPr>
        <sz val="8.5"/>
        <rFont val="Calibri"/>
        <family val="2"/>
      </rPr>
      <t>86,20</t>
    </r>
  </si>
  <si>
    <r>
      <rPr>
        <sz val="8.5"/>
        <rFont val="Calibri"/>
        <family val="2"/>
      </rPr>
      <t>14.11.271</t>
    </r>
  </si>
  <si>
    <r>
      <rPr>
        <sz val="8.5"/>
        <rFont val="Calibri"/>
        <family val="2"/>
      </rPr>
      <t>Alvenaria de bloco de concreto estrutural 19 x 19 x 39 cm - classe A</t>
    </r>
  </si>
  <si>
    <r>
      <rPr>
        <sz val="8.5"/>
        <rFont val="Calibri"/>
        <family val="2"/>
      </rPr>
      <t>62,78</t>
    </r>
  </si>
  <si>
    <r>
      <rPr>
        <sz val="8.5"/>
        <rFont val="Calibri"/>
        <family val="2"/>
      </rPr>
      <t>40,63</t>
    </r>
  </si>
  <si>
    <r>
      <rPr>
        <sz val="8.5"/>
        <rFont val="Calibri"/>
        <family val="2"/>
      </rPr>
      <t>103,41</t>
    </r>
  </si>
  <si>
    <r>
      <rPr>
        <sz val="8.5"/>
        <rFont val="Calibri"/>
        <family val="2"/>
      </rPr>
      <t>Alvenaria de concreto celular ou silico calcário</t>
    </r>
  </si>
  <si>
    <r>
      <rPr>
        <sz val="8.5"/>
        <rFont val="Calibri"/>
        <family val="2"/>
      </rPr>
      <t>14.15.060</t>
    </r>
  </si>
  <si>
    <r>
      <rPr>
        <sz val="8.5"/>
        <rFont val="Calibri"/>
        <family val="2"/>
      </rPr>
      <t xml:space="preserve">Alvenaria em bloco de concreto celular autoclavado de 10 cm, uso
</t>
    </r>
    <r>
      <rPr>
        <sz val="8.5"/>
        <rFont val="Calibri"/>
        <family val="2"/>
      </rPr>
      <t>revestido - classe C25</t>
    </r>
  </si>
  <si>
    <r>
      <rPr>
        <sz val="8.5"/>
        <rFont val="Calibri"/>
        <family val="2"/>
      </rPr>
      <t>77,00</t>
    </r>
  </si>
  <si>
    <r>
      <rPr>
        <sz val="8.5"/>
        <rFont val="Calibri"/>
        <family val="2"/>
      </rPr>
      <t>11,16</t>
    </r>
  </si>
  <si>
    <r>
      <rPr>
        <sz val="8.5"/>
        <rFont val="Calibri"/>
        <family val="2"/>
      </rPr>
      <t>88,16</t>
    </r>
  </si>
  <si>
    <r>
      <rPr>
        <sz val="8.5"/>
        <rFont val="Calibri"/>
        <family val="2"/>
      </rPr>
      <t>14.15.100</t>
    </r>
  </si>
  <si>
    <r>
      <rPr>
        <sz val="8.5"/>
        <rFont val="Calibri"/>
        <family val="2"/>
      </rPr>
      <t xml:space="preserve">Alvenaria em bloco de concreto celular autoclavado de 12,5 cm, uso
</t>
    </r>
    <r>
      <rPr>
        <sz val="8.5"/>
        <rFont val="Calibri"/>
        <family val="2"/>
      </rPr>
      <t>revestido - classe C25</t>
    </r>
  </si>
  <si>
    <r>
      <rPr>
        <sz val="8.5"/>
        <rFont val="Calibri"/>
        <family val="2"/>
      </rPr>
      <t>92,60</t>
    </r>
  </si>
  <si>
    <r>
      <rPr>
        <sz val="8.5"/>
        <rFont val="Calibri"/>
        <family val="2"/>
      </rPr>
      <t>11,45</t>
    </r>
  </si>
  <si>
    <r>
      <rPr>
        <sz val="8.5"/>
        <rFont val="Calibri"/>
        <family val="2"/>
      </rPr>
      <t>104,05</t>
    </r>
  </si>
  <si>
    <r>
      <rPr>
        <sz val="8.5"/>
        <rFont val="Calibri"/>
        <family val="2"/>
      </rPr>
      <t>14.15.120</t>
    </r>
  </si>
  <si>
    <r>
      <rPr>
        <sz val="8.5"/>
        <rFont val="Calibri"/>
        <family val="2"/>
      </rPr>
      <t xml:space="preserve">Alvenaria em bloco de concreto celular autoclavado de 15 cm, uso
</t>
    </r>
    <r>
      <rPr>
        <sz val="8.5"/>
        <rFont val="Calibri"/>
        <family val="2"/>
      </rPr>
      <t>revestido - classe C25</t>
    </r>
  </si>
  <si>
    <r>
      <rPr>
        <sz val="8.5"/>
        <rFont val="Calibri"/>
        <family val="2"/>
      </rPr>
      <t>113,65</t>
    </r>
  </si>
  <si>
    <r>
      <rPr>
        <sz val="8.5"/>
        <rFont val="Calibri"/>
        <family val="2"/>
      </rPr>
      <t>11,59</t>
    </r>
  </si>
  <si>
    <r>
      <rPr>
        <sz val="8.5"/>
        <rFont val="Calibri"/>
        <family val="2"/>
      </rPr>
      <t>125,24</t>
    </r>
  </si>
  <si>
    <r>
      <rPr>
        <sz val="8.5"/>
        <rFont val="Calibri"/>
        <family val="2"/>
      </rPr>
      <t>14.15.140</t>
    </r>
  </si>
  <si>
    <r>
      <rPr>
        <sz val="8.5"/>
        <rFont val="Calibri"/>
        <family val="2"/>
      </rPr>
      <t xml:space="preserve">Alvenaria em bloco de concreto celular autoclavado de 20 cm, uso
</t>
    </r>
    <r>
      <rPr>
        <sz val="8.5"/>
        <rFont val="Calibri"/>
        <family val="2"/>
      </rPr>
      <t>revestido - classe C25</t>
    </r>
  </si>
  <si>
    <r>
      <rPr>
        <sz val="8.5"/>
        <rFont val="Calibri"/>
        <family val="2"/>
      </rPr>
      <t>142,25</t>
    </r>
  </si>
  <si>
    <r>
      <rPr>
        <sz val="8.5"/>
        <rFont val="Calibri"/>
        <family val="2"/>
      </rPr>
      <t>154,28</t>
    </r>
  </si>
  <si>
    <r>
      <rPr>
        <sz val="8.5"/>
        <rFont val="Calibri"/>
        <family val="2"/>
      </rPr>
      <t>Pecas moldadas no local (vergas, pilaretes, etc.)</t>
    </r>
  </si>
  <si>
    <r>
      <rPr>
        <sz val="8.5"/>
        <rFont val="Calibri"/>
        <family val="2"/>
      </rPr>
      <t>14.20.010</t>
    </r>
  </si>
  <si>
    <r>
      <rPr>
        <sz val="8.5"/>
        <rFont val="Calibri"/>
        <family val="2"/>
      </rPr>
      <t>Vergas, contravergas e pilaretes de concreto armado</t>
    </r>
  </si>
  <si>
    <r>
      <rPr>
        <sz val="8.5"/>
        <rFont val="Calibri"/>
        <family val="2"/>
      </rPr>
      <t>1.003,12</t>
    </r>
  </si>
  <si>
    <r>
      <rPr>
        <sz val="8.5"/>
        <rFont val="Calibri"/>
        <family val="2"/>
      </rPr>
      <t>608,31</t>
    </r>
  </si>
  <si>
    <r>
      <rPr>
        <sz val="8.5"/>
        <rFont val="Calibri"/>
        <family val="2"/>
      </rPr>
      <t>1.611,43</t>
    </r>
  </si>
  <si>
    <r>
      <rPr>
        <sz val="8.5"/>
        <rFont val="Calibri"/>
        <family val="2"/>
      </rPr>
      <t>14.20.020</t>
    </r>
  </si>
  <si>
    <r>
      <rPr>
        <sz val="8.5"/>
        <rFont val="Calibri"/>
        <family val="2"/>
      </rPr>
      <t>Cimalha em concreto com pingadeira</t>
    </r>
  </si>
  <si>
    <r>
      <rPr>
        <sz val="8.5"/>
        <rFont val="Calibri"/>
        <family val="2"/>
      </rPr>
      <t>2,96</t>
    </r>
  </si>
  <si>
    <r>
      <rPr>
        <sz val="8.5"/>
        <rFont val="Calibri"/>
        <family val="2"/>
      </rPr>
      <t>5,50</t>
    </r>
  </si>
  <si>
    <r>
      <rPr>
        <sz val="8.5"/>
        <rFont val="Calibri"/>
        <family val="2"/>
      </rPr>
      <t>Elementos vazados (concreto, cerâmica e vidros)</t>
    </r>
  </si>
  <si>
    <r>
      <rPr>
        <sz val="8.5"/>
        <rFont val="Calibri"/>
        <family val="2"/>
      </rPr>
      <t>14.28.030</t>
    </r>
  </si>
  <si>
    <r>
      <rPr>
        <sz val="8.5"/>
        <rFont val="Calibri"/>
        <family val="2"/>
      </rPr>
      <t>Elemento vazado em concreto, tipo quadriculado de 39 x 39 x 10 cm</t>
    </r>
  </si>
  <si>
    <r>
      <rPr>
        <sz val="8.5"/>
        <rFont val="Calibri"/>
        <family val="2"/>
      </rPr>
      <t>109,45</t>
    </r>
  </si>
  <si>
    <r>
      <rPr>
        <sz val="8.5"/>
        <rFont val="Calibri"/>
        <family val="2"/>
      </rPr>
      <t>48,00</t>
    </r>
  </si>
  <si>
    <r>
      <rPr>
        <sz val="8.5"/>
        <rFont val="Calibri"/>
        <family val="2"/>
      </rPr>
      <t>157,45</t>
    </r>
  </si>
  <si>
    <r>
      <rPr>
        <sz val="8.5"/>
        <rFont val="Calibri"/>
        <family val="2"/>
      </rPr>
      <t>14.28.096</t>
    </r>
  </si>
  <si>
    <r>
      <rPr>
        <sz val="8.5"/>
        <rFont val="Calibri"/>
        <family val="2"/>
      </rPr>
      <t>Elemento vazado em concreto, tipo veneziana de 39 x 39 x 10 cm</t>
    </r>
  </si>
  <si>
    <r>
      <rPr>
        <sz val="8.5"/>
        <rFont val="Calibri"/>
        <family val="2"/>
      </rPr>
      <t>130,45</t>
    </r>
  </si>
  <si>
    <r>
      <rPr>
        <sz val="8.5"/>
        <rFont val="Calibri"/>
        <family val="2"/>
      </rPr>
      <t>178,45</t>
    </r>
  </si>
  <si>
    <r>
      <rPr>
        <sz val="8.5"/>
        <rFont val="Calibri"/>
        <family val="2"/>
      </rPr>
      <t>14.28.100</t>
    </r>
  </si>
  <si>
    <r>
      <rPr>
        <sz val="8.5"/>
        <rFont val="Calibri"/>
        <family val="2"/>
      </rPr>
      <t>Elemento vazado em vidro, tipo veneziana capelinha de 20 x 10 x 10 cm</t>
    </r>
  </si>
  <si>
    <r>
      <rPr>
        <sz val="8.5"/>
        <rFont val="Calibri"/>
        <family val="2"/>
      </rPr>
      <t>1.248,66</t>
    </r>
  </si>
  <si>
    <r>
      <rPr>
        <sz val="8.5"/>
        <rFont val="Calibri"/>
        <family val="2"/>
      </rPr>
      <t>130,18</t>
    </r>
  </si>
  <si>
    <r>
      <rPr>
        <sz val="8.5"/>
        <rFont val="Calibri"/>
        <family val="2"/>
      </rPr>
      <t>1.378,84</t>
    </r>
  </si>
  <si>
    <r>
      <rPr>
        <sz val="8.5"/>
        <rFont val="Calibri"/>
        <family val="2"/>
      </rPr>
      <t>14.28.140</t>
    </r>
  </si>
  <si>
    <r>
      <rPr>
        <sz val="8.5"/>
        <rFont val="Calibri"/>
        <family val="2"/>
      </rPr>
      <t>Elemento vazado em vidro, tipo veneziana de 20 x 20 x 6 cm</t>
    </r>
  </si>
  <si>
    <r>
      <rPr>
        <sz val="8.5"/>
        <rFont val="Calibri"/>
        <family val="2"/>
      </rPr>
      <t>831,98</t>
    </r>
  </si>
  <si>
    <r>
      <rPr>
        <sz val="8.5"/>
        <rFont val="Calibri"/>
        <family val="2"/>
      </rPr>
      <t>86,44</t>
    </r>
  </si>
  <si>
    <r>
      <rPr>
        <sz val="8.5"/>
        <rFont val="Calibri"/>
        <family val="2"/>
      </rPr>
      <t>918,42</t>
    </r>
  </si>
  <si>
    <r>
      <rPr>
        <sz val="8.5"/>
        <rFont val="Calibri"/>
        <family val="2"/>
      </rPr>
      <t>Divisória e fechamento</t>
    </r>
  </si>
  <si>
    <r>
      <rPr>
        <sz val="8.5"/>
        <rFont val="Calibri"/>
        <family val="2"/>
      </rPr>
      <t>14.30.010</t>
    </r>
  </si>
  <si>
    <r>
      <rPr>
        <sz val="8.5"/>
        <rFont val="Calibri"/>
        <family val="2"/>
      </rPr>
      <t>Divisória em placas de granito com espessura de 3 cm</t>
    </r>
  </si>
  <si>
    <r>
      <rPr>
        <sz val="8.5"/>
        <rFont val="Calibri"/>
        <family val="2"/>
      </rPr>
      <t>765,82</t>
    </r>
  </si>
  <si>
    <r>
      <rPr>
        <sz val="8.5"/>
        <rFont val="Calibri"/>
        <family val="2"/>
      </rPr>
      <t>56,02</t>
    </r>
  </si>
  <si>
    <r>
      <rPr>
        <sz val="8.5"/>
        <rFont val="Calibri"/>
        <family val="2"/>
      </rPr>
      <t>821,84</t>
    </r>
  </si>
  <si>
    <r>
      <rPr>
        <sz val="8.5"/>
        <rFont val="Calibri"/>
        <family val="2"/>
      </rPr>
      <t>14.30.020</t>
    </r>
  </si>
  <si>
    <r>
      <rPr>
        <sz val="8.5"/>
        <rFont val="Calibri"/>
        <family val="2"/>
      </rPr>
      <t>Divisória em placas de granilite com espessura de 3 cm</t>
    </r>
  </si>
  <si>
    <r>
      <rPr>
        <sz val="8.5"/>
        <rFont val="Calibri"/>
        <family val="2"/>
      </rPr>
      <t>208,28</t>
    </r>
  </si>
  <si>
    <r>
      <rPr>
        <sz val="8.5"/>
        <rFont val="Calibri"/>
        <family val="2"/>
      </rPr>
      <t>14.30.070</t>
    </r>
  </si>
  <si>
    <r>
      <rPr>
        <sz val="8.5"/>
        <rFont val="Calibri"/>
        <family val="2"/>
      </rPr>
      <t>Divisória sanitária em painel laminado melamínico estrutural com perfis em alumínio, inclusive ferragem completa para vão de porta</t>
    </r>
  </si>
  <si>
    <r>
      <rPr>
        <sz val="8.5"/>
        <rFont val="Calibri"/>
        <family val="2"/>
      </rPr>
      <t>523,08</t>
    </r>
  </si>
  <si>
    <r>
      <rPr>
        <sz val="8.5"/>
        <rFont val="Calibri"/>
        <family val="2"/>
      </rPr>
      <t>14.30.080</t>
    </r>
  </si>
  <si>
    <r>
      <rPr>
        <sz val="8.5"/>
        <rFont val="Calibri"/>
        <family val="2"/>
      </rPr>
      <t xml:space="preserve">Divisão para mictório em placas de mármore branco, com espessura de 3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</si>
  <si>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875,82</t>
    </r>
  </si>
  <si>
    <r>
      <rPr>
        <sz val="8.5"/>
        <rFont val="Calibri"/>
        <family val="2"/>
      </rPr>
      <t>931,84</t>
    </r>
  </si>
  <si>
    <r>
      <rPr>
        <sz val="8.5"/>
        <rFont val="Calibri"/>
        <family val="2"/>
      </rPr>
      <t>14.30.110</t>
    </r>
  </si>
  <si>
    <r>
      <rPr>
        <sz val="8.5"/>
        <rFont val="Calibri"/>
        <family val="2"/>
      </rPr>
      <t xml:space="preserve">Divisória cega tipo naval, acabamento em laminado fenólico melamínico,
</t>
    </r>
    <r>
      <rPr>
        <sz val="8.5"/>
        <rFont val="Calibri"/>
        <family val="2"/>
      </rPr>
      <t>com espessura de 3,5 cm</t>
    </r>
  </si>
  <si>
    <r>
      <rPr>
        <sz val="8.5"/>
        <rFont val="Calibri"/>
        <family val="2"/>
      </rPr>
      <t>110,71</t>
    </r>
  </si>
  <si>
    <r>
      <rPr>
        <sz val="8.5"/>
        <rFont val="Calibri"/>
        <family val="2"/>
      </rPr>
      <t>14.30.160</t>
    </r>
  </si>
  <si>
    <r>
      <rPr>
        <sz val="8.5"/>
        <rFont val="Calibri"/>
        <family val="2"/>
      </rPr>
      <t xml:space="preserve">Divisória em placas de gesso acartonado, resistência ao fogo 60 minutos,
</t>
    </r>
    <r>
      <rPr>
        <sz val="8.5"/>
        <rFont val="Calibri"/>
        <family val="2"/>
      </rPr>
      <t>espessura 120/90mm - 1RF / 1RF LM</t>
    </r>
  </si>
  <si>
    <r>
      <rPr>
        <sz val="8.5"/>
        <rFont val="Calibri"/>
        <family val="2"/>
      </rPr>
      <t>143,36</t>
    </r>
  </si>
  <si>
    <r>
      <rPr>
        <sz val="8.5"/>
        <rFont val="Calibri"/>
        <family val="2"/>
      </rPr>
      <t>14.30.190</t>
    </r>
  </si>
  <si>
    <r>
      <rPr>
        <sz val="8.5"/>
        <rFont val="Calibri"/>
        <family val="2"/>
      </rPr>
      <t xml:space="preserve">Divisória cega tipo naval com miolo mineral, acabamento em laminado
</t>
    </r>
    <r>
      <rPr>
        <sz val="8.5"/>
        <rFont val="Calibri"/>
        <family val="2"/>
      </rPr>
      <t>melamínico, com espessura de 3,5 cm</t>
    </r>
  </si>
  <si>
    <r>
      <rPr>
        <sz val="8.5"/>
        <rFont val="Calibri"/>
        <family val="2"/>
      </rPr>
      <t>131,52</t>
    </r>
  </si>
  <si>
    <r>
      <rPr>
        <sz val="8.5"/>
        <rFont val="Calibri"/>
        <family val="2"/>
      </rPr>
      <t>14.30.230</t>
    </r>
  </si>
  <si>
    <r>
      <rPr>
        <sz val="8.5"/>
        <rFont val="Calibri"/>
        <family val="2"/>
      </rPr>
      <t xml:space="preserve">Divisória painel/vidro/vidro tipo naval, acabamento em laminado
</t>
    </r>
    <r>
      <rPr>
        <sz val="8.5"/>
        <rFont val="Calibri"/>
        <family val="2"/>
      </rPr>
      <t>fenólico melamínico, com espessura de 3,5 cm</t>
    </r>
  </si>
  <si>
    <r>
      <rPr>
        <sz val="8.5"/>
        <rFont val="Calibri"/>
        <family val="2"/>
      </rPr>
      <t>139,33</t>
    </r>
  </si>
  <si>
    <r>
      <rPr>
        <sz val="8.5"/>
        <rFont val="Calibri"/>
        <family val="2"/>
      </rPr>
      <t>14.30.260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</si>
  <si>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73/48mm - 1ST / 1ST</t>
    </r>
  </si>
  <si>
    <r>
      <rPr>
        <sz val="8.5"/>
        <rFont val="Calibri"/>
        <family val="2"/>
      </rPr>
      <t>130,41</t>
    </r>
  </si>
  <si>
    <r>
      <rPr>
        <sz val="8.5"/>
        <rFont val="Calibri"/>
        <family val="2"/>
      </rPr>
      <t>14.30.270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</si>
  <si>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73/48mm - 1ST / 1ST LM</t>
    </r>
  </si>
  <si>
    <r>
      <rPr>
        <sz val="8.5"/>
        <rFont val="Calibri"/>
        <family val="2"/>
      </rPr>
      <t>116,18</t>
    </r>
  </si>
  <si>
    <r>
      <rPr>
        <sz val="8.5"/>
        <rFont val="Calibri"/>
        <family val="2"/>
      </rPr>
      <t>14.30.300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</si>
  <si>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100/70mm - 1ST / 1ST LM</t>
    </r>
  </si>
  <si>
    <r>
      <rPr>
        <sz val="8.5"/>
        <rFont val="Calibri"/>
        <family val="2"/>
      </rPr>
      <t>155,41</t>
    </r>
  </si>
  <si>
    <r>
      <rPr>
        <sz val="8.5"/>
        <rFont val="Calibri"/>
        <family val="2"/>
      </rPr>
      <t>14.30.310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</si>
  <si>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100/70mm - 1ST / 1ST</t>
    </r>
  </si>
  <si>
    <r>
      <rPr>
        <sz val="8.5"/>
        <rFont val="Calibri"/>
        <family val="2"/>
      </rPr>
      <t>115,83</t>
    </r>
  </si>
  <si>
    <r>
      <rPr>
        <sz val="8.5"/>
        <rFont val="Calibri"/>
        <family val="2"/>
      </rPr>
      <t>14.30.410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</si>
  <si>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100/70mm - 1RU / 1RU</t>
    </r>
  </si>
  <si>
    <r>
      <rPr>
        <sz val="8.5"/>
        <rFont val="Calibri"/>
        <family val="2"/>
      </rPr>
      <t>197,00</t>
    </r>
  </si>
  <si>
    <r>
      <rPr>
        <sz val="8.5"/>
        <rFont val="Calibri"/>
        <family val="2"/>
      </rPr>
      <t>14.30.440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</si>
  <si>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120/70mm - 2ST / 2ST LM</t>
    </r>
  </si>
  <si>
    <r>
      <rPr>
        <sz val="8.5"/>
        <rFont val="Calibri"/>
        <family val="2"/>
      </rPr>
      <t>170,40</t>
    </r>
  </si>
  <si>
    <r>
      <rPr>
        <sz val="8.5"/>
        <rFont val="Calibri"/>
        <family val="2"/>
      </rPr>
      <t>14.30.841</t>
    </r>
  </si>
  <si>
    <r>
      <rPr>
        <sz val="8.5"/>
        <rFont val="Calibri"/>
        <family val="2"/>
      </rPr>
      <t xml:space="preserve">Divisória cega tipo piso/teto em laminado melamínico de baixa pressão,
</t>
    </r>
    <r>
      <rPr>
        <sz val="8.5"/>
        <rFont val="Calibri"/>
        <family val="2"/>
      </rPr>
      <t>com coluna estrutural em alumínio extrudado</t>
    </r>
  </si>
  <si>
    <r>
      <rPr>
        <sz val="8.5"/>
        <rFont val="Calibri"/>
        <family val="2"/>
      </rPr>
      <t>666,65</t>
    </r>
  </si>
  <si>
    <r>
      <rPr>
        <sz val="8.5"/>
        <rFont val="Calibri"/>
        <family val="2"/>
      </rPr>
      <t>14.30.842</t>
    </r>
  </si>
  <si>
    <r>
      <rPr>
        <sz val="8.5"/>
        <rFont val="Calibri"/>
        <family val="2"/>
      </rPr>
      <t xml:space="preserve">Divisória tipo piso/teto em vidro temperado simples, com coluna
</t>
    </r>
    <r>
      <rPr>
        <sz val="8.5"/>
        <rFont val="Calibri"/>
        <family val="2"/>
      </rPr>
      <t>estrutural em alumínio extrudado</t>
    </r>
  </si>
  <si>
    <r>
      <rPr>
        <sz val="8.5"/>
        <rFont val="Calibri"/>
        <family val="2"/>
      </rPr>
      <t>647,87</t>
    </r>
  </si>
  <si>
    <r>
      <rPr>
        <sz val="8.5"/>
        <rFont val="Calibri"/>
        <family val="2"/>
      </rPr>
      <t>14.30.843</t>
    </r>
  </si>
  <si>
    <r>
      <rPr>
        <sz val="8.5"/>
        <rFont val="Calibri"/>
        <family val="2"/>
      </rPr>
      <t xml:space="preserve">Divisória tipo piso/teto em vidro temperado duplo e micro persianas,
</t>
    </r>
    <r>
      <rPr>
        <sz val="8.5"/>
        <rFont val="Calibri"/>
        <family val="2"/>
      </rPr>
      <t>com coluna estrutural em alumínio extrudado</t>
    </r>
  </si>
  <si>
    <r>
      <rPr>
        <sz val="8.5"/>
        <rFont val="Calibri"/>
        <family val="2"/>
      </rPr>
      <t>1.253,75</t>
    </r>
  </si>
  <si>
    <r>
      <rPr>
        <sz val="8.5"/>
        <rFont val="Calibri"/>
        <family val="2"/>
      </rPr>
      <t>14.30.860</t>
    </r>
  </si>
  <si>
    <r>
      <rPr>
        <sz val="8.5"/>
        <rFont val="Calibri"/>
        <family val="2"/>
      </rPr>
      <t>Divisória em placas de granilite com espessura de 4 cm</t>
    </r>
  </si>
  <si>
    <r>
      <rPr>
        <sz val="8.5"/>
        <rFont val="Calibri"/>
        <family val="2"/>
      </rPr>
      <t>244,52</t>
    </r>
  </si>
  <si>
    <r>
      <rPr>
        <sz val="8.5"/>
        <rFont val="Calibri"/>
        <family val="2"/>
      </rPr>
      <t>51,97</t>
    </r>
  </si>
  <si>
    <r>
      <rPr>
        <sz val="8.5"/>
        <rFont val="Calibri"/>
        <family val="2"/>
      </rPr>
      <t>296,49</t>
    </r>
  </si>
  <si>
    <r>
      <rPr>
        <sz val="8.5"/>
        <rFont val="Calibri"/>
        <family val="2"/>
      </rPr>
      <t>14.30.870</t>
    </r>
  </si>
  <si>
    <r>
      <rPr>
        <sz val="8.5"/>
        <rFont val="Calibri"/>
        <family val="2"/>
      </rPr>
      <t xml:space="preserve">Divisória em placas duplas de gesso acartonado, resistência ao fogo 120
</t>
    </r>
    <r>
      <rPr>
        <sz val="8.5"/>
        <rFont val="Calibri"/>
        <family val="2"/>
      </rPr>
      <t>minutos, espessura 130/70mm - 2RF / 2RF</t>
    </r>
  </si>
  <si>
    <r>
      <rPr>
        <sz val="8.5"/>
        <rFont val="Calibri"/>
        <family val="2"/>
      </rPr>
      <t>215,40</t>
    </r>
  </si>
  <si>
    <r>
      <rPr>
        <sz val="8.5"/>
        <rFont val="Calibri"/>
        <family val="2"/>
      </rPr>
      <t>14.30.880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</si>
  <si>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120/70mm - 2ST / 2RU</t>
    </r>
  </si>
  <si>
    <r>
      <rPr>
        <sz val="8.5"/>
        <rFont val="Calibri"/>
        <family val="2"/>
      </rPr>
      <t>204,83</t>
    </r>
  </si>
  <si>
    <r>
      <rPr>
        <sz val="8.5"/>
        <rFont val="Calibri"/>
        <family val="2"/>
      </rPr>
      <t>14.30.890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</si>
  <si>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120/70mm - 2RU / 2RU</t>
    </r>
  </si>
  <si>
    <r>
      <rPr>
        <sz val="8.5"/>
        <rFont val="Calibri"/>
        <family val="2"/>
      </rPr>
      <t>205,32</t>
    </r>
  </si>
  <si>
    <r>
      <rPr>
        <sz val="8.5"/>
        <rFont val="Calibri"/>
        <family val="2"/>
      </rPr>
      <t>14.30.900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</si>
  <si>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98/48mm - 2ST / 2ST LM</t>
    </r>
  </si>
  <si>
    <r>
      <rPr>
        <sz val="8.5"/>
        <rFont val="Calibri"/>
        <family val="2"/>
      </rPr>
      <t>185,39</t>
    </r>
  </si>
  <si>
    <r>
      <rPr>
        <sz val="8.5"/>
        <rFont val="Calibri"/>
        <family val="2"/>
      </rPr>
      <t>14.30.910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</si>
  <si>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98/48mm - 2RU / 2RU LM</t>
    </r>
  </si>
  <si>
    <r>
      <rPr>
        <sz val="8.5"/>
        <rFont val="Calibri"/>
        <family val="2"/>
      </rPr>
      <t>204,31</t>
    </r>
  </si>
  <si>
    <r>
      <rPr>
        <sz val="8.5"/>
        <rFont val="Calibri"/>
        <family val="2"/>
      </rPr>
      <t>14.30.920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</si>
  <si>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98/48mm - 2ST / 2RU LM</t>
    </r>
  </si>
  <si>
    <r>
      <rPr>
        <sz val="8.5"/>
        <rFont val="Calibri"/>
        <family val="2"/>
      </rPr>
      <t>194,33</t>
    </r>
  </si>
  <si>
    <r>
      <rPr>
        <sz val="8.5"/>
        <rFont val="Calibri"/>
        <family val="2"/>
      </rPr>
      <t>Divisória e fechamento.</t>
    </r>
  </si>
  <si>
    <r>
      <rPr>
        <sz val="8.5"/>
        <rFont val="Calibri"/>
        <family val="2"/>
      </rPr>
      <t>14.31.030</t>
    </r>
  </si>
  <si>
    <r>
      <rPr>
        <sz val="8.5"/>
        <rFont val="Calibri"/>
        <family val="2"/>
      </rPr>
      <t>Fechamento em placa cimentícia com espessura de 12 mm</t>
    </r>
  </si>
  <si>
    <r>
      <rPr>
        <sz val="8.5"/>
        <rFont val="Calibri"/>
        <family val="2"/>
      </rPr>
      <t>90,32</t>
    </r>
  </si>
  <si>
    <r>
      <rPr>
        <sz val="8.5"/>
        <rFont val="Calibri"/>
        <family val="2"/>
      </rPr>
      <t>94,66</t>
    </r>
  </si>
  <si>
    <r>
      <rPr>
        <sz val="8.5"/>
        <rFont val="Calibri"/>
        <family val="2"/>
      </rPr>
      <t>184,98</t>
    </r>
  </si>
  <si>
    <r>
      <rPr>
        <sz val="8.5"/>
        <rFont val="Calibri"/>
        <family val="2"/>
      </rPr>
      <t>Reparos, conservações e complementos - GRUPO 14</t>
    </r>
  </si>
  <si>
    <r>
      <rPr>
        <sz val="8.5"/>
        <rFont val="Calibri"/>
        <family val="2"/>
      </rPr>
      <t>14.40.040</t>
    </r>
  </si>
  <si>
    <r>
      <rPr>
        <sz val="8.5"/>
        <rFont val="Calibri"/>
        <family val="2"/>
      </rPr>
      <t>Recolocação de divisórias em chapas com montantes metálicos</t>
    </r>
  </si>
  <si>
    <r>
      <rPr>
        <sz val="8.5"/>
        <rFont val="Calibri"/>
        <family val="2"/>
      </rPr>
      <t>14.40.060</t>
    </r>
  </si>
  <si>
    <r>
      <rPr>
        <sz val="8.5"/>
        <rFont val="Calibri"/>
        <family val="2"/>
      </rPr>
      <t>Tela galvanizada para fixação de alvenaria com dimensão de 6x50cm</t>
    </r>
  </si>
  <si>
    <r>
      <rPr>
        <sz val="8.5"/>
        <rFont val="Calibri"/>
        <family val="2"/>
      </rPr>
      <t>2,09</t>
    </r>
  </si>
  <si>
    <r>
      <rPr>
        <sz val="8.5"/>
        <rFont val="Calibri"/>
        <family val="2"/>
      </rPr>
      <t>6,50</t>
    </r>
  </si>
  <si>
    <r>
      <rPr>
        <sz val="8.5"/>
        <rFont val="Calibri"/>
        <family val="2"/>
      </rPr>
      <t>14.40.070</t>
    </r>
  </si>
  <si>
    <r>
      <rPr>
        <sz val="8.5"/>
        <rFont val="Calibri"/>
        <family val="2"/>
      </rPr>
      <t>Tela galvanizada para fixação de alvenaria com dimensão de 7,5x50cm</t>
    </r>
  </si>
  <si>
    <r>
      <rPr>
        <sz val="8.5"/>
        <rFont val="Calibri"/>
        <family val="2"/>
      </rPr>
      <t>2,69</t>
    </r>
  </si>
  <si>
    <r>
      <rPr>
        <sz val="8.5"/>
        <rFont val="Calibri"/>
        <family val="2"/>
      </rPr>
      <t>7,10</t>
    </r>
  </si>
  <si>
    <r>
      <rPr>
        <sz val="8.5"/>
        <rFont val="Calibri"/>
        <family val="2"/>
      </rPr>
      <t>14.40.080</t>
    </r>
  </si>
  <si>
    <r>
      <rPr>
        <sz val="8.5"/>
        <rFont val="Calibri"/>
        <family val="2"/>
      </rPr>
      <t>Tela galvanizada para fixação de alvenaria com dimensão de 10,5x50cm</t>
    </r>
  </si>
  <si>
    <r>
      <rPr>
        <sz val="8.5"/>
        <rFont val="Calibri"/>
        <family val="2"/>
      </rPr>
      <t>3,30</t>
    </r>
  </si>
  <si>
    <r>
      <rPr>
        <sz val="8.5"/>
        <rFont val="Calibri"/>
        <family val="2"/>
      </rPr>
      <t>14.40.090</t>
    </r>
  </si>
  <si>
    <r>
      <rPr>
        <sz val="8.5"/>
        <rFont val="Calibri"/>
        <family val="2"/>
      </rPr>
      <t>Tela galvanizada para fixação de alvenaria com dimensão de 12x50cm</t>
    </r>
  </si>
  <si>
    <r>
      <rPr>
        <sz val="8.5"/>
        <rFont val="Calibri"/>
        <family val="2"/>
      </rPr>
      <t>3,52</t>
    </r>
  </si>
  <si>
    <r>
      <rPr>
        <sz val="8.5"/>
        <rFont val="Calibri"/>
        <family val="2"/>
      </rPr>
      <t>7,93</t>
    </r>
  </si>
  <si>
    <r>
      <rPr>
        <sz val="8.5"/>
        <rFont val="Calibri"/>
        <family val="2"/>
      </rPr>
      <t>14.40.100</t>
    </r>
  </si>
  <si>
    <r>
      <rPr>
        <sz val="8.5"/>
        <rFont val="Calibri"/>
        <family val="2"/>
      </rPr>
      <t>Tela galvanizada para fixação de alvenaria com dimensão de 17x50cm</t>
    </r>
  </si>
  <si>
    <r>
      <rPr>
        <sz val="8.5"/>
        <rFont val="Calibri"/>
        <family val="2"/>
      </rPr>
      <t>4,71</t>
    </r>
  </si>
  <si>
    <r>
      <rPr>
        <sz val="8.5"/>
        <rFont val="Calibri"/>
        <family val="2"/>
      </rPr>
      <t>9,12</t>
    </r>
  </si>
  <si>
    <r>
      <rPr>
        <sz val="8.5"/>
        <rFont val="Calibri"/>
        <family val="2"/>
      </rPr>
      <t>ESTRUTURA EM MADEIRA, FERRO, ALUMINIO E CONCRETO</t>
    </r>
  </si>
  <si>
    <r>
      <rPr>
        <sz val="8.5"/>
        <rFont val="Calibri"/>
        <family val="2"/>
      </rPr>
      <t>Estrutura em madeira para cobertura</t>
    </r>
  </si>
  <si>
    <r>
      <rPr>
        <sz val="8.5"/>
        <rFont val="Calibri"/>
        <family val="2"/>
      </rPr>
      <t>15.01.010</t>
    </r>
  </si>
  <si>
    <r>
      <rPr>
        <sz val="8.5"/>
        <rFont val="Calibri"/>
        <family val="2"/>
      </rPr>
      <t>Estrutura de madeira tesourada para telha de barro - vãos até 7,00 m</t>
    </r>
  </si>
  <si>
    <r>
      <rPr>
        <sz val="8.5"/>
        <rFont val="Calibri"/>
        <family val="2"/>
      </rPr>
      <t>98,34</t>
    </r>
  </si>
  <si>
    <r>
      <rPr>
        <sz val="8.5"/>
        <rFont val="Calibri"/>
        <family val="2"/>
      </rPr>
      <t>40,20</t>
    </r>
  </si>
  <si>
    <r>
      <rPr>
        <sz val="8.5"/>
        <rFont val="Calibri"/>
        <family val="2"/>
      </rPr>
      <t>138,54</t>
    </r>
  </si>
  <si>
    <r>
      <rPr>
        <sz val="8.5"/>
        <rFont val="Calibri"/>
        <family val="2"/>
      </rPr>
      <t>15.01.020</t>
    </r>
  </si>
  <si>
    <r>
      <rPr>
        <sz val="8.5"/>
        <rFont val="Calibri"/>
        <family val="2"/>
      </rPr>
      <t xml:space="preserve">Estrutura de madeira tesourada para telha de barro - vãos de 7,01 a
</t>
    </r>
    <r>
      <rPr>
        <sz val="8.5"/>
        <rFont val="Calibri"/>
        <family val="2"/>
      </rPr>
      <t>10,00 m</t>
    </r>
  </si>
  <si>
    <r>
      <rPr>
        <sz val="8.5"/>
        <rFont val="Calibri"/>
        <family val="2"/>
      </rPr>
      <t>105,54</t>
    </r>
  </si>
  <si>
    <r>
      <rPr>
        <sz val="8.5"/>
        <rFont val="Calibri"/>
        <family val="2"/>
      </rPr>
      <t>147,35</t>
    </r>
  </si>
  <si>
    <r>
      <rPr>
        <sz val="8.5"/>
        <rFont val="Calibri"/>
        <family val="2"/>
      </rPr>
      <t>15.01.030</t>
    </r>
  </si>
  <si>
    <r>
      <rPr>
        <sz val="8.5"/>
        <rFont val="Calibri"/>
        <family val="2"/>
      </rPr>
      <t xml:space="preserve">Estrutura de madeira tesourada para telha de barro - vãos de 10,01 a
</t>
    </r>
    <r>
      <rPr>
        <sz val="8.5"/>
        <rFont val="Calibri"/>
        <family val="2"/>
      </rPr>
      <t>13,00 m</t>
    </r>
  </si>
  <si>
    <r>
      <rPr>
        <sz val="8.5"/>
        <rFont val="Calibri"/>
        <family val="2"/>
      </rPr>
      <t>112,75</t>
    </r>
  </si>
  <si>
    <r>
      <rPr>
        <sz val="8.5"/>
        <rFont val="Calibri"/>
        <family val="2"/>
      </rPr>
      <t>156,16</t>
    </r>
  </si>
  <si>
    <r>
      <rPr>
        <sz val="8.5"/>
        <rFont val="Calibri"/>
        <family val="2"/>
      </rPr>
      <t>15.01.040</t>
    </r>
  </si>
  <si>
    <r>
      <rPr>
        <sz val="8.5"/>
        <rFont val="Calibri"/>
        <family val="2"/>
      </rPr>
      <t xml:space="preserve">Estrutura de madeira tesourada para telha de barro - vãos de 13,01 a
</t>
    </r>
    <r>
      <rPr>
        <sz val="8.5"/>
        <rFont val="Calibri"/>
        <family val="2"/>
      </rPr>
      <t>18,00 m</t>
    </r>
  </si>
  <si>
    <r>
      <rPr>
        <sz val="8.5"/>
        <rFont val="Calibri"/>
        <family val="2"/>
      </rPr>
      <t>123,73</t>
    </r>
  </si>
  <si>
    <r>
      <rPr>
        <sz val="8.5"/>
        <rFont val="Calibri"/>
        <family val="2"/>
      </rPr>
      <t>46,63</t>
    </r>
  </si>
  <si>
    <r>
      <rPr>
        <sz val="8.5"/>
        <rFont val="Calibri"/>
        <family val="2"/>
      </rPr>
      <t>170,36</t>
    </r>
  </si>
  <si>
    <r>
      <rPr>
        <sz val="8.5"/>
        <rFont val="Calibri"/>
        <family val="2"/>
      </rPr>
      <t>15.01.110</t>
    </r>
  </si>
  <si>
    <r>
      <rPr>
        <sz val="8.5"/>
        <rFont val="Calibri"/>
        <family val="2"/>
      </rPr>
      <t xml:space="preserve">Estrutura de madeira tesourada para telha perfil ondulado - vãos até
</t>
    </r>
    <r>
      <rPr>
        <sz val="8.5"/>
        <rFont val="Calibri"/>
        <family val="2"/>
      </rPr>
      <t>7,00 m</t>
    </r>
  </si>
  <si>
    <r>
      <rPr>
        <sz val="8.5"/>
        <rFont val="Calibri"/>
        <family val="2"/>
      </rPr>
      <t>67,10</t>
    </r>
  </si>
  <si>
    <r>
      <rPr>
        <sz val="8.5"/>
        <rFont val="Calibri"/>
        <family val="2"/>
      </rPr>
      <t>30,55</t>
    </r>
  </si>
  <si>
    <r>
      <rPr>
        <sz val="8.5"/>
        <rFont val="Calibri"/>
        <family val="2"/>
      </rPr>
      <t>97,65</t>
    </r>
  </si>
  <si>
    <r>
      <rPr>
        <sz val="8.5"/>
        <rFont val="Calibri"/>
        <family val="2"/>
      </rPr>
      <t>15.01.120</t>
    </r>
  </si>
  <si>
    <r>
      <rPr>
        <sz val="8.5"/>
        <rFont val="Calibri"/>
        <family val="2"/>
      </rPr>
      <t xml:space="preserve">Estrutura de madeira tesourada para telha perfil ondulado - vãos 7,01 a
</t>
    </r>
    <r>
      <rPr>
        <sz val="8.5"/>
        <rFont val="Calibri"/>
        <family val="2"/>
      </rPr>
      <t>10,00 m</t>
    </r>
  </si>
  <si>
    <r>
      <rPr>
        <sz val="8.5"/>
        <rFont val="Calibri"/>
        <family val="2"/>
      </rPr>
      <t>74,31</t>
    </r>
  </si>
  <si>
    <r>
      <rPr>
        <sz val="8.5"/>
        <rFont val="Calibri"/>
        <family val="2"/>
      </rPr>
      <t>106,47</t>
    </r>
  </si>
  <si>
    <r>
      <rPr>
        <sz val="8.5"/>
        <rFont val="Calibri"/>
        <family val="2"/>
      </rPr>
      <t>15.01.130</t>
    </r>
  </si>
  <si>
    <r>
      <rPr>
        <sz val="8.5"/>
        <rFont val="Calibri"/>
        <family val="2"/>
      </rPr>
      <t xml:space="preserve">Estrutura de madeira tesourada para telha perfil ondulado - vãos 10,01 a
</t>
    </r>
    <r>
      <rPr>
        <sz val="8.5"/>
        <rFont val="Calibri"/>
        <family val="2"/>
      </rPr>
      <t>13,00 m</t>
    </r>
  </si>
  <si>
    <r>
      <rPr>
        <sz val="8.5"/>
        <rFont val="Calibri"/>
        <family val="2"/>
      </rPr>
      <t>81,51</t>
    </r>
  </si>
  <si>
    <r>
      <rPr>
        <sz val="8.5"/>
        <rFont val="Calibri"/>
        <family val="2"/>
      </rPr>
      <t>33,77</t>
    </r>
  </si>
  <si>
    <r>
      <rPr>
        <sz val="8.5"/>
        <rFont val="Calibri"/>
        <family val="2"/>
      </rPr>
      <t>115,28</t>
    </r>
  </si>
  <si>
    <r>
      <rPr>
        <sz val="8.5"/>
        <rFont val="Calibri"/>
        <family val="2"/>
      </rPr>
      <t>15.01.140</t>
    </r>
  </si>
  <si>
    <r>
      <rPr>
        <sz val="8.5"/>
        <rFont val="Calibri"/>
        <family val="2"/>
      </rPr>
      <t xml:space="preserve">Estrutura de madeira tesourada para telha perfil ondulado - vãos 13,01 a
</t>
    </r>
    <r>
      <rPr>
        <sz val="8.5"/>
        <rFont val="Calibri"/>
        <family val="2"/>
      </rPr>
      <t>18,00 m</t>
    </r>
  </si>
  <si>
    <r>
      <rPr>
        <sz val="8.5"/>
        <rFont val="Calibri"/>
        <family val="2"/>
      </rPr>
      <t>89,05</t>
    </r>
  </si>
  <si>
    <r>
      <rPr>
        <sz val="8.5"/>
        <rFont val="Calibri"/>
        <family val="2"/>
      </rPr>
      <t>36,99</t>
    </r>
  </si>
  <si>
    <r>
      <rPr>
        <sz val="8.5"/>
        <rFont val="Calibri"/>
        <family val="2"/>
      </rPr>
      <t>126,04</t>
    </r>
  </si>
  <si>
    <r>
      <rPr>
        <sz val="8.5"/>
        <rFont val="Calibri"/>
        <family val="2"/>
      </rPr>
      <t>15.01.210</t>
    </r>
  </si>
  <si>
    <r>
      <rPr>
        <sz val="8.5"/>
        <rFont val="Calibri"/>
        <family val="2"/>
      </rPr>
      <t>Estrutura pontaletada para telhas de barro</t>
    </r>
  </si>
  <si>
    <r>
      <rPr>
        <sz val="8.5"/>
        <rFont val="Calibri"/>
        <family val="2"/>
      </rPr>
      <t>76,15</t>
    </r>
  </si>
  <si>
    <r>
      <rPr>
        <sz val="8.5"/>
        <rFont val="Calibri"/>
        <family val="2"/>
      </rPr>
      <t>114,74</t>
    </r>
  </si>
  <si>
    <r>
      <rPr>
        <sz val="8.5"/>
        <rFont val="Calibri"/>
        <family val="2"/>
      </rPr>
      <t>15.01.220</t>
    </r>
  </si>
  <si>
    <r>
      <rPr>
        <sz val="8.5"/>
        <rFont val="Calibri"/>
        <family val="2"/>
      </rPr>
      <t>Estrutura pontaletada para telhas onduladas</t>
    </r>
  </si>
  <si>
    <r>
      <rPr>
        <sz val="8.5"/>
        <rFont val="Calibri"/>
        <family val="2"/>
      </rPr>
      <t>56,96</t>
    </r>
  </si>
  <si>
    <r>
      <rPr>
        <sz val="8.5"/>
        <rFont val="Calibri"/>
        <family val="2"/>
      </rPr>
      <t>28,95</t>
    </r>
  </si>
  <si>
    <r>
      <rPr>
        <sz val="8.5"/>
        <rFont val="Calibri"/>
        <family val="2"/>
      </rPr>
      <t>85,91</t>
    </r>
  </si>
  <si>
    <r>
      <rPr>
        <sz val="8.5"/>
        <rFont val="Calibri"/>
        <family val="2"/>
      </rPr>
      <t>15.01.310</t>
    </r>
  </si>
  <si>
    <r>
      <rPr>
        <sz val="8.5"/>
        <rFont val="Calibri"/>
        <family val="2"/>
      </rPr>
      <t>Estrutura em terças para telhas de barro</t>
    </r>
  </si>
  <si>
    <r>
      <rPr>
        <sz val="8.5"/>
        <rFont val="Calibri"/>
        <family val="2"/>
      </rPr>
      <t>69,68</t>
    </r>
  </si>
  <si>
    <r>
      <rPr>
        <sz val="8.5"/>
        <rFont val="Calibri"/>
        <family val="2"/>
      </rPr>
      <t>20,91</t>
    </r>
  </si>
  <si>
    <r>
      <rPr>
        <sz val="8.5"/>
        <rFont val="Calibri"/>
        <family val="2"/>
      </rPr>
      <t>90,59</t>
    </r>
  </si>
  <si>
    <r>
      <rPr>
        <sz val="8.5"/>
        <rFont val="Calibri"/>
        <family val="2"/>
      </rPr>
      <t>15.01.320</t>
    </r>
  </si>
  <si>
    <r>
      <rPr>
        <sz val="8.5"/>
        <rFont val="Calibri"/>
        <family val="2"/>
      </rPr>
      <t>Estrutura em terças para telhas perfil e material qualquer, exceto barro</t>
    </r>
  </si>
  <si>
    <r>
      <rPr>
        <sz val="8.5"/>
        <rFont val="Calibri"/>
        <family val="2"/>
      </rPr>
      <t>21,44</t>
    </r>
  </si>
  <si>
    <r>
      <rPr>
        <sz val="8.5"/>
        <rFont val="Calibri"/>
        <family val="2"/>
      </rPr>
      <t>4,10</t>
    </r>
  </si>
  <si>
    <r>
      <rPr>
        <sz val="8.5"/>
        <rFont val="Calibri"/>
        <family val="2"/>
      </rPr>
      <t>15.01.330</t>
    </r>
  </si>
  <si>
    <r>
      <rPr>
        <sz val="8.5"/>
        <rFont val="Calibri"/>
        <family val="2"/>
      </rPr>
      <t>Estrutura em terças para telhas perfil trapezoidal</t>
    </r>
  </si>
  <si>
    <r>
      <rPr>
        <sz val="8.5"/>
        <rFont val="Calibri"/>
        <family val="2"/>
      </rPr>
      <t>13,54</t>
    </r>
  </si>
  <si>
    <r>
      <rPr>
        <sz val="8.5"/>
        <rFont val="Calibri"/>
        <family val="2"/>
      </rPr>
      <t>17,64</t>
    </r>
  </si>
  <si>
    <r>
      <rPr>
        <sz val="8.5"/>
        <rFont val="Calibri"/>
        <family val="2"/>
      </rPr>
      <t>Estrutura em aço</t>
    </r>
  </si>
  <si>
    <r>
      <rPr>
        <sz val="8.5"/>
        <rFont val="Calibri"/>
        <family val="2"/>
      </rPr>
      <t>15.03.030</t>
    </r>
  </si>
  <si>
    <r>
      <rPr>
        <sz val="8.5"/>
        <rFont val="Calibri"/>
        <family val="2"/>
      </rPr>
      <t>Fornecimento e montagem de estrutura em aço ASTM-A36, sem pintura</t>
    </r>
  </si>
  <si>
    <r>
      <rPr>
        <sz val="8.5"/>
        <rFont val="Calibri"/>
        <family val="2"/>
      </rPr>
      <t>17,17</t>
    </r>
  </si>
  <si>
    <r>
      <rPr>
        <sz val="8.5"/>
        <rFont val="Calibri"/>
        <family val="2"/>
      </rPr>
      <t>15.03.090</t>
    </r>
  </si>
  <si>
    <r>
      <rPr>
        <sz val="8.5"/>
        <rFont val="Calibri"/>
        <family val="2"/>
      </rPr>
      <t>Montagem de estrutura metálica em aço, sem pintura</t>
    </r>
  </si>
  <si>
    <r>
      <rPr>
        <sz val="8.5"/>
        <rFont val="Calibri"/>
        <family val="2"/>
      </rPr>
      <t>4,24</t>
    </r>
  </si>
  <si>
    <r>
      <rPr>
        <sz val="8.5"/>
        <rFont val="Calibri"/>
        <family val="2"/>
      </rPr>
      <t>15.03.110</t>
    </r>
  </si>
  <si>
    <r>
      <rPr>
        <sz val="8.5"/>
        <rFont val="Calibri"/>
        <family val="2"/>
      </rPr>
      <t>Fornecimento e montagem de estrutura em aço patinável, sem pintura</t>
    </r>
  </si>
  <si>
    <r>
      <rPr>
        <sz val="8.5"/>
        <rFont val="Calibri"/>
        <family val="2"/>
      </rPr>
      <t>19,10</t>
    </r>
  </si>
  <si>
    <r>
      <rPr>
        <sz val="8.5"/>
        <rFont val="Calibri"/>
        <family val="2"/>
      </rPr>
      <t>15.03.131</t>
    </r>
  </si>
  <si>
    <r>
      <rPr>
        <sz val="8.5"/>
        <rFont val="Calibri"/>
        <family val="2"/>
      </rPr>
      <t xml:space="preserve">Fornecimento e montagem de estrutura em aço ASTM-A572 Grau 50,
</t>
    </r>
    <r>
      <rPr>
        <sz val="8.5"/>
        <rFont val="Calibri"/>
        <family val="2"/>
      </rPr>
      <t>sem pintura</t>
    </r>
  </si>
  <si>
    <r>
      <rPr>
        <sz val="8.5"/>
        <rFont val="Calibri"/>
        <family val="2"/>
      </rPr>
      <t>16,50</t>
    </r>
  </si>
  <si>
    <r>
      <rPr>
        <sz val="8.5"/>
        <rFont val="Calibri"/>
        <family val="2"/>
      </rPr>
      <t>15.03.140</t>
    </r>
  </si>
  <si>
    <r>
      <rPr>
        <sz val="8.5"/>
        <rFont val="Calibri"/>
        <family val="2"/>
      </rPr>
      <t xml:space="preserve">Fornecimento e montagem de estrutura tubular em aço ASTM-A572
</t>
    </r>
    <r>
      <rPr>
        <sz val="8.5"/>
        <rFont val="Calibri"/>
        <family val="2"/>
      </rPr>
      <t>Grau 50, sem pintura</t>
    </r>
  </si>
  <si>
    <r>
      <rPr>
        <sz val="8.5"/>
        <rFont val="Calibri"/>
        <family val="2"/>
      </rPr>
      <t>17,83</t>
    </r>
  </si>
  <si>
    <r>
      <rPr>
        <sz val="8.5"/>
        <rFont val="Calibri"/>
        <family val="2"/>
      </rPr>
      <t>15.03.150</t>
    </r>
  </si>
  <si>
    <r>
      <rPr>
        <sz val="8.5"/>
        <rFont val="Calibri"/>
        <family val="2"/>
      </rPr>
      <t xml:space="preserve">Fornecimento e montagem de estrutura metálica em perfil metalon, sem
</t>
    </r>
    <r>
      <rPr>
        <sz val="8.5"/>
        <rFont val="Calibri"/>
        <family val="2"/>
      </rPr>
      <t>pintura</t>
    </r>
  </si>
  <si>
    <r>
      <rPr>
        <sz val="8.5"/>
        <rFont val="Calibri"/>
        <family val="2"/>
      </rPr>
      <t>13,00</t>
    </r>
  </si>
  <si>
    <r>
      <rPr>
        <sz val="8.5"/>
        <rFont val="Calibri"/>
        <family val="2"/>
      </rPr>
      <t>17,24</t>
    </r>
  </si>
  <si>
    <r>
      <rPr>
        <sz val="8.5"/>
        <rFont val="Calibri"/>
        <family val="2"/>
      </rPr>
      <t>Estrutura pre-fabricada de concreto</t>
    </r>
  </si>
  <si>
    <r>
      <rPr>
        <sz val="8.5"/>
        <rFont val="Calibri"/>
        <family val="2"/>
      </rPr>
      <t>15.05.290</t>
    </r>
  </si>
  <si>
    <r>
      <rPr>
        <sz val="8.5"/>
        <rFont val="Calibri"/>
        <family val="2"/>
      </rPr>
      <t>Placas, vigas e pilares em concreto armado pré-moldado - fck= 40 MPa</t>
    </r>
  </si>
  <si>
    <r>
      <rPr>
        <sz val="8.5"/>
        <rFont val="Calibri"/>
        <family val="2"/>
      </rPr>
      <t>2.560,23</t>
    </r>
  </si>
  <si>
    <r>
      <rPr>
        <sz val="8.5"/>
        <rFont val="Calibri"/>
        <family val="2"/>
      </rPr>
      <t>622,19</t>
    </r>
  </si>
  <si>
    <r>
      <rPr>
        <sz val="8.5"/>
        <rFont val="Calibri"/>
        <family val="2"/>
      </rPr>
      <t>3.182,42</t>
    </r>
  </si>
  <si>
    <r>
      <rPr>
        <sz val="8.5"/>
        <rFont val="Calibri"/>
        <family val="2"/>
      </rPr>
      <t>15.05.300</t>
    </r>
  </si>
  <si>
    <r>
      <rPr>
        <sz val="8.5"/>
        <rFont val="Calibri"/>
        <family val="2"/>
      </rPr>
      <t>Mobiliário em concreto armado pré-moldado - fck= 40 MPa</t>
    </r>
  </si>
  <si>
    <r>
      <rPr>
        <sz val="8.5"/>
        <rFont val="Calibri"/>
        <family val="2"/>
      </rPr>
      <t>2.486,26</t>
    </r>
  </si>
  <si>
    <r>
      <rPr>
        <sz val="8.5"/>
        <rFont val="Calibri"/>
        <family val="2"/>
      </rPr>
      <t>686,11</t>
    </r>
  </si>
  <si>
    <r>
      <rPr>
        <sz val="8.5"/>
        <rFont val="Calibri"/>
        <family val="2"/>
      </rPr>
      <t>3.172,37</t>
    </r>
  </si>
  <si>
    <r>
      <rPr>
        <sz val="8.5"/>
        <rFont val="Calibri"/>
        <family val="2"/>
      </rPr>
      <t>15.05.520</t>
    </r>
  </si>
  <si>
    <r>
      <rPr>
        <sz val="8.5"/>
        <rFont val="Calibri"/>
        <family val="2"/>
      </rPr>
      <t>Placas, vigas e pilares em concreto armado pré-moldado - fck= 35 MPa</t>
    </r>
  </si>
  <si>
    <r>
      <rPr>
        <sz val="8.5"/>
        <rFont val="Calibri"/>
        <family val="2"/>
      </rPr>
      <t>2.267,63</t>
    </r>
  </si>
  <si>
    <r>
      <rPr>
        <sz val="8.5"/>
        <rFont val="Calibri"/>
        <family val="2"/>
      </rPr>
      <t>591,70</t>
    </r>
  </si>
  <si>
    <r>
      <rPr>
        <sz val="8.5"/>
        <rFont val="Calibri"/>
        <family val="2"/>
      </rPr>
      <t>2.859,33</t>
    </r>
  </si>
  <si>
    <r>
      <rPr>
        <sz val="8.5"/>
        <rFont val="Calibri"/>
        <family val="2"/>
      </rPr>
      <t>15.05.530</t>
    </r>
  </si>
  <si>
    <r>
      <rPr>
        <sz val="8.5"/>
        <rFont val="Calibri"/>
        <family val="2"/>
      </rPr>
      <t>Placas, vigas e pilares em concreto armado pré-moldado - fck= 25 MPa</t>
    </r>
  </si>
  <si>
    <r>
      <rPr>
        <sz val="8.5"/>
        <rFont val="Calibri"/>
        <family val="2"/>
      </rPr>
      <t>2.028,59</t>
    </r>
  </si>
  <si>
    <r>
      <rPr>
        <sz val="8.5"/>
        <rFont val="Calibri"/>
        <family val="2"/>
      </rPr>
      <t>585,74</t>
    </r>
  </si>
  <si>
    <r>
      <rPr>
        <sz val="8.5"/>
        <rFont val="Calibri"/>
        <family val="2"/>
      </rPr>
      <t>2.614,33</t>
    </r>
  </si>
  <si>
    <r>
      <rPr>
        <sz val="8.5"/>
        <rFont val="Calibri"/>
        <family val="2"/>
      </rPr>
      <t>15.05.540</t>
    </r>
  </si>
  <si>
    <r>
      <rPr>
        <sz val="8.5"/>
        <rFont val="Calibri"/>
        <family val="2"/>
      </rPr>
      <t>Mobiliário em concreto armado pré-moldado - fck= 25 MPa</t>
    </r>
  </si>
  <si>
    <r>
      <rPr>
        <sz val="8.5"/>
        <rFont val="Calibri"/>
        <family val="2"/>
      </rPr>
      <t>2.185,17</t>
    </r>
  </si>
  <si>
    <r>
      <rPr>
        <sz val="8.5"/>
        <rFont val="Calibri"/>
        <family val="2"/>
      </rPr>
      <t>627,37</t>
    </r>
  </si>
  <si>
    <r>
      <rPr>
        <sz val="8.5"/>
        <rFont val="Calibri"/>
        <family val="2"/>
      </rPr>
      <t>2.812,54</t>
    </r>
  </si>
  <si>
    <r>
      <rPr>
        <sz val="8.5"/>
        <rFont val="Calibri"/>
        <family val="2"/>
      </rPr>
      <t>Reparos, conservações e complementos - GRUPO 15</t>
    </r>
  </si>
  <si>
    <r>
      <rPr>
        <sz val="8.5"/>
        <rFont val="Calibri"/>
        <family val="2"/>
      </rPr>
      <t>15.20.020</t>
    </r>
  </si>
  <si>
    <r>
      <rPr>
        <sz val="8.5"/>
        <rFont val="Calibri"/>
        <family val="2"/>
      </rPr>
      <t>Fornecimento de peças diversas para estrutura em madeira</t>
    </r>
  </si>
  <si>
    <r>
      <rPr>
        <sz val="8.5"/>
        <rFont val="Calibri"/>
        <family val="2"/>
      </rPr>
      <t>3.484,12</t>
    </r>
  </si>
  <si>
    <r>
      <rPr>
        <sz val="8.5"/>
        <rFont val="Calibri"/>
        <family val="2"/>
      </rPr>
      <t>964,80</t>
    </r>
  </si>
  <si>
    <r>
      <rPr>
        <sz val="8.5"/>
        <rFont val="Calibri"/>
        <family val="2"/>
      </rPr>
      <t>4.448,92</t>
    </r>
  </si>
  <si>
    <r>
      <rPr>
        <sz val="8.5"/>
        <rFont val="Calibri"/>
        <family val="2"/>
      </rPr>
      <t>15.20.040</t>
    </r>
  </si>
  <si>
    <r>
      <rPr>
        <sz val="8.5"/>
        <rFont val="Calibri"/>
        <family val="2"/>
      </rPr>
      <t>Recolocação de peças lineares em madeira com seção até 60 cm²</t>
    </r>
  </si>
  <si>
    <r>
      <rPr>
        <sz val="8.5"/>
        <rFont val="Calibri"/>
        <family val="2"/>
      </rPr>
      <t>4,50</t>
    </r>
  </si>
  <si>
    <r>
      <rPr>
        <sz val="8.5"/>
        <rFont val="Calibri"/>
        <family val="2"/>
      </rPr>
      <t>4,67</t>
    </r>
  </si>
  <si>
    <r>
      <rPr>
        <sz val="8.5"/>
        <rFont val="Calibri"/>
        <family val="2"/>
      </rPr>
      <t>15.20.060</t>
    </r>
  </si>
  <si>
    <r>
      <rPr>
        <sz val="8.5"/>
        <rFont val="Calibri"/>
        <family val="2"/>
      </rPr>
      <t>Recolocação de peças lineares em madeira com seção superior a 60 cm²</t>
    </r>
  </si>
  <si>
    <r>
      <rPr>
        <sz val="8.5"/>
        <rFont val="Calibri"/>
        <family val="2"/>
      </rPr>
      <t>11,90</t>
    </r>
  </si>
  <si>
    <r>
      <rPr>
        <sz val="8.5"/>
        <rFont val="Calibri"/>
        <family val="2"/>
      </rPr>
      <t>12,32</t>
    </r>
  </si>
  <si>
    <r>
      <rPr>
        <sz val="8.5"/>
        <rFont val="Calibri"/>
        <family val="2"/>
      </rPr>
      <t>TELHAMENTO</t>
    </r>
  </si>
  <si>
    <r>
      <rPr>
        <sz val="8.5"/>
        <rFont val="Calibri"/>
        <family val="2"/>
      </rPr>
      <t>Telhamento em barro</t>
    </r>
  </si>
  <si>
    <r>
      <rPr>
        <sz val="8.5"/>
        <rFont val="Calibri"/>
        <family val="2"/>
      </rPr>
      <t>16.02.010</t>
    </r>
  </si>
  <si>
    <r>
      <rPr>
        <sz val="8.5"/>
        <rFont val="Calibri"/>
        <family val="2"/>
      </rPr>
      <t>Telha de barro tipo italiana</t>
    </r>
  </si>
  <si>
    <r>
      <rPr>
        <sz val="8.5"/>
        <rFont val="Calibri"/>
        <family val="2"/>
      </rPr>
      <t>52,14</t>
    </r>
  </si>
  <si>
    <r>
      <rPr>
        <sz val="8.5"/>
        <rFont val="Calibri"/>
        <family val="2"/>
      </rPr>
      <t>16.02.020</t>
    </r>
  </si>
  <si>
    <r>
      <rPr>
        <sz val="8.5"/>
        <rFont val="Calibri"/>
        <family val="2"/>
      </rPr>
      <t>Telha de barro tipo francesa</t>
    </r>
  </si>
  <si>
    <r>
      <rPr>
        <sz val="8.5"/>
        <rFont val="Calibri"/>
        <family val="2"/>
      </rPr>
      <t>50,72</t>
    </r>
  </si>
  <si>
    <r>
      <rPr>
        <sz val="8.5"/>
        <rFont val="Calibri"/>
        <family val="2"/>
      </rPr>
      <t>74,06</t>
    </r>
  </si>
  <si>
    <r>
      <rPr>
        <sz val="8.5"/>
        <rFont val="Calibri"/>
        <family val="2"/>
      </rPr>
      <t>16.02.030</t>
    </r>
  </si>
  <si>
    <r>
      <rPr>
        <sz val="8.5"/>
        <rFont val="Calibri"/>
        <family val="2"/>
      </rPr>
      <t>Telha de barro tipo romana</t>
    </r>
  </si>
  <si>
    <r>
      <rPr>
        <sz val="8.5"/>
        <rFont val="Calibri"/>
        <family val="2"/>
      </rPr>
      <t>26,24</t>
    </r>
  </si>
  <si>
    <r>
      <rPr>
        <sz val="8.5"/>
        <rFont val="Calibri"/>
        <family val="2"/>
      </rPr>
      <t>49,58</t>
    </r>
  </si>
  <si>
    <r>
      <rPr>
        <sz val="8.5"/>
        <rFont val="Calibri"/>
        <family val="2"/>
      </rPr>
      <t>16.02.045</t>
    </r>
  </si>
  <si>
    <r>
      <rPr>
        <sz val="8.5"/>
        <rFont val="Calibri"/>
        <family val="2"/>
      </rPr>
      <t>Telha de barro colonial/paulista</t>
    </r>
  </si>
  <si>
    <r>
      <rPr>
        <sz val="8.5"/>
        <rFont val="Calibri"/>
        <family val="2"/>
      </rPr>
      <t>65,07</t>
    </r>
  </si>
  <si>
    <r>
      <rPr>
        <sz val="8.5"/>
        <rFont val="Calibri"/>
        <family val="2"/>
      </rPr>
      <t>35,01</t>
    </r>
  </si>
  <si>
    <r>
      <rPr>
        <sz val="8.5"/>
        <rFont val="Calibri"/>
        <family val="2"/>
      </rPr>
      <t>100,08</t>
    </r>
  </si>
  <si>
    <r>
      <rPr>
        <sz val="8.5"/>
        <rFont val="Calibri"/>
        <family val="2"/>
      </rPr>
      <t>16.02.060</t>
    </r>
  </si>
  <si>
    <r>
      <rPr>
        <sz val="8.5"/>
        <rFont val="Calibri"/>
        <family val="2"/>
      </rPr>
      <t>Telha de barro tipo plan</t>
    </r>
  </si>
  <si>
    <r>
      <rPr>
        <sz val="8.5"/>
        <rFont val="Calibri"/>
        <family val="2"/>
      </rPr>
      <t>91,26</t>
    </r>
  </si>
  <si>
    <r>
      <rPr>
        <sz val="8.5"/>
        <rFont val="Calibri"/>
        <family val="2"/>
      </rPr>
      <t>126,27</t>
    </r>
  </si>
  <si>
    <r>
      <rPr>
        <sz val="8.5"/>
        <rFont val="Calibri"/>
        <family val="2"/>
      </rPr>
      <t>16.02.120</t>
    </r>
  </si>
  <si>
    <r>
      <rPr>
        <sz val="8.5"/>
        <rFont val="Calibri"/>
        <family val="2"/>
      </rPr>
      <t>Emboçamento de beiral em telhas de barro</t>
    </r>
  </si>
  <si>
    <r>
      <rPr>
        <sz val="8.5"/>
        <rFont val="Calibri"/>
        <family val="2"/>
      </rPr>
      <t>11,00</t>
    </r>
  </si>
  <si>
    <r>
      <rPr>
        <sz val="8.5"/>
        <rFont val="Calibri"/>
        <family val="2"/>
      </rPr>
      <t>16.02.230</t>
    </r>
  </si>
  <si>
    <r>
      <rPr>
        <sz val="8.5"/>
        <rFont val="Calibri"/>
        <family val="2"/>
      </rPr>
      <t xml:space="preserve">Cumeeira de barro emboçado tipos: plan, romana, italiana, francesa e
</t>
    </r>
    <r>
      <rPr>
        <sz val="8.5"/>
        <rFont val="Calibri"/>
        <family val="2"/>
      </rPr>
      <t>paulistinha</t>
    </r>
  </si>
  <si>
    <r>
      <rPr>
        <sz val="8.5"/>
        <rFont val="Calibri"/>
        <family val="2"/>
      </rPr>
      <t>22,92</t>
    </r>
  </si>
  <si>
    <r>
      <rPr>
        <sz val="8.5"/>
        <rFont val="Calibri"/>
        <family val="2"/>
      </rPr>
      <t>16.02.270</t>
    </r>
  </si>
  <si>
    <r>
      <rPr>
        <sz val="8.5"/>
        <rFont val="Calibri"/>
        <family val="2"/>
      </rPr>
      <t>Espigão de barro emboçado</t>
    </r>
  </si>
  <si>
    <r>
      <rPr>
        <sz val="8.5"/>
        <rFont val="Calibri"/>
        <family val="2"/>
      </rPr>
      <t>15,07</t>
    </r>
  </si>
  <si>
    <r>
      <rPr>
        <sz val="8.5"/>
        <rFont val="Calibri"/>
        <family val="2"/>
      </rPr>
      <t>27,94</t>
    </r>
  </si>
  <si>
    <r>
      <rPr>
        <sz val="8.5"/>
        <rFont val="Calibri"/>
        <family val="2"/>
      </rPr>
      <t>Telhamento em cimento reforçado com fio sintético (CRFS)</t>
    </r>
  </si>
  <si>
    <r>
      <rPr>
        <sz val="8.5"/>
        <rFont val="Calibri"/>
        <family val="2"/>
      </rPr>
      <t>16.03.010</t>
    </r>
  </si>
  <si>
    <r>
      <rPr>
        <sz val="8.5"/>
        <rFont val="Calibri"/>
        <family val="2"/>
      </rPr>
      <t xml:space="preserve">Telhamento em cimento reforçado com fio sintético CRFS - perfil
</t>
    </r>
    <r>
      <rPr>
        <sz val="8.5"/>
        <rFont val="Calibri"/>
        <family val="2"/>
      </rPr>
      <t>ondulado de 6 mm</t>
    </r>
  </si>
  <si>
    <r>
      <rPr>
        <sz val="8.5"/>
        <rFont val="Calibri"/>
        <family val="2"/>
      </rPr>
      <t>37,99</t>
    </r>
  </si>
  <si>
    <r>
      <rPr>
        <sz val="8.5"/>
        <rFont val="Calibri"/>
        <family val="2"/>
      </rPr>
      <t>50,86</t>
    </r>
  </si>
  <si>
    <r>
      <rPr>
        <sz val="8.5"/>
        <rFont val="Calibri"/>
        <family val="2"/>
      </rPr>
      <t>16.03.020</t>
    </r>
  </si>
  <si>
    <r>
      <rPr>
        <sz val="8.5"/>
        <rFont val="Calibri"/>
        <family val="2"/>
      </rPr>
      <t xml:space="preserve">Telhamento em cimento reforçado com fio sintético CRFS - perfil
</t>
    </r>
    <r>
      <rPr>
        <sz val="8.5"/>
        <rFont val="Calibri"/>
        <family val="2"/>
      </rPr>
      <t>ondulado de 8 mm</t>
    </r>
  </si>
  <si>
    <r>
      <rPr>
        <sz val="8.5"/>
        <rFont val="Calibri"/>
        <family val="2"/>
      </rPr>
      <t>51,99</t>
    </r>
  </si>
  <si>
    <r>
      <rPr>
        <sz val="8.5"/>
        <rFont val="Calibri"/>
        <family val="2"/>
      </rPr>
      <t>64,86</t>
    </r>
  </si>
  <si>
    <r>
      <rPr>
        <sz val="8.5"/>
        <rFont val="Calibri"/>
        <family val="2"/>
      </rPr>
      <t>16.03.030</t>
    </r>
  </si>
  <si>
    <r>
      <rPr>
        <sz val="8.5"/>
        <rFont val="Calibri"/>
        <family val="2"/>
      </rPr>
      <t xml:space="preserve">Telhamento em cimento reforçado com fio sintético CRFS - perfil
</t>
    </r>
    <r>
      <rPr>
        <sz val="8.5"/>
        <rFont val="Calibri"/>
        <family val="2"/>
      </rPr>
      <t>trapezoidal de 44 cm</t>
    </r>
  </si>
  <si>
    <r>
      <rPr>
        <sz val="8.5"/>
        <rFont val="Calibri"/>
        <family val="2"/>
      </rPr>
      <t>111,80</t>
    </r>
  </si>
  <si>
    <r>
      <rPr>
        <sz val="8.5"/>
        <rFont val="Calibri"/>
        <family val="2"/>
      </rPr>
      <t>124,67</t>
    </r>
  </si>
  <si>
    <r>
      <rPr>
        <sz val="8.5"/>
        <rFont val="Calibri"/>
        <family val="2"/>
      </rPr>
      <t>16.03.040</t>
    </r>
  </si>
  <si>
    <r>
      <rPr>
        <sz val="8.5"/>
        <rFont val="Calibri"/>
        <family val="2"/>
      </rPr>
      <t xml:space="preserve">Telhamento em cimento reforçado com fio sintético CRFS - perfil
</t>
    </r>
    <r>
      <rPr>
        <sz val="8.5"/>
        <rFont val="Calibri"/>
        <family val="2"/>
      </rPr>
      <t>modulado</t>
    </r>
  </si>
  <si>
    <r>
      <rPr>
        <sz val="8.5"/>
        <rFont val="Calibri"/>
        <family val="2"/>
      </rPr>
      <t>119,01</t>
    </r>
  </si>
  <si>
    <r>
      <rPr>
        <sz val="8.5"/>
        <rFont val="Calibri"/>
        <family val="2"/>
      </rPr>
      <t>131,88</t>
    </r>
  </si>
  <si>
    <r>
      <rPr>
        <sz val="8.5"/>
        <rFont val="Calibri"/>
        <family val="2"/>
      </rPr>
      <t>16.03.300</t>
    </r>
  </si>
  <si>
    <r>
      <rPr>
        <sz val="8.5"/>
        <rFont val="Calibri"/>
        <family val="2"/>
      </rPr>
      <t xml:space="preserve">Cumeeira normal em cimento reforçado com fio sintético CRFS - perfil
</t>
    </r>
    <r>
      <rPr>
        <sz val="8.5"/>
        <rFont val="Calibri"/>
        <family val="2"/>
      </rPr>
      <t>ondulado</t>
    </r>
  </si>
  <si>
    <r>
      <rPr>
        <sz val="8.5"/>
        <rFont val="Calibri"/>
        <family val="2"/>
      </rPr>
      <t>65,68</t>
    </r>
  </si>
  <si>
    <r>
      <rPr>
        <sz val="8.5"/>
        <rFont val="Calibri"/>
        <family val="2"/>
      </rPr>
      <t>72,11</t>
    </r>
  </si>
  <si>
    <r>
      <rPr>
        <sz val="8.5"/>
        <rFont val="Calibri"/>
        <family val="2"/>
      </rPr>
      <t>16.03.310</t>
    </r>
  </si>
  <si>
    <r>
      <rPr>
        <sz val="8.5"/>
        <rFont val="Calibri"/>
        <family val="2"/>
      </rPr>
      <t xml:space="preserve">Cumeeira universal em cimento reforçado com fio sintético CRFS - perfil
</t>
    </r>
    <r>
      <rPr>
        <sz val="8.5"/>
        <rFont val="Calibri"/>
        <family val="2"/>
      </rPr>
      <t>ondulado</t>
    </r>
  </si>
  <si>
    <r>
      <rPr>
        <sz val="8.5"/>
        <rFont val="Calibri"/>
        <family val="2"/>
      </rPr>
      <t>58,11</t>
    </r>
  </si>
  <si>
    <r>
      <rPr>
        <sz val="8.5"/>
        <rFont val="Calibri"/>
        <family val="2"/>
      </rPr>
      <t>64,54</t>
    </r>
  </si>
  <si>
    <r>
      <rPr>
        <sz val="8.5"/>
        <rFont val="Calibri"/>
        <family val="2"/>
      </rPr>
      <t>16.03.320</t>
    </r>
  </si>
  <si>
    <r>
      <rPr>
        <sz val="8.5"/>
        <rFont val="Calibri"/>
        <family val="2"/>
      </rPr>
      <t xml:space="preserve">Cumeeira normal em cimento reforçado com fio sintético CRFS - perfil
</t>
    </r>
    <r>
      <rPr>
        <sz val="8.5"/>
        <rFont val="Calibri"/>
        <family val="2"/>
      </rPr>
      <t>trapezoidal 44 cm</t>
    </r>
  </si>
  <si>
    <r>
      <rPr>
        <sz val="8.5"/>
        <rFont val="Calibri"/>
        <family val="2"/>
      </rPr>
      <t>99,82</t>
    </r>
  </si>
  <si>
    <r>
      <rPr>
        <sz val="8.5"/>
        <rFont val="Calibri"/>
        <family val="2"/>
      </rPr>
      <t>16.03.330</t>
    </r>
  </si>
  <si>
    <r>
      <rPr>
        <sz val="8.5"/>
        <rFont val="Calibri"/>
        <family val="2"/>
      </rPr>
      <t xml:space="preserve">Cumeeira normal em cimento reforçado com fio sintético CRFS - perfil
</t>
    </r>
    <r>
      <rPr>
        <sz val="8.5"/>
        <rFont val="Calibri"/>
        <family val="2"/>
      </rPr>
      <t>modulado</t>
    </r>
  </si>
  <si>
    <r>
      <rPr>
        <sz val="8.5"/>
        <rFont val="Calibri"/>
        <family val="2"/>
      </rPr>
      <t>129,15</t>
    </r>
  </si>
  <si>
    <r>
      <rPr>
        <sz val="8.5"/>
        <rFont val="Calibri"/>
        <family val="2"/>
      </rPr>
      <t>135,58</t>
    </r>
  </si>
  <si>
    <r>
      <rPr>
        <sz val="8.5"/>
        <rFont val="Calibri"/>
        <family val="2"/>
      </rPr>
      <t>16.03.360</t>
    </r>
  </si>
  <si>
    <r>
      <rPr>
        <sz val="8.5"/>
        <rFont val="Calibri"/>
        <family val="2"/>
      </rPr>
      <t>Espigão em cimento reforçado com fio sintético CRFS - perfil ondulado</t>
    </r>
  </si>
  <si>
    <r>
      <rPr>
        <sz val="8.5"/>
        <rFont val="Calibri"/>
        <family val="2"/>
      </rPr>
      <t>40,37</t>
    </r>
  </si>
  <si>
    <r>
      <rPr>
        <sz val="8.5"/>
        <rFont val="Calibri"/>
        <family val="2"/>
      </rPr>
      <t>46,80</t>
    </r>
  </si>
  <si>
    <r>
      <rPr>
        <sz val="8.5"/>
        <rFont val="Calibri"/>
        <family val="2"/>
      </rPr>
      <t>16.03.370</t>
    </r>
  </si>
  <si>
    <r>
      <rPr>
        <sz val="8.5"/>
        <rFont val="Calibri"/>
        <family val="2"/>
      </rPr>
      <t>Espigão em cimento reforçado com fio sintético CRFS - perfil modulado</t>
    </r>
  </si>
  <si>
    <r>
      <rPr>
        <sz val="8.5"/>
        <rFont val="Calibri"/>
        <family val="2"/>
      </rPr>
      <t>52,06</t>
    </r>
  </si>
  <si>
    <r>
      <rPr>
        <sz val="8.5"/>
        <rFont val="Calibri"/>
        <family val="2"/>
      </rPr>
      <t>58,49</t>
    </r>
  </si>
  <si>
    <r>
      <rPr>
        <sz val="8.5"/>
        <rFont val="Calibri"/>
        <family val="2"/>
      </rPr>
      <t>16.03.400</t>
    </r>
  </si>
  <si>
    <r>
      <rPr>
        <sz val="8.5"/>
        <rFont val="Calibri"/>
        <family val="2"/>
      </rPr>
      <t>Rufo em cimento reforçado com fio sintético CRFS - perfil ondulado</t>
    </r>
  </si>
  <si>
    <r>
      <rPr>
        <sz val="8.5"/>
        <rFont val="Calibri"/>
        <family val="2"/>
      </rPr>
      <t>57,01</t>
    </r>
  </si>
  <si>
    <r>
      <rPr>
        <sz val="8.5"/>
        <rFont val="Calibri"/>
        <family val="2"/>
      </rPr>
      <t>63,44</t>
    </r>
  </si>
  <si>
    <r>
      <rPr>
        <sz val="8.5"/>
        <rFont val="Calibri"/>
        <family val="2"/>
      </rPr>
      <t>Telhamento em madeira ou fibra vegetal</t>
    </r>
  </si>
  <si>
    <r>
      <rPr>
        <sz val="8.5"/>
        <rFont val="Calibri"/>
        <family val="2"/>
      </rPr>
      <t>16.10.020</t>
    </r>
  </si>
  <si>
    <r>
      <rPr>
        <sz val="8.5"/>
        <rFont val="Calibri"/>
        <family val="2"/>
      </rPr>
      <t>Telha em fibra vegetal, perfil ondulado, com espessura de 3 mm</t>
    </r>
  </si>
  <si>
    <r>
      <rPr>
        <sz val="8.5"/>
        <rFont val="Calibri"/>
        <family val="2"/>
      </rPr>
      <t>65,47</t>
    </r>
  </si>
  <si>
    <r>
      <rPr>
        <sz val="8.5"/>
        <rFont val="Calibri"/>
        <family val="2"/>
      </rPr>
      <t>86,38</t>
    </r>
  </si>
  <si>
    <r>
      <rPr>
        <sz val="8.5"/>
        <rFont val="Calibri"/>
        <family val="2"/>
      </rPr>
      <t>16.10.100</t>
    </r>
  </si>
  <si>
    <r>
      <rPr>
        <sz val="8.5"/>
        <rFont val="Calibri"/>
        <family val="2"/>
      </rPr>
      <t>Cumeeira em fibra vegetal, lisa, com espessura de 3 mm</t>
    </r>
  </si>
  <si>
    <r>
      <rPr>
        <sz val="8.5"/>
        <rFont val="Calibri"/>
        <family val="2"/>
      </rPr>
      <t>104,10</t>
    </r>
  </si>
  <si>
    <r>
      <rPr>
        <sz val="8.5"/>
        <rFont val="Calibri"/>
        <family val="2"/>
      </rPr>
      <t>7,07</t>
    </r>
  </si>
  <si>
    <r>
      <rPr>
        <sz val="8.5"/>
        <rFont val="Calibri"/>
        <family val="2"/>
      </rPr>
      <t>111,17</t>
    </r>
  </si>
  <si>
    <r>
      <rPr>
        <sz val="8.5"/>
        <rFont val="Calibri"/>
        <family val="2"/>
      </rPr>
      <t>Telhamento metálico comum</t>
    </r>
  </si>
  <si>
    <r>
      <rPr>
        <sz val="8.5"/>
        <rFont val="Calibri"/>
        <family val="2"/>
      </rPr>
      <t>16.12.020</t>
    </r>
  </si>
  <si>
    <r>
      <rPr>
        <sz val="8.5"/>
        <rFont val="Calibri"/>
        <family val="2"/>
      </rPr>
      <t xml:space="preserve">Telhamento em chapa de aço pré-pintada com epóxi e poliéster, perfil
</t>
    </r>
    <r>
      <rPr>
        <sz val="8.5"/>
        <rFont val="Calibri"/>
        <family val="2"/>
      </rPr>
      <t>ondulado, com espessura de 0,50 mm</t>
    </r>
  </si>
  <si>
    <r>
      <rPr>
        <sz val="8.5"/>
        <rFont val="Calibri"/>
        <family val="2"/>
      </rPr>
      <t>116,22</t>
    </r>
  </si>
  <si>
    <r>
      <rPr>
        <sz val="8.5"/>
        <rFont val="Calibri"/>
        <family val="2"/>
      </rPr>
      <t>129,09</t>
    </r>
  </si>
  <si>
    <r>
      <rPr>
        <sz val="8.5"/>
        <rFont val="Calibri"/>
        <family val="2"/>
      </rPr>
      <t>16.12.040</t>
    </r>
  </si>
  <si>
    <r>
      <rPr>
        <sz val="8.5"/>
        <rFont val="Calibri"/>
        <family val="2"/>
      </rPr>
      <t>Telhamento em chapa de aço pré-pintada com epóxi e poliéster, perfil ondulado calandrado, com espessura de 0,80 mm</t>
    </r>
  </si>
  <si>
    <r>
      <rPr>
        <sz val="8.5"/>
        <rFont val="Calibri"/>
        <family val="2"/>
      </rPr>
      <t>218,91</t>
    </r>
  </si>
  <si>
    <r>
      <rPr>
        <sz val="8.5"/>
        <rFont val="Calibri"/>
        <family val="2"/>
      </rPr>
      <t>231,78</t>
    </r>
  </si>
  <si>
    <r>
      <rPr>
        <sz val="8.5"/>
        <rFont val="Calibri"/>
        <family val="2"/>
      </rPr>
      <t>16.12.050</t>
    </r>
  </si>
  <si>
    <r>
      <rPr>
        <sz val="8.5"/>
        <rFont val="Calibri"/>
        <family val="2"/>
      </rPr>
      <t>Telhamento em chapa de aço pré-pintada com epóxi e poliéster, perfil trapezoidal, com espessura de 0,80 mm e altura de 100 mm</t>
    </r>
  </si>
  <si>
    <r>
      <rPr>
        <sz val="8.5"/>
        <rFont val="Calibri"/>
        <family val="2"/>
      </rPr>
      <t>149,28</t>
    </r>
  </si>
  <si>
    <r>
      <rPr>
        <sz val="8.5"/>
        <rFont val="Calibri"/>
        <family val="2"/>
      </rPr>
      <t>162,15</t>
    </r>
  </si>
  <si>
    <r>
      <rPr>
        <sz val="8.5"/>
        <rFont val="Calibri"/>
        <family val="2"/>
      </rPr>
      <t>16.12.060</t>
    </r>
  </si>
  <si>
    <r>
      <rPr>
        <sz val="8.5"/>
        <rFont val="Calibri"/>
        <family val="2"/>
      </rPr>
      <t>Telhamento em chapa de aço pré-pintada com epóxi e poliéster, perfil trapezoidal, com espessura de 0,50 mm e altura de 40 mm</t>
    </r>
  </si>
  <si>
    <r>
      <rPr>
        <sz val="8.5"/>
        <rFont val="Calibri"/>
        <family val="2"/>
      </rPr>
      <t>117,40</t>
    </r>
  </si>
  <si>
    <r>
      <rPr>
        <sz val="8.5"/>
        <rFont val="Calibri"/>
        <family val="2"/>
      </rPr>
      <t>130,27</t>
    </r>
  </si>
  <si>
    <r>
      <rPr>
        <sz val="8.5"/>
        <rFont val="Calibri"/>
        <family val="2"/>
      </rPr>
      <t>16.12.200</t>
    </r>
  </si>
  <si>
    <r>
      <rPr>
        <sz val="8.5"/>
        <rFont val="Calibri"/>
        <family val="2"/>
      </rPr>
      <t xml:space="preserve">Cumeeira em chapa de aço pré-pintada com epóxi e poliéster, perfil
</t>
    </r>
    <r>
      <rPr>
        <sz val="8.5"/>
        <rFont val="Calibri"/>
        <family val="2"/>
      </rPr>
      <t>trapezoidal, com espessura de 0,50 mm</t>
    </r>
  </si>
  <si>
    <r>
      <rPr>
        <sz val="8.5"/>
        <rFont val="Calibri"/>
        <family val="2"/>
      </rPr>
      <t>112,95</t>
    </r>
  </si>
  <si>
    <r>
      <rPr>
        <sz val="8.5"/>
        <rFont val="Calibri"/>
        <family val="2"/>
      </rPr>
      <t>119,38</t>
    </r>
  </si>
  <si>
    <r>
      <rPr>
        <sz val="8.5"/>
        <rFont val="Calibri"/>
        <family val="2"/>
      </rPr>
      <t>16.12.220</t>
    </r>
  </si>
  <si>
    <r>
      <rPr>
        <sz val="8.5"/>
        <rFont val="Calibri"/>
        <family val="2"/>
      </rPr>
      <t xml:space="preserve">Cumeeira em chapa de aço pré-pintada com epóxi e poliéster, perfil
</t>
    </r>
    <r>
      <rPr>
        <sz val="8.5"/>
        <rFont val="Calibri"/>
        <family val="2"/>
      </rPr>
      <t>ondulado, com espessura de 0,50 mm</t>
    </r>
  </si>
  <si>
    <r>
      <rPr>
        <sz val="8.5"/>
        <rFont val="Calibri"/>
        <family val="2"/>
      </rPr>
      <t>104,70</t>
    </r>
  </si>
  <si>
    <r>
      <rPr>
        <sz val="8.5"/>
        <rFont val="Calibri"/>
        <family val="2"/>
      </rPr>
      <t>111,13</t>
    </r>
  </si>
  <si>
    <r>
      <rPr>
        <sz val="8.5"/>
        <rFont val="Calibri"/>
        <family val="2"/>
      </rPr>
      <t>Telhamento metálico especial</t>
    </r>
  </si>
  <si>
    <r>
      <rPr>
        <sz val="8.5"/>
        <rFont val="Calibri"/>
        <family val="2"/>
      </rPr>
      <t>16.13.060</t>
    </r>
  </si>
  <si>
    <r>
      <rPr>
        <sz val="8.5"/>
        <rFont val="Calibri"/>
        <family val="2"/>
      </rPr>
      <t>Telhamento em chapa de aço pré-pintada com epóxi e poliéster, tipo sanduíche, espessura de 0,50 mm, com lã de rocha</t>
    </r>
  </si>
  <si>
    <r>
      <rPr>
        <sz val="8.5"/>
        <rFont val="Calibri"/>
        <family val="2"/>
      </rPr>
      <t>252,03</t>
    </r>
  </si>
  <si>
    <r>
      <rPr>
        <sz val="8.5"/>
        <rFont val="Calibri"/>
        <family val="2"/>
      </rPr>
      <t>32,36</t>
    </r>
  </si>
  <si>
    <r>
      <rPr>
        <sz val="8.5"/>
        <rFont val="Calibri"/>
        <family val="2"/>
      </rPr>
      <t>284,39</t>
    </r>
  </si>
  <si>
    <r>
      <rPr>
        <sz val="8.5"/>
        <rFont val="Calibri"/>
        <family val="2"/>
      </rPr>
      <t>16.13.070</t>
    </r>
  </si>
  <si>
    <r>
      <rPr>
        <sz val="8.5"/>
        <rFont val="Calibri"/>
        <family val="2"/>
      </rPr>
      <t>Telhamento em chapa de aço pré-pintada com epóxi e poliéster, tipo sanduíche, espessura de 0,50 mm, com poliuretano</t>
    </r>
  </si>
  <si>
    <r>
      <rPr>
        <sz val="8.5"/>
        <rFont val="Calibri"/>
        <family val="2"/>
      </rPr>
      <t>299,66</t>
    </r>
  </si>
  <si>
    <r>
      <rPr>
        <sz val="8.5"/>
        <rFont val="Calibri"/>
        <family val="2"/>
      </rPr>
      <t>313,66</t>
    </r>
  </si>
  <si>
    <r>
      <rPr>
        <sz val="8.5"/>
        <rFont val="Calibri"/>
        <family val="2"/>
      </rPr>
      <t>16.13.130</t>
    </r>
  </si>
  <si>
    <r>
      <rPr>
        <sz val="8.5"/>
        <rFont val="Calibri"/>
        <family val="2"/>
      </rPr>
      <t xml:space="preserve">Telhamento em chapa de aço com pintura poliéster, tipo sanduíche,
</t>
    </r>
    <r>
      <rPr>
        <sz val="8.5"/>
        <rFont val="Calibri"/>
        <family val="2"/>
      </rPr>
      <t>espessura de 0,50 mm, com poliestireno expandido</t>
    </r>
  </si>
  <si>
    <r>
      <rPr>
        <sz val="8.5"/>
        <rFont val="Calibri"/>
        <family val="2"/>
      </rPr>
      <t>207,27</t>
    </r>
  </si>
  <si>
    <r>
      <rPr>
        <sz val="8.5"/>
        <rFont val="Calibri"/>
        <family val="2"/>
      </rPr>
      <t>221,27</t>
    </r>
  </si>
  <si>
    <r>
      <rPr>
        <sz val="8.5"/>
        <rFont val="Calibri"/>
        <family val="2"/>
      </rPr>
      <t>16.13.140</t>
    </r>
  </si>
  <si>
    <r>
      <rPr>
        <sz val="8.5"/>
        <rFont val="Calibri"/>
        <family val="2"/>
      </rPr>
      <t xml:space="preserve">Telhamento em chapa de aço galvanizado autoportante, perfil
</t>
    </r>
    <r>
      <rPr>
        <sz val="8.5"/>
        <rFont val="Calibri"/>
        <family val="2"/>
      </rPr>
      <t>trapezoidal, com espessura de 0,80 mm e altura de 120 mm</t>
    </r>
  </si>
  <si>
    <r>
      <rPr>
        <sz val="8.5"/>
        <rFont val="Calibri"/>
        <family val="2"/>
      </rPr>
      <t>148,96</t>
    </r>
  </si>
  <si>
    <r>
      <rPr>
        <sz val="8.5"/>
        <rFont val="Calibri"/>
        <family val="2"/>
      </rPr>
      <t>Telhamento em material sintético</t>
    </r>
  </si>
  <si>
    <r>
      <rPr>
        <sz val="8.5"/>
        <rFont val="Calibri"/>
        <family val="2"/>
      </rPr>
      <t>16.16.040</t>
    </r>
  </si>
  <si>
    <r>
      <rPr>
        <sz val="8.5"/>
        <rFont val="Calibri"/>
        <family val="2"/>
      </rPr>
      <t>Telha ondulada translúcida em polipropileno</t>
    </r>
  </si>
  <si>
    <r>
      <rPr>
        <sz val="8.5"/>
        <rFont val="Calibri"/>
        <family val="2"/>
      </rPr>
      <t>63,68</t>
    </r>
  </si>
  <si>
    <r>
      <rPr>
        <sz val="8.5"/>
        <rFont val="Calibri"/>
        <family val="2"/>
      </rPr>
      <t>76,55</t>
    </r>
  </si>
  <si>
    <r>
      <rPr>
        <sz val="8.5"/>
        <rFont val="Calibri"/>
        <family val="2"/>
      </rPr>
      <t>16.16.160</t>
    </r>
  </si>
  <si>
    <r>
      <rPr>
        <sz val="8.5"/>
        <rFont val="Calibri"/>
        <family val="2"/>
      </rPr>
      <t>Telha em poliéster reforçado com fibras de vidro, perfil trapezoidal 49</t>
    </r>
  </si>
  <si>
    <r>
      <rPr>
        <sz val="8.5"/>
        <rFont val="Calibri"/>
        <family val="2"/>
      </rPr>
      <t>95,51</t>
    </r>
  </si>
  <si>
    <r>
      <rPr>
        <sz val="8.5"/>
        <rFont val="Calibri"/>
        <family val="2"/>
      </rPr>
      <t>108,38</t>
    </r>
  </si>
  <si>
    <r>
      <rPr>
        <sz val="8.5"/>
        <rFont val="Calibri"/>
        <family val="2"/>
      </rPr>
      <t>16.16.400</t>
    </r>
  </si>
  <si>
    <r>
      <rPr>
        <sz val="8.5"/>
        <rFont val="Calibri"/>
        <family val="2"/>
      </rPr>
      <t>Cumeeira para telha de poliéster, tipo perfil trapezoidal 49</t>
    </r>
  </si>
  <si>
    <r>
      <rPr>
        <sz val="8.5"/>
        <rFont val="Calibri"/>
        <family val="2"/>
      </rPr>
      <t>152,32</t>
    </r>
  </si>
  <si>
    <r>
      <rPr>
        <sz val="8.5"/>
        <rFont val="Calibri"/>
        <family val="2"/>
      </rPr>
      <t>158,75</t>
    </r>
  </si>
  <si>
    <r>
      <rPr>
        <sz val="8.5"/>
        <rFont val="Calibri"/>
        <family val="2"/>
      </rPr>
      <t>Telhamento em vidro</t>
    </r>
  </si>
  <si>
    <r>
      <rPr>
        <sz val="8.5"/>
        <rFont val="Calibri"/>
        <family val="2"/>
      </rPr>
      <t>16.20.020</t>
    </r>
  </si>
  <si>
    <r>
      <rPr>
        <sz val="8.5"/>
        <rFont val="Calibri"/>
        <family val="2"/>
      </rPr>
      <t>Telhas de vidro para iluminação tipo francesa</t>
    </r>
  </si>
  <si>
    <r>
      <rPr>
        <sz val="8.5"/>
        <rFont val="Calibri"/>
        <family val="2"/>
      </rPr>
      <t>61,27</t>
    </r>
  </si>
  <si>
    <r>
      <rPr>
        <sz val="8.5"/>
        <rFont val="Calibri"/>
        <family val="2"/>
      </rPr>
      <t>64,48</t>
    </r>
  </si>
  <si>
    <r>
      <rPr>
        <sz val="8.5"/>
        <rFont val="Calibri"/>
        <family val="2"/>
      </rPr>
      <t>16.20.040</t>
    </r>
  </si>
  <si>
    <r>
      <rPr>
        <sz val="8.5"/>
        <rFont val="Calibri"/>
        <family val="2"/>
      </rPr>
      <t>Telhas de vidro para iluminação tipo colonial/paulistinha</t>
    </r>
  </si>
  <si>
    <r>
      <rPr>
        <sz val="8.5"/>
        <rFont val="Calibri"/>
        <family val="2"/>
      </rPr>
      <t>Domos</t>
    </r>
  </si>
  <si>
    <r>
      <rPr>
        <sz val="8.5"/>
        <rFont val="Calibri"/>
        <family val="2"/>
      </rPr>
      <t>16.30.020</t>
    </r>
  </si>
  <si>
    <r>
      <rPr>
        <sz val="8.5"/>
        <rFont val="Calibri"/>
        <family val="2"/>
      </rPr>
      <t>Domo de acrílico fixado em perfis de alumínio</t>
    </r>
  </si>
  <si>
    <r>
      <rPr>
        <sz val="8.5"/>
        <rFont val="Calibri"/>
        <family val="2"/>
      </rPr>
      <t>662,93</t>
    </r>
  </si>
  <si>
    <r>
      <rPr>
        <sz val="8.5"/>
        <rFont val="Calibri"/>
        <family val="2"/>
      </rPr>
      <t>Painel, chapas e fechamento</t>
    </r>
  </si>
  <si>
    <r>
      <rPr>
        <sz val="8.5"/>
        <rFont val="Calibri"/>
        <family val="2"/>
      </rPr>
      <t>16.32.070</t>
    </r>
  </si>
  <si>
    <r>
      <rPr>
        <sz val="8.5"/>
        <rFont val="Calibri"/>
        <family val="2"/>
      </rPr>
      <t>Cobertura curva em chapa de policarbonato alveolar bronze de 6 mm</t>
    </r>
  </si>
  <si>
    <r>
      <rPr>
        <sz val="8.5"/>
        <rFont val="Calibri"/>
        <family val="2"/>
      </rPr>
      <t>134,46</t>
    </r>
  </si>
  <si>
    <r>
      <rPr>
        <sz val="8.5"/>
        <rFont val="Calibri"/>
        <family val="2"/>
      </rPr>
      <t>66,99</t>
    </r>
  </si>
  <si>
    <r>
      <rPr>
        <sz val="8.5"/>
        <rFont val="Calibri"/>
        <family val="2"/>
      </rPr>
      <t>201,45</t>
    </r>
  </si>
  <si>
    <r>
      <rPr>
        <sz val="8.5"/>
        <rFont val="Calibri"/>
        <family val="2"/>
      </rPr>
      <t>16.32.120</t>
    </r>
  </si>
  <si>
    <r>
      <rPr>
        <sz val="8.5"/>
        <rFont val="Calibri"/>
        <family val="2"/>
      </rPr>
      <t>Cobertura plana em chapa de policarbonato alveolar de 10 mm</t>
    </r>
  </si>
  <si>
    <r>
      <rPr>
        <sz val="8.5"/>
        <rFont val="Calibri"/>
        <family val="2"/>
      </rPr>
      <t>205,82</t>
    </r>
  </si>
  <si>
    <r>
      <rPr>
        <sz val="8.5"/>
        <rFont val="Calibri"/>
        <family val="2"/>
      </rPr>
      <t>60,29</t>
    </r>
  </si>
  <si>
    <r>
      <rPr>
        <sz val="8.5"/>
        <rFont val="Calibri"/>
        <family val="2"/>
      </rPr>
      <t>266,11</t>
    </r>
  </si>
  <si>
    <r>
      <rPr>
        <sz val="8.5"/>
        <rFont val="Calibri"/>
        <family val="2"/>
      </rPr>
      <t>16.32.130</t>
    </r>
  </si>
  <si>
    <r>
      <rPr>
        <sz val="8.5"/>
        <rFont val="Calibri"/>
        <family val="2"/>
      </rPr>
      <t>Cobertura curva em chapa de policarbonato alveolar bronze de 10 mm</t>
    </r>
  </si>
  <si>
    <r>
      <rPr>
        <sz val="8.5"/>
        <rFont val="Calibri"/>
        <family val="2"/>
      </rPr>
      <t>209,88</t>
    </r>
  </si>
  <si>
    <r>
      <rPr>
        <sz val="8.5"/>
        <rFont val="Calibri"/>
        <family val="2"/>
      </rPr>
      <t>276,87</t>
    </r>
  </si>
  <si>
    <r>
      <rPr>
        <sz val="8.5"/>
        <rFont val="Calibri"/>
        <family val="2"/>
      </rPr>
      <t>Calhas e rufos</t>
    </r>
  </si>
  <si>
    <r>
      <rPr>
        <sz val="8.5"/>
        <rFont val="Calibri"/>
        <family val="2"/>
      </rPr>
      <t>16.33.022</t>
    </r>
  </si>
  <si>
    <r>
      <rPr>
        <sz val="8.5"/>
        <rFont val="Calibri"/>
        <family val="2"/>
      </rPr>
      <t>Calha, rufo, afins em chapa galvanizada nº 24 - corte 0,33 m</t>
    </r>
  </si>
  <si>
    <r>
      <rPr>
        <sz val="8.5"/>
        <rFont val="Calibri"/>
        <family val="2"/>
      </rPr>
      <t>54,16</t>
    </r>
  </si>
  <si>
    <r>
      <rPr>
        <sz val="8.5"/>
        <rFont val="Calibri"/>
        <family val="2"/>
      </rPr>
      <t>40,03</t>
    </r>
  </si>
  <si>
    <r>
      <rPr>
        <sz val="8.5"/>
        <rFont val="Calibri"/>
        <family val="2"/>
      </rPr>
      <t>94,19</t>
    </r>
  </si>
  <si>
    <r>
      <rPr>
        <sz val="8.5"/>
        <rFont val="Calibri"/>
        <family val="2"/>
      </rPr>
      <t>16.33.052</t>
    </r>
  </si>
  <si>
    <r>
      <rPr>
        <sz val="8.5"/>
        <rFont val="Calibri"/>
        <family val="2"/>
      </rPr>
      <t>Calha, rufo, afins em chapa galvanizada nº 24 - corte 0,50 m</t>
    </r>
  </si>
  <si>
    <r>
      <rPr>
        <sz val="8.5"/>
        <rFont val="Calibri"/>
        <family val="2"/>
      </rPr>
      <t>83,12</t>
    </r>
  </si>
  <si>
    <r>
      <rPr>
        <sz val="8.5"/>
        <rFont val="Calibri"/>
        <family val="2"/>
      </rPr>
      <t>47,31</t>
    </r>
  </si>
  <si>
    <r>
      <rPr>
        <sz val="8.5"/>
        <rFont val="Calibri"/>
        <family val="2"/>
      </rPr>
      <t>130,43</t>
    </r>
  </si>
  <si>
    <r>
      <rPr>
        <sz val="8.5"/>
        <rFont val="Calibri"/>
        <family val="2"/>
      </rPr>
      <t>16.33.062</t>
    </r>
  </si>
  <si>
    <r>
      <rPr>
        <sz val="8.5"/>
        <rFont val="Calibri"/>
        <family val="2"/>
      </rPr>
      <t>Calha, rufo, afins em chapa galvanizada nº 24 - corte 1,00 m</t>
    </r>
  </si>
  <si>
    <r>
      <rPr>
        <sz val="8.5"/>
        <rFont val="Calibri"/>
        <family val="2"/>
      </rPr>
      <t>166,21</t>
    </r>
  </si>
  <si>
    <r>
      <rPr>
        <sz val="8.5"/>
        <rFont val="Calibri"/>
        <family val="2"/>
      </rPr>
      <t>50,95</t>
    </r>
  </si>
  <si>
    <r>
      <rPr>
        <sz val="8.5"/>
        <rFont val="Calibri"/>
        <family val="2"/>
      </rPr>
      <t>217,16</t>
    </r>
  </si>
  <si>
    <r>
      <rPr>
        <sz val="8.5"/>
        <rFont val="Calibri"/>
        <family val="2"/>
      </rPr>
      <t>16.33.082</t>
    </r>
  </si>
  <si>
    <r>
      <rPr>
        <sz val="8.5"/>
        <rFont val="Calibri"/>
        <family val="2"/>
      </rPr>
      <t>Calha, rufo, afins em chapa galvanizada nº 26 - corte 0,33 m</t>
    </r>
  </si>
  <si>
    <r>
      <rPr>
        <sz val="8.5"/>
        <rFont val="Calibri"/>
        <family val="2"/>
      </rPr>
      <t>40,96</t>
    </r>
  </si>
  <si>
    <r>
      <rPr>
        <sz val="8.5"/>
        <rFont val="Calibri"/>
        <family val="2"/>
      </rPr>
      <t>80,99</t>
    </r>
  </si>
  <si>
    <r>
      <rPr>
        <sz val="8.5"/>
        <rFont val="Calibri"/>
        <family val="2"/>
      </rPr>
      <t>16.33.102</t>
    </r>
  </si>
  <si>
    <r>
      <rPr>
        <sz val="8.5"/>
        <rFont val="Calibri"/>
        <family val="2"/>
      </rPr>
      <t>Calha, rufo, afins em chapa galvanizada nº 26 - corte 0,50 m</t>
    </r>
  </si>
  <si>
    <r>
      <rPr>
        <sz val="8.5"/>
        <rFont val="Calibri"/>
        <family val="2"/>
      </rPr>
      <t>62,66</t>
    </r>
  </si>
  <si>
    <r>
      <rPr>
        <sz val="8.5"/>
        <rFont val="Calibri"/>
        <family val="2"/>
      </rPr>
      <t>109,97</t>
    </r>
  </si>
  <si>
    <r>
      <rPr>
        <sz val="8.5"/>
        <rFont val="Calibri"/>
        <family val="2"/>
      </rPr>
      <t>16.33.400</t>
    </r>
  </si>
  <si>
    <r>
      <rPr>
        <sz val="8.5"/>
        <rFont val="Calibri"/>
        <family val="2"/>
      </rPr>
      <t>Rufo pré-moldado em concreto, de 14 x 50 x 18,5 cm</t>
    </r>
  </si>
  <si>
    <r>
      <rPr>
        <sz val="8.5"/>
        <rFont val="Calibri"/>
        <family val="2"/>
      </rPr>
      <t>12,80</t>
    </r>
  </si>
  <si>
    <r>
      <rPr>
        <sz val="8.5"/>
        <rFont val="Calibri"/>
        <family val="2"/>
      </rPr>
      <t>13,82</t>
    </r>
  </si>
  <si>
    <r>
      <rPr>
        <sz val="8.5"/>
        <rFont val="Calibri"/>
        <family val="2"/>
      </rPr>
      <t>16.33.410</t>
    </r>
  </si>
  <si>
    <r>
      <rPr>
        <sz val="8.5"/>
        <rFont val="Calibri"/>
        <family val="2"/>
      </rPr>
      <t>Rufo pré-moldado em concreto, de 20 x 50 x 26 cm</t>
    </r>
  </si>
  <si>
    <r>
      <rPr>
        <sz val="8.5"/>
        <rFont val="Calibri"/>
        <family val="2"/>
      </rPr>
      <t>15,04</t>
    </r>
  </si>
  <si>
    <r>
      <rPr>
        <sz val="8.5"/>
        <rFont val="Calibri"/>
        <family val="2"/>
      </rPr>
      <t>16,49</t>
    </r>
  </si>
  <si>
    <r>
      <rPr>
        <sz val="8.5"/>
        <rFont val="Calibri"/>
        <family val="2"/>
      </rPr>
      <t>16.33.412</t>
    </r>
  </si>
  <si>
    <r>
      <rPr>
        <sz val="8.5"/>
        <rFont val="Calibri"/>
        <family val="2"/>
      </rPr>
      <t>Rufo pré-moldado em concreto, largura 24 cm</t>
    </r>
  </si>
  <si>
    <r>
      <rPr>
        <sz val="8.5"/>
        <rFont val="Calibri"/>
        <family val="2"/>
      </rPr>
      <t>13,64</t>
    </r>
  </si>
  <si>
    <r>
      <rPr>
        <sz val="8.5"/>
        <rFont val="Calibri"/>
        <family val="2"/>
      </rPr>
      <t>15,67</t>
    </r>
  </si>
  <si>
    <r>
      <rPr>
        <sz val="8.5"/>
        <rFont val="Calibri"/>
        <family val="2"/>
      </rPr>
      <t>Reparos, conservações e complementos - GRUPO 16</t>
    </r>
  </si>
  <si>
    <r>
      <rPr>
        <sz val="8.5"/>
        <rFont val="Calibri"/>
        <family val="2"/>
      </rPr>
      <t>16.40.040</t>
    </r>
  </si>
  <si>
    <r>
      <rPr>
        <sz val="8.5"/>
        <rFont val="Calibri"/>
        <family val="2"/>
      </rPr>
      <t>Recolocação de cumeeiras e espigões de barro</t>
    </r>
  </si>
  <si>
    <r>
      <rPr>
        <sz val="8.5"/>
        <rFont val="Calibri"/>
        <family val="2"/>
      </rPr>
      <t>1,83</t>
    </r>
  </si>
  <si>
    <r>
      <rPr>
        <sz val="8.5"/>
        <rFont val="Calibri"/>
        <family val="2"/>
      </rPr>
      <t>14,70</t>
    </r>
  </si>
  <si>
    <r>
      <rPr>
        <sz val="8.5"/>
        <rFont val="Calibri"/>
        <family val="2"/>
      </rPr>
      <t>16.40.060</t>
    </r>
  </si>
  <si>
    <r>
      <rPr>
        <sz val="8.5"/>
        <rFont val="Calibri"/>
        <family val="2"/>
      </rPr>
      <t>Recolocação de telha de barro tipo colonial/paulistinha</t>
    </r>
  </si>
  <si>
    <r>
      <rPr>
        <sz val="8.5"/>
        <rFont val="Calibri"/>
        <family val="2"/>
      </rPr>
      <t>16.40.080</t>
    </r>
  </si>
  <si>
    <r>
      <rPr>
        <sz val="8.5"/>
        <rFont val="Calibri"/>
        <family val="2"/>
      </rPr>
      <t>Recolocação de telha de barro tipo plan</t>
    </r>
  </si>
  <si>
    <r>
      <rPr>
        <sz val="8.5"/>
        <rFont val="Calibri"/>
        <family val="2"/>
      </rPr>
      <t>16.40.090</t>
    </r>
  </si>
  <si>
    <r>
      <rPr>
        <sz val="8.5"/>
        <rFont val="Calibri"/>
        <family val="2"/>
      </rPr>
      <t>Recolocação de domo de acrílico, inclusive perfis metálicos de fixação</t>
    </r>
  </si>
  <si>
    <r>
      <rPr>
        <sz val="8.5"/>
        <rFont val="Calibri"/>
        <family val="2"/>
      </rPr>
      <t>16.40.120</t>
    </r>
  </si>
  <si>
    <r>
      <rPr>
        <sz val="8.5"/>
        <rFont val="Calibri"/>
        <family val="2"/>
      </rPr>
      <t>Recolocação de telhas de barro tipo francesa</t>
    </r>
  </si>
  <si>
    <r>
      <rPr>
        <sz val="8.5"/>
        <rFont val="Calibri"/>
        <family val="2"/>
      </rPr>
      <t>16.40.140</t>
    </r>
  </si>
  <si>
    <r>
      <rPr>
        <sz val="8.5"/>
        <rFont val="Calibri"/>
        <family val="2"/>
      </rPr>
      <t>Recolocação de telha em fibrocimento ou CRFS, perfil ondulado</t>
    </r>
  </si>
  <si>
    <r>
      <rPr>
        <sz val="8.5"/>
        <rFont val="Calibri"/>
        <family val="2"/>
      </rPr>
      <t>16.40.150</t>
    </r>
  </si>
  <si>
    <r>
      <rPr>
        <sz val="8.5"/>
        <rFont val="Calibri"/>
        <family val="2"/>
      </rPr>
      <t xml:space="preserve">Recolocação de telha em fibrocimento ou CRFS, perfil modulado ou
</t>
    </r>
    <r>
      <rPr>
        <sz val="8.5"/>
        <rFont val="Calibri"/>
        <family val="2"/>
      </rPr>
      <t>trapezoidal</t>
    </r>
  </si>
  <si>
    <r>
      <rPr>
        <sz val="8.5"/>
        <rFont val="Calibri"/>
        <family val="2"/>
      </rPr>
      <t>23,43</t>
    </r>
  </si>
  <si>
    <r>
      <rPr>
        <sz val="8.5"/>
        <rFont val="Calibri"/>
        <family val="2"/>
      </rPr>
      <t>REVESTIMENTO EM MASSA OU FUNDIDO NO LOCAL</t>
    </r>
  </si>
  <si>
    <r>
      <rPr>
        <sz val="8.5"/>
        <rFont val="Calibri"/>
        <family val="2"/>
      </rPr>
      <t>Regularização de base</t>
    </r>
  </si>
  <si>
    <r>
      <rPr>
        <sz val="8.5"/>
        <rFont val="Calibri"/>
        <family val="2"/>
      </rPr>
      <t>17.01.010</t>
    </r>
  </si>
  <si>
    <r>
      <rPr>
        <sz val="8.5"/>
        <rFont val="Calibri"/>
        <family val="2"/>
      </rPr>
      <t>Argamassa de proteção com argila expandida</t>
    </r>
  </si>
  <si>
    <r>
      <rPr>
        <sz val="8.5"/>
        <rFont val="Calibri"/>
        <family val="2"/>
      </rPr>
      <t>634,77</t>
    </r>
  </si>
  <si>
    <r>
      <rPr>
        <sz val="8.5"/>
        <rFont val="Calibri"/>
        <family val="2"/>
      </rPr>
      <t>229,26</t>
    </r>
  </si>
  <si>
    <r>
      <rPr>
        <sz val="8.5"/>
        <rFont val="Calibri"/>
        <family val="2"/>
      </rPr>
      <t>864,03</t>
    </r>
  </si>
  <si>
    <r>
      <rPr>
        <sz val="8.5"/>
        <rFont val="Calibri"/>
        <family val="2"/>
      </rPr>
      <t>17.01.020</t>
    </r>
  </si>
  <si>
    <r>
      <rPr>
        <sz val="8.5"/>
        <rFont val="Calibri"/>
        <family val="2"/>
      </rPr>
      <t>Argamassa de regularização e/ou proteção</t>
    </r>
  </si>
  <si>
    <r>
      <rPr>
        <sz val="8.5"/>
        <rFont val="Calibri"/>
        <family val="2"/>
      </rPr>
      <t>392,54</t>
    </r>
  </si>
  <si>
    <r>
      <rPr>
        <sz val="8.5"/>
        <rFont val="Calibri"/>
        <family val="2"/>
      </rPr>
      <t>621,80</t>
    </r>
  </si>
  <si>
    <r>
      <rPr>
        <sz val="8.5"/>
        <rFont val="Calibri"/>
        <family val="2"/>
      </rPr>
      <t>17.01.040</t>
    </r>
  </si>
  <si>
    <r>
      <rPr>
        <sz val="8.5"/>
        <rFont val="Calibri"/>
        <family val="2"/>
      </rPr>
      <t>Lastro de concreto impermeabilizado</t>
    </r>
  </si>
  <si>
    <r>
      <rPr>
        <sz val="8.5"/>
        <rFont val="Calibri"/>
        <family val="2"/>
      </rPr>
      <t>314,49</t>
    </r>
  </si>
  <si>
    <r>
      <rPr>
        <sz val="8.5"/>
        <rFont val="Calibri"/>
        <family val="2"/>
      </rPr>
      <t>543,75</t>
    </r>
  </si>
  <si>
    <r>
      <rPr>
        <sz val="8.5"/>
        <rFont val="Calibri"/>
        <family val="2"/>
      </rPr>
      <t>17.01.050</t>
    </r>
  </si>
  <si>
    <r>
      <rPr>
        <sz val="8.5"/>
        <rFont val="Calibri"/>
        <family val="2"/>
      </rPr>
      <t>Regularização de piso com nata de cimento</t>
    </r>
  </si>
  <si>
    <r>
      <rPr>
        <sz val="8.5"/>
        <rFont val="Calibri"/>
        <family val="2"/>
      </rPr>
      <t>20,99</t>
    </r>
  </si>
  <si>
    <r>
      <rPr>
        <sz val="8.5"/>
        <rFont val="Calibri"/>
        <family val="2"/>
      </rPr>
      <t>17.01.060</t>
    </r>
  </si>
  <si>
    <r>
      <rPr>
        <sz val="8.5"/>
        <rFont val="Calibri"/>
        <family val="2"/>
      </rPr>
      <t>Regularização de piso com nata de cimento e bianco</t>
    </r>
  </si>
  <si>
    <r>
      <rPr>
        <sz val="8.5"/>
        <rFont val="Calibri"/>
        <family val="2"/>
      </rPr>
      <t>6,76</t>
    </r>
  </si>
  <si>
    <r>
      <rPr>
        <sz val="8.5"/>
        <rFont val="Calibri"/>
        <family val="2"/>
      </rPr>
      <t>17,53</t>
    </r>
  </si>
  <si>
    <r>
      <rPr>
        <sz val="8.5"/>
        <rFont val="Calibri"/>
        <family val="2"/>
      </rPr>
      <t>24,29</t>
    </r>
  </si>
  <si>
    <r>
      <rPr>
        <sz val="8.5"/>
        <rFont val="Calibri"/>
        <family val="2"/>
      </rPr>
      <t>17.01.120</t>
    </r>
  </si>
  <si>
    <r>
      <rPr>
        <sz val="8.5"/>
        <rFont val="Calibri"/>
        <family val="2"/>
      </rPr>
      <t>Argamassa de cimento e areia traço 1:3, com adesivo acrílico</t>
    </r>
  </si>
  <si>
    <r>
      <rPr>
        <sz val="8.5"/>
        <rFont val="Calibri"/>
        <family val="2"/>
      </rPr>
      <t>824,26</t>
    </r>
  </si>
  <si>
    <r>
      <rPr>
        <sz val="8.5"/>
        <rFont val="Calibri"/>
        <family val="2"/>
      </rPr>
      <t>1.053,52</t>
    </r>
  </si>
  <si>
    <r>
      <rPr>
        <sz val="8.5"/>
        <rFont val="Calibri"/>
        <family val="2"/>
      </rPr>
      <t>Revestimento em argamassa</t>
    </r>
  </si>
  <si>
    <r>
      <rPr>
        <sz val="8.5"/>
        <rFont val="Calibri"/>
        <family val="2"/>
      </rPr>
      <t>17.02.020</t>
    </r>
  </si>
  <si>
    <r>
      <rPr>
        <sz val="8.5"/>
        <rFont val="Calibri"/>
        <family val="2"/>
      </rPr>
      <t>Chapisco</t>
    </r>
  </si>
  <si>
    <r>
      <rPr>
        <sz val="8.5"/>
        <rFont val="Calibri"/>
        <family val="2"/>
      </rPr>
      <t>1,97</t>
    </r>
  </si>
  <si>
    <r>
      <rPr>
        <sz val="8.5"/>
        <rFont val="Calibri"/>
        <family val="2"/>
      </rPr>
      <t>3,39</t>
    </r>
  </si>
  <si>
    <r>
      <rPr>
        <sz val="8.5"/>
        <rFont val="Calibri"/>
        <family val="2"/>
      </rPr>
      <t>5,36</t>
    </r>
  </si>
  <si>
    <r>
      <rPr>
        <sz val="8.5"/>
        <rFont val="Calibri"/>
        <family val="2"/>
      </rPr>
      <t>17.02.030</t>
    </r>
  </si>
  <si>
    <r>
      <rPr>
        <sz val="8.5"/>
        <rFont val="Calibri"/>
        <family val="2"/>
      </rPr>
      <t>Chapisco 1:4 com areia grossa</t>
    </r>
  </si>
  <si>
    <r>
      <rPr>
        <sz val="8.5"/>
        <rFont val="Calibri"/>
        <family val="2"/>
      </rPr>
      <t>1,21</t>
    </r>
  </si>
  <si>
    <r>
      <rPr>
        <sz val="8.5"/>
        <rFont val="Calibri"/>
        <family val="2"/>
      </rPr>
      <t>17.02.040</t>
    </r>
  </si>
  <si>
    <r>
      <rPr>
        <sz val="8.5"/>
        <rFont val="Calibri"/>
        <family val="2"/>
      </rPr>
      <t>Chapisco com bianco</t>
    </r>
  </si>
  <si>
    <r>
      <rPr>
        <sz val="8.5"/>
        <rFont val="Calibri"/>
        <family val="2"/>
      </rPr>
      <t>8,84</t>
    </r>
  </si>
  <si>
    <r>
      <rPr>
        <sz val="8.5"/>
        <rFont val="Calibri"/>
        <family val="2"/>
      </rPr>
      <t>17.02.060</t>
    </r>
  </si>
  <si>
    <r>
      <rPr>
        <sz val="8.5"/>
        <rFont val="Calibri"/>
        <family val="2"/>
      </rPr>
      <t>Chapisco fino peneirado</t>
    </r>
  </si>
  <si>
    <r>
      <rPr>
        <sz val="8.5"/>
        <rFont val="Calibri"/>
        <family val="2"/>
      </rPr>
      <t>2,00</t>
    </r>
  </si>
  <si>
    <r>
      <rPr>
        <sz val="8.5"/>
        <rFont val="Calibri"/>
        <family val="2"/>
      </rPr>
      <t>6,95</t>
    </r>
  </si>
  <si>
    <r>
      <rPr>
        <sz val="8.5"/>
        <rFont val="Calibri"/>
        <family val="2"/>
      </rPr>
      <t>17.02.080</t>
    </r>
  </si>
  <si>
    <r>
      <rPr>
        <sz val="8.5"/>
        <rFont val="Calibri"/>
        <family val="2"/>
      </rPr>
      <t>Chapisco rústico com pedra britada nº 1</t>
    </r>
  </si>
  <si>
    <r>
      <rPr>
        <sz val="8.5"/>
        <rFont val="Calibri"/>
        <family val="2"/>
      </rPr>
      <t>3,27</t>
    </r>
  </si>
  <si>
    <r>
      <rPr>
        <sz val="8.5"/>
        <rFont val="Calibri"/>
        <family val="2"/>
      </rPr>
      <t>5,26</t>
    </r>
  </si>
  <si>
    <r>
      <rPr>
        <sz val="8.5"/>
        <rFont val="Calibri"/>
        <family val="2"/>
      </rPr>
      <t>8,53</t>
    </r>
  </si>
  <si>
    <r>
      <rPr>
        <sz val="8.5"/>
        <rFont val="Calibri"/>
        <family val="2"/>
      </rPr>
      <t>17.02.120</t>
    </r>
  </si>
  <si>
    <r>
      <rPr>
        <sz val="8.5"/>
        <rFont val="Calibri"/>
        <family val="2"/>
      </rPr>
      <t>Emboço comum</t>
    </r>
  </si>
  <si>
    <r>
      <rPr>
        <sz val="8.5"/>
        <rFont val="Calibri"/>
        <family val="2"/>
      </rPr>
      <t>7,18</t>
    </r>
  </si>
  <si>
    <r>
      <rPr>
        <sz val="8.5"/>
        <rFont val="Calibri"/>
        <family val="2"/>
      </rPr>
      <t>9,34</t>
    </r>
  </si>
  <si>
    <r>
      <rPr>
        <sz val="8.5"/>
        <rFont val="Calibri"/>
        <family val="2"/>
      </rPr>
      <t>16,52</t>
    </r>
  </si>
  <si>
    <r>
      <rPr>
        <sz val="8.5"/>
        <rFont val="Calibri"/>
        <family val="2"/>
      </rPr>
      <t>17.02.140</t>
    </r>
  </si>
  <si>
    <r>
      <rPr>
        <sz val="8.5"/>
        <rFont val="Calibri"/>
        <family val="2"/>
      </rPr>
      <t>Emboço desempenado com espuma de poliéster</t>
    </r>
  </si>
  <si>
    <r>
      <rPr>
        <sz val="8.5"/>
        <rFont val="Calibri"/>
        <family val="2"/>
      </rPr>
      <t>20,05</t>
    </r>
  </si>
  <si>
    <r>
      <rPr>
        <sz val="8.5"/>
        <rFont val="Calibri"/>
        <family val="2"/>
      </rPr>
      <t>17.02.160</t>
    </r>
  </si>
  <si>
    <r>
      <rPr>
        <sz val="8.5"/>
        <rFont val="Calibri"/>
        <family val="2"/>
      </rPr>
      <t>Emboço desempenado com argamassa industrializada</t>
    </r>
  </si>
  <si>
    <r>
      <rPr>
        <sz val="8.5"/>
        <rFont val="Calibri"/>
        <family val="2"/>
      </rPr>
      <t>28,48</t>
    </r>
  </si>
  <si>
    <r>
      <rPr>
        <sz val="8.5"/>
        <rFont val="Calibri"/>
        <family val="2"/>
      </rPr>
      <t>8,04</t>
    </r>
  </si>
  <si>
    <r>
      <rPr>
        <sz val="8.5"/>
        <rFont val="Calibri"/>
        <family val="2"/>
      </rPr>
      <t>36,52</t>
    </r>
  </si>
  <si>
    <r>
      <rPr>
        <sz val="8.5"/>
        <rFont val="Calibri"/>
        <family val="2"/>
      </rPr>
      <t>17.02.220</t>
    </r>
  </si>
  <si>
    <r>
      <rPr>
        <sz val="8.5"/>
        <rFont val="Calibri"/>
        <family val="2"/>
      </rPr>
      <t>Reboco</t>
    </r>
  </si>
  <si>
    <r>
      <rPr>
        <sz val="8.5"/>
        <rFont val="Calibri"/>
        <family val="2"/>
      </rPr>
      <t>1,47</t>
    </r>
  </si>
  <si>
    <r>
      <rPr>
        <sz val="8.5"/>
        <rFont val="Calibri"/>
        <family val="2"/>
      </rPr>
      <t>9,51</t>
    </r>
  </si>
  <si>
    <r>
      <rPr>
        <sz val="8.5"/>
        <rFont val="Calibri"/>
        <family val="2"/>
      </rPr>
      <t>17.02.260</t>
    </r>
  </si>
  <si>
    <r>
      <rPr>
        <sz val="8.5"/>
        <rFont val="Calibri"/>
        <family val="2"/>
      </rPr>
      <t>Barra lisa com acabamento em nata de cimento</t>
    </r>
  </si>
  <si>
    <r>
      <rPr>
        <sz val="8.5"/>
        <rFont val="Calibri"/>
        <family val="2"/>
      </rPr>
      <t>8,07</t>
    </r>
  </si>
  <si>
    <r>
      <rPr>
        <sz val="8.5"/>
        <rFont val="Calibri"/>
        <family val="2"/>
      </rPr>
      <t>28,98</t>
    </r>
  </si>
  <si>
    <r>
      <rPr>
        <sz val="8.5"/>
        <rFont val="Calibri"/>
        <family val="2"/>
      </rPr>
      <t>Revestimento em cimentado</t>
    </r>
  </si>
  <si>
    <r>
      <rPr>
        <sz val="8.5"/>
        <rFont val="Calibri"/>
        <family val="2"/>
      </rPr>
      <t>17.03.020</t>
    </r>
  </si>
  <si>
    <r>
      <rPr>
        <sz val="8.5"/>
        <rFont val="Calibri"/>
        <family val="2"/>
      </rPr>
      <t>Cimentado desempenado</t>
    </r>
  </si>
  <si>
    <r>
      <rPr>
        <sz val="8.5"/>
        <rFont val="Calibri"/>
        <family val="2"/>
      </rPr>
      <t>7,86</t>
    </r>
  </si>
  <si>
    <r>
      <rPr>
        <sz val="8.5"/>
        <rFont val="Calibri"/>
        <family val="2"/>
      </rPr>
      <t>25,55</t>
    </r>
  </si>
  <si>
    <r>
      <rPr>
        <sz val="8.5"/>
        <rFont val="Calibri"/>
        <family val="2"/>
      </rPr>
      <t>17.03.040</t>
    </r>
  </si>
  <si>
    <r>
      <rPr>
        <sz val="8.5"/>
        <rFont val="Calibri"/>
        <family val="2"/>
      </rPr>
      <t>Cimentado desempenado e alisado (queimado)</t>
    </r>
  </si>
  <si>
    <r>
      <rPr>
        <sz val="8.5"/>
        <rFont val="Calibri"/>
        <family val="2"/>
      </rPr>
      <t>8,45</t>
    </r>
  </si>
  <si>
    <r>
      <rPr>
        <sz val="8.5"/>
        <rFont val="Calibri"/>
        <family val="2"/>
      </rPr>
      <t>29,36</t>
    </r>
  </si>
  <si>
    <r>
      <rPr>
        <sz val="8.5"/>
        <rFont val="Calibri"/>
        <family val="2"/>
      </rPr>
      <t>17.03.060</t>
    </r>
  </si>
  <si>
    <r>
      <rPr>
        <sz val="8.5"/>
        <rFont val="Calibri"/>
        <family val="2"/>
      </rPr>
      <t>Cimentado desempenado e alisado com corante (queimado)</t>
    </r>
  </si>
  <si>
    <r>
      <rPr>
        <sz val="8.5"/>
        <rFont val="Calibri"/>
        <family val="2"/>
      </rPr>
      <t>26,90</t>
    </r>
  </si>
  <si>
    <r>
      <rPr>
        <sz val="8.5"/>
        <rFont val="Calibri"/>
        <family val="2"/>
      </rPr>
      <t>47,81</t>
    </r>
  </si>
  <si>
    <r>
      <rPr>
        <sz val="8.5"/>
        <rFont val="Calibri"/>
        <family val="2"/>
      </rPr>
      <t>17.03.080</t>
    </r>
  </si>
  <si>
    <r>
      <rPr>
        <sz val="8.5"/>
        <rFont val="Calibri"/>
        <family val="2"/>
      </rPr>
      <t>Cimentado semi-áspero</t>
    </r>
  </si>
  <si>
    <r>
      <rPr>
        <sz val="8.5"/>
        <rFont val="Calibri"/>
        <family val="2"/>
      </rPr>
      <t>20,73</t>
    </r>
  </si>
  <si>
    <r>
      <rPr>
        <sz val="8.5"/>
        <rFont val="Calibri"/>
        <family val="2"/>
      </rPr>
      <t>17.03.100</t>
    </r>
  </si>
  <si>
    <r>
      <rPr>
        <sz val="8.5"/>
        <rFont val="Calibri"/>
        <family val="2"/>
      </rPr>
      <t>Cimentado áspero com caneluras</t>
    </r>
  </si>
  <si>
    <r>
      <rPr>
        <sz val="8.5"/>
        <rFont val="Calibri"/>
        <family val="2"/>
      </rPr>
      <t>30,37</t>
    </r>
  </si>
  <si>
    <r>
      <rPr>
        <sz val="8.5"/>
        <rFont val="Calibri"/>
        <family val="2"/>
      </rPr>
      <t>17.03.200</t>
    </r>
  </si>
  <si>
    <r>
      <rPr>
        <sz val="8.5"/>
        <rFont val="Calibri"/>
        <family val="2"/>
      </rPr>
      <t>Degrau em cimentado</t>
    </r>
  </si>
  <si>
    <r>
      <rPr>
        <sz val="8.5"/>
        <rFont val="Calibri"/>
        <family val="2"/>
      </rPr>
      <t>5,65</t>
    </r>
  </si>
  <si>
    <r>
      <rPr>
        <sz val="8.5"/>
        <rFont val="Calibri"/>
        <family val="2"/>
      </rPr>
      <t>36,42</t>
    </r>
  </si>
  <si>
    <r>
      <rPr>
        <sz val="8.5"/>
        <rFont val="Calibri"/>
        <family val="2"/>
      </rPr>
      <t>42,07</t>
    </r>
  </si>
  <si>
    <r>
      <rPr>
        <sz val="8.5"/>
        <rFont val="Calibri"/>
        <family val="2"/>
      </rPr>
      <t>17.03.300</t>
    </r>
  </si>
  <si>
    <r>
      <rPr>
        <sz val="8.5"/>
        <rFont val="Calibri"/>
        <family val="2"/>
      </rPr>
      <t>Rodapé em cimentado desempenado e alisado com altura 5 cm</t>
    </r>
  </si>
  <si>
    <r>
      <rPr>
        <sz val="8.5"/>
        <rFont val="Calibri"/>
        <family val="2"/>
      </rPr>
      <t>1,39</t>
    </r>
  </si>
  <si>
    <r>
      <rPr>
        <sz val="8.5"/>
        <rFont val="Calibri"/>
        <family val="2"/>
      </rPr>
      <t>16,95</t>
    </r>
  </si>
  <si>
    <r>
      <rPr>
        <sz val="8.5"/>
        <rFont val="Calibri"/>
        <family val="2"/>
      </rPr>
      <t>18,34</t>
    </r>
  </si>
  <si>
    <r>
      <rPr>
        <sz val="8.5"/>
        <rFont val="Calibri"/>
        <family val="2"/>
      </rPr>
      <t>17.03.310</t>
    </r>
  </si>
  <si>
    <r>
      <rPr>
        <sz val="8.5"/>
        <rFont val="Calibri"/>
        <family val="2"/>
      </rPr>
      <t>Rodapé em cimentado desempenado e alisado com altura 7 cm</t>
    </r>
  </si>
  <si>
    <r>
      <rPr>
        <sz val="8.5"/>
        <rFont val="Calibri"/>
        <family val="2"/>
      </rPr>
      <t>1,54</t>
    </r>
  </si>
  <si>
    <r>
      <rPr>
        <sz val="8.5"/>
        <rFont val="Calibri"/>
        <family val="2"/>
      </rPr>
      <t>17.03.320</t>
    </r>
  </si>
  <si>
    <r>
      <rPr>
        <sz val="8.5"/>
        <rFont val="Calibri"/>
        <family val="2"/>
      </rPr>
      <t>Rodapé em cimentado desempenado e alisado com altura 10 cm</t>
    </r>
  </si>
  <si>
    <r>
      <rPr>
        <sz val="8.5"/>
        <rFont val="Calibri"/>
        <family val="2"/>
      </rPr>
      <t>1,74</t>
    </r>
  </si>
  <si>
    <r>
      <rPr>
        <sz val="8.5"/>
        <rFont val="Calibri"/>
        <family val="2"/>
      </rPr>
      <t>18,69</t>
    </r>
  </si>
  <si>
    <r>
      <rPr>
        <sz val="8.5"/>
        <rFont val="Calibri"/>
        <family val="2"/>
      </rPr>
      <t>17.03.330</t>
    </r>
  </si>
  <si>
    <r>
      <rPr>
        <sz val="8.5"/>
        <rFont val="Calibri"/>
        <family val="2"/>
      </rPr>
      <t>Rodapé em cimentado desempenado e alisado com altura 15 cm</t>
    </r>
  </si>
  <si>
    <r>
      <rPr>
        <sz val="8.5"/>
        <rFont val="Calibri"/>
        <family val="2"/>
      </rPr>
      <t>2,13</t>
    </r>
  </si>
  <si>
    <r>
      <rPr>
        <sz val="8.5"/>
        <rFont val="Calibri"/>
        <family val="2"/>
      </rPr>
      <t>19,08</t>
    </r>
  </si>
  <si>
    <r>
      <rPr>
        <sz val="8.5"/>
        <rFont val="Calibri"/>
        <family val="2"/>
      </rPr>
      <t>Revestimento em gesso</t>
    </r>
  </si>
  <si>
    <r>
      <rPr>
        <sz val="8.5"/>
        <rFont val="Calibri"/>
        <family val="2"/>
      </rPr>
      <t>17.04.020</t>
    </r>
  </si>
  <si>
    <r>
      <rPr>
        <sz val="8.5"/>
        <rFont val="Calibri"/>
        <family val="2"/>
      </rPr>
      <t>Revestimento em gesso liso desempenado sobre emboço</t>
    </r>
  </si>
  <si>
    <r>
      <rPr>
        <sz val="8.5"/>
        <rFont val="Calibri"/>
        <family val="2"/>
      </rPr>
      <t>10,69</t>
    </r>
  </si>
  <si>
    <r>
      <rPr>
        <sz val="8.5"/>
        <rFont val="Calibri"/>
        <family val="2"/>
      </rPr>
      <t>14,74</t>
    </r>
  </si>
  <si>
    <r>
      <rPr>
        <sz val="8.5"/>
        <rFont val="Calibri"/>
        <family val="2"/>
      </rPr>
      <t>17.04.040</t>
    </r>
  </si>
  <si>
    <r>
      <rPr>
        <sz val="8.5"/>
        <rFont val="Calibri"/>
        <family val="2"/>
      </rPr>
      <t>Revestimento em gesso liso desempenado sobre bloco</t>
    </r>
  </si>
  <si>
    <r>
      <rPr>
        <sz val="8.5"/>
        <rFont val="Calibri"/>
        <family val="2"/>
      </rPr>
      <t>5,67</t>
    </r>
  </si>
  <si>
    <r>
      <rPr>
        <sz val="8.5"/>
        <rFont val="Calibri"/>
        <family val="2"/>
      </rPr>
      <t>Revestimento em concreto</t>
    </r>
  </si>
  <si>
    <r>
      <rPr>
        <sz val="8.5"/>
        <rFont val="Calibri"/>
        <family val="2"/>
      </rPr>
      <t>17.05.020</t>
    </r>
  </si>
  <si>
    <r>
      <rPr>
        <sz val="8.5"/>
        <rFont val="Calibri"/>
        <family val="2"/>
      </rPr>
      <t>Piso com requadro em concreto simples sem controle de fck</t>
    </r>
  </si>
  <si>
    <r>
      <rPr>
        <sz val="8.5"/>
        <rFont val="Calibri"/>
        <family val="2"/>
      </rPr>
      <t>361,69</t>
    </r>
  </si>
  <si>
    <r>
      <rPr>
        <sz val="8.5"/>
        <rFont val="Calibri"/>
        <family val="2"/>
      </rPr>
      <t>308,64</t>
    </r>
  </si>
  <si>
    <r>
      <rPr>
        <sz val="8.5"/>
        <rFont val="Calibri"/>
        <family val="2"/>
      </rPr>
      <t>670,33</t>
    </r>
  </si>
  <si>
    <r>
      <rPr>
        <sz val="8.5"/>
        <rFont val="Calibri"/>
        <family val="2"/>
      </rPr>
      <t>17.05.070</t>
    </r>
  </si>
  <si>
    <r>
      <rPr>
        <sz val="8.5"/>
        <rFont val="Calibri"/>
        <family val="2"/>
      </rPr>
      <t>Piso com requadro em concreto simples com controle de fck= 20 MPa</t>
    </r>
  </si>
  <si>
    <r>
      <rPr>
        <sz val="8.5"/>
        <rFont val="Calibri"/>
        <family val="2"/>
      </rPr>
      <t>407,91</t>
    </r>
  </si>
  <si>
    <r>
      <rPr>
        <sz val="8.5"/>
        <rFont val="Calibri"/>
        <family val="2"/>
      </rPr>
      <t>716,55</t>
    </r>
  </si>
  <si>
    <r>
      <rPr>
        <sz val="8.5"/>
        <rFont val="Calibri"/>
        <family val="2"/>
      </rPr>
      <t>17.05.100</t>
    </r>
  </si>
  <si>
    <r>
      <rPr>
        <sz val="8.5"/>
        <rFont val="Calibri"/>
        <family val="2"/>
      </rPr>
      <t>Piso com requadro em concreto simples com controle de fck= 25 MPa</t>
    </r>
  </si>
  <si>
    <r>
      <rPr>
        <sz val="8.5"/>
        <rFont val="Calibri"/>
        <family val="2"/>
      </rPr>
      <t>435,38</t>
    </r>
  </si>
  <si>
    <r>
      <rPr>
        <sz val="8.5"/>
        <rFont val="Calibri"/>
        <family val="2"/>
      </rPr>
      <t>744,02</t>
    </r>
  </si>
  <si>
    <r>
      <rPr>
        <sz val="8.5"/>
        <rFont val="Calibri"/>
        <family val="2"/>
      </rPr>
      <t>17.05.320</t>
    </r>
  </si>
  <si>
    <r>
      <rPr>
        <sz val="8.5"/>
        <rFont val="Calibri"/>
        <family val="2"/>
      </rPr>
      <t>Soleira em concreto simples</t>
    </r>
  </si>
  <si>
    <r>
      <rPr>
        <sz val="8.5"/>
        <rFont val="Calibri"/>
        <family val="2"/>
      </rPr>
      <t>25,61</t>
    </r>
  </si>
  <si>
    <r>
      <rPr>
        <sz val="8.5"/>
        <rFont val="Calibri"/>
        <family val="2"/>
      </rPr>
      <t>35,88</t>
    </r>
  </si>
  <si>
    <r>
      <rPr>
        <sz val="8.5"/>
        <rFont val="Calibri"/>
        <family val="2"/>
      </rPr>
      <t>61,49</t>
    </r>
  </si>
  <si>
    <r>
      <rPr>
        <sz val="8.5"/>
        <rFont val="Calibri"/>
        <family val="2"/>
      </rPr>
      <t>17.05.420</t>
    </r>
  </si>
  <si>
    <r>
      <rPr>
        <sz val="8.5"/>
        <rFont val="Calibri"/>
        <family val="2"/>
      </rPr>
      <t>Peitoril em concreto simples</t>
    </r>
  </si>
  <si>
    <r>
      <rPr>
        <sz val="8.5"/>
        <rFont val="Calibri"/>
        <family val="2"/>
      </rPr>
      <t>11,79</t>
    </r>
  </si>
  <si>
    <r>
      <rPr>
        <sz val="8.5"/>
        <rFont val="Calibri"/>
        <family val="2"/>
      </rPr>
      <t>48,81</t>
    </r>
  </si>
  <si>
    <r>
      <rPr>
        <sz val="8.5"/>
        <rFont val="Calibri"/>
        <family val="2"/>
      </rPr>
      <t>60,60</t>
    </r>
  </si>
  <si>
    <r>
      <rPr>
        <sz val="8.5"/>
        <rFont val="Calibri"/>
        <family val="2"/>
      </rPr>
      <t>Revestimento em granilite fundido no local</t>
    </r>
  </si>
  <si>
    <r>
      <rPr>
        <sz val="8.5"/>
        <rFont val="Calibri"/>
        <family val="2"/>
      </rPr>
      <t>17.10.020</t>
    </r>
  </si>
  <si>
    <r>
      <rPr>
        <sz val="8.5"/>
        <rFont val="Calibri"/>
        <family val="2"/>
      </rPr>
      <t>Piso em granilite moldado no local</t>
    </r>
  </si>
  <si>
    <r>
      <rPr>
        <sz val="8.5"/>
        <rFont val="Calibri"/>
        <family val="2"/>
      </rPr>
      <t>72,81</t>
    </r>
  </si>
  <si>
    <r>
      <rPr>
        <sz val="8.5"/>
        <rFont val="Calibri"/>
        <family val="2"/>
      </rPr>
      <t>78,62</t>
    </r>
  </si>
  <si>
    <r>
      <rPr>
        <sz val="8.5"/>
        <rFont val="Calibri"/>
        <family val="2"/>
      </rPr>
      <t>17.10.100</t>
    </r>
  </si>
  <si>
    <r>
      <rPr>
        <sz val="8.5"/>
        <rFont val="Calibri"/>
        <family val="2"/>
      </rPr>
      <t>Soleira em granilite moldado no local</t>
    </r>
  </si>
  <si>
    <r>
      <rPr>
        <sz val="8.5"/>
        <rFont val="Calibri"/>
        <family val="2"/>
      </rPr>
      <t>39,31</t>
    </r>
  </si>
  <si>
    <r>
      <rPr>
        <sz val="8.5"/>
        <rFont val="Calibri"/>
        <family val="2"/>
      </rPr>
      <t>40,76</t>
    </r>
  </si>
  <si>
    <r>
      <rPr>
        <sz val="8.5"/>
        <rFont val="Calibri"/>
        <family val="2"/>
      </rPr>
      <t>17.10.120</t>
    </r>
  </si>
  <si>
    <r>
      <rPr>
        <sz val="8.5"/>
        <rFont val="Calibri"/>
        <family val="2"/>
      </rPr>
      <t>Degrau em granilite moldado no local</t>
    </r>
  </si>
  <si>
    <r>
      <rPr>
        <sz val="8.5"/>
        <rFont val="Calibri"/>
        <family val="2"/>
      </rPr>
      <t>66,17</t>
    </r>
  </si>
  <si>
    <r>
      <rPr>
        <sz val="8.5"/>
        <rFont val="Calibri"/>
        <family val="2"/>
      </rPr>
      <t>67,91</t>
    </r>
  </si>
  <si>
    <r>
      <rPr>
        <sz val="8.5"/>
        <rFont val="Calibri"/>
        <family val="2"/>
      </rPr>
      <t>17.10.200</t>
    </r>
  </si>
  <si>
    <r>
      <rPr>
        <sz val="8.5"/>
        <rFont val="Calibri"/>
        <family val="2"/>
      </rPr>
      <t>Rodapé qualquer em granilite moldado no local até 10 cm</t>
    </r>
  </si>
  <si>
    <r>
      <rPr>
        <sz val="8.5"/>
        <rFont val="Calibri"/>
        <family val="2"/>
      </rPr>
      <t>35,97</t>
    </r>
  </si>
  <si>
    <r>
      <rPr>
        <sz val="8.5"/>
        <rFont val="Calibri"/>
        <family val="2"/>
      </rPr>
      <t>38,87</t>
    </r>
  </si>
  <si>
    <r>
      <rPr>
        <sz val="8.5"/>
        <rFont val="Calibri"/>
        <family val="2"/>
      </rPr>
      <t>17.10.410</t>
    </r>
  </si>
  <si>
    <r>
      <rPr>
        <sz val="8.5"/>
        <rFont val="Calibri"/>
        <family val="2"/>
      </rPr>
      <t xml:space="preserve">Rodapé em placas pré-moldadas de granilite, acabamento encerado, até
</t>
    </r>
    <r>
      <rPr>
        <sz val="8.5"/>
        <rFont val="Calibri"/>
        <family val="2"/>
      </rPr>
      <t>10 cm</t>
    </r>
  </si>
  <si>
    <r>
      <rPr>
        <sz val="8.5"/>
        <rFont val="Calibri"/>
        <family val="2"/>
      </rPr>
      <t>74,73</t>
    </r>
  </si>
  <si>
    <r>
      <rPr>
        <sz val="8.5"/>
        <rFont val="Calibri"/>
        <family val="2"/>
      </rPr>
      <t>75,08</t>
    </r>
  </si>
  <si>
    <r>
      <rPr>
        <sz val="8.5"/>
        <rFont val="Calibri"/>
        <family val="2"/>
      </rPr>
      <t>17.10.430</t>
    </r>
  </si>
  <si>
    <r>
      <rPr>
        <sz val="8.5"/>
        <rFont val="Calibri"/>
        <family val="2"/>
      </rPr>
      <t>Piso em placas de granilite, acabamento encerado</t>
    </r>
  </si>
  <si>
    <r>
      <rPr>
        <sz val="8.5"/>
        <rFont val="Calibri"/>
        <family val="2"/>
      </rPr>
      <t>158,85</t>
    </r>
  </si>
  <si>
    <r>
      <rPr>
        <sz val="8.5"/>
        <rFont val="Calibri"/>
        <family val="2"/>
      </rPr>
      <t>162,33</t>
    </r>
  </si>
  <si>
    <r>
      <rPr>
        <sz val="8.5"/>
        <rFont val="Calibri"/>
        <family val="2"/>
      </rPr>
      <t>Revestimento industrial fundido no local</t>
    </r>
  </si>
  <si>
    <r>
      <rPr>
        <sz val="8.5"/>
        <rFont val="Calibri"/>
        <family val="2"/>
      </rPr>
      <t>17.12.060</t>
    </r>
  </si>
  <si>
    <r>
      <rPr>
        <sz val="8.5"/>
        <rFont val="Calibri"/>
        <family val="2"/>
      </rPr>
      <t>Piso em alta resistência moldado no local 12 mm</t>
    </r>
  </si>
  <si>
    <r>
      <rPr>
        <sz val="8.5"/>
        <rFont val="Calibri"/>
        <family val="2"/>
      </rPr>
      <t>78,91</t>
    </r>
  </si>
  <si>
    <r>
      <rPr>
        <sz val="8.5"/>
        <rFont val="Calibri"/>
        <family val="2"/>
      </rPr>
      <t>84,72</t>
    </r>
  </si>
  <si>
    <r>
      <rPr>
        <sz val="8.5"/>
        <rFont val="Calibri"/>
        <family val="2"/>
      </rPr>
      <t>17.12.100</t>
    </r>
  </si>
  <si>
    <r>
      <rPr>
        <sz val="8.5"/>
        <rFont val="Calibri"/>
        <family val="2"/>
      </rPr>
      <t>Soleira em alta resistência moldada no local</t>
    </r>
  </si>
  <si>
    <r>
      <rPr>
        <sz val="8.5"/>
        <rFont val="Calibri"/>
        <family val="2"/>
      </rPr>
      <t>35,99</t>
    </r>
  </si>
  <si>
    <r>
      <rPr>
        <sz val="8.5"/>
        <rFont val="Calibri"/>
        <family val="2"/>
      </rPr>
      <t>37,44</t>
    </r>
  </si>
  <si>
    <r>
      <rPr>
        <sz val="8.5"/>
        <rFont val="Calibri"/>
        <family val="2"/>
      </rPr>
      <t>17.12.120</t>
    </r>
  </si>
  <si>
    <r>
      <rPr>
        <sz val="8.5"/>
        <rFont val="Calibri"/>
        <family val="2"/>
      </rPr>
      <t>Degrau em alta resistência 8 mm</t>
    </r>
  </si>
  <si>
    <r>
      <rPr>
        <sz val="8.5"/>
        <rFont val="Calibri"/>
        <family val="2"/>
      </rPr>
      <t>64,66</t>
    </r>
  </si>
  <si>
    <r>
      <rPr>
        <sz val="8.5"/>
        <rFont val="Calibri"/>
        <family val="2"/>
      </rPr>
      <t>66,40</t>
    </r>
  </si>
  <si>
    <r>
      <rPr>
        <sz val="8.5"/>
        <rFont val="Calibri"/>
        <family val="2"/>
      </rPr>
      <t>17.12.140</t>
    </r>
  </si>
  <si>
    <r>
      <rPr>
        <sz val="8.5"/>
        <rFont val="Calibri"/>
        <family val="2"/>
      </rPr>
      <t>Degrau em alta resistência 12 mm</t>
    </r>
  </si>
  <si>
    <r>
      <rPr>
        <sz val="8.5"/>
        <rFont val="Calibri"/>
        <family val="2"/>
      </rPr>
      <t>69,01</t>
    </r>
  </si>
  <si>
    <r>
      <rPr>
        <sz val="8.5"/>
        <rFont val="Calibri"/>
        <family val="2"/>
      </rPr>
      <t>70,75</t>
    </r>
  </si>
  <si>
    <r>
      <rPr>
        <sz val="8.5"/>
        <rFont val="Calibri"/>
        <family val="2"/>
      </rPr>
      <t>17.12.240</t>
    </r>
  </si>
  <si>
    <r>
      <rPr>
        <sz val="8.5"/>
        <rFont val="Calibri"/>
        <family val="2"/>
      </rPr>
      <t>Rodapé qualquer em alta resistência moldado no local até 10 cm</t>
    </r>
  </si>
  <si>
    <r>
      <rPr>
        <sz val="8.5"/>
        <rFont val="Calibri"/>
        <family val="2"/>
      </rPr>
      <t>36,89</t>
    </r>
  </si>
  <si>
    <r>
      <rPr>
        <sz val="8.5"/>
        <rFont val="Calibri"/>
        <family val="2"/>
      </rPr>
      <t>39,79</t>
    </r>
  </si>
  <si>
    <r>
      <rPr>
        <sz val="8.5"/>
        <rFont val="Calibri"/>
        <family val="2"/>
      </rPr>
      <t>Revestimento especial fundido no local</t>
    </r>
  </si>
  <si>
    <r>
      <rPr>
        <sz val="8.5"/>
        <rFont val="Calibri"/>
        <family val="2"/>
      </rPr>
      <t>17.20.020</t>
    </r>
  </si>
  <si>
    <r>
      <rPr>
        <sz val="8.5"/>
        <rFont val="Calibri"/>
        <family val="2"/>
      </rPr>
      <t>Massa raspada</t>
    </r>
  </si>
  <si>
    <r>
      <rPr>
        <sz val="8.5"/>
        <rFont val="Calibri"/>
        <family val="2"/>
      </rPr>
      <t>48,58</t>
    </r>
  </si>
  <si>
    <r>
      <rPr>
        <sz val="8.5"/>
        <rFont val="Calibri"/>
        <family val="2"/>
      </rPr>
      <t>89,35</t>
    </r>
  </si>
  <si>
    <r>
      <rPr>
        <sz val="8.5"/>
        <rFont val="Calibri"/>
        <family val="2"/>
      </rPr>
      <t>17.20.040</t>
    </r>
  </si>
  <si>
    <r>
      <rPr>
        <sz val="8.5"/>
        <rFont val="Calibri"/>
        <family val="2"/>
      </rPr>
      <t xml:space="preserve">Revestimento em granito lavado tipo Fulget uso externo, em faixas até
</t>
    </r>
    <r>
      <rPr>
        <sz val="8.5"/>
        <rFont val="Calibri"/>
        <family val="2"/>
      </rPr>
      <t>40 cm</t>
    </r>
  </si>
  <si>
    <r>
      <rPr>
        <sz val="8.5"/>
        <rFont val="Calibri"/>
        <family val="2"/>
      </rPr>
      <t>65,25</t>
    </r>
  </si>
  <si>
    <r>
      <rPr>
        <sz val="8.5"/>
        <rFont val="Calibri"/>
        <family val="2"/>
      </rPr>
      <t>79,77</t>
    </r>
  </si>
  <si>
    <r>
      <rPr>
        <sz val="8.5"/>
        <rFont val="Calibri"/>
        <family val="2"/>
      </rPr>
      <t>17.20.050</t>
    </r>
  </si>
  <si>
    <r>
      <rPr>
        <sz val="8.5"/>
        <rFont val="Calibri"/>
        <family val="2"/>
      </rPr>
      <t xml:space="preserve">Friso para junta de dilatação em revestimento de granito lavado tipo
</t>
    </r>
    <r>
      <rPr>
        <sz val="8.5"/>
        <rFont val="Calibri"/>
        <family val="2"/>
      </rPr>
      <t>Fulget</t>
    </r>
  </si>
  <si>
    <r>
      <rPr>
        <sz val="8.5"/>
        <rFont val="Calibri"/>
        <family val="2"/>
      </rPr>
      <t>17.20.060</t>
    </r>
  </si>
  <si>
    <r>
      <rPr>
        <sz val="8.5"/>
        <rFont val="Calibri"/>
        <family val="2"/>
      </rPr>
      <t>Revestimento em granito lavado tipo Fulget uso externo</t>
    </r>
  </si>
  <si>
    <r>
      <rPr>
        <sz val="8.5"/>
        <rFont val="Calibri"/>
        <family val="2"/>
      </rPr>
      <t>116,39</t>
    </r>
  </si>
  <si>
    <r>
      <rPr>
        <sz val="8.5"/>
        <rFont val="Calibri"/>
        <family val="2"/>
      </rPr>
      <t>130,91</t>
    </r>
  </si>
  <si>
    <r>
      <rPr>
        <sz val="8.5"/>
        <rFont val="Calibri"/>
        <family val="2"/>
      </rPr>
      <t>17.20.140</t>
    </r>
  </si>
  <si>
    <r>
      <rPr>
        <sz val="8.5"/>
        <rFont val="Calibri"/>
        <family val="2"/>
      </rPr>
      <t>Revestimento texturizado acrílico com microagregados minerais</t>
    </r>
  </si>
  <si>
    <r>
      <rPr>
        <sz val="8.5"/>
        <rFont val="Calibri"/>
        <family val="2"/>
      </rPr>
      <t>9,02</t>
    </r>
  </si>
  <si>
    <r>
      <rPr>
        <sz val="8.5"/>
        <rFont val="Calibri"/>
        <family val="2"/>
      </rPr>
      <t>15,98</t>
    </r>
  </si>
  <si>
    <r>
      <rPr>
        <sz val="8.5"/>
        <rFont val="Calibri"/>
        <family val="2"/>
      </rPr>
      <t>25,00</t>
    </r>
  </si>
  <si>
    <r>
      <rPr>
        <sz val="8.5"/>
        <rFont val="Calibri"/>
        <family val="2"/>
      </rPr>
      <t>Reparos e conservações em massa e concreto - GRUPO 17</t>
    </r>
  </si>
  <si>
    <r>
      <rPr>
        <sz val="8.5"/>
        <rFont val="Calibri"/>
        <family val="2"/>
      </rPr>
      <t>17.40.010</t>
    </r>
  </si>
  <si>
    <r>
      <rPr>
        <sz val="8.5"/>
        <rFont val="Calibri"/>
        <family val="2"/>
      </rPr>
      <t>Reparos em piso de granilite - estucamento e polimento</t>
    </r>
  </si>
  <si>
    <r>
      <rPr>
        <sz val="8.5"/>
        <rFont val="Calibri"/>
        <family val="2"/>
      </rPr>
      <t>36,29</t>
    </r>
  </si>
  <si>
    <r>
      <rPr>
        <sz val="8.5"/>
        <rFont val="Calibri"/>
        <family val="2"/>
      </rPr>
      <t>17.40.020</t>
    </r>
  </si>
  <si>
    <r>
      <rPr>
        <sz val="8.5"/>
        <rFont val="Calibri"/>
        <family val="2"/>
      </rPr>
      <t xml:space="preserve">Reparos em pisos de alta resistência fundidos no local - estucamento e
</t>
    </r>
    <r>
      <rPr>
        <sz val="8.5"/>
        <rFont val="Calibri"/>
        <family val="2"/>
      </rPr>
      <t>polimento</t>
    </r>
  </si>
  <si>
    <r>
      <rPr>
        <sz val="8.5"/>
        <rFont val="Calibri"/>
        <family val="2"/>
      </rPr>
      <t>33,87</t>
    </r>
  </si>
  <si>
    <r>
      <rPr>
        <sz val="8.5"/>
        <rFont val="Calibri"/>
        <family val="2"/>
      </rPr>
      <t>17.40.030</t>
    </r>
  </si>
  <si>
    <r>
      <rPr>
        <sz val="8.5"/>
        <rFont val="Calibri"/>
        <family val="2"/>
      </rPr>
      <t>Reparos em degrau e espelho de granilite - estucamento e polimento</t>
    </r>
  </si>
  <si>
    <r>
      <rPr>
        <sz val="8.5"/>
        <rFont val="Calibri"/>
        <family val="2"/>
      </rPr>
      <t>31,37</t>
    </r>
  </si>
  <si>
    <r>
      <rPr>
        <sz val="8.5"/>
        <rFont val="Calibri"/>
        <family val="2"/>
      </rPr>
      <t>17.40.070</t>
    </r>
  </si>
  <si>
    <r>
      <rPr>
        <sz val="8.5"/>
        <rFont val="Calibri"/>
        <family val="2"/>
      </rPr>
      <t>Reparos em rodapé de granilite - estucamento e polimento</t>
    </r>
  </si>
  <si>
    <r>
      <rPr>
        <sz val="8.5"/>
        <rFont val="Calibri"/>
        <family val="2"/>
      </rPr>
      <t>25,94</t>
    </r>
  </si>
  <si>
    <r>
      <rPr>
        <sz val="8.5"/>
        <rFont val="Calibri"/>
        <family val="2"/>
      </rPr>
      <t>17.40.110</t>
    </r>
  </si>
  <si>
    <r>
      <rPr>
        <sz val="8.5"/>
        <rFont val="Calibri"/>
        <family val="2"/>
      </rPr>
      <t>Faixa antiderrapante definitiva para degraus, soleiras, patamares ou pisos</t>
    </r>
  </si>
  <si>
    <r>
      <rPr>
        <sz val="8.5"/>
        <rFont val="Calibri"/>
        <family val="2"/>
      </rPr>
      <t>17.40.150</t>
    </r>
  </si>
  <si>
    <r>
      <rPr>
        <sz val="8.5"/>
        <rFont val="Calibri"/>
        <family val="2"/>
      </rPr>
      <t>Resina acrílica para piso de granilite</t>
    </r>
  </si>
  <si>
    <r>
      <rPr>
        <sz val="8.5"/>
        <rFont val="Calibri"/>
        <family val="2"/>
      </rPr>
      <t>7,54</t>
    </r>
  </si>
  <si>
    <r>
      <rPr>
        <sz val="8.5"/>
        <rFont val="Calibri"/>
        <family val="2"/>
      </rPr>
      <t>16,38</t>
    </r>
  </si>
  <si>
    <r>
      <rPr>
        <sz val="8.5"/>
        <rFont val="Calibri"/>
        <family val="2"/>
      </rPr>
      <t>23,92</t>
    </r>
  </si>
  <si>
    <r>
      <rPr>
        <sz val="8.5"/>
        <rFont val="Calibri"/>
        <family val="2"/>
      </rPr>
      <t>17.40.160</t>
    </r>
  </si>
  <si>
    <r>
      <rPr>
        <sz val="8.5"/>
        <rFont val="Calibri"/>
        <family val="2"/>
      </rPr>
      <t>Resina epóxi para piso de granilite</t>
    </r>
  </si>
  <si>
    <r>
      <rPr>
        <sz val="8.5"/>
        <rFont val="Calibri"/>
        <family val="2"/>
      </rPr>
      <t>13,97</t>
    </r>
  </si>
  <si>
    <r>
      <rPr>
        <sz val="8.5"/>
        <rFont val="Calibri"/>
        <family val="2"/>
      </rPr>
      <t>30,35</t>
    </r>
  </si>
  <si>
    <r>
      <rPr>
        <sz val="8.5"/>
        <rFont val="Calibri"/>
        <family val="2"/>
      </rPr>
      <t>17.40.180</t>
    </r>
  </si>
  <si>
    <r>
      <rPr>
        <sz val="8.5"/>
        <rFont val="Calibri"/>
        <family val="2"/>
      </rPr>
      <t>Resina acrílica para degrau de granilite</t>
    </r>
  </si>
  <si>
    <r>
      <rPr>
        <sz val="8.5"/>
        <rFont val="Calibri"/>
        <family val="2"/>
      </rPr>
      <t>4,02</t>
    </r>
  </si>
  <si>
    <r>
      <rPr>
        <sz val="8.5"/>
        <rFont val="Calibri"/>
        <family val="2"/>
      </rPr>
      <t>8,55</t>
    </r>
  </si>
  <si>
    <r>
      <rPr>
        <sz val="8.5"/>
        <rFont val="Calibri"/>
        <family val="2"/>
      </rPr>
      <t>12,57</t>
    </r>
  </si>
  <si>
    <r>
      <rPr>
        <sz val="8.5"/>
        <rFont val="Calibri"/>
        <family val="2"/>
      </rPr>
      <t>17.40.190</t>
    </r>
  </si>
  <si>
    <r>
      <rPr>
        <sz val="8.5"/>
        <rFont val="Calibri"/>
        <family val="2"/>
      </rPr>
      <t>Resina epóxi para degrau de granilite</t>
    </r>
  </si>
  <si>
    <r>
      <rPr>
        <sz val="8.5"/>
        <rFont val="Calibri"/>
        <family val="2"/>
      </rPr>
      <t>7,45</t>
    </r>
  </si>
  <si>
    <r>
      <rPr>
        <sz val="8.5"/>
        <rFont val="Calibri"/>
        <family val="2"/>
      </rPr>
      <t>16,00</t>
    </r>
  </si>
  <si>
    <r>
      <rPr>
        <sz val="8.5"/>
        <rFont val="Calibri"/>
        <family val="2"/>
      </rPr>
      <t>REVESTIMENTO CERAMICO</t>
    </r>
  </si>
  <si>
    <r>
      <rPr>
        <sz val="8.5"/>
        <rFont val="Calibri"/>
        <family val="2"/>
      </rPr>
      <t>Plaqueta laminada para revestimento</t>
    </r>
  </si>
  <si>
    <r>
      <rPr>
        <sz val="8.5"/>
        <rFont val="Calibri"/>
        <family val="2"/>
      </rPr>
      <t>18.05.020</t>
    </r>
  </si>
  <si>
    <r>
      <rPr>
        <sz val="8.5"/>
        <rFont val="Calibri"/>
        <family val="2"/>
      </rPr>
      <t xml:space="preserve">Revestimento em plaqueta laminada, para área interna e externa, sem
</t>
    </r>
    <r>
      <rPr>
        <sz val="8.5"/>
        <rFont val="Calibri"/>
        <family val="2"/>
      </rPr>
      <t>rejunte</t>
    </r>
  </si>
  <si>
    <r>
      <rPr>
        <sz val="8.5"/>
        <rFont val="Calibri"/>
        <family val="2"/>
      </rPr>
      <t>52,61</t>
    </r>
  </si>
  <si>
    <r>
      <rPr>
        <sz val="8.5"/>
        <rFont val="Calibri"/>
        <family val="2"/>
      </rPr>
      <t>9,25</t>
    </r>
  </si>
  <si>
    <r>
      <rPr>
        <sz val="8.5"/>
        <rFont val="Calibri"/>
        <family val="2"/>
      </rPr>
      <t>61,86</t>
    </r>
  </si>
  <si>
    <r>
      <rPr>
        <sz val="8.5"/>
        <rFont val="Calibri"/>
        <family val="2"/>
      </rPr>
      <t>Placa cerâmica esmaltada prensada</t>
    </r>
  </si>
  <si>
    <r>
      <rPr>
        <sz val="8.5"/>
        <rFont val="Calibri"/>
        <family val="2"/>
      </rPr>
      <t>18.06.102</t>
    </r>
  </si>
  <si>
    <r>
      <rPr>
        <sz val="8.5"/>
        <rFont val="Calibri"/>
        <family val="2"/>
      </rPr>
      <t xml:space="preserve">Placa cerâmica esmaltada PEI-5 para área interna, grupo de absorção BIIb, resistência química B, assentado com argamassa colante
</t>
    </r>
    <r>
      <rPr>
        <sz val="8.5"/>
        <rFont val="Calibri"/>
        <family val="2"/>
      </rPr>
      <t>industrializada</t>
    </r>
  </si>
  <si>
    <r>
      <rPr>
        <sz val="8.5"/>
        <rFont val="Calibri"/>
        <family val="2"/>
      </rPr>
      <t>26,51</t>
    </r>
  </si>
  <si>
    <r>
      <rPr>
        <sz val="8.5"/>
        <rFont val="Calibri"/>
        <family val="2"/>
      </rPr>
      <t>10,95</t>
    </r>
  </si>
  <si>
    <r>
      <rPr>
        <sz val="8.5"/>
        <rFont val="Calibri"/>
        <family val="2"/>
      </rPr>
      <t>37,46</t>
    </r>
  </si>
  <si>
    <r>
      <rPr>
        <sz val="8.5"/>
        <rFont val="Calibri"/>
        <family val="2"/>
      </rPr>
      <t>18.06.103</t>
    </r>
  </si>
  <si>
    <r>
      <rPr>
        <sz val="8.5"/>
        <rFont val="Calibri"/>
        <family val="2"/>
      </rPr>
      <t xml:space="preserve">Rodapé em placa cerâmica esmaltada PEI-5 para área interna, grupo de
</t>
    </r>
    <r>
      <rPr>
        <sz val="8.5"/>
        <rFont val="Calibri"/>
        <family val="2"/>
      </rPr>
      <t>absorção BIIb, resistência química B, assentado com argamassa colante industrializada</t>
    </r>
  </si>
  <si>
    <r>
      <rPr>
        <sz val="8.5"/>
        <rFont val="Calibri"/>
        <family val="2"/>
      </rPr>
      <t>4,38</t>
    </r>
  </si>
  <si>
    <r>
      <rPr>
        <sz val="8.5"/>
        <rFont val="Calibri"/>
        <family val="2"/>
      </rPr>
      <t>0,88</t>
    </r>
  </si>
  <si>
    <r>
      <rPr>
        <sz val="8.5"/>
        <rFont val="Calibri"/>
        <family val="2"/>
      </rPr>
      <t>18.06.142</t>
    </r>
  </si>
  <si>
    <r>
      <rPr>
        <sz val="8.5"/>
        <rFont val="Calibri"/>
        <family val="2"/>
      </rPr>
      <t>Placa cerâmica esmaltada antiderrapante PEI-5 para área interna com saída para o exterior, grupo de absorção BIIa, resistência química A, assentado com argamassa colante industrializada</t>
    </r>
  </si>
  <si>
    <r>
      <rPr>
        <sz val="8.5"/>
        <rFont val="Calibri"/>
        <family val="2"/>
      </rPr>
      <t>138,00</t>
    </r>
  </si>
  <si>
    <r>
      <rPr>
        <sz val="8.5"/>
        <rFont val="Calibri"/>
        <family val="2"/>
      </rPr>
      <t>148,95</t>
    </r>
  </si>
  <si>
    <r>
      <rPr>
        <sz val="8.5"/>
        <rFont val="Calibri"/>
        <family val="2"/>
      </rPr>
      <t>18.06.143</t>
    </r>
  </si>
  <si>
    <r>
      <rPr>
        <sz val="8.5"/>
        <rFont val="Calibri"/>
        <family val="2"/>
      </rPr>
      <t>Rodapé em placa cerâmica esmaltada antiderrapante PEI-5 para área interna com saída para o exterior, grupo de absorção BIIa, resistência química A, assentado com argamassa colante industrializada</t>
    </r>
  </si>
  <si>
    <r>
      <rPr>
        <sz val="8.5"/>
        <rFont val="Calibri"/>
        <family val="2"/>
      </rPr>
      <t>23,27</t>
    </r>
  </si>
  <si>
    <r>
      <rPr>
        <sz val="8.5"/>
        <rFont val="Calibri"/>
        <family val="2"/>
      </rPr>
      <t>24,15</t>
    </r>
  </si>
  <si>
    <r>
      <rPr>
        <sz val="8.5"/>
        <rFont val="Calibri"/>
        <family val="2"/>
      </rPr>
      <t>18.06.182</t>
    </r>
  </si>
  <si>
    <r>
      <rPr>
        <sz val="8.5"/>
        <rFont val="Calibri"/>
        <family val="2"/>
      </rPr>
      <t xml:space="preserve">Placa cerâmica esmaltada rústica PEI-5 para área interna com saída para
</t>
    </r>
    <r>
      <rPr>
        <sz val="8.5"/>
        <rFont val="Calibri"/>
        <family val="2"/>
      </rPr>
      <t>o exterior, grupo de absorção BIIb, resistência química B, assentado com argamassa colante industrializada</t>
    </r>
  </si>
  <si>
    <r>
      <rPr>
        <sz val="8.5"/>
        <rFont val="Calibri"/>
        <family val="2"/>
      </rPr>
      <t>29,77</t>
    </r>
  </si>
  <si>
    <r>
      <rPr>
        <sz val="8.5"/>
        <rFont val="Calibri"/>
        <family val="2"/>
      </rPr>
      <t>40,72</t>
    </r>
  </si>
  <si>
    <r>
      <rPr>
        <sz val="8.5"/>
        <rFont val="Calibri"/>
        <family val="2"/>
      </rPr>
      <t>18.06.183</t>
    </r>
  </si>
  <si>
    <r>
      <rPr>
        <sz val="8.5"/>
        <rFont val="Calibri"/>
        <family val="2"/>
      </rPr>
      <t>Rodapé em placa cerâmica esmaltada rústica PEI-5 para área interna com saída para o exterior, grupo de absorção BIIb, resistência química B, assentado com argamassa colante industrializada</t>
    </r>
  </si>
  <si>
    <r>
      <rPr>
        <sz val="8.5"/>
        <rFont val="Calibri"/>
        <family val="2"/>
      </rPr>
      <t>4,77</t>
    </r>
  </si>
  <si>
    <r>
      <rPr>
        <sz val="8.5"/>
        <rFont val="Calibri"/>
        <family val="2"/>
      </rPr>
      <t>18.06.350</t>
    </r>
  </si>
  <si>
    <r>
      <rPr>
        <sz val="8.5"/>
        <rFont val="Calibri"/>
        <family val="2"/>
      </rPr>
      <t>Assentamento de pisos e revestimentos cerâmicos com argamassa mista</t>
    </r>
  </si>
  <si>
    <r>
      <rPr>
        <sz val="8.5"/>
        <rFont val="Calibri"/>
        <family val="2"/>
      </rPr>
      <t>9,57</t>
    </r>
  </si>
  <si>
    <r>
      <rPr>
        <sz val="8.5"/>
        <rFont val="Calibri"/>
        <family val="2"/>
      </rPr>
      <t>46,06</t>
    </r>
  </si>
  <si>
    <r>
      <rPr>
        <sz val="8.5"/>
        <rFont val="Calibri"/>
        <family val="2"/>
      </rPr>
      <t>55,63</t>
    </r>
  </si>
  <si>
    <r>
      <rPr>
        <sz val="8.5"/>
        <rFont val="Calibri"/>
        <family val="2"/>
      </rPr>
      <t>18.06.400</t>
    </r>
  </si>
  <si>
    <r>
      <rPr>
        <sz val="8.5"/>
        <rFont val="Calibri"/>
        <family val="2"/>
      </rPr>
      <t xml:space="preserve">Rejuntamento em placas cerâmicas com cimento branco, juntas acima
</t>
    </r>
    <r>
      <rPr>
        <sz val="8.5"/>
        <rFont val="Calibri"/>
        <family val="2"/>
      </rPr>
      <t>de 3 até 5 mm</t>
    </r>
  </si>
  <si>
    <r>
      <rPr>
        <sz val="8.5"/>
        <rFont val="Calibri"/>
        <family val="2"/>
      </rPr>
      <t>0,83</t>
    </r>
  </si>
  <si>
    <r>
      <rPr>
        <sz val="8.5"/>
        <rFont val="Calibri"/>
        <family val="2"/>
      </rPr>
      <t>7,31</t>
    </r>
  </si>
  <si>
    <r>
      <rPr>
        <sz val="8.5"/>
        <rFont val="Calibri"/>
        <family val="2"/>
      </rPr>
      <t>8,14</t>
    </r>
  </si>
  <si>
    <r>
      <rPr>
        <sz val="8.5"/>
        <rFont val="Calibri"/>
        <family val="2"/>
      </rPr>
      <t>18.06.410</t>
    </r>
  </si>
  <si>
    <r>
      <rPr>
        <sz val="8.5"/>
        <rFont val="Calibri"/>
        <family val="2"/>
      </rPr>
      <t xml:space="preserve">Rejuntamento em placas cerâmicas com argamassa industrializada para
</t>
    </r>
    <r>
      <rPr>
        <sz val="8.5"/>
        <rFont val="Calibri"/>
        <family val="2"/>
      </rPr>
      <t>rejunte, juntas acima de 3 até 5 mm</t>
    </r>
  </si>
  <si>
    <r>
      <rPr>
        <sz val="8.5"/>
        <rFont val="Calibri"/>
        <family val="2"/>
      </rPr>
      <t>1,91</t>
    </r>
  </si>
  <si>
    <r>
      <rPr>
        <sz val="8.5"/>
        <rFont val="Calibri"/>
        <family val="2"/>
      </rPr>
      <t>9,22</t>
    </r>
  </si>
  <si>
    <r>
      <rPr>
        <sz val="8.5"/>
        <rFont val="Calibri"/>
        <family val="2"/>
      </rPr>
      <t>18.06.420</t>
    </r>
  </si>
  <si>
    <r>
      <rPr>
        <sz val="8.5"/>
        <rFont val="Calibri"/>
        <family val="2"/>
      </rPr>
      <t xml:space="preserve">Rejuntamento em placas cerâmicas com cimento branco, juntas acima
</t>
    </r>
    <r>
      <rPr>
        <sz val="8.5"/>
        <rFont val="Calibri"/>
        <family val="2"/>
      </rPr>
      <t>de 5 até 10 mm</t>
    </r>
  </si>
  <si>
    <r>
      <rPr>
        <sz val="8.5"/>
        <rFont val="Calibri"/>
        <family val="2"/>
      </rPr>
      <t>1,65</t>
    </r>
  </si>
  <si>
    <r>
      <rPr>
        <sz val="8.5"/>
        <rFont val="Calibri"/>
        <family val="2"/>
      </rPr>
      <t>8,96</t>
    </r>
  </si>
  <si>
    <r>
      <rPr>
        <sz val="8.5"/>
        <rFont val="Calibri"/>
        <family val="2"/>
      </rPr>
      <t>18.06.430</t>
    </r>
  </si>
  <si>
    <r>
      <rPr>
        <sz val="8.5"/>
        <rFont val="Calibri"/>
        <family val="2"/>
      </rPr>
      <t xml:space="preserve">Rejuntamento em placas cerâmicas com argamassa industrializada para
</t>
    </r>
    <r>
      <rPr>
        <sz val="8.5"/>
        <rFont val="Calibri"/>
        <family val="2"/>
      </rPr>
      <t>rejunte, juntas acima de 5 até 10 mm</t>
    </r>
  </si>
  <si>
    <r>
      <rPr>
        <sz val="8.5"/>
        <rFont val="Calibri"/>
        <family val="2"/>
      </rPr>
      <t>12,09</t>
    </r>
  </si>
  <si>
    <r>
      <rPr>
        <sz val="8.5"/>
        <rFont val="Calibri"/>
        <family val="2"/>
      </rPr>
      <t>18.06.500</t>
    </r>
  </si>
  <si>
    <r>
      <rPr>
        <sz val="8.5"/>
        <rFont val="Calibri"/>
        <family val="2"/>
      </rPr>
      <t xml:space="preserve">Rejuntamento de rodapé em placas cerâmicas com cimento branco,
</t>
    </r>
    <r>
      <rPr>
        <sz val="8.5"/>
        <rFont val="Calibri"/>
        <family val="2"/>
      </rPr>
      <t>altura até 10 cm, juntas acima de 3 até 5 mm</t>
    </r>
  </si>
  <si>
    <r>
      <rPr>
        <sz val="8.5"/>
        <rFont val="Calibri"/>
        <family val="2"/>
      </rPr>
      <t>0,90</t>
    </r>
  </si>
  <si>
    <r>
      <rPr>
        <sz val="8.5"/>
        <rFont val="Calibri"/>
        <family val="2"/>
      </rPr>
      <t>18.06.510</t>
    </r>
  </si>
  <si>
    <r>
      <rPr>
        <sz val="8.5"/>
        <rFont val="Calibri"/>
        <family val="2"/>
      </rPr>
      <t>Rejuntamento de rodapé em placas cerâmicas com argamassa industrializada para rejunte, altura até 10 cm, juntas acima de 3 até 5 mm</t>
    </r>
  </si>
  <si>
    <r>
      <rPr>
        <sz val="8.5"/>
        <rFont val="Calibri"/>
        <family val="2"/>
      </rPr>
      <t>0,19</t>
    </r>
  </si>
  <si>
    <r>
      <rPr>
        <sz val="8.5"/>
        <rFont val="Calibri"/>
        <family val="2"/>
      </rPr>
      <t>1,01</t>
    </r>
  </si>
  <si>
    <r>
      <rPr>
        <sz val="8.5"/>
        <rFont val="Calibri"/>
        <family val="2"/>
      </rPr>
      <t>18.06.520</t>
    </r>
  </si>
  <si>
    <r>
      <rPr>
        <sz val="8.5"/>
        <rFont val="Calibri"/>
        <family val="2"/>
      </rPr>
      <t xml:space="preserve">Rejuntamento de rodapé em placas cerâmicas com cimento branco,
</t>
    </r>
    <r>
      <rPr>
        <sz val="8.5"/>
        <rFont val="Calibri"/>
        <family val="2"/>
      </rPr>
      <t>altura até 10 cm, juntas acima de 5 até 10 mm</t>
    </r>
  </si>
  <si>
    <r>
      <rPr>
        <sz val="8.5"/>
        <rFont val="Calibri"/>
        <family val="2"/>
      </rPr>
      <t>0,99</t>
    </r>
  </si>
  <si>
    <r>
      <rPr>
        <sz val="8.5"/>
        <rFont val="Calibri"/>
        <family val="2"/>
      </rPr>
      <t>18.06.530</t>
    </r>
  </si>
  <si>
    <r>
      <rPr>
        <sz val="8.5"/>
        <rFont val="Calibri"/>
        <family val="2"/>
      </rPr>
      <t xml:space="preserve">Rejuntamento de rodapé em placas cerâmicas com argamassa
</t>
    </r>
    <r>
      <rPr>
        <sz val="8.5"/>
        <rFont val="Calibri"/>
        <family val="2"/>
      </rPr>
      <t>industrializada para rejunte, altura até 10 cm, juntas acima de 5 até 10 mm</t>
    </r>
  </si>
  <si>
    <r>
      <rPr>
        <sz val="8.5"/>
        <rFont val="Calibri"/>
        <family val="2"/>
      </rPr>
      <t>1,30</t>
    </r>
  </si>
  <si>
    <r>
      <rPr>
        <sz val="8.5"/>
        <rFont val="Calibri"/>
        <family val="2"/>
      </rPr>
      <t>Placa ceramica nao esmaltada extrudada</t>
    </r>
  </si>
  <si>
    <r>
      <rPr>
        <sz val="8.5"/>
        <rFont val="Calibri"/>
        <family val="2"/>
      </rPr>
      <t>18.07.020</t>
    </r>
  </si>
  <si>
    <r>
      <rPr>
        <sz val="8.5"/>
        <rFont val="Calibri"/>
        <family val="2"/>
      </rPr>
      <t xml:space="preserve">Placa cerâmica não esmaltada extrudada de alta resistência química e
</t>
    </r>
    <r>
      <rPr>
        <sz val="8.5"/>
        <rFont val="Calibri"/>
        <family val="2"/>
      </rPr>
      <t>mecânica, espessura de 9 mm, uso industrial, assentado com argamassa química bicomponente</t>
    </r>
  </si>
  <si>
    <r>
      <rPr>
        <sz val="8.5"/>
        <rFont val="Calibri"/>
        <family val="2"/>
      </rPr>
      <t>115,53</t>
    </r>
  </si>
  <si>
    <r>
      <rPr>
        <sz val="8.5"/>
        <rFont val="Calibri"/>
        <family val="2"/>
      </rPr>
      <t>126,48</t>
    </r>
  </si>
  <si>
    <r>
      <rPr>
        <sz val="8.5"/>
        <rFont val="Calibri"/>
        <family val="2"/>
      </rPr>
      <t>18.07.021</t>
    </r>
  </si>
  <si>
    <r>
      <rPr>
        <sz val="8.5"/>
        <rFont val="Calibri"/>
        <family val="2"/>
      </rPr>
      <t xml:space="preserve">Placa cerâmica não esmaltada extrudada de alta resistência química e mecânica, espessura de 9 mm, uso industrial, assentado com argamassa
</t>
    </r>
    <r>
      <rPr>
        <sz val="8.5"/>
        <rFont val="Calibri"/>
        <family val="2"/>
      </rPr>
      <t>colante industrial</t>
    </r>
  </si>
  <si>
    <r>
      <rPr>
        <sz val="8.5"/>
        <rFont val="Calibri"/>
        <family val="2"/>
      </rPr>
      <t>137,02</t>
    </r>
  </si>
  <si>
    <r>
      <rPr>
        <sz val="8.5"/>
        <rFont val="Calibri"/>
        <family val="2"/>
      </rPr>
      <t>147,97</t>
    </r>
  </si>
  <si>
    <r>
      <rPr>
        <sz val="8.5"/>
        <rFont val="Calibri"/>
        <family val="2"/>
      </rPr>
      <t>18.07.040</t>
    </r>
  </si>
  <si>
    <r>
      <rPr>
        <sz val="8.5"/>
        <rFont val="Calibri"/>
        <family val="2"/>
      </rPr>
      <t xml:space="preserve">Placa cerâmica não esmaltada extrudada de alta resistência química e mecânica, espessura de 14 mm, uso industrial, assentado com
</t>
    </r>
    <r>
      <rPr>
        <sz val="8.5"/>
        <rFont val="Calibri"/>
        <family val="2"/>
      </rPr>
      <t>argamassa química bicomponente</t>
    </r>
  </si>
  <si>
    <r>
      <rPr>
        <sz val="8.5"/>
        <rFont val="Calibri"/>
        <family val="2"/>
      </rPr>
      <t>192,25</t>
    </r>
  </si>
  <si>
    <r>
      <rPr>
        <sz val="8.5"/>
        <rFont val="Calibri"/>
        <family val="2"/>
      </rPr>
      <t>203,20</t>
    </r>
  </si>
  <si>
    <r>
      <rPr>
        <sz val="8.5"/>
        <rFont val="Calibri"/>
        <family val="2"/>
      </rPr>
      <t>18.07.080</t>
    </r>
  </si>
  <si>
    <r>
      <rPr>
        <sz val="8.5"/>
        <rFont val="Calibri"/>
        <family val="2"/>
      </rPr>
      <t xml:space="preserve">Rodapé em placa cerâmica não esmaltada extrudada de alta resistência
</t>
    </r>
    <r>
      <rPr>
        <sz val="8.5"/>
        <rFont val="Calibri"/>
        <family val="2"/>
      </rPr>
      <t>química e mecânica, altura de 10 cm, uso industrial, assentado com argamassa química bicomponente</t>
    </r>
  </si>
  <si>
    <r>
      <rPr>
        <sz val="8.5"/>
        <rFont val="Calibri"/>
        <family val="2"/>
      </rPr>
      <t>41,80</t>
    </r>
  </si>
  <si>
    <r>
      <rPr>
        <sz val="8.5"/>
        <rFont val="Calibri"/>
        <family val="2"/>
      </rPr>
      <t>42,90</t>
    </r>
  </si>
  <si>
    <r>
      <rPr>
        <sz val="8.5"/>
        <rFont val="Calibri"/>
        <family val="2"/>
      </rPr>
      <t>18.07.160</t>
    </r>
  </si>
  <si>
    <r>
      <rPr>
        <sz val="8.5"/>
        <rFont val="Calibri"/>
        <family val="2"/>
      </rPr>
      <t xml:space="preserve">Placa cerâmica não esmaltada extrudada para área com altas temperaturas, de alta resistência química e mecânica, espessura mínima de 13 mm, uso industrial e cozinhas profissionais, assentado com
</t>
    </r>
    <r>
      <rPr>
        <sz val="8.5"/>
        <rFont val="Calibri"/>
        <family val="2"/>
      </rPr>
      <t>argamassa industrializada</t>
    </r>
  </si>
  <si>
    <r>
      <rPr>
        <sz val="8.5"/>
        <rFont val="Calibri"/>
        <family val="2"/>
      </rPr>
      <t>250,33</t>
    </r>
  </si>
  <si>
    <r>
      <rPr>
        <sz val="8.5"/>
        <rFont val="Calibri"/>
        <family val="2"/>
      </rPr>
      <t>261,28</t>
    </r>
  </si>
  <si>
    <r>
      <rPr>
        <sz val="8.5"/>
        <rFont val="Calibri"/>
        <family val="2"/>
      </rPr>
      <t>18.07.170</t>
    </r>
  </si>
  <si>
    <r>
      <rPr>
        <sz val="8.5"/>
        <rFont val="Calibri"/>
        <family val="2"/>
      </rPr>
      <t xml:space="preserve">Rodapé em placa cerâmica não esmaltada extrudada para área com altas temperaturas, de alta resistência química e mecânica, altura de 10cm, uso industrial e cozinhas profissionais, assentado com argamassa
</t>
    </r>
    <r>
      <rPr>
        <sz val="8.5"/>
        <rFont val="Calibri"/>
        <family val="2"/>
      </rPr>
      <t>industrializada</t>
    </r>
  </si>
  <si>
    <r>
      <rPr>
        <sz val="8.5"/>
        <rFont val="Calibri"/>
        <family val="2"/>
      </rPr>
      <t>49,13</t>
    </r>
  </si>
  <si>
    <r>
      <rPr>
        <sz val="8.5"/>
        <rFont val="Calibri"/>
        <family val="2"/>
      </rPr>
      <t>50,23</t>
    </r>
  </si>
  <si>
    <r>
      <rPr>
        <sz val="8.5"/>
        <rFont val="Calibri"/>
        <family val="2"/>
      </rPr>
      <t>18.07.200</t>
    </r>
  </si>
  <si>
    <r>
      <rPr>
        <sz val="8.5"/>
        <rFont val="Calibri"/>
        <family val="2"/>
      </rPr>
      <t xml:space="preserve">Rejuntamento em placa cerâmica extrudada antiácida de 9 mm, com argamassa industrializada bicomponente à base de resina furânica,
</t>
    </r>
    <r>
      <rPr>
        <sz val="8.5"/>
        <rFont val="Calibri"/>
        <family val="2"/>
      </rPr>
      <t>juntas acima de 3 até 6 mm</t>
    </r>
  </si>
  <si>
    <r>
      <rPr>
        <sz val="8.5"/>
        <rFont val="Calibri"/>
        <family val="2"/>
      </rPr>
      <t>33,37</t>
    </r>
  </si>
  <si>
    <r>
      <rPr>
        <sz val="8.5"/>
        <rFont val="Calibri"/>
        <family val="2"/>
      </rPr>
      <t>40,68</t>
    </r>
  </si>
  <si>
    <r>
      <rPr>
        <sz val="8.5"/>
        <rFont val="Calibri"/>
        <family val="2"/>
      </rPr>
      <t>18.07.210</t>
    </r>
  </si>
  <si>
    <r>
      <rPr>
        <sz val="8.5"/>
        <rFont val="Calibri"/>
        <family val="2"/>
      </rPr>
      <t xml:space="preserve">Rejuntamento de placa cerâmica extrudada de 9 mm, com argamassa
</t>
    </r>
    <r>
      <rPr>
        <sz val="8.5"/>
        <rFont val="Calibri"/>
        <family val="2"/>
      </rPr>
      <t>sintética industrializada tricomponente à base de resina epóxi, juntas acima de 3 até 6 mm</t>
    </r>
  </si>
  <si>
    <r>
      <rPr>
        <sz val="8.5"/>
        <rFont val="Calibri"/>
        <family val="2"/>
      </rPr>
      <t>35,25</t>
    </r>
  </si>
  <si>
    <r>
      <rPr>
        <sz val="8.5"/>
        <rFont val="Calibri"/>
        <family val="2"/>
      </rPr>
      <t>18.07.220</t>
    </r>
  </si>
  <si>
    <r>
      <rPr>
        <sz val="8.5"/>
        <rFont val="Calibri"/>
        <family val="2"/>
      </rPr>
      <t>Rejuntamento em placa cerâmica extrudada antiácida, espessura de 14 mm, com argamassa industrializada bicomponente, à base de resina furânica, juntas acima de 3 até 6 mm</t>
    </r>
  </si>
  <si>
    <r>
      <rPr>
        <sz val="8.5"/>
        <rFont val="Calibri"/>
        <family val="2"/>
      </rPr>
      <t>55,62</t>
    </r>
  </si>
  <si>
    <r>
      <rPr>
        <sz val="8.5"/>
        <rFont val="Calibri"/>
        <family val="2"/>
      </rPr>
      <t>62,93</t>
    </r>
  </si>
  <si>
    <r>
      <rPr>
        <sz val="8.5"/>
        <rFont val="Calibri"/>
        <family val="2"/>
      </rPr>
      <t>18.07.230</t>
    </r>
  </si>
  <si>
    <r>
      <rPr>
        <sz val="8.5"/>
        <rFont val="Calibri"/>
        <family val="2"/>
      </rPr>
      <t xml:space="preserve">Rejuntamento em placa cerâmica extrudada antiácida de 14 mm, com argamassa sintética industrializada tricomponente, à base de resina
</t>
    </r>
    <r>
      <rPr>
        <sz val="8.5"/>
        <rFont val="Calibri"/>
        <family val="2"/>
      </rPr>
      <t>epóxi, juntas de 3 até 6 mm</t>
    </r>
  </si>
  <si>
    <r>
      <rPr>
        <sz val="8.5"/>
        <rFont val="Calibri"/>
        <family val="2"/>
      </rPr>
      <t>46,56</t>
    </r>
  </si>
  <si>
    <r>
      <rPr>
        <sz val="8.5"/>
        <rFont val="Calibri"/>
        <family val="2"/>
      </rPr>
      <t>53,87</t>
    </r>
  </si>
  <si>
    <r>
      <rPr>
        <sz val="8.5"/>
        <rFont val="Calibri"/>
        <family val="2"/>
      </rPr>
      <t>18.07.250</t>
    </r>
  </si>
  <si>
    <r>
      <rPr>
        <sz val="8.5"/>
        <rFont val="Calibri"/>
        <family val="2"/>
      </rPr>
      <t>Rejuntamento em placa cerâmica extrudada antiácida, com argamassa industrializada anticorrosiva bicomponente à base de bauxita, para área de altas temperaturas, juntas acima de 3 até 6mm</t>
    </r>
  </si>
  <si>
    <r>
      <rPr>
        <sz val="8.5"/>
        <rFont val="Calibri"/>
        <family val="2"/>
      </rPr>
      <t>38,10</t>
    </r>
  </si>
  <si>
    <r>
      <rPr>
        <sz val="8.5"/>
        <rFont val="Calibri"/>
        <family val="2"/>
      </rPr>
      <t>45,41</t>
    </r>
  </si>
  <si>
    <r>
      <rPr>
        <sz val="8.5"/>
        <rFont val="Calibri"/>
        <family val="2"/>
      </rPr>
      <t>18.07.300</t>
    </r>
  </si>
  <si>
    <r>
      <rPr>
        <sz val="8.5"/>
        <rFont val="Calibri"/>
        <family val="2"/>
      </rPr>
      <t>Rejuntamento de rodapé em placa cerâmica extrudada antiácida de 9 mm, com argamassa industrializada bicomponente à base de resina furânica, juntas acima de 3 até 6 mm</t>
    </r>
  </si>
  <si>
    <r>
      <rPr>
        <sz val="8.5"/>
        <rFont val="Calibri"/>
        <family val="2"/>
      </rPr>
      <t>4,07</t>
    </r>
  </si>
  <si>
    <r>
      <rPr>
        <sz val="8.5"/>
        <rFont val="Calibri"/>
        <family val="2"/>
      </rPr>
      <t>18.07.310</t>
    </r>
  </si>
  <si>
    <r>
      <rPr>
        <sz val="8.5"/>
        <rFont val="Calibri"/>
        <family val="2"/>
      </rPr>
      <t>Rejuntamento de rodapé em placa cerâmica extrudada antiácida de 9 mm, com argamassa sintética  industrializada tricomponente à base de resina epóxi, juntas acima de 3 até 6 mm</t>
    </r>
  </si>
  <si>
    <r>
      <rPr>
        <sz val="8.5"/>
        <rFont val="Calibri"/>
        <family val="2"/>
      </rPr>
      <t>Revestimento em porcelanato</t>
    </r>
  </si>
  <si>
    <r>
      <rPr>
        <sz val="8.5"/>
        <rFont val="Calibri"/>
        <family val="2"/>
      </rPr>
      <t>18.08.032</t>
    </r>
  </si>
  <si>
    <r>
      <rPr>
        <sz val="8.5"/>
        <rFont val="Calibri"/>
        <family val="2"/>
      </rPr>
      <t>Revestimento em porcelanato esmaltado antiderrapante para área externa e ambiente com alto tráfego, grupo de absorção BIa, assentado com argamassa colante industrializada, rejuntado</t>
    </r>
  </si>
  <si>
    <r>
      <rPr>
        <sz val="8.5"/>
        <rFont val="Calibri"/>
        <family val="2"/>
      </rPr>
      <t>88,96</t>
    </r>
  </si>
  <si>
    <r>
      <rPr>
        <sz val="8.5"/>
        <rFont val="Calibri"/>
        <family val="2"/>
      </rPr>
      <t>117,91</t>
    </r>
  </si>
  <si>
    <r>
      <rPr>
        <sz val="8.5"/>
        <rFont val="Calibri"/>
        <family val="2"/>
      </rPr>
      <t>18.08.042</t>
    </r>
  </si>
  <si>
    <r>
      <rPr>
        <sz val="8.5"/>
        <rFont val="Calibri"/>
        <family val="2"/>
      </rPr>
      <t xml:space="preserve">Rodapé em porcelanato esmaltado antiderrapante para área externa e ambiente com alto tráfego, grupo de absorção BIa, assentado com
</t>
    </r>
    <r>
      <rPr>
        <sz val="8.5"/>
        <rFont val="Calibri"/>
        <family val="2"/>
      </rPr>
      <t>argamassa colante industrializada, rejuntado</t>
    </r>
  </si>
  <si>
    <r>
      <rPr>
        <sz val="8.5"/>
        <rFont val="Calibri"/>
        <family val="2"/>
      </rPr>
      <t>15,80</t>
    </r>
  </si>
  <si>
    <r>
      <rPr>
        <sz val="8.5"/>
        <rFont val="Calibri"/>
        <family val="2"/>
      </rPr>
      <t>23,84</t>
    </r>
  </si>
  <si>
    <r>
      <rPr>
        <sz val="8.5"/>
        <rFont val="Calibri"/>
        <family val="2"/>
      </rPr>
      <t>18.08.062</t>
    </r>
  </si>
  <si>
    <r>
      <rPr>
        <sz val="8.5"/>
        <rFont val="Calibri"/>
        <family val="2"/>
      </rPr>
      <t xml:space="preserve">Revestimento em porcelanato esmaltado polido para área interna e
</t>
    </r>
    <r>
      <rPr>
        <sz val="8.5"/>
        <rFont val="Calibri"/>
        <family val="2"/>
      </rPr>
      <t>ambiente com tráfego médio, grupo de absorção BIa, assentado com argamassa colante industrializada, rejuntado</t>
    </r>
  </si>
  <si>
    <r>
      <rPr>
        <sz val="8.5"/>
        <rFont val="Calibri"/>
        <family val="2"/>
      </rPr>
      <t>128,93</t>
    </r>
  </si>
  <si>
    <r>
      <rPr>
        <sz val="8.5"/>
        <rFont val="Calibri"/>
        <family val="2"/>
      </rPr>
      <t>157,88</t>
    </r>
  </si>
  <si>
    <r>
      <rPr>
        <sz val="8.5"/>
        <rFont val="Calibri"/>
        <family val="2"/>
      </rPr>
      <t>18.08.072</t>
    </r>
  </si>
  <si>
    <r>
      <rPr>
        <sz val="8.5"/>
        <rFont val="Calibri"/>
        <family val="2"/>
      </rPr>
      <t xml:space="preserve">Rodapé em porcelanato esmaltado polido para área interna e ambiente com tráfego médio, grupo de absorção BIa, assentado com argamassa
</t>
    </r>
    <r>
      <rPr>
        <sz val="8.5"/>
        <rFont val="Calibri"/>
        <family val="2"/>
      </rPr>
      <t>colante industrializada, rejuntado</t>
    </r>
  </si>
  <si>
    <r>
      <rPr>
        <sz val="8.5"/>
        <rFont val="Calibri"/>
        <family val="2"/>
      </rPr>
      <t>22,76</t>
    </r>
  </si>
  <si>
    <r>
      <rPr>
        <sz val="8.5"/>
        <rFont val="Calibri"/>
        <family val="2"/>
      </rPr>
      <t>30,80</t>
    </r>
  </si>
  <si>
    <r>
      <rPr>
        <sz val="8.5"/>
        <rFont val="Calibri"/>
        <family val="2"/>
      </rPr>
      <t>18.08.090</t>
    </r>
  </si>
  <si>
    <r>
      <rPr>
        <sz val="8.5"/>
        <rFont val="Calibri"/>
        <family val="2"/>
      </rPr>
      <t>Revestimento em porcelanato esmaltado acetinado para área interna e ambiente com acesso ao exterior, grupo de absorção BIa, resistência química B, assentado com argamassa colante industrializada, rejuntado</t>
    </r>
  </si>
  <si>
    <r>
      <rPr>
        <sz val="8.5"/>
        <rFont val="Calibri"/>
        <family val="2"/>
      </rPr>
      <t>104,92</t>
    </r>
  </si>
  <si>
    <r>
      <rPr>
        <sz val="8.5"/>
        <rFont val="Calibri"/>
        <family val="2"/>
      </rPr>
      <t>18.08.100</t>
    </r>
  </si>
  <si>
    <r>
      <rPr>
        <sz val="8.5"/>
        <rFont val="Calibri"/>
        <family val="2"/>
      </rPr>
      <t>Rodapé em porcelanato esmaltado acetinado para área interna e ambiente com acesso ao exterior, grupo de absorção BIa, resistência química B, assentado com argamassa colante industrializada, rejuntado</t>
    </r>
  </si>
  <si>
    <r>
      <rPr>
        <sz val="8.5"/>
        <rFont val="Calibri"/>
        <family val="2"/>
      </rPr>
      <t>21,58</t>
    </r>
  </si>
  <si>
    <r>
      <rPr>
        <sz val="8.5"/>
        <rFont val="Calibri"/>
        <family val="2"/>
      </rPr>
      <t>18.08.110</t>
    </r>
  </si>
  <si>
    <r>
      <rPr>
        <sz val="8.5"/>
        <rFont val="Calibri"/>
        <family val="2"/>
      </rPr>
      <t xml:space="preserve">Revestimento em porcelanato técnico antiderrapante para área externa, grupo de absorção BIa, assentado com argamassa colante
</t>
    </r>
    <r>
      <rPr>
        <sz val="8.5"/>
        <rFont val="Calibri"/>
        <family val="2"/>
      </rPr>
      <t>industrializada, rejuntado</t>
    </r>
  </si>
  <si>
    <r>
      <rPr>
        <sz val="8.5"/>
        <rFont val="Calibri"/>
        <family val="2"/>
      </rPr>
      <t>159,58</t>
    </r>
  </si>
  <si>
    <r>
      <rPr>
        <sz val="8.5"/>
        <rFont val="Calibri"/>
        <family val="2"/>
      </rPr>
      <t>188,53</t>
    </r>
  </si>
  <si>
    <r>
      <rPr>
        <sz val="8.5"/>
        <rFont val="Calibri"/>
        <family val="2"/>
      </rPr>
      <t>18.08.120</t>
    </r>
  </si>
  <si>
    <r>
      <rPr>
        <sz val="8.5"/>
        <rFont val="Calibri"/>
        <family val="2"/>
      </rPr>
      <t xml:space="preserve">Rodapé em porcelanato técnico antiderrapante para área interna, grupo
</t>
    </r>
    <r>
      <rPr>
        <sz val="8.5"/>
        <rFont val="Calibri"/>
        <family val="2"/>
      </rPr>
      <t>de absorção BIa, assentado com argamassa colante industrializada, rejuntado</t>
    </r>
  </si>
  <si>
    <r>
      <rPr>
        <sz val="8.5"/>
        <rFont val="Calibri"/>
        <family val="2"/>
      </rPr>
      <t>28,27</t>
    </r>
  </si>
  <si>
    <r>
      <rPr>
        <sz val="8.5"/>
        <rFont val="Calibri"/>
        <family val="2"/>
      </rPr>
      <t>36,31</t>
    </r>
  </si>
  <si>
    <r>
      <rPr>
        <sz val="8.5"/>
        <rFont val="Calibri"/>
        <family val="2"/>
      </rPr>
      <t>18.08.152</t>
    </r>
  </si>
  <si>
    <r>
      <rPr>
        <sz val="8.5"/>
        <rFont val="Calibri"/>
        <family val="2"/>
      </rPr>
      <t xml:space="preserve">Revestimento em porcelanato técnico natural para área interna e
</t>
    </r>
    <r>
      <rPr>
        <sz val="8.5"/>
        <rFont val="Calibri"/>
        <family val="2"/>
      </rPr>
      <t>ambiente com acesso ao exterior, grupo de absorção BIa, assentado com argamassa colante industrializada, rejuntado</t>
    </r>
  </si>
  <si>
    <r>
      <rPr>
        <sz val="8.5"/>
        <rFont val="Calibri"/>
        <family val="2"/>
      </rPr>
      <t>113,28</t>
    </r>
  </si>
  <si>
    <r>
      <rPr>
        <sz val="8.5"/>
        <rFont val="Calibri"/>
        <family val="2"/>
      </rPr>
      <t>142,23</t>
    </r>
  </si>
  <si>
    <r>
      <rPr>
        <sz val="8.5"/>
        <rFont val="Calibri"/>
        <family val="2"/>
      </rPr>
      <t>18.08.162</t>
    </r>
  </si>
  <si>
    <r>
      <rPr>
        <sz val="8.5"/>
        <rFont val="Calibri"/>
        <family val="2"/>
      </rPr>
      <t xml:space="preserve">Rodapé em porcelanato técnico natural, para área interna e ambiente
</t>
    </r>
    <r>
      <rPr>
        <sz val="8.5"/>
        <rFont val="Calibri"/>
        <family val="2"/>
      </rPr>
      <t>com acesso ao exterior, grupo de absorção BIa, assentado com argamassa colante industrializada, rejuntado</t>
    </r>
  </si>
  <si>
    <r>
      <rPr>
        <sz val="8.5"/>
        <rFont val="Calibri"/>
        <family val="2"/>
      </rPr>
      <t>20,21</t>
    </r>
  </si>
  <si>
    <r>
      <rPr>
        <sz val="8.5"/>
        <rFont val="Calibri"/>
        <family val="2"/>
      </rPr>
      <t>18.08.170</t>
    </r>
  </si>
  <si>
    <r>
      <rPr>
        <sz val="8.5"/>
        <rFont val="Calibri"/>
        <family val="2"/>
      </rPr>
      <t>Revestimento em porcelanato técnico polido para área interna e ambiente de médio tráfego, grupo de absorção BIa, coeficiente de atrito I, assentado com argamassa colante industrializada, rejuntado</t>
    </r>
  </si>
  <si>
    <r>
      <rPr>
        <sz val="8.5"/>
        <rFont val="Calibri"/>
        <family val="2"/>
      </rPr>
      <t>148,51</t>
    </r>
  </si>
  <si>
    <r>
      <rPr>
        <sz val="8.5"/>
        <rFont val="Calibri"/>
        <family val="2"/>
      </rPr>
      <t>177,46</t>
    </r>
  </si>
  <si>
    <r>
      <rPr>
        <sz val="8.5"/>
        <rFont val="Calibri"/>
        <family val="2"/>
      </rPr>
      <t>18.08.180</t>
    </r>
  </si>
  <si>
    <r>
      <rPr>
        <sz val="8.5"/>
        <rFont val="Calibri"/>
        <family val="2"/>
      </rPr>
      <t xml:space="preserve">Rodapé em porcelanato técnico polido para área interna e ambiente de médio tráfego, grupo de absorção BIa, assentado com argamassa colante
</t>
    </r>
    <r>
      <rPr>
        <sz val="8.5"/>
        <rFont val="Calibri"/>
        <family val="2"/>
      </rPr>
      <t>industrializada, rejuntado</t>
    </r>
  </si>
  <si>
    <r>
      <rPr>
        <sz val="8.5"/>
        <rFont val="Calibri"/>
        <family val="2"/>
      </rPr>
      <t>26,35</t>
    </r>
  </si>
  <si>
    <r>
      <rPr>
        <sz val="8.5"/>
        <rFont val="Calibri"/>
        <family val="2"/>
      </rPr>
      <t>34,39</t>
    </r>
  </si>
  <si>
    <r>
      <rPr>
        <sz val="8.5"/>
        <rFont val="Calibri"/>
        <family val="2"/>
      </rPr>
      <t>Revestimento em placa ceramica esmaltada</t>
    </r>
  </si>
  <si>
    <r>
      <rPr>
        <sz val="8.5"/>
        <rFont val="Calibri"/>
        <family val="2"/>
      </rPr>
      <t>18.11.012</t>
    </r>
  </si>
  <si>
    <r>
      <rPr>
        <sz val="8.5"/>
        <rFont val="Calibri"/>
        <family val="2"/>
      </rPr>
      <t xml:space="preserve">Revestimento em placa cerâmica esmaltada de 7,5x7,5 cm, assentado e
</t>
    </r>
    <r>
      <rPr>
        <sz val="8.5"/>
        <rFont val="Calibri"/>
        <family val="2"/>
      </rPr>
      <t>rejuntado com argamassa industrializada</t>
    </r>
  </si>
  <si>
    <r>
      <rPr>
        <sz val="8.5"/>
        <rFont val="Calibri"/>
        <family val="2"/>
      </rPr>
      <t>86,08</t>
    </r>
  </si>
  <si>
    <r>
      <rPr>
        <sz val="8.5"/>
        <rFont val="Calibri"/>
        <family val="2"/>
      </rPr>
      <t>102,47</t>
    </r>
  </si>
  <si>
    <r>
      <rPr>
        <sz val="8.5"/>
        <rFont val="Calibri"/>
        <family val="2"/>
      </rPr>
      <t>18.11.022</t>
    </r>
  </si>
  <si>
    <r>
      <rPr>
        <sz val="8.5"/>
        <rFont val="Calibri"/>
        <family val="2"/>
      </rPr>
      <t xml:space="preserve">Revestimento em placa cerâmica esmaltada de 10x10 cm, assentado e
</t>
    </r>
    <r>
      <rPr>
        <sz val="8.5"/>
        <rFont val="Calibri"/>
        <family val="2"/>
      </rPr>
      <t>rejuntado com argamassa industrializada</t>
    </r>
  </si>
  <si>
    <r>
      <rPr>
        <sz val="8.5"/>
        <rFont val="Calibri"/>
        <family val="2"/>
      </rPr>
      <t>73,49</t>
    </r>
  </si>
  <si>
    <r>
      <rPr>
        <sz val="8.5"/>
        <rFont val="Calibri"/>
        <family val="2"/>
      </rPr>
      <t>89,88</t>
    </r>
  </si>
  <si>
    <r>
      <rPr>
        <sz val="8.5"/>
        <rFont val="Calibri"/>
        <family val="2"/>
      </rPr>
      <t>18.11.032</t>
    </r>
  </si>
  <si>
    <r>
      <rPr>
        <sz val="8.5"/>
        <rFont val="Calibri"/>
        <family val="2"/>
      </rPr>
      <t>Revestimento em placa cerâmica esmaltada de 15x15 cm, tipo monocolor, assentado e rejuntado com argamassa industrializada</t>
    </r>
  </si>
  <si>
    <r>
      <rPr>
        <sz val="8.5"/>
        <rFont val="Calibri"/>
        <family val="2"/>
      </rPr>
      <t>79,21</t>
    </r>
  </si>
  <si>
    <r>
      <rPr>
        <sz val="8.5"/>
        <rFont val="Calibri"/>
        <family val="2"/>
      </rPr>
      <t>95,60</t>
    </r>
  </si>
  <si>
    <r>
      <rPr>
        <sz val="8.5"/>
        <rFont val="Calibri"/>
        <family val="2"/>
      </rPr>
      <t>18.11.042</t>
    </r>
  </si>
  <si>
    <r>
      <rPr>
        <sz val="8.5"/>
        <rFont val="Calibri"/>
        <family val="2"/>
      </rPr>
      <t>Revestimento em placa cerâmica esmaltada de 20x20 cm, tipo monocolor, assentado e rejuntado com argamassa industrializada</t>
    </r>
  </si>
  <si>
    <r>
      <rPr>
        <sz val="8.5"/>
        <rFont val="Calibri"/>
        <family val="2"/>
      </rPr>
      <t>68,18</t>
    </r>
  </si>
  <si>
    <r>
      <rPr>
        <sz val="8.5"/>
        <rFont val="Calibri"/>
        <family val="2"/>
      </rPr>
      <t>84,57</t>
    </r>
  </si>
  <si>
    <r>
      <rPr>
        <sz val="8.5"/>
        <rFont val="Calibri"/>
        <family val="2"/>
      </rPr>
      <t>18.11.052</t>
    </r>
  </si>
  <si>
    <r>
      <rPr>
        <sz val="8.5"/>
        <rFont val="Calibri"/>
        <family val="2"/>
      </rPr>
      <t>Revestimento em placa cerâmica esmaltada, tipo monoporosa, retangular, assentado e rejuntado com argamassa industrializada</t>
    </r>
  </si>
  <si>
    <r>
      <rPr>
        <sz val="8.5"/>
        <rFont val="Calibri"/>
        <family val="2"/>
      </rPr>
      <t>116,26</t>
    </r>
  </si>
  <si>
    <r>
      <rPr>
        <sz val="8.5"/>
        <rFont val="Calibri"/>
        <family val="2"/>
      </rPr>
      <t>132,65</t>
    </r>
  </si>
  <si>
    <r>
      <rPr>
        <sz val="8.5"/>
        <rFont val="Calibri"/>
        <family val="2"/>
      </rPr>
      <t>Revestimento em pastilha e mosaico</t>
    </r>
  </si>
  <si>
    <r>
      <rPr>
        <sz val="8.5"/>
        <rFont val="Calibri"/>
        <family val="2"/>
      </rPr>
      <t>18.12.020</t>
    </r>
  </si>
  <si>
    <r>
      <rPr>
        <sz val="8.5"/>
        <rFont val="Calibri"/>
        <family val="2"/>
      </rPr>
      <t>Revestimento em pastilha de porcelana natural ou esmaltada de 5 x 5 cm, assentado e rejuntado com argamassa colante industrializada</t>
    </r>
  </si>
  <si>
    <r>
      <rPr>
        <sz val="8.5"/>
        <rFont val="Calibri"/>
        <family val="2"/>
      </rPr>
      <t>159,22</t>
    </r>
  </si>
  <si>
    <r>
      <rPr>
        <sz val="8.5"/>
        <rFont val="Calibri"/>
        <family val="2"/>
      </rPr>
      <t>20,74</t>
    </r>
  </si>
  <si>
    <r>
      <rPr>
        <sz val="8.5"/>
        <rFont val="Calibri"/>
        <family val="2"/>
      </rPr>
      <t>179,96</t>
    </r>
  </si>
  <si>
    <r>
      <rPr>
        <sz val="8.5"/>
        <rFont val="Calibri"/>
        <family val="2"/>
      </rPr>
      <t>18.12.120</t>
    </r>
  </si>
  <si>
    <r>
      <rPr>
        <sz val="8.5"/>
        <rFont val="Calibri"/>
        <family val="2"/>
      </rPr>
      <t>Revestimento em pastilha de porcelana natural ou esmaltada de 2,5 x 2,5 cm, assentado e rejuntado com argamassa colante industrializada</t>
    </r>
  </si>
  <si>
    <r>
      <rPr>
        <sz val="8.5"/>
        <rFont val="Calibri"/>
        <family val="2"/>
      </rPr>
      <t>245,97</t>
    </r>
  </si>
  <si>
    <r>
      <rPr>
        <sz val="8.5"/>
        <rFont val="Calibri"/>
        <family val="2"/>
      </rPr>
      <t>266,71</t>
    </r>
  </si>
  <si>
    <r>
      <rPr>
        <sz val="8.5"/>
        <rFont val="Calibri"/>
        <family val="2"/>
      </rPr>
      <t>18.12.140</t>
    </r>
  </si>
  <si>
    <r>
      <rPr>
        <sz val="8.5"/>
        <rFont val="Calibri"/>
        <family val="2"/>
      </rPr>
      <t>Revestimento em pastilha de porcelana natural ou esmaltada de 2,5 x 5 cm, assentado e rejuntado com argamassa colante industrializada</t>
    </r>
  </si>
  <si>
    <r>
      <rPr>
        <sz val="8.5"/>
        <rFont val="Calibri"/>
        <family val="2"/>
      </rPr>
      <t>298,77</t>
    </r>
  </si>
  <si>
    <r>
      <rPr>
        <sz val="8.5"/>
        <rFont val="Calibri"/>
        <family val="2"/>
      </rPr>
      <t>319,51</t>
    </r>
  </si>
  <si>
    <r>
      <rPr>
        <sz val="8.5"/>
        <rFont val="Calibri"/>
        <family val="2"/>
      </rPr>
      <t>Revestimento ceramico nao esmaltado extrudado</t>
    </r>
  </si>
  <si>
    <r>
      <rPr>
        <sz val="8.5"/>
        <rFont val="Calibri"/>
        <family val="2"/>
      </rPr>
      <t>18.13.010</t>
    </r>
  </si>
  <si>
    <r>
      <rPr>
        <sz val="8.5"/>
        <rFont val="Calibri"/>
        <family val="2"/>
      </rPr>
      <t xml:space="preserve">Revestimento em placa cerâmica não esmaltada extrudada, de alta resistência química e mecânica, espessura de 9 mm, assentado com
</t>
    </r>
    <r>
      <rPr>
        <sz val="8.5"/>
        <rFont val="Calibri"/>
        <family val="2"/>
      </rPr>
      <t>argamassa colante industrializada</t>
    </r>
  </si>
  <si>
    <r>
      <rPr>
        <sz val="8.5"/>
        <rFont val="Calibri"/>
        <family val="2"/>
      </rPr>
      <t>108,60</t>
    </r>
  </si>
  <si>
    <r>
      <rPr>
        <sz val="8.5"/>
        <rFont val="Calibri"/>
        <family val="2"/>
      </rPr>
      <t>121,87</t>
    </r>
  </si>
  <si>
    <r>
      <rPr>
        <sz val="8.5"/>
        <rFont val="Calibri"/>
        <family val="2"/>
      </rPr>
      <t>18.13.020</t>
    </r>
  </si>
  <si>
    <r>
      <rPr>
        <sz val="8.5"/>
        <rFont val="Calibri"/>
        <family val="2"/>
      </rPr>
      <t xml:space="preserve">Revestimento em placa cerâmica extrudada de alta resistência química e mecânica, espessura entre 9 e 10 mm, assentado com argamassa
</t>
    </r>
    <r>
      <rPr>
        <sz val="8.5"/>
        <rFont val="Calibri"/>
        <family val="2"/>
      </rPr>
      <t>industrializada de alta aderência</t>
    </r>
  </si>
  <si>
    <r>
      <rPr>
        <sz val="8.5"/>
        <rFont val="Calibri"/>
        <family val="2"/>
      </rPr>
      <t>109,29</t>
    </r>
  </si>
  <si>
    <r>
      <rPr>
        <sz val="8.5"/>
        <rFont val="Calibri"/>
        <family val="2"/>
      </rPr>
      <t>122,56</t>
    </r>
  </si>
  <si>
    <r>
      <rPr>
        <sz val="8.5"/>
        <rFont val="Calibri"/>
        <family val="2"/>
      </rPr>
      <t>18.13.202</t>
    </r>
  </si>
  <si>
    <r>
      <rPr>
        <sz val="8.5"/>
        <rFont val="Calibri"/>
        <family val="2"/>
      </rPr>
      <t xml:space="preserve">Rejuntamento em placa cerâmica extrudada, espessura entre 9 e 10 mm,
</t>
    </r>
    <r>
      <rPr>
        <sz val="8.5"/>
        <rFont val="Calibri"/>
        <family val="2"/>
      </rPr>
      <t>com argamassa industrial anticorrosiva à base de resina epóxi, juntas de 6 a 10 mm</t>
    </r>
  </si>
  <si>
    <r>
      <rPr>
        <sz val="8.5"/>
        <rFont val="Calibri"/>
        <family val="2"/>
      </rPr>
      <t>40,74</t>
    </r>
  </si>
  <si>
    <r>
      <rPr>
        <sz val="8.5"/>
        <rFont val="Calibri"/>
        <family val="2"/>
      </rPr>
      <t>48,05</t>
    </r>
  </si>
  <si>
    <r>
      <rPr>
        <sz val="8.5"/>
        <rFont val="Calibri"/>
        <family val="2"/>
      </rPr>
      <t>REVESTIMENTO EM PEDRA</t>
    </r>
  </si>
  <si>
    <r>
      <rPr>
        <sz val="8.5"/>
        <rFont val="Calibri"/>
        <family val="2"/>
      </rPr>
      <t>Granito</t>
    </r>
  </si>
  <si>
    <r>
      <rPr>
        <sz val="8.5"/>
        <rFont val="Calibri"/>
        <family val="2"/>
      </rPr>
      <t>19.01.022</t>
    </r>
  </si>
  <si>
    <r>
      <rPr>
        <sz val="8.5"/>
        <rFont val="Calibri"/>
        <family val="2"/>
      </rPr>
      <t>Revestimento em granito, espessura de 2 cm, acabamento polido</t>
    </r>
  </si>
  <si>
    <r>
      <rPr>
        <sz val="8.5"/>
        <rFont val="Calibri"/>
        <family val="2"/>
      </rPr>
      <t>342,27</t>
    </r>
  </si>
  <si>
    <r>
      <rPr>
        <sz val="8.5"/>
        <rFont val="Calibri"/>
        <family val="2"/>
      </rPr>
      <t>34,60</t>
    </r>
  </si>
  <si>
    <r>
      <rPr>
        <sz val="8.5"/>
        <rFont val="Calibri"/>
        <family val="2"/>
      </rPr>
      <t>376,87</t>
    </r>
  </si>
  <si>
    <r>
      <rPr>
        <sz val="8.5"/>
        <rFont val="Calibri"/>
        <family val="2"/>
      </rPr>
      <t>19.01.062</t>
    </r>
  </si>
  <si>
    <r>
      <rPr>
        <sz val="8.5"/>
        <rFont val="Calibri"/>
        <family val="2"/>
      </rPr>
      <t xml:space="preserve">Peitoril e/ou soleira em granito, espessura de 2 cm e largura até 20 cm,
</t>
    </r>
    <r>
      <rPr>
        <sz val="8.5"/>
        <rFont val="Calibri"/>
        <family val="2"/>
      </rPr>
      <t>acabamento polido</t>
    </r>
  </si>
  <si>
    <r>
      <rPr>
        <sz val="8.5"/>
        <rFont val="Calibri"/>
        <family val="2"/>
      </rPr>
      <t>111,26</t>
    </r>
  </si>
  <si>
    <r>
      <rPr>
        <sz val="8.5"/>
        <rFont val="Calibri"/>
        <family val="2"/>
      </rPr>
      <t>15,92</t>
    </r>
  </si>
  <si>
    <r>
      <rPr>
        <sz val="8.5"/>
        <rFont val="Calibri"/>
        <family val="2"/>
      </rPr>
      <t>127,18</t>
    </r>
  </si>
  <si>
    <r>
      <rPr>
        <sz val="8.5"/>
        <rFont val="Calibri"/>
        <family val="2"/>
      </rPr>
      <t>19.01.064</t>
    </r>
  </si>
  <si>
    <r>
      <rPr>
        <sz val="8.5"/>
        <rFont val="Calibri"/>
        <family val="2"/>
      </rPr>
      <t xml:space="preserve">Peitoril e/ou soleira em granito, espessura de 2 cm e largura de 21 cm
</t>
    </r>
    <r>
      <rPr>
        <sz val="8.5"/>
        <rFont val="Calibri"/>
        <family val="2"/>
      </rPr>
      <t>até 30 cm, acabamento polido</t>
    </r>
  </si>
  <si>
    <r>
      <rPr>
        <sz val="8.5"/>
        <rFont val="Calibri"/>
        <family val="2"/>
      </rPr>
      <t>139,54</t>
    </r>
  </si>
  <si>
    <r>
      <rPr>
        <sz val="8.5"/>
        <rFont val="Calibri"/>
        <family val="2"/>
      </rPr>
      <t>19,91</t>
    </r>
  </si>
  <si>
    <r>
      <rPr>
        <sz val="8.5"/>
        <rFont val="Calibri"/>
        <family val="2"/>
      </rPr>
      <t>159,45</t>
    </r>
  </si>
  <si>
    <r>
      <rPr>
        <sz val="8.5"/>
        <rFont val="Calibri"/>
        <family val="2"/>
      </rPr>
      <t>19.01.122</t>
    </r>
  </si>
  <si>
    <r>
      <rPr>
        <sz val="8.5"/>
        <rFont val="Calibri"/>
        <family val="2"/>
      </rPr>
      <t>Degrau e espelho de granito, espessura de 2 cm, acabamento polido</t>
    </r>
  </si>
  <si>
    <r>
      <rPr>
        <sz val="8.5"/>
        <rFont val="Calibri"/>
        <family val="2"/>
      </rPr>
      <t>293,53</t>
    </r>
  </si>
  <si>
    <r>
      <rPr>
        <sz val="8.5"/>
        <rFont val="Calibri"/>
        <family val="2"/>
      </rPr>
      <t>39,82</t>
    </r>
  </si>
  <si>
    <r>
      <rPr>
        <sz val="8.5"/>
        <rFont val="Calibri"/>
        <family val="2"/>
      </rPr>
      <t>333,35</t>
    </r>
  </si>
  <si>
    <r>
      <rPr>
        <sz val="8.5"/>
        <rFont val="Calibri"/>
        <family val="2"/>
      </rPr>
      <t>19.01.322</t>
    </r>
  </si>
  <si>
    <r>
      <rPr>
        <sz val="8.5"/>
        <rFont val="Calibri"/>
        <family val="2"/>
      </rPr>
      <t xml:space="preserve">Rodapé em granito, espessura de 2 cm e altura de 7 cm, acabamento
</t>
    </r>
    <r>
      <rPr>
        <sz val="8.5"/>
        <rFont val="Calibri"/>
        <family val="2"/>
      </rPr>
      <t>polido</t>
    </r>
  </si>
  <si>
    <r>
      <rPr>
        <sz val="8.5"/>
        <rFont val="Calibri"/>
        <family val="2"/>
      </rPr>
      <t>63,83</t>
    </r>
  </si>
  <si>
    <r>
      <rPr>
        <sz val="8.5"/>
        <rFont val="Calibri"/>
        <family val="2"/>
      </rPr>
      <t>72,55</t>
    </r>
  </si>
  <si>
    <r>
      <rPr>
        <sz val="8.5"/>
        <rFont val="Calibri"/>
        <family val="2"/>
      </rPr>
      <t>19.01.324</t>
    </r>
  </si>
  <si>
    <r>
      <rPr>
        <sz val="8.5"/>
        <rFont val="Calibri"/>
        <family val="2"/>
      </rPr>
      <t xml:space="preserve">Rodapé em granito, espessura de 2 cm e altura de 7,1 cm até 10 cm,
</t>
    </r>
    <r>
      <rPr>
        <sz val="8.5"/>
        <rFont val="Calibri"/>
        <family val="2"/>
      </rPr>
      <t>acabamento polido</t>
    </r>
  </si>
  <si>
    <r>
      <rPr>
        <sz val="8.5"/>
        <rFont val="Calibri"/>
        <family val="2"/>
      </rPr>
      <t>62,59</t>
    </r>
  </si>
  <si>
    <r>
      <rPr>
        <sz val="8.5"/>
        <rFont val="Calibri"/>
        <family val="2"/>
      </rPr>
      <t>71,31</t>
    </r>
  </si>
  <si>
    <r>
      <rPr>
        <sz val="8.5"/>
        <rFont val="Calibri"/>
        <family val="2"/>
      </rPr>
      <t>19.01.412</t>
    </r>
  </si>
  <si>
    <r>
      <rPr>
        <sz val="8.5"/>
        <rFont val="Calibri"/>
        <family val="2"/>
      </rPr>
      <t>Revestimento em granito, espessura de 2 cm, acabamento jateado</t>
    </r>
  </si>
  <si>
    <r>
      <rPr>
        <sz val="8.5"/>
        <rFont val="Calibri"/>
        <family val="2"/>
      </rPr>
      <t>168,35</t>
    </r>
  </si>
  <si>
    <r>
      <rPr>
        <sz val="8.5"/>
        <rFont val="Calibri"/>
        <family val="2"/>
      </rPr>
      <t>202,95</t>
    </r>
  </si>
  <si>
    <r>
      <rPr>
        <sz val="8.5"/>
        <rFont val="Calibri"/>
        <family val="2"/>
      </rPr>
      <t>19.01.422</t>
    </r>
  </si>
  <si>
    <r>
      <rPr>
        <sz val="8.5"/>
        <rFont val="Calibri"/>
        <family val="2"/>
      </rPr>
      <t xml:space="preserve">Rodapé em granito, espessura de 2 cm e altura de 7 cm, acabamento
</t>
    </r>
    <r>
      <rPr>
        <sz val="8.5"/>
        <rFont val="Calibri"/>
        <family val="2"/>
      </rPr>
      <t>jateado</t>
    </r>
  </si>
  <si>
    <r>
      <rPr>
        <sz val="8.5"/>
        <rFont val="Calibri"/>
        <family val="2"/>
      </rPr>
      <t>42,05</t>
    </r>
  </si>
  <si>
    <r>
      <rPr>
        <sz val="8.5"/>
        <rFont val="Calibri"/>
        <family val="2"/>
      </rPr>
      <t>50,77</t>
    </r>
  </si>
  <si>
    <r>
      <rPr>
        <sz val="8.5"/>
        <rFont val="Calibri"/>
        <family val="2"/>
      </rPr>
      <t>19.01.432</t>
    </r>
  </si>
  <si>
    <r>
      <rPr>
        <sz val="8.5"/>
        <rFont val="Calibri"/>
        <family val="2"/>
      </rPr>
      <t>Degrau e espelho em granito, espessura de 2 cm, acabamento jateado</t>
    </r>
  </si>
  <si>
    <r>
      <rPr>
        <sz val="8.5"/>
        <rFont val="Calibri"/>
        <family val="2"/>
      </rPr>
      <t>133,91</t>
    </r>
  </si>
  <si>
    <r>
      <rPr>
        <sz val="8.5"/>
        <rFont val="Calibri"/>
        <family val="2"/>
      </rPr>
      <t>173,73</t>
    </r>
  </si>
  <si>
    <r>
      <rPr>
        <sz val="8.5"/>
        <rFont val="Calibri"/>
        <family val="2"/>
      </rPr>
      <t>19.01.442</t>
    </r>
  </si>
  <si>
    <r>
      <rPr>
        <sz val="8.5"/>
        <rFont val="Calibri"/>
        <family val="2"/>
      </rPr>
      <t xml:space="preserve">Peitoril e/ou soleira em granito, espessura de 2 cm e largura de 20 a
</t>
    </r>
    <r>
      <rPr>
        <sz val="8.5"/>
        <rFont val="Calibri"/>
        <family val="2"/>
      </rPr>
      <t>30cm, acabamento jateado</t>
    </r>
  </si>
  <si>
    <r>
      <rPr>
        <sz val="8.5"/>
        <rFont val="Calibri"/>
        <family val="2"/>
      </rPr>
      <t>150,41</t>
    </r>
  </si>
  <si>
    <r>
      <rPr>
        <sz val="8.5"/>
        <rFont val="Calibri"/>
        <family val="2"/>
      </rPr>
      <t>166,33</t>
    </r>
  </si>
  <si>
    <r>
      <rPr>
        <sz val="8.5"/>
        <rFont val="Calibri"/>
        <family val="2"/>
      </rPr>
      <t>Marmore</t>
    </r>
  </si>
  <si>
    <r>
      <rPr>
        <sz val="8.5"/>
        <rFont val="Calibri"/>
        <family val="2"/>
      </rPr>
      <t>19.02.020</t>
    </r>
  </si>
  <si>
    <r>
      <rPr>
        <sz val="8.5"/>
        <rFont val="Calibri"/>
        <family val="2"/>
      </rPr>
      <t xml:space="preserve">Revestimento em mármore branco, espessura de 2 cm, assente com
</t>
    </r>
    <r>
      <rPr>
        <sz val="8.5"/>
        <rFont val="Calibri"/>
        <family val="2"/>
      </rPr>
      <t>massa</t>
    </r>
  </si>
  <si>
    <r>
      <rPr>
        <sz val="8.5"/>
        <rFont val="Calibri"/>
        <family val="2"/>
      </rPr>
      <t>497,20</t>
    </r>
  </si>
  <si>
    <r>
      <rPr>
        <sz val="8.5"/>
        <rFont val="Calibri"/>
        <family val="2"/>
      </rPr>
      <t>505,91</t>
    </r>
  </si>
  <si>
    <r>
      <rPr>
        <sz val="8.5"/>
        <rFont val="Calibri"/>
        <family val="2"/>
      </rPr>
      <t>19.02.040</t>
    </r>
  </si>
  <si>
    <r>
      <rPr>
        <sz val="8.5"/>
        <rFont val="Calibri"/>
        <family val="2"/>
      </rPr>
      <t xml:space="preserve">Revestimento em mármore travertino nacional, espessura de 2 cm,
</t>
    </r>
    <r>
      <rPr>
        <sz val="8.5"/>
        <rFont val="Calibri"/>
        <family val="2"/>
      </rPr>
      <t>assente com massa</t>
    </r>
  </si>
  <si>
    <r>
      <rPr>
        <sz val="8.5"/>
        <rFont val="Calibri"/>
        <family val="2"/>
      </rPr>
      <t>578,21</t>
    </r>
  </si>
  <si>
    <r>
      <rPr>
        <sz val="8.5"/>
        <rFont val="Calibri"/>
        <family val="2"/>
      </rPr>
      <t>586,92</t>
    </r>
  </si>
  <si>
    <r>
      <rPr>
        <sz val="8.5"/>
        <rFont val="Calibri"/>
        <family val="2"/>
      </rPr>
      <t>19.02.060</t>
    </r>
  </si>
  <si>
    <r>
      <rPr>
        <sz val="8.5"/>
        <rFont val="Calibri"/>
        <family val="2"/>
      </rPr>
      <t xml:space="preserve">Revestimento em mármore branco, espessura de 3 cm, assente com
</t>
    </r>
    <r>
      <rPr>
        <sz val="8.5"/>
        <rFont val="Calibri"/>
        <family val="2"/>
      </rPr>
      <t>massa</t>
    </r>
  </si>
  <si>
    <r>
      <rPr>
        <sz val="8.5"/>
        <rFont val="Calibri"/>
        <family val="2"/>
      </rPr>
      <t>678,29</t>
    </r>
  </si>
  <si>
    <r>
      <rPr>
        <sz val="8.5"/>
        <rFont val="Calibri"/>
        <family val="2"/>
      </rPr>
      <t>10,16</t>
    </r>
  </si>
  <si>
    <r>
      <rPr>
        <sz val="8.5"/>
        <rFont val="Calibri"/>
        <family val="2"/>
      </rPr>
      <t>688,45</t>
    </r>
  </si>
  <si>
    <r>
      <rPr>
        <sz val="8.5"/>
        <rFont val="Calibri"/>
        <family val="2"/>
      </rPr>
      <t>19.02.080</t>
    </r>
  </si>
  <si>
    <r>
      <rPr>
        <sz val="8.5"/>
        <rFont val="Calibri"/>
        <family val="2"/>
      </rPr>
      <t xml:space="preserve">Revestimento em mármore travertino nacional, espessura de 3 cm,
</t>
    </r>
    <r>
      <rPr>
        <sz val="8.5"/>
        <rFont val="Calibri"/>
        <family val="2"/>
      </rPr>
      <t>assente com massa</t>
    </r>
  </si>
  <si>
    <r>
      <rPr>
        <sz val="8.5"/>
        <rFont val="Calibri"/>
        <family val="2"/>
      </rPr>
      <t>743,88</t>
    </r>
  </si>
  <si>
    <r>
      <rPr>
        <sz val="8.5"/>
        <rFont val="Calibri"/>
        <family val="2"/>
      </rPr>
      <t>754,04</t>
    </r>
  </si>
  <si>
    <r>
      <rPr>
        <sz val="8.5"/>
        <rFont val="Calibri"/>
        <family val="2"/>
      </rPr>
      <t>19.02.220</t>
    </r>
  </si>
  <si>
    <r>
      <rPr>
        <sz val="8.5"/>
        <rFont val="Calibri"/>
        <family val="2"/>
      </rPr>
      <t>Degrau e espelho em mármore branco, espessura de 2 cm</t>
    </r>
  </si>
  <si>
    <r>
      <rPr>
        <sz val="8.5"/>
        <rFont val="Calibri"/>
        <family val="2"/>
      </rPr>
      <t>289,79</t>
    </r>
  </si>
  <si>
    <r>
      <rPr>
        <sz val="8.5"/>
        <rFont val="Calibri"/>
        <family val="2"/>
      </rPr>
      <t>5,08</t>
    </r>
  </si>
  <si>
    <r>
      <rPr>
        <sz val="8.5"/>
        <rFont val="Calibri"/>
        <family val="2"/>
      </rPr>
      <t>294,87</t>
    </r>
  </si>
  <si>
    <r>
      <rPr>
        <sz val="8.5"/>
        <rFont val="Calibri"/>
        <family val="2"/>
      </rPr>
      <t>19.02.240</t>
    </r>
  </si>
  <si>
    <r>
      <rPr>
        <sz val="8.5"/>
        <rFont val="Calibri"/>
        <family val="2"/>
      </rPr>
      <t>Degrau e espelho em mármore travertino nacional, espessura de 2 cm</t>
    </r>
  </si>
  <si>
    <r>
      <rPr>
        <sz val="8.5"/>
        <rFont val="Calibri"/>
        <family val="2"/>
      </rPr>
      <t>302,01</t>
    </r>
  </si>
  <si>
    <r>
      <rPr>
        <sz val="8.5"/>
        <rFont val="Calibri"/>
        <family val="2"/>
      </rPr>
      <t>307,09</t>
    </r>
  </si>
  <si>
    <r>
      <rPr>
        <sz val="8.5"/>
        <rFont val="Calibri"/>
        <family val="2"/>
      </rPr>
      <t>19.02.250</t>
    </r>
  </si>
  <si>
    <r>
      <rPr>
        <sz val="8.5"/>
        <rFont val="Calibri"/>
        <family val="2"/>
      </rPr>
      <t>Rodapé em mármore branco, espessura de 2 cm e altura de 7 cm</t>
    </r>
  </si>
  <si>
    <r>
      <rPr>
        <sz val="8.5"/>
        <rFont val="Calibri"/>
        <family val="2"/>
      </rPr>
      <t>43,77</t>
    </r>
  </si>
  <si>
    <r>
      <rPr>
        <sz val="8.5"/>
        <rFont val="Calibri"/>
        <family val="2"/>
      </rPr>
      <t>45,22</t>
    </r>
  </si>
  <si>
    <r>
      <rPr>
        <sz val="8.5"/>
        <rFont val="Calibri"/>
        <family val="2"/>
      </rPr>
      <t>Pedra</t>
    </r>
  </si>
  <si>
    <r>
      <rPr>
        <sz val="8.5"/>
        <rFont val="Calibri"/>
        <family val="2"/>
      </rPr>
      <t>19.03.020</t>
    </r>
  </si>
  <si>
    <r>
      <rPr>
        <sz val="8.5"/>
        <rFont val="Calibri"/>
        <family val="2"/>
      </rPr>
      <t>Revestimento em pedra tipo arenito comum</t>
    </r>
  </si>
  <si>
    <r>
      <rPr>
        <sz val="8.5"/>
        <rFont val="Calibri"/>
        <family val="2"/>
      </rPr>
      <t>204,56</t>
    </r>
  </si>
  <si>
    <r>
      <rPr>
        <sz val="8.5"/>
        <rFont val="Calibri"/>
        <family val="2"/>
      </rPr>
      <t>227,79</t>
    </r>
  </si>
  <si>
    <r>
      <rPr>
        <sz val="8.5"/>
        <rFont val="Calibri"/>
        <family val="2"/>
      </rPr>
      <t>19.03.060</t>
    </r>
  </si>
  <si>
    <r>
      <rPr>
        <sz val="8.5"/>
        <rFont val="Calibri"/>
        <family val="2"/>
      </rPr>
      <t>Revestimento em pedra mineira comum</t>
    </r>
  </si>
  <si>
    <r>
      <rPr>
        <sz val="8.5"/>
        <rFont val="Calibri"/>
        <family val="2"/>
      </rPr>
      <t>298,64</t>
    </r>
  </si>
  <si>
    <r>
      <rPr>
        <sz val="8.5"/>
        <rFont val="Calibri"/>
        <family val="2"/>
      </rPr>
      <t>321,87</t>
    </r>
  </si>
  <si>
    <r>
      <rPr>
        <sz val="8.5"/>
        <rFont val="Calibri"/>
        <family val="2"/>
      </rPr>
      <t>19.03.090</t>
    </r>
  </si>
  <si>
    <r>
      <rPr>
        <sz val="8.5"/>
        <rFont val="Calibri"/>
        <family val="2"/>
      </rPr>
      <t>Revestimento em pedra Miracema</t>
    </r>
  </si>
  <si>
    <r>
      <rPr>
        <sz val="8.5"/>
        <rFont val="Calibri"/>
        <family val="2"/>
      </rPr>
      <t>76,95</t>
    </r>
  </si>
  <si>
    <r>
      <rPr>
        <sz val="8.5"/>
        <rFont val="Calibri"/>
        <family val="2"/>
      </rPr>
      <t>18,21</t>
    </r>
  </si>
  <si>
    <r>
      <rPr>
        <sz val="8.5"/>
        <rFont val="Calibri"/>
        <family val="2"/>
      </rPr>
      <t>95,16</t>
    </r>
  </si>
  <si>
    <r>
      <rPr>
        <sz val="8.5"/>
        <rFont val="Calibri"/>
        <family val="2"/>
      </rPr>
      <t>19.03.100</t>
    </r>
  </si>
  <si>
    <r>
      <rPr>
        <sz val="8.5"/>
        <rFont val="Calibri"/>
        <family val="2"/>
      </rPr>
      <t>Rodapé em pedra Miracema, altura de 5,75 cm</t>
    </r>
  </si>
  <si>
    <r>
      <rPr>
        <sz val="8.5"/>
        <rFont val="Calibri"/>
        <family val="2"/>
      </rPr>
      <t>2,48</t>
    </r>
  </si>
  <si>
    <r>
      <rPr>
        <sz val="8.5"/>
        <rFont val="Calibri"/>
        <family val="2"/>
      </rPr>
      <t>19,61</t>
    </r>
  </si>
  <si>
    <r>
      <rPr>
        <sz val="8.5"/>
        <rFont val="Calibri"/>
        <family val="2"/>
      </rPr>
      <t>22,09</t>
    </r>
  </si>
  <si>
    <r>
      <rPr>
        <sz val="8.5"/>
        <rFont val="Calibri"/>
        <family val="2"/>
      </rPr>
      <t>19.03.110</t>
    </r>
  </si>
  <si>
    <r>
      <rPr>
        <sz val="8.5"/>
        <rFont val="Calibri"/>
        <family val="2"/>
      </rPr>
      <t>Rodapé em pedra Miracema, altura de 11,5 cm</t>
    </r>
  </si>
  <si>
    <r>
      <rPr>
        <sz val="8.5"/>
        <rFont val="Calibri"/>
        <family val="2"/>
      </rPr>
      <t>5,01</t>
    </r>
  </si>
  <si>
    <r>
      <rPr>
        <sz val="8.5"/>
        <rFont val="Calibri"/>
        <family val="2"/>
      </rPr>
      <t>29,26</t>
    </r>
  </si>
  <si>
    <r>
      <rPr>
        <sz val="8.5"/>
        <rFont val="Calibri"/>
        <family val="2"/>
      </rPr>
      <t>34,27</t>
    </r>
  </si>
  <si>
    <r>
      <rPr>
        <sz val="8.5"/>
        <rFont val="Calibri"/>
        <family val="2"/>
      </rPr>
      <t>19.03.220</t>
    </r>
  </si>
  <si>
    <r>
      <rPr>
        <sz val="8.5"/>
        <rFont val="Calibri"/>
        <family val="2"/>
      </rPr>
      <t>Rodapé em pedra mineira simples, altura de 10 cm</t>
    </r>
  </si>
  <si>
    <r>
      <rPr>
        <sz val="8.5"/>
        <rFont val="Calibri"/>
        <family val="2"/>
      </rPr>
      <t>81,28</t>
    </r>
  </si>
  <si>
    <r>
      <rPr>
        <sz val="8.5"/>
        <rFont val="Calibri"/>
        <family val="2"/>
      </rPr>
      <t>82,73</t>
    </r>
  </si>
  <si>
    <r>
      <rPr>
        <sz val="8.5"/>
        <rFont val="Calibri"/>
        <family val="2"/>
      </rPr>
      <t>19.03.260</t>
    </r>
  </si>
  <si>
    <r>
      <rPr>
        <sz val="8.5"/>
        <rFont val="Calibri"/>
        <family val="2"/>
      </rPr>
      <t>Revestimento em pedra ardósia selecionada</t>
    </r>
  </si>
  <si>
    <r>
      <rPr>
        <sz val="8.5"/>
        <rFont val="Calibri"/>
        <family val="2"/>
      </rPr>
      <t>87,29</t>
    </r>
  </si>
  <si>
    <r>
      <rPr>
        <sz val="8.5"/>
        <rFont val="Calibri"/>
        <family val="2"/>
      </rPr>
      <t>18,68</t>
    </r>
  </si>
  <si>
    <r>
      <rPr>
        <sz val="8.5"/>
        <rFont val="Calibri"/>
        <family val="2"/>
      </rPr>
      <t>105,97</t>
    </r>
  </si>
  <si>
    <r>
      <rPr>
        <sz val="8.5"/>
        <rFont val="Calibri"/>
        <family val="2"/>
      </rPr>
      <t>19.03.270</t>
    </r>
  </si>
  <si>
    <r>
      <rPr>
        <sz val="8.5"/>
        <rFont val="Calibri"/>
        <family val="2"/>
      </rPr>
      <t>Rodapé em pedra ardósia, altura de 7 cm</t>
    </r>
  </si>
  <si>
    <r>
      <rPr>
        <sz val="8.5"/>
        <rFont val="Calibri"/>
        <family val="2"/>
      </rPr>
      <t>17,90</t>
    </r>
  </si>
  <si>
    <r>
      <rPr>
        <sz val="8.5"/>
        <rFont val="Calibri"/>
        <family val="2"/>
      </rPr>
      <t>4,98</t>
    </r>
  </si>
  <si>
    <r>
      <rPr>
        <sz val="8.5"/>
        <rFont val="Calibri"/>
        <family val="2"/>
      </rPr>
      <t>22,88</t>
    </r>
  </si>
  <si>
    <r>
      <rPr>
        <sz val="8.5"/>
        <rFont val="Calibri"/>
        <family val="2"/>
      </rPr>
      <t>19.03.290</t>
    </r>
  </si>
  <si>
    <r>
      <rPr>
        <sz val="8.5"/>
        <rFont val="Calibri"/>
        <family val="2"/>
      </rPr>
      <t>Peitoril e/ou soleira em ardósia, espessura de 2 cm e largura até 20 cm</t>
    </r>
  </si>
  <si>
    <r>
      <rPr>
        <sz val="8.5"/>
        <rFont val="Calibri"/>
        <family val="2"/>
      </rPr>
      <t>82,81</t>
    </r>
  </si>
  <si>
    <r>
      <rPr>
        <sz val="8.5"/>
        <rFont val="Calibri"/>
        <family val="2"/>
      </rPr>
      <t>85,71</t>
    </r>
  </si>
  <si>
    <r>
      <rPr>
        <sz val="8.5"/>
        <rFont val="Calibri"/>
        <family val="2"/>
      </rPr>
      <t>Reparos, conservacoes e complementos - GRUPO 19</t>
    </r>
  </si>
  <si>
    <r>
      <rPr>
        <sz val="8.5"/>
        <rFont val="Calibri"/>
        <family val="2"/>
      </rPr>
      <t>19.20.020</t>
    </r>
  </si>
  <si>
    <r>
      <rPr>
        <sz val="8.5"/>
        <rFont val="Calibri"/>
        <family val="2"/>
      </rPr>
      <t>Recolocação de mármore, pedras e granitos, assentes com massa</t>
    </r>
  </si>
  <si>
    <r>
      <rPr>
        <sz val="8.5"/>
        <rFont val="Calibri"/>
        <family val="2"/>
      </rPr>
      <t>9,16</t>
    </r>
  </si>
  <si>
    <r>
      <rPr>
        <sz val="8.5"/>
        <rFont val="Calibri"/>
        <family val="2"/>
      </rPr>
      <t>37,34</t>
    </r>
  </si>
  <si>
    <r>
      <rPr>
        <sz val="8.5"/>
        <rFont val="Calibri"/>
        <family val="2"/>
      </rPr>
      <t>46,50</t>
    </r>
  </si>
  <si>
    <r>
      <rPr>
        <sz val="8.5"/>
        <rFont val="Calibri"/>
        <family val="2"/>
      </rPr>
      <t>REVESTIMENTO EM MADEIRA</t>
    </r>
  </si>
  <si>
    <r>
      <rPr>
        <sz val="8.5"/>
        <rFont val="Calibri"/>
        <family val="2"/>
      </rPr>
      <t>Lambris de madeira</t>
    </r>
  </si>
  <si>
    <r>
      <rPr>
        <sz val="8.5"/>
        <rFont val="Calibri"/>
        <family val="2"/>
      </rPr>
      <t>20.01.040</t>
    </r>
  </si>
  <si>
    <r>
      <rPr>
        <sz val="8.5"/>
        <rFont val="Calibri"/>
        <family val="2"/>
      </rPr>
      <t>Lambril em madeira macho/fêmea tarugado, exceto pinus</t>
    </r>
  </si>
  <si>
    <r>
      <rPr>
        <sz val="8.5"/>
        <rFont val="Calibri"/>
        <family val="2"/>
      </rPr>
      <t>55,61</t>
    </r>
  </si>
  <si>
    <r>
      <rPr>
        <sz val="8.5"/>
        <rFont val="Calibri"/>
        <family val="2"/>
      </rPr>
      <t>49,69</t>
    </r>
  </si>
  <si>
    <r>
      <rPr>
        <sz val="8.5"/>
        <rFont val="Calibri"/>
        <family val="2"/>
      </rPr>
      <t>105,30</t>
    </r>
  </si>
  <si>
    <r>
      <rPr>
        <sz val="8.5"/>
        <rFont val="Calibri"/>
        <family val="2"/>
      </rPr>
      <t>Soalho de madeira</t>
    </r>
  </si>
  <si>
    <r>
      <rPr>
        <sz val="8.5"/>
        <rFont val="Calibri"/>
        <family val="2"/>
      </rPr>
      <t>20.03.010</t>
    </r>
  </si>
  <si>
    <r>
      <rPr>
        <sz val="8.5"/>
        <rFont val="Calibri"/>
        <family val="2"/>
      </rPr>
      <t>Soalho em tábua de madeira aparelhada</t>
    </r>
  </si>
  <si>
    <r>
      <rPr>
        <sz val="8.5"/>
        <rFont val="Calibri"/>
        <family val="2"/>
      </rPr>
      <t>508,72</t>
    </r>
  </si>
  <si>
    <r>
      <rPr>
        <sz val="8.5"/>
        <rFont val="Calibri"/>
        <family val="2"/>
      </rPr>
      <t>Tacos</t>
    </r>
  </si>
  <si>
    <r>
      <rPr>
        <sz val="8.5"/>
        <rFont val="Calibri"/>
        <family val="2"/>
      </rPr>
      <t>20.04.020</t>
    </r>
  </si>
  <si>
    <r>
      <rPr>
        <sz val="8.5"/>
        <rFont val="Calibri"/>
        <family val="2"/>
      </rPr>
      <t>Piso em tacos de Ipê colado</t>
    </r>
  </si>
  <si>
    <r>
      <rPr>
        <sz val="8.5"/>
        <rFont val="Calibri"/>
        <family val="2"/>
      </rPr>
      <t>227,97</t>
    </r>
  </si>
  <si>
    <r>
      <rPr>
        <sz val="8.5"/>
        <rFont val="Calibri"/>
        <family val="2"/>
      </rPr>
      <t>16,33</t>
    </r>
  </si>
  <si>
    <r>
      <rPr>
        <sz val="8.5"/>
        <rFont val="Calibri"/>
        <family val="2"/>
      </rPr>
      <t>244,30</t>
    </r>
  </si>
  <si>
    <r>
      <rPr>
        <sz val="8.5"/>
        <rFont val="Calibri"/>
        <family val="2"/>
      </rPr>
      <t>Rodape de madeira</t>
    </r>
  </si>
  <si>
    <r>
      <rPr>
        <sz val="8.5"/>
        <rFont val="Calibri"/>
        <family val="2"/>
      </rPr>
      <t>20.10.040</t>
    </r>
  </si>
  <si>
    <r>
      <rPr>
        <sz val="8.5"/>
        <rFont val="Calibri"/>
        <family val="2"/>
      </rPr>
      <t>Rodapé de madeira de 7 x 1,5 cm</t>
    </r>
  </si>
  <si>
    <r>
      <rPr>
        <sz val="8.5"/>
        <rFont val="Calibri"/>
        <family val="2"/>
      </rPr>
      <t>17,76</t>
    </r>
  </si>
  <si>
    <r>
      <rPr>
        <sz val="8.5"/>
        <rFont val="Calibri"/>
        <family val="2"/>
      </rPr>
      <t>10,84</t>
    </r>
  </si>
  <si>
    <r>
      <rPr>
        <sz val="8.5"/>
        <rFont val="Calibri"/>
        <family val="2"/>
      </rPr>
      <t>28,60</t>
    </r>
  </si>
  <si>
    <r>
      <rPr>
        <sz val="8.5"/>
        <rFont val="Calibri"/>
        <family val="2"/>
      </rPr>
      <t>20.10.120</t>
    </r>
  </si>
  <si>
    <r>
      <rPr>
        <sz val="8.5"/>
        <rFont val="Calibri"/>
        <family val="2"/>
      </rPr>
      <t>Cordão de madeira</t>
    </r>
  </si>
  <si>
    <r>
      <rPr>
        <sz val="8.5"/>
        <rFont val="Calibri"/>
        <family val="2"/>
      </rPr>
      <t>6,40</t>
    </r>
  </si>
  <si>
    <r>
      <rPr>
        <sz val="8.5"/>
        <rFont val="Calibri"/>
        <family val="2"/>
      </rPr>
      <t>2,65</t>
    </r>
  </si>
  <si>
    <r>
      <rPr>
        <sz val="8.5"/>
        <rFont val="Calibri"/>
        <family val="2"/>
      </rPr>
      <t>9,05</t>
    </r>
  </si>
  <si>
    <r>
      <rPr>
        <sz val="8.5"/>
        <rFont val="Calibri"/>
        <family val="2"/>
      </rPr>
      <t>Reparos, conservacoes e complementos - GRUPO 20</t>
    </r>
  </si>
  <si>
    <r>
      <rPr>
        <sz val="8.5"/>
        <rFont val="Calibri"/>
        <family val="2"/>
      </rPr>
      <t>20.20.020</t>
    </r>
  </si>
  <si>
    <r>
      <rPr>
        <sz val="8.5"/>
        <rFont val="Calibri"/>
        <family val="2"/>
      </rPr>
      <t>Recolocação de soalho em madeira</t>
    </r>
  </si>
  <si>
    <r>
      <rPr>
        <sz val="8.5"/>
        <rFont val="Calibri"/>
        <family val="2"/>
      </rPr>
      <t>20.20.040</t>
    </r>
  </si>
  <si>
    <r>
      <rPr>
        <sz val="8.5"/>
        <rFont val="Calibri"/>
        <family val="2"/>
      </rPr>
      <t>Recolocação de tacos soltos com cola</t>
    </r>
  </si>
  <si>
    <r>
      <rPr>
        <sz val="8.5"/>
        <rFont val="Calibri"/>
        <family val="2"/>
      </rPr>
      <t>37,57</t>
    </r>
  </si>
  <si>
    <r>
      <rPr>
        <sz val="8.5"/>
        <rFont val="Calibri"/>
        <family val="2"/>
      </rPr>
      <t>20.20.100</t>
    </r>
  </si>
  <si>
    <r>
      <rPr>
        <sz val="8.5"/>
        <rFont val="Calibri"/>
        <family val="2"/>
      </rPr>
      <t>Recolocação de rodapé e cordão de madeira</t>
    </r>
  </si>
  <si>
    <r>
      <rPr>
        <sz val="8.5"/>
        <rFont val="Calibri"/>
        <family val="2"/>
      </rPr>
      <t>8,19</t>
    </r>
  </si>
  <si>
    <r>
      <rPr>
        <sz val="8.5"/>
        <rFont val="Calibri"/>
        <family val="2"/>
      </rPr>
      <t>8,86</t>
    </r>
  </si>
  <si>
    <r>
      <rPr>
        <sz val="8.5"/>
        <rFont val="Calibri"/>
        <family val="2"/>
      </rPr>
      <t>20.20.202</t>
    </r>
  </si>
  <si>
    <r>
      <rPr>
        <sz val="8.5"/>
        <rFont val="Calibri"/>
        <family val="2"/>
      </rPr>
      <t>Raspagem com calafetação e aplicação de verniz</t>
    </r>
  </si>
  <si>
    <r>
      <rPr>
        <sz val="8.5"/>
        <rFont val="Calibri"/>
        <family val="2"/>
      </rPr>
      <t>20.20.220</t>
    </r>
  </si>
  <si>
    <r>
      <rPr>
        <sz val="8.5"/>
        <rFont val="Calibri"/>
        <family val="2"/>
      </rPr>
      <t>Raspagem com calafetação e aplicação de cera</t>
    </r>
  </si>
  <si>
    <r>
      <rPr>
        <sz val="8.5"/>
        <rFont val="Calibri"/>
        <family val="2"/>
      </rPr>
      <t>59,27</t>
    </r>
  </si>
  <si>
    <r>
      <rPr>
        <sz val="8.5"/>
        <rFont val="Calibri"/>
        <family val="2"/>
      </rPr>
      <t>REVESTIMENTO SINTETICO E METALICO</t>
    </r>
  </si>
  <si>
    <r>
      <rPr>
        <sz val="8.5"/>
        <rFont val="Calibri"/>
        <family val="2"/>
      </rPr>
      <t>Revestimento em borracha</t>
    </r>
  </si>
  <si>
    <r>
      <rPr>
        <sz val="8.5"/>
        <rFont val="Calibri"/>
        <family val="2"/>
      </rPr>
      <t>21.01.100</t>
    </r>
  </si>
  <si>
    <r>
      <rPr>
        <sz val="8.5"/>
        <rFont val="Calibri"/>
        <family val="2"/>
      </rPr>
      <t>Revestimento em borracha sintética preta, espessura de 4 mm - colado</t>
    </r>
  </si>
  <si>
    <r>
      <rPr>
        <sz val="8.5"/>
        <rFont val="Calibri"/>
        <family val="2"/>
      </rPr>
      <t>66,51</t>
    </r>
  </si>
  <si>
    <r>
      <rPr>
        <sz val="8.5"/>
        <rFont val="Calibri"/>
        <family val="2"/>
      </rPr>
      <t>7,40</t>
    </r>
  </si>
  <si>
    <r>
      <rPr>
        <sz val="8.5"/>
        <rFont val="Calibri"/>
        <family val="2"/>
      </rPr>
      <t>73,91</t>
    </r>
  </si>
  <si>
    <r>
      <rPr>
        <sz val="8.5"/>
        <rFont val="Calibri"/>
        <family val="2"/>
      </rPr>
      <t>21.01.160</t>
    </r>
  </si>
  <si>
    <r>
      <rPr>
        <sz val="8.5"/>
        <rFont val="Calibri"/>
        <family val="2"/>
      </rPr>
      <t>Revestimento em grama sintética, com espessura de 20 a 32 mm</t>
    </r>
  </si>
  <si>
    <r>
      <rPr>
        <sz val="8.5"/>
        <rFont val="Calibri"/>
        <family val="2"/>
      </rPr>
      <t>52,87</t>
    </r>
  </si>
  <si>
    <r>
      <rPr>
        <sz val="8.5"/>
        <rFont val="Calibri"/>
        <family val="2"/>
      </rPr>
      <t>Revestimento vinilico</t>
    </r>
  </si>
  <si>
    <r>
      <rPr>
        <sz val="8.5"/>
        <rFont val="Calibri"/>
        <family val="2"/>
      </rPr>
      <t>21.02.050</t>
    </r>
  </si>
  <si>
    <r>
      <rPr>
        <sz val="8.5"/>
        <rFont val="Calibri"/>
        <family val="2"/>
      </rPr>
      <t xml:space="preserve">Revestimento vinílico, espessura de 2 mm, para tráfego médio,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</si>
  <si>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112,45</t>
    </r>
  </si>
  <si>
    <r>
      <rPr>
        <sz val="8.5"/>
        <rFont val="Calibri"/>
        <family val="2"/>
      </rPr>
      <t>16,42</t>
    </r>
  </si>
  <si>
    <r>
      <rPr>
        <sz val="8.5"/>
        <rFont val="Calibri"/>
        <family val="2"/>
      </rPr>
      <t>128,87</t>
    </r>
  </si>
  <si>
    <r>
      <rPr>
        <sz val="8.5"/>
        <rFont val="Calibri"/>
        <family val="2"/>
      </rPr>
      <t>21.02.060</t>
    </r>
  </si>
  <si>
    <r>
      <rPr>
        <sz val="8.5"/>
        <rFont val="Calibri"/>
        <family val="2"/>
      </rPr>
      <t xml:space="preserve">Revestimento vinílico, espessura de 3,2 mm, para tráfego intenso,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</si>
  <si>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175,15</t>
    </r>
  </si>
  <si>
    <r>
      <rPr>
        <sz val="8.5"/>
        <rFont val="Calibri"/>
        <family val="2"/>
      </rPr>
      <t>191,57</t>
    </r>
  </si>
  <si>
    <r>
      <rPr>
        <sz val="8.5"/>
        <rFont val="Calibri"/>
        <family val="2"/>
      </rPr>
      <t>21.02.071</t>
    </r>
  </si>
  <si>
    <r>
      <rPr>
        <sz val="8.5"/>
        <rFont val="Calibri"/>
        <family val="2"/>
      </rPr>
      <t xml:space="preserve">Revestimento vinílico em manta, espessura total de 2mm, resistente a
</t>
    </r>
    <r>
      <rPr>
        <sz val="8.5"/>
        <rFont val="Calibri"/>
        <family val="2"/>
      </rPr>
      <t>lavagem com hipoclorito</t>
    </r>
  </si>
  <si>
    <r>
      <rPr>
        <sz val="8.5"/>
        <rFont val="Calibri"/>
        <family val="2"/>
      </rPr>
      <t>210,47</t>
    </r>
  </si>
  <si>
    <r>
      <rPr>
        <sz val="8.5"/>
        <rFont val="Calibri"/>
        <family val="2"/>
      </rPr>
      <t>21.02.271</t>
    </r>
  </si>
  <si>
    <r>
      <rPr>
        <sz val="8.5"/>
        <rFont val="Calibri"/>
        <family val="2"/>
      </rPr>
      <t xml:space="preserve">Revestimento vinílico em manta heterogênea, espessura de 2 mm,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</si>
  <si>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139,75</t>
    </r>
  </si>
  <si>
    <r>
      <rPr>
        <sz val="8.5"/>
        <rFont val="Calibri"/>
        <family val="2"/>
      </rPr>
      <t>156,17</t>
    </r>
  </si>
  <si>
    <r>
      <rPr>
        <sz val="8.5"/>
        <rFont val="Calibri"/>
        <family val="2"/>
      </rPr>
      <t>21.02.281</t>
    </r>
  </si>
  <si>
    <r>
      <rPr>
        <sz val="8.5"/>
        <rFont val="Calibri"/>
        <family val="2"/>
      </rPr>
      <t xml:space="preserve">Revestimento vinílico flexível em manta homogênea, espessura de 2
</t>
    </r>
    <r>
      <rPr>
        <sz val="8.5"/>
        <rFont val="Calibri"/>
        <family val="2"/>
      </rPr>
      <t>mm, com impermeabilizante acrílico</t>
    </r>
  </si>
  <si>
    <r>
      <rPr>
        <sz val="8.5"/>
        <rFont val="Calibri"/>
        <family val="2"/>
      </rPr>
      <t>299,95</t>
    </r>
  </si>
  <si>
    <r>
      <rPr>
        <sz val="8.5"/>
        <rFont val="Calibri"/>
        <family val="2"/>
      </rPr>
      <t>316,37</t>
    </r>
  </si>
  <si>
    <r>
      <rPr>
        <sz val="8.5"/>
        <rFont val="Calibri"/>
        <family val="2"/>
      </rPr>
      <t>21.02.291</t>
    </r>
  </si>
  <si>
    <r>
      <rPr>
        <sz val="8.5"/>
        <rFont val="Calibri"/>
        <family val="2"/>
      </rPr>
      <t xml:space="preserve">Revestimento vinílico heterogêneo flexível em réguas, espessura de 3
</t>
    </r>
    <r>
      <rPr>
        <sz val="8.5"/>
        <rFont val="Calibri"/>
        <family val="2"/>
      </rPr>
      <t>mm, com impermeabilizante acrílico</t>
    </r>
  </si>
  <si>
    <r>
      <rPr>
        <sz val="8.5"/>
        <rFont val="Calibri"/>
        <family val="2"/>
      </rPr>
      <t>184,41</t>
    </r>
  </si>
  <si>
    <r>
      <rPr>
        <sz val="8.5"/>
        <rFont val="Calibri"/>
        <family val="2"/>
      </rPr>
      <t>200,83</t>
    </r>
  </si>
  <si>
    <r>
      <rPr>
        <sz val="8.5"/>
        <rFont val="Calibri"/>
        <family val="2"/>
      </rPr>
      <t>21.02.310</t>
    </r>
  </si>
  <si>
    <r>
      <rPr>
        <sz val="8.5"/>
        <rFont val="Calibri"/>
        <family val="2"/>
      </rPr>
      <t xml:space="preserve">Revestimento vinílico autoportante acústico, espessura de 4,5 mm,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</si>
  <si>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452,30</t>
    </r>
  </si>
  <si>
    <r>
      <rPr>
        <sz val="8.5"/>
        <rFont val="Calibri"/>
        <family val="2"/>
      </rPr>
      <t>468,72</t>
    </r>
  </si>
  <si>
    <r>
      <rPr>
        <sz val="8.5"/>
        <rFont val="Calibri"/>
        <family val="2"/>
      </rPr>
      <t>21.02.311</t>
    </r>
  </si>
  <si>
    <r>
      <rPr>
        <sz val="8.5"/>
        <rFont val="Calibri"/>
        <family val="2"/>
      </rPr>
      <t xml:space="preserve">Revestimento vinílico autoportante, espessura de 4 mm,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</si>
  <si>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324,38</t>
    </r>
  </si>
  <si>
    <r>
      <rPr>
        <sz val="8.5"/>
        <rFont val="Calibri"/>
        <family val="2"/>
      </rPr>
      <t>340,80</t>
    </r>
  </si>
  <si>
    <r>
      <rPr>
        <sz val="8.5"/>
        <rFont val="Calibri"/>
        <family val="2"/>
      </rPr>
      <t>21.02.320</t>
    </r>
  </si>
  <si>
    <r>
      <rPr>
        <sz val="8.5"/>
        <rFont val="Calibri"/>
        <family val="2"/>
      </rPr>
      <t xml:space="preserve">Revestimento vinílico antiestático acústico, espessura de 5 mm,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</si>
  <si>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287,75</t>
    </r>
  </si>
  <si>
    <r>
      <rPr>
        <sz val="8.5"/>
        <rFont val="Calibri"/>
        <family val="2"/>
      </rPr>
      <t>33,33</t>
    </r>
  </si>
  <si>
    <r>
      <rPr>
        <sz val="8.5"/>
        <rFont val="Calibri"/>
        <family val="2"/>
      </rPr>
      <t>321,08</t>
    </r>
  </si>
  <si>
    <r>
      <rPr>
        <sz val="8.5"/>
        <rFont val="Calibri"/>
        <family val="2"/>
      </rPr>
      <t>Revestimento metalico</t>
    </r>
  </si>
  <si>
    <r>
      <rPr>
        <sz val="8.5"/>
        <rFont val="Calibri"/>
        <family val="2"/>
      </rPr>
      <t>21.03.010</t>
    </r>
  </si>
  <si>
    <r>
      <rPr>
        <sz val="8.5"/>
        <rFont val="Calibri"/>
        <family val="2"/>
      </rPr>
      <t xml:space="preserve">Revestimento em aço inoxidável AISI 304, liga 18,8, chapa 20, espessura
</t>
    </r>
    <r>
      <rPr>
        <sz val="8.5"/>
        <rFont val="Calibri"/>
        <family val="2"/>
      </rPr>
      <t>de 1 mm, acabamento escovado com grana especial</t>
    </r>
  </si>
  <si>
    <r>
      <rPr>
        <sz val="8.5"/>
        <rFont val="Calibri"/>
        <family val="2"/>
      </rPr>
      <t>1.043,70</t>
    </r>
  </si>
  <si>
    <r>
      <rPr>
        <sz val="8.5"/>
        <rFont val="Calibri"/>
        <family val="2"/>
      </rPr>
      <t>21.03.090</t>
    </r>
  </si>
  <si>
    <r>
      <rPr>
        <sz val="8.5"/>
        <rFont val="Calibri"/>
        <family val="2"/>
      </rPr>
      <t>Piso elevado tipo telescópico em chapa de aço, sem revestimento</t>
    </r>
  </si>
  <si>
    <r>
      <rPr>
        <sz val="8.5"/>
        <rFont val="Calibri"/>
        <family val="2"/>
      </rPr>
      <t>246,45</t>
    </r>
  </si>
  <si>
    <r>
      <rPr>
        <sz val="8.5"/>
        <rFont val="Calibri"/>
        <family val="2"/>
      </rPr>
      <t>21.03.151</t>
    </r>
  </si>
  <si>
    <r>
      <rPr>
        <sz val="8.5"/>
        <rFont val="Calibri"/>
        <family val="2"/>
      </rPr>
      <t xml:space="preserve">Revestimento em placas de alumínio composto "ACM", espessura de 4
</t>
    </r>
    <r>
      <rPr>
        <sz val="8.5"/>
        <rFont val="Calibri"/>
        <family val="2"/>
      </rPr>
      <t>mm e acabamento em PVDF</t>
    </r>
  </si>
  <si>
    <r>
      <rPr>
        <sz val="8.5"/>
        <rFont val="Calibri"/>
        <family val="2"/>
      </rPr>
      <t>662,39</t>
    </r>
  </si>
  <si>
    <r>
      <rPr>
        <sz val="8.5"/>
        <rFont val="Calibri"/>
        <family val="2"/>
      </rPr>
      <t>21.03.152</t>
    </r>
  </si>
  <si>
    <r>
      <rPr>
        <sz val="8.5"/>
        <rFont val="Calibri"/>
        <family val="2"/>
      </rPr>
      <t xml:space="preserve">Revestimento em placas de alumínio composto "ACM", espessura de 4
</t>
    </r>
    <r>
      <rPr>
        <sz val="8.5"/>
        <rFont val="Calibri"/>
        <family val="2"/>
      </rPr>
      <t>mm e acabamento em PVDF, na cor verde</t>
    </r>
  </si>
  <si>
    <r>
      <rPr>
        <sz val="8.5"/>
        <rFont val="Calibri"/>
        <family val="2"/>
      </rPr>
      <t>430,93</t>
    </r>
  </si>
  <si>
    <r>
      <rPr>
        <sz val="8.5"/>
        <rFont val="Calibri"/>
        <family val="2"/>
      </rPr>
      <t>Forracao e carpete</t>
    </r>
  </si>
  <si>
    <r>
      <rPr>
        <sz val="8.5"/>
        <rFont val="Calibri"/>
        <family val="2"/>
      </rPr>
      <t>21.04.100</t>
    </r>
  </si>
  <si>
    <r>
      <rPr>
        <sz val="8.5"/>
        <rFont val="Calibri"/>
        <family val="2"/>
      </rPr>
      <t xml:space="preserve">Revestimento com carpete para tráfego moderado, uso comercial, tipo
</t>
    </r>
    <r>
      <rPr>
        <sz val="8.5"/>
        <rFont val="Calibri"/>
        <family val="2"/>
      </rPr>
      <t>bouclê de 5,4 até 8 mm</t>
    </r>
  </si>
  <si>
    <r>
      <rPr>
        <sz val="8.5"/>
        <rFont val="Calibri"/>
        <family val="2"/>
      </rPr>
      <t>123,14</t>
    </r>
  </si>
  <si>
    <r>
      <rPr>
        <sz val="8.5"/>
        <rFont val="Calibri"/>
        <family val="2"/>
      </rPr>
      <t>21.04.110</t>
    </r>
  </si>
  <si>
    <r>
      <rPr>
        <sz val="8.5"/>
        <rFont val="Calibri"/>
        <family val="2"/>
      </rPr>
      <t xml:space="preserve">Revestimento com carpete para tráfego intenso, uso comercial, tipo
</t>
    </r>
    <r>
      <rPr>
        <sz val="8.5"/>
        <rFont val="Calibri"/>
        <family val="2"/>
      </rPr>
      <t>bouclê de 6 mm</t>
    </r>
  </si>
  <si>
    <r>
      <rPr>
        <sz val="8.5"/>
        <rFont val="Calibri"/>
        <family val="2"/>
      </rPr>
      <t>147,28</t>
    </r>
  </si>
  <si>
    <r>
      <rPr>
        <sz val="8.5"/>
        <rFont val="Calibri"/>
        <family val="2"/>
      </rPr>
      <t>Revestimento em cimento reforcado com fio sintetico (CRFS)</t>
    </r>
  </si>
  <si>
    <r>
      <rPr>
        <sz val="8.5"/>
        <rFont val="Calibri"/>
        <family val="2"/>
      </rPr>
      <t>21.05.010</t>
    </r>
  </si>
  <si>
    <r>
      <rPr>
        <sz val="8.5"/>
        <rFont val="Calibri"/>
        <family val="2"/>
      </rPr>
      <t>Piso em painel com miolo de madeira contraplacado por lâminas de madeira e externamente por chapas em CRFS, espessura de 40 mm</t>
    </r>
  </si>
  <si>
    <r>
      <rPr>
        <sz val="8.5"/>
        <rFont val="Calibri"/>
        <family val="2"/>
      </rPr>
      <t>144,19</t>
    </r>
  </si>
  <si>
    <r>
      <rPr>
        <sz val="8.5"/>
        <rFont val="Calibri"/>
        <family val="2"/>
      </rPr>
      <t>70,02</t>
    </r>
  </si>
  <si>
    <r>
      <rPr>
        <sz val="8.5"/>
        <rFont val="Calibri"/>
        <family val="2"/>
      </rPr>
      <t>214,21</t>
    </r>
  </si>
  <si>
    <r>
      <rPr>
        <sz val="8.5"/>
        <rFont val="Calibri"/>
        <family val="2"/>
      </rPr>
      <t>21.05.100</t>
    </r>
  </si>
  <si>
    <r>
      <rPr>
        <sz val="8.5"/>
        <rFont val="Calibri"/>
        <family val="2"/>
      </rPr>
      <t xml:space="preserve">Piso elevado de concreto em placas de 600 x 600 mm, antiderrapante,
</t>
    </r>
    <r>
      <rPr>
        <sz val="8.5"/>
        <rFont val="Calibri"/>
        <family val="2"/>
      </rPr>
      <t>sem acabamento</t>
    </r>
  </si>
  <si>
    <r>
      <rPr>
        <sz val="8.5"/>
        <rFont val="Calibri"/>
        <family val="2"/>
      </rPr>
      <t>335,32</t>
    </r>
  </si>
  <si>
    <r>
      <rPr>
        <sz val="8.5"/>
        <rFont val="Calibri"/>
        <family val="2"/>
      </rPr>
      <t>Revestimento sintetico</t>
    </r>
  </si>
  <si>
    <r>
      <rPr>
        <sz val="8.5"/>
        <rFont val="Calibri"/>
        <family val="2"/>
      </rPr>
      <t>21.07.010</t>
    </r>
  </si>
  <si>
    <r>
      <rPr>
        <sz val="8.5"/>
        <rFont val="Calibri"/>
        <family val="2"/>
      </rPr>
      <t>Revestimento em laminado melamínico dissipativo</t>
    </r>
  </si>
  <si>
    <r>
      <rPr>
        <sz val="8.5"/>
        <rFont val="Calibri"/>
        <family val="2"/>
      </rPr>
      <t>257,21</t>
    </r>
  </si>
  <si>
    <r>
      <rPr>
        <sz val="8.5"/>
        <rFont val="Calibri"/>
        <family val="2"/>
      </rPr>
      <t>Rodape sintetico</t>
    </r>
  </si>
  <si>
    <r>
      <rPr>
        <sz val="8.5"/>
        <rFont val="Calibri"/>
        <family val="2"/>
      </rPr>
      <t>21.10.050</t>
    </r>
  </si>
  <si>
    <r>
      <rPr>
        <sz val="8.5"/>
        <rFont val="Calibri"/>
        <family val="2"/>
      </rPr>
      <t>Rodapé de poliestireno, espessura de 7 cm</t>
    </r>
  </si>
  <si>
    <r>
      <rPr>
        <sz val="8.5"/>
        <rFont val="Calibri"/>
        <family val="2"/>
      </rPr>
      <t>31,47</t>
    </r>
  </si>
  <si>
    <r>
      <rPr>
        <sz val="8.5"/>
        <rFont val="Calibri"/>
        <family val="2"/>
      </rPr>
      <t>5,66</t>
    </r>
  </si>
  <si>
    <r>
      <rPr>
        <sz val="8.5"/>
        <rFont val="Calibri"/>
        <family val="2"/>
      </rPr>
      <t>37,13</t>
    </r>
  </si>
  <si>
    <r>
      <rPr>
        <sz val="8.5"/>
        <rFont val="Calibri"/>
        <family val="2"/>
      </rPr>
      <t>21.10.051</t>
    </r>
  </si>
  <si>
    <r>
      <rPr>
        <sz val="8.5"/>
        <rFont val="Calibri"/>
        <family val="2"/>
      </rPr>
      <t>Rodapé de poliestireno, espessura de 8 cm</t>
    </r>
  </si>
  <si>
    <r>
      <rPr>
        <sz val="8.5"/>
        <rFont val="Calibri"/>
        <family val="2"/>
      </rPr>
      <t>41,00</t>
    </r>
  </si>
  <si>
    <r>
      <rPr>
        <sz val="8.5"/>
        <rFont val="Calibri"/>
        <family val="2"/>
      </rPr>
      <t>46,66</t>
    </r>
  </si>
  <si>
    <r>
      <rPr>
        <sz val="8.5"/>
        <rFont val="Calibri"/>
        <family val="2"/>
      </rPr>
      <t>21.10.061</t>
    </r>
  </si>
  <si>
    <r>
      <rPr>
        <sz val="8.5"/>
        <rFont val="Calibri"/>
        <family val="2"/>
      </rPr>
      <t xml:space="preserve">Rodapé para piso vinílico em PVC, espessura de 2 mm e altura de 5 cm,
</t>
    </r>
    <r>
      <rPr>
        <sz val="8.5"/>
        <rFont val="Calibri"/>
        <family val="2"/>
      </rPr>
      <t>curvo/plano, com impermeabilizante acrílico</t>
    </r>
  </si>
  <si>
    <r>
      <rPr>
        <sz val="8.5"/>
        <rFont val="Calibri"/>
        <family val="2"/>
      </rPr>
      <t>20,79</t>
    </r>
  </si>
  <si>
    <r>
      <rPr>
        <sz val="8.5"/>
        <rFont val="Calibri"/>
        <family val="2"/>
      </rPr>
      <t>28,19</t>
    </r>
  </si>
  <si>
    <r>
      <rPr>
        <sz val="8.5"/>
        <rFont val="Calibri"/>
        <family val="2"/>
      </rPr>
      <t>21.10.071</t>
    </r>
  </si>
  <si>
    <r>
      <rPr>
        <sz val="8.5"/>
        <rFont val="Calibri"/>
        <family val="2"/>
      </rPr>
      <t xml:space="preserve">Rodapé flexível para piso vinílico em PVC, espessura de 2 mm e altura de
</t>
    </r>
    <r>
      <rPr>
        <sz val="8.5"/>
        <rFont val="Calibri"/>
        <family val="2"/>
      </rPr>
      <t>7,5 cm, curvo/plano, com impermeabilizante acrílico</t>
    </r>
  </si>
  <si>
    <r>
      <rPr>
        <sz val="8.5"/>
        <rFont val="Calibri"/>
        <family val="2"/>
      </rPr>
      <t>26,25</t>
    </r>
  </si>
  <si>
    <r>
      <rPr>
        <sz val="8.5"/>
        <rFont val="Calibri"/>
        <family val="2"/>
      </rPr>
      <t>33,65</t>
    </r>
  </si>
  <si>
    <r>
      <rPr>
        <sz val="8.5"/>
        <rFont val="Calibri"/>
        <family val="2"/>
      </rPr>
      <t>21.10.081</t>
    </r>
  </si>
  <si>
    <r>
      <rPr>
        <sz val="8.5"/>
        <rFont val="Calibri"/>
        <family val="2"/>
      </rPr>
      <t xml:space="preserve">Rodapé hospitalar flexível em PVC para piso vinílico, espessura de 2 mm
</t>
    </r>
    <r>
      <rPr>
        <sz val="8.5"/>
        <rFont val="Calibri"/>
        <family val="2"/>
      </rPr>
      <t>e altura de 7,5 cm, com impermeabilizante acrílico</t>
    </r>
  </si>
  <si>
    <r>
      <rPr>
        <sz val="8.5"/>
        <rFont val="Calibri"/>
        <family val="2"/>
      </rPr>
      <t>39,07</t>
    </r>
  </si>
  <si>
    <r>
      <rPr>
        <sz val="8.5"/>
        <rFont val="Calibri"/>
        <family val="2"/>
      </rPr>
      <t>44,73</t>
    </r>
  </si>
  <si>
    <r>
      <rPr>
        <sz val="8.5"/>
        <rFont val="Calibri"/>
        <family val="2"/>
      </rPr>
      <t>21.10.210</t>
    </r>
  </si>
  <si>
    <r>
      <rPr>
        <sz val="8.5"/>
        <rFont val="Calibri"/>
        <family val="2"/>
      </rPr>
      <t>Rodapé em borracha sintética preta, altura até 7 cm - colado</t>
    </r>
  </si>
  <si>
    <r>
      <rPr>
        <sz val="8.5"/>
        <rFont val="Calibri"/>
        <family val="2"/>
      </rPr>
      <t>12,07</t>
    </r>
  </si>
  <si>
    <r>
      <rPr>
        <sz val="8.5"/>
        <rFont val="Calibri"/>
        <family val="2"/>
      </rPr>
      <t>2,25</t>
    </r>
  </si>
  <si>
    <r>
      <rPr>
        <sz val="8.5"/>
        <rFont val="Calibri"/>
        <family val="2"/>
      </rPr>
      <t>21.10.220</t>
    </r>
  </si>
  <si>
    <r>
      <rPr>
        <sz val="8.5"/>
        <rFont val="Calibri"/>
        <family val="2"/>
      </rPr>
      <t>Rodapé de cordão de poliamida</t>
    </r>
  </si>
  <si>
    <r>
      <rPr>
        <sz val="8.5"/>
        <rFont val="Calibri"/>
        <family val="2"/>
      </rPr>
      <t>7,32</t>
    </r>
  </si>
  <si>
    <r>
      <rPr>
        <sz val="8.5"/>
        <rFont val="Calibri"/>
        <family val="2"/>
      </rPr>
      <t>21.10.250</t>
    </r>
  </si>
  <si>
    <r>
      <rPr>
        <sz val="8.5"/>
        <rFont val="Calibri"/>
        <family val="2"/>
      </rPr>
      <t xml:space="preserve">Rodapé em laminado melamínico dissipativo, espessura de 2 mm e
</t>
    </r>
    <r>
      <rPr>
        <sz val="8.5"/>
        <rFont val="Calibri"/>
        <family val="2"/>
      </rPr>
      <t>altura de 10 cm</t>
    </r>
  </si>
  <si>
    <r>
      <rPr>
        <sz val="8.5"/>
        <rFont val="Calibri"/>
        <family val="2"/>
      </rPr>
      <t>26,95</t>
    </r>
  </si>
  <si>
    <r>
      <rPr>
        <sz val="8.5"/>
        <rFont val="Calibri"/>
        <family val="2"/>
      </rPr>
      <t>Degrau sintetico</t>
    </r>
  </si>
  <si>
    <r>
      <rPr>
        <sz val="8.5"/>
        <rFont val="Calibri"/>
        <family val="2"/>
      </rPr>
      <t>21.11.050</t>
    </r>
  </si>
  <si>
    <r>
      <rPr>
        <sz val="8.5"/>
        <rFont val="Calibri"/>
        <family val="2"/>
      </rPr>
      <t>Degrau (piso e espelho) em borracha sintética preta com testeira - colado</t>
    </r>
  </si>
  <si>
    <r>
      <rPr>
        <sz val="8.5"/>
        <rFont val="Calibri"/>
        <family val="2"/>
      </rPr>
      <t>85,75</t>
    </r>
  </si>
  <si>
    <r>
      <rPr>
        <sz val="8.5"/>
        <rFont val="Calibri"/>
        <family val="2"/>
      </rPr>
      <t>6,11</t>
    </r>
  </si>
  <si>
    <r>
      <rPr>
        <sz val="8.5"/>
        <rFont val="Calibri"/>
        <family val="2"/>
      </rPr>
      <t>91,86</t>
    </r>
  </si>
  <si>
    <r>
      <rPr>
        <sz val="8.5"/>
        <rFont val="Calibri"/>
        <family val="2"/>
      </rPr>
      <t>21.11.131</t>
    </r>
  </si>
  <si>
    <r>
      <rPr>
        <sz val="8.5"/>
        <rFont val="Calibri"/>
        <family val="2"/>
      </rPr>
      <t xml:space="preserve">Testeira flexível para arremate de degrau vinílico em PVC, espessura de 2
</t>
    </r>
    <r>
      <rPr>
        <sz val="8.5"/>
        <rFont val="Calibri"/>
        <family val="2"/>
      </rPr>
      <t>mm, com impermeabilizante acrílico</t>
    </r>
  </si>
  <si>
    <r>
      <rPr>
        <sz val="8.5"/>
        <rFont val="Calibri"/>
        <family val="2"/>
      </rPr>
      <t>34,37</t>
    </r>
  </si>
  <si>
    <r>
      <rPr>
        <sz val="8.5"/>
        <rFont val="Calibri"/>
        <family val="2"/>
      </rPr>
      <t>Reparos, conservacoes e complementos - GRUPO 21</t>
    </r>
  </si>
  <si>
    <r>
      <rPr>
        <sz val="8.5"/>
        <rFont val="Calibri"/>
        <family val="2"/>
      </rPr>
      <t>21.20.020</t>
    </r>
  </si>
  <si>
    <r>
      <rPr>
        <sz val="8.5"/>
        <rFont val="Calibri"/>
        <family val="2"/>
      </rPr>
      <t>Recolocação de piso sintético com cola</t>
    </r>
  </si>
  <si>
    <r>
      <rPr>
        <sz val="8.5"/>
        <rFont val="Calibri"/>
        <family val="2"/>
      </rPr>
      <t>13,14</t>
    </r>
  </si>
  <si>
    <r>
      <rPr>
        <sz val="8.5"/>
        <rFont val="Calibri"/>
        <family val="2"/>
      </rPr>
      <t>21.20.040</t>
    </r>
  </si>
  <si>
    <r>
      <rPr>
        <sz val="8.5"/>
        <rFont val="Calibri"/>
        <family val="2"/>
      </rPr>
      <t>Recolocação de piso sintético argamassado</t>
    </r>
  </si>
  <si>
    <r>
      <rPr>
        <sz val="8.5"/>
        <rFont val="Calibri"/>
        <family val="2"/>
      </rPr>
      <t>3,68</t>
    </r>
  </si>
  <si>
    <r>
      <rPr>
        <sz val="8.5"/>
        <rFont val="Calibri"/>
        <family val="2"/>
      </rPr>
      <t>26,19</t>
    </r>
  </si>
  <si>
    <r>
      <rPr>
        <sz val="8.5"/>
        <rFont val="Calibri"/>
        <family val="2"/>
      </rPr>
      <t>21.20.050</t>
    </r>
  </si>
  <si>
    <r>
      <rPr>
        <sz val="8.5"/>
        <rFont val="Calibri"/>
        <family val="2"/>
      </rPr>
      <t xml:space="preserve">Recolocação de piso elevado telescópico metálico, inclusive estrutura de
</t>
    </r>
    <r>
      <rPr>
        <sz val="8.5"/>
        <rFont val="Calibri"/>
        <family val="2"/>
      </rPr>
      <t>sustentação</t>
    </r>
  </si>
  <si>
    <r>
      <rPr>
        <sz val="8.5"/>
        <rFont val="Calibri"/>
        <family val="2"/>
      </rPr>
      <t>50,51</t>
    </r>
  </si>
  <si>
    <r>
      <rPr>
        <sz val="8.5"/>
        <rFont val="Calibri"/>
        <family val="2"/>
      </rPr>
      <t>21.20.060</t>
    </r>
  </si>
  <si>
    <r>
      <rPr>
        <sz val="8.5"/>
        <rFont val="Calibri"/>
        <family val="2"/>
      </rPr>
      <t>Furação de piso elevado telescópico em chapa de aço</t>
    </r>
  </si>
  <si>
    <r>
      <rPr>
        <sz val="8.5"/>
        <rFont val="Calibri"/>
        <family val="2"/>
      </rPr>
      <t>58,87</t>
    </r>
  </si>
  <si>
    <r>
      <rPr>
        <sz val="8.5"/>
        <rFont val="Calibri"/>
        <family val="2"/>
      </rPr>
      <t>21.20.100</t>
    </r>
  </si>
  <si>
    <r>
      <rPr>
        <sz val="8.5"/>
        <rFont val="Calibri"/>
        <family val="2"/>
      </rPr>
      <t>Recolocação de rodapé e cordões sintéticos</t>
    </r>
  </si>
  <si>
    <r>
      <rPr>
        <sz val="8.5"/>
        <rFont val="Calibri"/>
        <family val="2"/>
      </rPr>
      <t>21.20.300</t>
    </r>
  </si>
  <si>
    <r>
      <rPr>
        <sz val="8.5"/>
        <rFont val="Calibri"/>
        <family val="2"/>
      </rPr>
      <t>Fita adesiva antiderrapante com largura de 5 cm</t>
    </r>
  </si>
  <si>
    <r>
      <rPr>
        <sz val="8.5"/>
        <rFont val="Calibri"/>
        <family val="2"/>
      </rPr>
      <t>12,37</t>
    </r>
  </si>
  <si>
    <r>
      <rPr>
        <sz val="8.5"/>
        <rFont val="Calibri"/>
        <family val="2"/>
      </rPr>
      <t>21,19</t>
    </r>
  </si>
  <si>
    <r>
      <rPr>
        <sz val="8.5"/>
        <rFont val="Calibri"/>
        <family val="2"/>
      </rPr>
      <t>21.20.302</t>
    </r>
  </si>
  <si>
    <r>
      <rPr>
        <sz val="8.5"/>
        <rFont val="Calibri"/>
        <family val="2"/>
      </rPr>
      <t>Fita adesiva antiderrapante fosforescente, alto tráfego, largura de 5 cm</t>
    </r>
  </si>
  <si>
    <r>
      <rPr>
        <sz val="8.5"/>
        <rFont val="Calibri"/>
        <family val="2"/>
      </rPr>
      <t>21,14</t>
    </r>
  </si>
  <si>
    <r>
      <rPr>
        <sz val="8.5"/>
        <rFont val="Calibri"/>
        <family val="2"/>
      </rPr>
      <t>21.20.410</t>
    </r>
  </si>
  <si>
    <r>
      <rPr>
        <sz val="8.5"/>
        <rFont val="Calibri"/>
        <family val="2"/>
      </rPr>
      <t>Cantoneira de sobrepor em PVC de 4 x 4 cm</t>
    </r>
  </si>
  <si>
    <r>
      <rPr>
        <sz val="8.5"/>
        <rFont val="Calibri"/>
        <family val="2"/>
      </rPr>
      <t>48,23</t>
    </r>
  </si>
  <si>
    <r>
      <rPr>
        <sz val="8.5"/>
        <rFont val="Calibri"/>
        <family val="2"/>
      </rPr>
      <t>21.20.460</t>
    </r>
  </si>
  <si>
    <r>
      <rPr>
        <sz val="8.5"/>
        <rFont val="Calibri"/>
        <family val="2"/>
      </rPr>
      <t>Canto externo de acabamento em PVC</t>
    </r>
  </si>
  <si>
    <r>
      <rPr>
        <sz val="8.5"/>
        <rFont val="Calibri"/>
        <family val="2"/>
      </rPr>
      <t>11,91</t>
    </r>
  </si>
  <si>
    <r>
      <rPr>
        <sz val="8.5"/>
        <rFont val="Calibri"/>
        <family val="2"/>
      </rPr>
      <t>21.20.500</t>
    </r>
  </si>
  <si>
    <r>
      <rPr>
        <sz val="8.5"/>
        <rFont val="Calibri"/>
        <family val="2"/>
      </rPr>
      <t>Cantoneira em alumínio antiderrapante de 50 x 30 mm</t>
    </r>
  </si>
  <si>
    <r>
      <rPr>
        <sz val="8.5"/>
        <rFont val="Calibri"/>
        <family val="2"/>
      </rPr>
      <t>30,08</t>
    </r>
  </si>
  <si>
    <r>
      <rPr>
        <sz val="8.5"/>
        <rFont val="Calibri"/>
        <family val="2"/>
      </rPr>
      <t>34,91</t>
    </r>
  </si>
  <si>
    <r>
      <rPr>
        <sz val="8.5"/>
        <rFont val="Calibri"/>
        <family val="2"/>
      </rPr>
      <t>FORRO, BRISE E FACHADA</t>
    </r>
  </si>
  <si>
    <r>
      <rPr>
        <sz val="8.5"/>
        <rFont val="Calibri"/>
        <family val="2"/>
      </rPr>
      <t>Forro de madeira</t>
    </r>
  </si>
  <si>
    <r>
      <rPr>
        <sz val="8.5"/>
        <rFont val="Calibri"/>
        <family val="2"/>
      </rPr>
      <t>22.01.010</t>
    </r>
  </si>
  <si>
    <r>
      <rPr>
        <sz val="8.5"/>
        <rFont val="Calibri"/>
        <family val="2"/>
      </rPr>
      <t>Forro em tábuas aparelhadas macho e fêmea de pinus</t>
    </r>
  </si>
  <si>
    <r>
      <rPr>
        <sz val="8.5"/>
        <rFont val="Calibri"/>
        <family val="2"/>
      </rPr>
      <t>29,22</t>
    </r>
  </si>
  <si>
    <r>
      <rPr>
        <sz val="8.5"/>
        <rFont val="Calibri"/>
        <family val="2"/>
      </rPr>
      <t>48,51</t>
    </r>
  </si>
  <si>
    <r>
      <rPr>
        <sz val="8.5"/>
        <rFont val="Calibri"/>
        <family val="2"/>
      </rPr>
      <t>22.01.020</t>
    </r>
  </si>
  <si>
    <r>
      <rPr>
        <sz val="8.5"/>
        <rFont val="Calibri"/>
        <family val="2"/>
      </rPr>
      <t>Forro em tábuas aparelhadas macho e fêmea de pinus tarugado</t>
    </r>
  </si>
  <si>
    <r>
      <rPr>
        <sz val="8.5"/>
        <rFont val="Calibri"/>
        <family val="2"/>
      </rPr>
      <t>61,65</t>
    </r>
  </si>
  <si>
    <r>
      <rPr>
        <sz val="8.5"/>
        <rFont val="Calibri"/>
        <family val="2"/>
      </rPr>
      <t>100,24</t>
    </r>
  </si>
  <si>
    <r>
      <rPr>
        <sz val="8.5"/>
        <rFont val="Calibri"/>
        <family val="2"/>
      </rPr>
      <t>22.01.080</t>
    </r>
  </si>
  <si>
    <r>
      <rPr>
        <sz val="8.5"/>
        <rFont val="Calibri"/>
        <family val="2"/>
      </rPr>
      <t xml:space="preserve">Forro xadrez em ripas de angelim-vermelho / bacuri / maçaranduba
</t>
    </r>
    <r>
      <rPr>
        <sz val="8.5"/>
        <rFont val="Calibri"/>
        <family val="2"/>
      </rPr>
      <t>tarugado</t>
    </r>
  </si>
  <si>
    <r>
      <rPr>
        <sz val="8.5"/>
        <rFont val="Calibri"/>
        <family val="2"/>
      </rPr>
      <t>97,37</t>
    </r>
  </si>
  <si>
    <r>
      <rPr>
        <sz val="8.5"/>
        <rFont val="Calibri"/>
        <family val="2"/>
      </rPr>
      <t>139,18</t>
    </r>
  </si>
  <si>
    <r>
      <rPr>
        <sz val="8.5"/>
        <rFont val="Calibri"/>
        <family val="2"/>
      </rPr>
      <t>22.01.210</t>
    </r>
  </si>
  <si>
    <r>
      <rPr>
        <sz val="8.5"/>
        <rFont val="Calibri"/>
        <family val="2"/>
      </rPr>
      <t>Testeira em tábua aparelhada, largura até 20 cm</t>
    </r>
  </si>
  <si>
    <r>
      <rPr>
        <sz val="8.5"/>
        <rFont val="Calibri"/>
        <family val="2"/>
      </rPr>
      <t>16,05</t>
    </r>
  </si>
  <si>
    <r>
      <rPr>
        <sz val="8.5"/>
        <rFont val="Calibri"/>
        <family val="2"/>
      </rPr>
      <t>28,92</t>
    </r>
  </si>
  <si>
    <r>
      <rPr>
        <sz val="8.5"/>
        <rFont val="Calibri"/>
        <family val="2"/>
      </rPr>
      <t>22.01.220</t>
    </r>
  </si>
  <si>
    <r>
      <rPr>
        <sz val="8.5"/>
        <rFont val="Calibri"/>
        <family val="2"/>
      </rPr>
      <t xml:space="preserve">Beiral em tábua de angelim-vermelho / bacuri / maçaranduba macho e
</t>
    </r>
    <r>
      <rPr>
        <sz val="8.5"/>
        <rFont val="Calibri"/>
        <family val="2"/>
      </rPr>
      <t>fêmea com tarugamento</t>
    </r>
  </si>
  <si>
    <r>
      <rPr>
        <sz val="8.5"/>
        <rFont val="Calibri"/>
        <family val="2"/>
      </rPr>
      <t>135,40</t>
    </r>
  </si>
  <si>
    <r>
      <rPr>
        <sz val="8.5"/>
        <rFont val="Calibri"/>
        <family val="2"/>
      </rPr>
      <t>173,99</t>
    </r>
  </si>
  <si>
    <r>
      <rPr>
        <sz val="8.5"/>
        <rFont val="Calibri"/>
        <family val="2"/>
      </rPr>
      <t>22.01.240</t>
    </r>
  </si>
  <si>
    <r>
      <rPr>
        <sz val="8.5"/>
        <rFont val="Calibri"/>
        <family val="2"/>
      </rPr>
      <t xml:space="preserve">Beiral em tábua de angelim-vermelho / bacuri / maçaranduba macho e
</t>
    </r>
    <r>
      <rPr>
        <sz val="8.5"/>
        <rFont val="Calibri"/>
        <family val="2"/>
      </rPr>
      <t>fêmea</t>
    </r>
  </si>
  <si>
    <r>
      <rPr>
        <sz val="8.5"/>
        <rFont val="Calibri"/>
        <family val="2"/>
      </rPr>
      <t>104,41</t>
    </r>
  </si>
  <si>
    <r>
      <rPr>
        <sz val="8.5"/>
        <rFont val="Calibri"/>
        <family val="2"/>
      </rPr>
      <t>123,70</t>
    </r>
  </si>
  <si>
    <r>
      <rPr>
        <sz val="8.5"/>
        <rFont val="Calibri"/>
        <family val="2"/>
      </rPr>
      <t>Forro de gesso</t>
    </r>
  </si>
  <si>
    <r>
      <rPr>
        <sz val="8.5"/>
        <rFont val="Calibri"/>
        <family val="2"/>
      </rPr>
      <t>22.02.010</t>
    </r>
  </si>
  <si>
    <r>
      <rPr>
        <sz val="8.5"/>
        <rFont val="Calibri"/>
        <family val="2"/>
      </rPr>
      <t>Forro em placa de gesso liso fixo</t>
    </r>
  </si>
  <si>
    <r>
      <rPr>
        <sz val="8.5"/>
        <rFont val="Calibri"/>
        <family val="2"/>
      </rPr>
      <t>63,18</t>
    </r>
  </si>
  <si>
    <r>
      <rPr>
        <sz val="8.5"/>
        <rFont val="Calibri"/>
        <family val="2"/>
      </rPr>
      <t>22.02.030</t>
    </r>
  </si>
  <si>
    <r>
      <rPr>
        <sz val="8.5"/>
        <rFont val="Calibri"/>
        <family val="2"/>
      </rPr>
      <t>Forro em painéis de gesso acartonado, espessura de 12,5 mm, fixo</t>
    </r>
  </si>
  <si>
    <r>
      <rPr>
        <sz val="8.5"/>
        <rFont val="Calibri"/>
        <family val="2"/>
      </rPr>
      <t>74,60</t>
    </r>
  </si>
  <si>
    <r>
      <rPr>
        <sz val="8.5"/>
        <rFont val="Calibri"/>
        <family val="2"/>
      </rPr>
      <t>22.02.100</t>
    </r>
  </si>
  <si>
    <r>
      <rPr>
        <sz val="8.5"/>
        <rFont val="Calibri"/>
        <family val="2"/>
      </rPr>
      <t>Forro em painéis de gesso acartonado, acabamento liso com película em PVC - 625mm x 1250mm, espessura de 9,5mm, removível</t>
    </r>
  </si>
  <si>
    <r>
      <rPr>
        <sz val="8.5"/>
        <rFont val="Calibri"/>
        <family val="2"/>
      </rPr>
      <t>87,49</t>
    </r>
  </si>
  <si>
    <r>
      <rPr>
        <sz val="8.5"/>
        <rFont val="Calibri"/>
        <family val="2"/>
      </rPr>
      <t>22.02.190</t>
    </r>
  </si>
  <si>
    <r>
      <rPr>
        <sz val="8.5"/>
        <rFont val="Calibri"/>
        <family val="2"/>
      </rPr>
      <t>Forro de gesso removível com película rígida de PVC de 625mm x 625mm</t>
    </r>
  </si>
  <si>
    <r>
      <rPr>
        <sz val="8.5"/>
        <rFont val="Calibri"/>
        <family val="2"/>
      </rPr>
      <t>84,99</t>
    </r>
  </si>
  <si>
    <r>
      <rPr>
        <sz val="8.5"/>
        <rFont val="Calibri"/>
        <family val="2"/>
      </rPr>
      <t>Forro sintetico</t>
    </r>
  </si>
  <si>
    <r>
      <rPr>
        <sz val="8.5"/>
        <rFont val="Calibri"/>
        <family val="2"/>
      </rPr>
      <t>22.03.020</t>
    </r>
  </si>
  <si>
    <r>
      <rPr>
        <sz val="8.5"/>
        <rFont val="Calibri"/>
        <family val="2"/>
      </rPr>
      <t>Forro em lã de vidro revestido em PVC, espessura de 20 mm</t>
    </r>
  </si>
  <si>
    <r>
      <rPr>
        <sz val="8.5"/>
        <rFont val="Calibri"/>
        <family val="2"/>
      </rPr>
      <t>84,27</t>
    </r>
  </si>
  <si>
    <r>
      <rPr>
        <sz val="8.5"/>
        <rFont val="Calibri"/>
        <family val="2"/>
      </rPr>
      <t>22.03.030</t>
    </r>
  </si>
  <si>
    <r>
      <rPr>
        <sz val="8.5"/>
        <rFont val="Calibri"/>
        <family val="2"/>
      </rPr>
      <t>Forro em fibra mineral acústico, revestido em látex</t>
    </r>
  </si>
  <si>
    <r>
      <rPr>
        <sz val="8.5"/>
        <rFont val="Calibri"/>
        <family val="2"/>
      </rPr>
      <t>96,54</t>
    </r>
  </si>
  <si>
    <r>
      <rPr>
        <sz val="8.5"/>
        <rFont val="Calibri"/>
        <family val="2"/>
      </rPr>
      <t>22.03.040</t>
    </r>
  </si>
  <si>
    <r>
      <rPr>
        <sz val="8.5"/>
        <rFont val="Calibri"/>
        <family val="2"/>
      </rPr>
      <t>Forro modular removível em PVC de 618mm x 1243mm</t>
    </r>
  </si>
  <si>
    <r>
      <rPr>
        <sz val="8.5"/>
        <rFont val="Calibri"/>
        <family val="2"/>
      </rPr>
      <t>84,75</t>
    </r>
  </si>
  <si>
    <r>
      <rPr>
        <sz val="8.5"/>
        <rFont val="Calibri"/>
        <family val="2"/>
      </rPr>
      <t>22.03.050</t>
    </r>
  </si>
  <si>
    <r>
      <rPr>
        <sz val="8.5"/>
        <rFont val="Calibri"/>
        <family val="2"/>
      </rPr>
      <t>Forro em fibra mineral revestido em látex</t>
    </r>
  </si>
  <si>
    <r>
      <rPr>
        <sz val="8.5"/>
        <rFont val="Calibri"/>
        <family val="2"/>
      </rPr>
      <t>77,31</t>
    </r>
  </si>
  <si>
    <r>
      <rPr>
        <sz val="8.5"/>
        <rFont val="Calibri"/>
        <family val="2"/>
      </rPr>
      <t>22.03.070</t>
    </r>
  </si>
  <si>
    <r>
      <rPr>
        <sz val="8.5"/>
        <rFont val="Calibri"/>
        <family val="2"/>
      </rPr>
      <t>Forro em lâmina de PVC</t>
    </r>
  </si>
  <si>
    <r>
      <rPr>
        <sz val="8.5"/>
        <rFont val="Calibri"/>
        <family val="2"/>
      </rPr>
      <t>62,69</t>
    </r>
  </si>
  <si>
    <r>
      <rPr>
        <sz val="8.5"/>
        <rFont val="Calibri"/>
        <family val="2"/>
      </rPr>
      <t>22.03.122</t>
    </r>
  </si>
  <si>
    <r>
      <rPr>
        <sz val="8.5"/>
        <rFont val="Calibri"/>
        <family val="2"/>
      </rPr>
      <t xml:space="preserve">Forro em fibra mineral com placas acústicas removíveis de 625mm x
</t>
    </r>
    <r>
      <rPr>
        <sz val="8.5"/>
        <rFont val="Calibri"/>
        <family val="2"/>
      </rPr>
      <t>1250mm</t>
    </r>
  </si>
  <si>
    <r>
      <rPr>
        <sz val="8.5"/>
        <rFont val="Calibri"/>
        <family val="2"/>
      </rPr>
      <t>172,86</t>
    </r>
  </si>
  <si>
    <r>
      <rPr>
        <sz val="8.5"/>
        <rFont val="Calibri"/>
        <family val="2"/>
      </rPr>
      <t>22.03.140</t>
    </r>
  </si>
  <si>
    <r>
      <rPr>
        <sz val="8.5"/>
        <rFont val="Calibri"/>
        <family val="2"/>
      </rPr>
      <t xml:space="preserve">Forro em fibra mineral com placas acústicas removíveis de 625mm x
</t>
    </r>
    <r>
      <rPr>
        <sz val="8.5"/>
        <rFont val="Calibri"/>
        <family val="2"/>
      </rPr>
      <t>625mm</t>
    </r>
  </si>
  <si>
    <r>
      <rPr>
        <sz val="8.5"/>
        <rFont val="Calibri"/>
        <family val="2"/>
      </rPr>
      <t>139,90</t>
    </r>
  </si>
  <si>
    <r>
      <rPr>
        <sz val="8.5"/>
        <rFont val="Calibri"/>
        <family val="2"/>
      </rPr>
      <t>Forro metalico</t>
    </r>
  </si>
  <si>
    <r>
      <rPr>
        <sz val="8.5"/>
        <rFont val="Calibri"/>
        <family val="2"/>
      </rPr>
      <t>22.04.020</t>
    </r>
  </si>
  <si>
    <r>
      <rPr>
        <sz val="8.5"/>
        <rFont val="Calibri"/>
        <family val="2"/>
      </rPr>
      <t>Forro metálico removível, em painéis de 625mm x 625mm, tipo colmeia</t>
    </r>
  </si>
  <si>
    <r>
      <rPr>
        <sz val="8.5"/>
        <rFont val="Calibri"/>
        <family val="2"/>
      </rPr>
      <t>716,22</t>
    </r>
  </si>
  <si>
    <r>
      <rPr>
        <sz val="8.5"/>
        <rFont val="Calibri"/>
        <family val="2"/>
      </rPr>
      <t>Brise-soleil</t>
    </r>
  </si>
  <si>
    <r>
      <rPr>
        <sz val="8.5"/>
        <rFont val="Calibri"/>
        <family val="2"/>
      </rPr>
      <t>22.06.130</t>
    </r>
  </si>
  <si>
    <r>
      <rPr>
        <sz val="8.5"/>
        <rFont val="Calibri"/>
        <family val="2"/>
      </rPr>
      <t>Brise em placa cimentícia, montado em perfil e chapa metálica</t>
    </r>
  </si>
  <si>
    <r>
      <rPr>
        <sz val="8.5"/>
        <rFont val="Calibri"/>
        <family val="2"/>
      </rPr>
      <t>306,45</t>
    </r>
  </si>
  <si>
    <r>
      <rPr>
        <sz val="8.5"/>
        <rFont val="Calibri"/>
        <family val="2"/>
      </rPr>
      <t>401,11</t>
    </r>
  </si>
  <si>
    <r>
      <rPr>
        <sz val="8.5"/>
        <rFont val="Calibri"/>
        <family val="2"/>
      </rPr>
      <t>22.06.240</t>
    </r>
  </si>
  <si>
    <r>
      <rPr>
        <sz val="8.5"/>
        <rFont val="Calibri"/>
        <family val="2"/>
      </rPr>
      <t xml:space="preserve">Brise metálico fixo em chapa lisa aluzinc pré-pintada, formato ogiva,
</t>
    </r>
    <r>
      <rPr>
        <sz val="8.5"/>
        <rFont val="Calibri"/>
        <family val="2"/>
      </rPr>
      <t>lâmina frontal de 200 mm</t>
    </r>
  </si>
  <si>
    <r>
      <rPr>
        <sz val="8.5"/>
        <rFont val="Calibri"/>
        <family val="2"/>
      </rPr>
      <t>600,68</t>
    </r>
  </si>
  <si>
    <r>
      <rPr>
        <sz val="8.5"/>
        <rFont val="Calibri"/>
        <family val="2"/>
      </rPr>
      <t>22.06.250</t>
    </r>
  </si>
  <si>
    <r>
      <rPr>
        <sz val="8.5"/>
        <rFont val="Calibri"/>
        <family val="2"/>
      </rPr>
      <t xml:space="preserve">Brise metálico curvo e móvel termoacústico em chapa lisa aluzinc pré-
</t>
    </r>
    <r>
      <rPr>
        <sz val="8.5"/>
        <rFont val="Calibri"/>
        <family val="2"/>
      </rPr>
      <t>pintada</t>
    </r>
  </si>
  <si>
    <r>
      <rPr>
        <sz val="8.5"/>
        <rFont val="Calibri"/>
        <family val="2"/>
      </rPr>
      <t>1.008,21</t>
    </r>
  </si>
  <si>
    <r>
      <rPr>
        <sz val="8.5"/>
        <rFont val="Calibri"/>
        <family val="2"/>
      </rPr>
      <t>22.06.300</t>
    </r>
  </si>
  <si>
    <r>
      <rPr>
        <sz val="8.5"/>
        <rFont val="Calibri"/>
        <family val="2"/>
      </rPr>
      <t xml:space="preserve">Brise metálico curvo e móvel em chapa microperfurada de alumínio pré-
</t>
    </r>
    <r>
      <rPr>
        <sz val="8.5"/>
        <rFont val="Calibri"/>
        <family val="2"/>
      </rPr>
      <t>pintada</t>
    </r>
  </si>
  <si>
    <r>
      <rPr>
        <sz val="8.5"/>
        <rFont val="Calibri"/>
        <family val="2"/>
      </rPr>
      <t>495,65</t>
    </r>
  </si>
  <si>
    <r>
      <rPr>
        <sz val="8.5"/>
        <rFont val="Calibri"/>
        <family val="2"/>
      </rPr>
      <t>22.06.340</t>
    </r>
  </si>
  <si>
    <r>
      <rPr>
        <sz val="8.5"/>
        <rFont val="Calibri"/>
        <family val="2"/>
      </rPr>
      <t xml:space="preserve">Brise metálico fixo em chapa lisa alumínio pré-pintada, formato ogiva,
</t>
    </r>
    <r>
      <rPr>
        <sz val="8.5"/>
        <rFont val="Calibri"/>
        <family val="2"/>
      </rPr>
      <t>lâmina frontal de 200 mm</t>
    </r>
  </si>
  <si>
    <r>
      <rPr>
        <sz val="8.5"/>
        <rFont val="Calibri"/>
        <family val="2"/>
      </rPr>
      <t>643,40</t>
    </r>
  </si>
  <si>
    <r>
      <rPr>
        <sz val="8.5"/>
        <rFont val="Calibri"/>
        <family val="2"/>
      </rPr>
      <t>22.06.350</t>
    </r>
  </si>
  <si>
    <r>
      <rPr>
        <sz val="8.5"/>
        <rFont val="Calibri"/>
        <family val="2"/>
      </rPr>
      <t xml:space="preserve">Brise metálico curvo e móvel termoacústico em chapa lisa de alumínio
</t>
    </r>
    <r>
      <rPr>
        <sz val="8.5"/>
        <rFont val="Calibri"/>
        <family val="2"/>
      </rPr>
      <t>pré-pintada</t>
    </r>
  </si>
  <si>
    <r>
      <rPr>
        <sz val="8.5"/>
        <rFont val="Calibri"/>
        <family val="2"/>
      </rPr>
      <t>630,35</t>
    </r>
  </si>
  <si>
    <r>
      <rPr>
        <sz val="8.5"/>
        <rFont val="Calibri"/>
        <family val="2"/>
      </rPr>
      <t>Reparos, conservacoes e complementos - GRUPO 22</t>
    </r>
  </si>
  <si>
    <r>
      <rPr>
        <sz val="8.5"/>
        <rFont val="Calibri"/>
        <family val="2"/>
      </rPr>
      <t>22.20.011</t>
    </r>
  </si>
  <si>
    <r>
      <rPr>
        <sz val="8.5"/>
        <rFont val="Calibri"/>
        <family val="2"/>
      </rPr>
      <t>Placa em lã de vidro revestida em PVC, auto extinguível</t>
    </r>
  </si>
  <si>
    <r>
      <rPr>
        <sz val="8.5"/>
        <rFont val="Calibri"/>
        <family val="2"/>
      </rPr>
      <t>51,57</t>
    </r>
  </si>
  <si>
    <r>
      <rPr>
        <sz val="8.5"/>
        <rFont val="Calibri"/>
        <family val="2"/>
      </rPr>
      <t>22.20.020</t>
    </r>
  </si>
  <si>
    <r>
      <rPr>
        <sz val="8.5"/>
        <rFont val="Calibri"/>
        <family val="2"/>
      </rPr>
      <t>Recolocação de forros fixados</t>
    </r>
  </si>
  <si>
    <r>
      <rPr>
        <sz val="8.5"/>
        <rFont val="Calibri"/>
        <family val="2"/>
      </rPr>
      <t>22.20.040</t>
    </r>
  </si>
  <si>
    <r>
      <rPr>
        <sz val="8.5"/>
        <rFont val="Calibri"/>
        <family val="2"/>
      </rPr>
      <t>Recolocação de forros apoiados ou encaixados</t>
    </r>
  </si>
  <si>
    <r>
      <rPr>
        <sz val="8.5"/>
        <rFont val="Calibri"/>
        <family val="2"/>
      </rPr>
      <t>22.20.050</t>
    </r>
  </si>
  <si>
    <r>
      <rPr>
        <sz val="8.5"/>
        <rFont val="Calibri"/>
        <family val="2"/>
      </rPr>
      <t>Moldura de gesso simples, largura até 6,0 cm</t>
    </r>
  </si>
  <si>
    <r>
      <rPr>
        <sz val="8.5"/>
        <rFont val="Calibri"/>
        <family val="2"/>
      </rPr>
      <t>13,68</t>
    </r>
  </si>
  <si>
    <r>
      <rPr>
        <sz val="8.5"/>
        <rFont val="Calibri"/>
        <family val="2"/>
      </rPr>
      <t>22.20.090</t>
    </r>
  </si>
  <si>
    <r>
      <rPr>
        <sz val="8.5"/>
        <rFont val="Calibri"/>
        <family val="2"/>
      </rPr>
      <t>Abertura para vão de luminária em forro de PVC modular</t>
    </r>
  </si>
  <si>
    <r>
      <rPr>
        <sz val="8.5"/>
        <rFont val="Calibri"/>
        <family val="2"/>
      </rPr>
      <t>15,19</t>
    </r>
  </si>
  <si>
    <r>
      <rPr>
        <sz val="8.5"/>
        <rFont val="Calibri"/>
        <family val="2"/>
      </rPr>
      <t>ESQUADRIA, MARCENARIA E ELEMENTO EM MADEIRA</t>
    </r>
  </si>
  <si>
    <r>
      <rPr>
        <sz val="8.5"/>
        <rFont val="Calibri"/>
        <family val="2"/>
      </rPr>
      <t>Janela e veneziana em madeira</t>
    </r>
  </si>
  <si>
    <r>
      <rPr>
        <sz val="8.5"/>
        <rFont val="Calibri"/>
        <family val="2"/>
      </rPr>
      <t>23.01.050</t>
    </r>
  </si>
  <si>
    <r>
      <rPr>
        <sz val="8.5"/>
        <rFont val="Calibri"/>
        <family val="2"/>
      </rPr>
      <t>Caixilho em madeira maxim-ar</t>
    </r>
  </si>
  <si>
    <r>
      <rPr>
        <sz val="8.5"/>
        <rFont val="Calibri"/>
        <family val="2"/>
      </rPr>
      <t>744,37</t>
    </r>
  </si>
  <si>
    <r>
      <rPr>
        <sz val="8.5"/>
        <rFont val="Calibri"/>
        <family val="2"/>
      </rPr>
      <t>42,12</t>
    </r>
  </si>
  <si>
    <r>
      <rPr>
        <sz val="8.5"/>
        <rFont val="Calibri"/>
        <family val="2"/>
      </rPr>
      <t>786,49</t>
    </r>
  </si>
  <si>
    <r>
      <rPr>
        <sz val="8.5"/>
        <rFont val="Calibri"/>
        <family val="2"/>
      </rPr>
      <t>23.01.060</t>
    </r>
  </si>
  <si>
    <r>
      <rPr>
        <sz val="8.5"/>
        <rFont val="Calibri"/>
        <family val="2"/>
      </rPr>
      <t>Caixilho em madeira tipo veneziana de correr</t>
    </r>
  </si>
  <si>
    <r>
      <rPr>
        <sz val="8.5"/>
        <rFont val="Calibri"/>
        <family val="2"/>
      </rPr>
      <t>669,59</t>
    </r>
  </si>
  <si>
    <r>
      <rPr>
        <sz val="8.5"/>
        <rFont val="Calibri"/>
        <family val="2"/>
      </rPr>
      <t>711,71</t>
    </r>
  </si>
  <si>
    <r>
      <rPr>
        <sz val="8.5"/>
        <rFont val="Calibri"/>
        <family val="2"/>
      </rPr>
      <t>Porta macho / femea montada com batente</t>
    </r>
  </si>
  <si>
    <r>
      <rPr>
        <sz val="8.5"/>
        <rFont val="Calibri"/>
        <family val="2"/>
      </rPr>
      <t>23.02.010</t>
    </r>
  </si>
  <si>
    <r>
      <rPr>
        <sz val="8.5"/>
        <rFont val="Calibri"/>
        <family val="2"/>
      </rPr>
      <t>Acréscimo de bandeira - porta macho e fêmea com batente de madeira</t>
    </r>
  </si>
  <si>
    <r>
      <rPr>
        <sz val="8.5"/>
        <rFont val="Calibri"/>
        <family val="2"/>
      </rPr>
      <t>541,36</t>
    </r>
  </si>
  <si>
    <r>
      <rPr>
        <sz val="8.5"/>
        <rFont val="Calibri"/>
        <family val="2"/>
      </rPr>
      <t>44,37</t>
    </r>
  </si>
  <si>
    <r>
      <rPr>
        <sz val="8.5"/>
        <rFont val="Calibri"/>
        <family val="2"/>
      </rPr>
      <t>585,73</t>
    </r>
  </si>
  <si>
    <r>
      <rPr>
        <sz val="8.5"/>
        <rFont val="Calibri"/>
        <family val="2"/>
      </rPr>
      <t>23.02.030</t>
    </r>
  </si>
  <si>
    <r>
      <rPr>
        <sz val="8.5"/>
        <rFont val="Calibri"/>
        <family val="2"/>
      </rPr>
      <t>Porta macho e fêmea com batente de madeira - 70 x 210 cm</t>
    </r>
  </si>
  <si>
    <r>
      <rPr>
        <sz val="8.5"/>
        <rFont val="Calibri"/>
        <family val="2"/>
      </rPr>
      <t>917,80</t>
    </r>
  </si>
  <si>
    <r>
      <rPr>
        <sz val="8.5"/>
        <rFont val="Calibri"/>
        <family val="2"/>
      </rPr>
      <t>90,05</t>
    </r>
  </si>
  <si>
    <r>
      <rPr>
        <sz val="8.5"/>
        <rFont val="Calibri"/>
        <family val="2"/>
      </rPr>
      <t>1.007,85</t>
    </r>
  </si>
  <si>
    <r>
      <rPr>
        <sz val="8.5"/>
        <rFont val="Calibri"/>
        <family val="2"/>
      </rPr>
      <t>23.02.040</t>
    </r>
  </si>
  <si>
    <r>
      <rPr>
        <sz val="8.5"/>
        <rFont val="Calibri"/>
        <family val="2"/>
      </rPr>
      <t>Porta macho e fêmea com batente de madeira - 80 x 210 cm</t>
    </r>
  </si>
  <si>
    <r>
      <rPr>
        <sz val="8.5"/>
        <rFont val="Calibri"/>
        <family val="2"/>
      </rPr>
      <t>995,79</t>
    </r>
  </si>
  <si>
    <r>
      <rPr>
        <sz val="8.5"/>
        <rFont val="Calibri"/>
        <family val="2"/>
      </rPr>
      <t>1.085,84</t>
    </r>
  </si>
  <si>
    <r>
      <rPr>
        <sz val="8.5"/>
        <rFont val="Calibri"/>
        <family val="2"/>
      </rPr>
      <t>23.02.050</t>
    </r>
  </si>
  <si>
    <r>
      <rPr>
        <sz val="8.5"/>
        <rFont val="Calibri"/>
        <family val="2"/>
      </rPr>
      <t>Porta macho e fêmea com batente de madeira - 90 x 210 cm</t>
    </r>
  </si>
  <si>
    <r>
      <rPr>
        <sz val="8.5"/>
        <rFont val="Calibri"/>
        <family val="2"/>
      </rPr>
      <t>1.090,68</t>
    </r>
  </si>
  <si>
    <r>
      <rPr>
        <sz val="8.5"/>
        <rFont val="Calibri"/>
        <family val="2"/>
      </rPr>
      <t>1.180,73</t>
    </r>
  </si>
  <si>
    <r>
      <rPr>
        <sz val="8.5"/>
        <rFont val="Calibri"/>
        <family val="2"/>
      </rPr>
      <t>23.02.060</t>
    </r>
  </si>
  <si>
    <r>
      <rPr>
        <sz val="8.5"/>
        <rFont val="Calibri"/>
        <family val="2"/>
      </rPr>
      <t>Porta macho e fêmea com batente de madeira - 120 x 210 cm</t>
    </r>
  </si>
  <si>
    <r>
      <rPr>
        <sz val="8.5"/>
        <rFont val="Calibri"/>
        <family val="2"/>
      </rPr>
      <t>1.843,33</t>
    </r>
  </si>
  <si>
    <r>
      <rPr>
        <sz val="8.5"/>
        <rFont val="Calibri"/>
        <family val="2"/>
      </rPr>
      <t>112,56</t>
    </r>
  </si>
  <si>
    <r>
      <rPr>
        <sz val="8.5"/>
        <rFont val="Calibri"/>
        <family val="2"/>
      </rPr>
      <t>1.955,89</t>
    </r>
  </si>
  <si>
    <r>
      <rPr>
        <sz val="8.5"/>
        <rFont val="Calibri"/>
        <family val="2"/>
      </rPr>
      <t>Porta lisa laminada montada com batente</t>
    </r>
  </si>
  <si>
    <r>
      <rPr>
        <sz val="8.5"/>
        <rFont val="Calibri"/>
        <family val="2"/>
      </rPr>
      <t>23.04.070</t>
    </r>
  </si>
  <si>
    <r>
      <rPr>
        <sz val="8.5"/>
        <rFont val="Calibri"/>
        <family val="2"/>
      </rPr>
      <t xml:space="preserve">Porta em laminado fenólico melamínico com batente em alumínio - 80 x
</t>
    </r>
    <r>
      <rPr>
        <sz val="8.5"/>
        <rFont val="Calibri"/>
        <family val="2"/>
      </rPr>
      <t>180 cm</t>
    </r>
  </si>
  <si>
    <r>
      <rPr>
        <sz val="8.5"/>
        <rFont val="Calibri"/>
        <family val="2"/>
      </rPr>
      <t>944,10</t>
    </r>
  </si>
  <si>
    <r>
      <rPr>
        <sz val="8.5"/>
        <rFont val="Calibri"/>
        <family val="2"/>
      </rPr>
      <t>989,13</t>
    </r>
  </si>
  <si>
    <r>
      <rPr>
        <sz val="8.5"/>
        <rFont val="Calibri"/>
        <family val="2"/>
      </rPr>
      <t>23.04.080</t>
    </r>
  </si>
  <si>
    <r>
      <rPr>
        <sz val="8.5"/>
        <rFont val="Calibri"/>
        <family val="2"/>
      </rPr>
      <t xml:space="preserve">Porta em laminado fenólico melamínico com batente em alumínio - 60 x
</t>
    </r>
    <r>
      <rPr>
        <sz val="8.5"/>
        <rFont val="Calibri"/>
        <family val="2"/>
      </rPr>
      <t>160 cm</t>
    </r>
  </si>
  <si>
    <r>
      <rPr>
        <sz val="8.5"/>
        <rFont val="Calibri"/>
        <family val="2"/>
      </rPr>
      <t>803,98</t>
    </r>
  </si>
  <si>
    <r>
      <rPr>
        <sz val="8.5"/>
        <rFont val="Calibri"/>
        <family val="2"/>
      </rPr>
      <t>849,01</t>
    </r>
  </si>
  <si>
    <r>
      <rPr>
        <sz val="8.5"/>
        <rFont val="Calibri"/>
        <family val="2"/>
      </rPr>
      <t>23.04.090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</si>
  <si>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- 70 x 210 cm</t>
    </r>
  </si>
  <si>
    <r>
      <rPr>
        <sz val="8.5"/>
        <rFont val="Calibri"/>
        <family val="2"/>
      </rPr>
      <t>923,63</t>
    </r>
  </si>
  <si>
    <r>
      <rPr>
        <sz val="8.5"/>
        <rFont val="Calibri"/>
        <family val="2"/>
      </rPr>
      <t>1.013,68</t>
    </r>
  </si>
  <si>
    <r>
      <rPr>
        <sz val="8.5"/>
        <rFont val="Calibri"/>
        <family val="2"/>
      </rPr>
      <t>23.04.100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</si>
  <si>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- 80 x 210 cm</t>
    </r>
  </si>
  <si>
    <r>
      <rPr>
        <sz val="8.5"/>
        <rFont val="Calibri"/>
        <family val="2"/>
      </rPr>
      <t>1.006,49</t>
    </r>
  </si>
  <si>
    <r>
      <rPr>
        <sz val="8.5"/>
        <rFont val="Calibri"/>
        <family val="2"/>
      </rPr>
      <t>1.096,54</t>
    </r>
  </si>
  <si>
    <r>
      <rPr>
        <sz val="8.5"/>
        <rFont val="Calibri"/>
        <family val="2"/>
      </rPr>
      <t>23.04.110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</si>
  <si>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- 90 x 210 cm</t>
    </r>
  </si>
  <si>
    <r>
      <rPr>
        <sz val="8.5"/>
        <rFont val="Calibri"/>
        <family val="2"/>
      </rPr>
      <t>1.038,00</t>
    </r>
  </si>
  <si>
    <r>
      <rPr>
        <sz val="8.5"/>
        <rFont val="Calibri"/>
        <family val="2"/>
      </rPr>
      <t>1.128,05</t>
    </r>
  </si>
  <si>
    <r>
      <rPr>
        <sz val="8.5"/>
        <rFont val="Calibri"/>
        <family val="2"/>
      </rPr>
      <t>23.04.120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</si>
  <si>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- 120 x 210 cm</t>
    </r>
  </si>
  <si>
    <r>
      <rPr>
        <sz val="8.5"/>
        <rFont val="Calibri"/>
        <family val="2"/>
      </rPr>
      <t>1.744,99</t>
    </r>
  </si>
  <si>
    <r>
      <rPr>
        <sz val="8.5"/>
        <rFont val="Calibri"/>
        <family val="2"/>
      </rPr>
      <t>1.857,55</t>
    </r>
  </si>
  <si>
    <r>
      <rPr>
        <sz val="8.5"/>
        <rFont val="Calibri"/>
        <family val="2"/>
      </rPr>
      <t>23.04.130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</si>
  <si>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- 140 x 210 cm</t>
    </r>
  </si>
  <si>
    <r>
      <rPr>
        <sz val="8.5"/>
        <rFont val="Calibri"/>
        <family val="2"/>
      </rPr>
      <t>1.739,68</t>
    </r>
  </si>
  <si>
    <r>
      <rPr>
        <sz val="8.5"/>
        <rFont val="Calibri"/>
        <family val="2"/>
      </rPr>
      <t>1.852,24</t>
    </r>
  </si>
  <si>
    <r>
      <rPr>
        <sz val="8.5"/>
        <rFont val="Calibri"/>
        <family val="2"/>
      </rPr>
      <t>23.04.140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</si>
  <si>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- 220 x 210 cm</t>
    </r>
  </si>
  <si>
    <r>
      <rPr>
        <sz val="8.5"/>
        <rFont val="Calibri"/>
        <family val="2"/>
      </rPr>
      <t>3.207,53</t>
    </r>
  </si>
  <si>
    <r>
      <rPr>
        <sz val="8.5"/>
        <rFont val="Calibri"/>
        <family val="2"/>
      </rPr>
      <t>128,64</t>
    </r>
  </si>
  <si>
    <r>
      <rPr>
        <sz val="8.5"/>
        <rFont val="Calibri"/>
        <family val="2"/>
      </rPr>
      <t>3.336,17</t>
    </r>
  </si>
  <si>
    <r>
      <rPr>
        <sz val="8.5"/>
        <rFont val="Calibri"/>
        <family val="2"/>
      </rPr>
      <t>23.04.570</t>
    </r>
  </si>
  <si>
    <r>
      <rPr>
        <sz val="8.5"/>
        <rFont val="Calibri"/>
        <family val="2"/>
      </rPr>
      <t xml:space="preserve">Porta em laminado melamínico estrutural com acabamento texturizado,
</t>
    </r>
    <r>
      <rPr>
        <sz val="8.5"/>
        <rFont val="Calibri"/>
        <family val="2"/>
      </rPr>
      <t>batente em alumínio com ferragens - 60 x 180 cm</t>
    </r>
  </si>
  <si>
    <r>
      <rPr>
        <sz val="8.5"/>
        <rFont val="Calibri"/>
        <family val="2"/>
      </rPr>
      <t>824,36</t>
    </r>
  </si>
  <si>
    <r>
      <rPr>
        <sz val="8.5"/>
        <rFont val="Calibri"/>
        <family val="2"/>
      </rPr>
      <t>835,61</t>
    </r>
  </si>
  <si>
    <r>
      <rPr>
        <sz val="8.5"/>
        <rFont val="Calibri"/>
        <family val="2"/>
      </rPr>
      <t>23.04.580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</si>
  <si>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- 60 x 160 cm</t>
    </r>
  </si>
  <si>
    <r>
      <rPr>
        <sz val="8.5"/>
        <rFont val="Calibri"/>
        <family val="2"/>
      </rPr>
      <t>1.249,68</t>
    </r>
  </si>
  <si>
    <r>
      <rPr>
        <sz val="8.5"/>
        <rFont val="Calibri"/>
        <family val="2"/>
      </rPr>
      <t>86,84</t>
    </r>
  </si>
  <si>
    <r>
      <rPr>
        <sz val="8.5"/>
        <rFont val="Calibri"/>
        <family val="2"/>
      </rPr>
      <t>1.336,52</t>
    </r>
  </si>
  <si>
    <r>
      <rPr>
        <sz val="8.5"/>
        <rFont val="Calibri"/>
        <family val="2"/>
      </rPr>
      <t>23.04.590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</si>
  <si>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- 70 x 210 cm</t>
    </r>
  </si>
  <si>
    <r>
      <rPr>
        <sz val="8.5"/>
        <rFont val="Calibri"/>
        <family val="2"/>
      </rPr>
      <t>1.291,83</t>
    </r>
  </si>
  <si>
    <r>
      <rPr>
        <sz val="8.5"/>
        <rFont val="Calibri"/>
        <family val="2"/>
      </rPr>
      <t>83,62</t>
    </r>
  </si>
  <si>
    <r>
      <rPr>
        <sz val="8.5"/>
        <rFont val="Calibri"/>
        <family val="2"/>
      </rPr>
      <t>1.375,45</t>
    </r>
  </si>
  <si>
    <r>
      <rPr>
        <sz val="8.5"/>
        <rFont val="Calibri"/>
        <family val="2"/>
      </rPr>
      <t>23.04.600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</si>
  <si>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- 80 x 210 cm</t>
    </r>
  </si>
  <si>
    <r>
      <rPr>
        <sz val="8.5"/>
        <rFont val="Calibri"/>
        <family val="2"/>
      </rPr>
      <t>1.397,91</t>
    </r>
  </si>
  <si>
    <r>
      <rPr>
        <sz val="8.5"/>
        <rFont val="Calibri"/>
        <family val="2"/>
      </rPr>
      <t>1.481,53</t>
    </r>
  </si>
  <si>
    <r>
      <rPr>
        <sz val="8.5"/>
        <rFont val="Calibri"/>
        <family val="2"/>
      </rPr>
      <t>23.04.610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</si>
  <si>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- 90 x 210 cm</t>
    </r>
  </si>
  <si>
    <r>
      <rPr>
        <sz val="8.5"/>
        <rFont val="Calibri"/>
        <family val="2"/>
      </rPr>
      <t>1.429,42</t>
    </r>
  </si>
  <si>
    <r>
      <rPr>
        <sz val="8.5"/>
        <rFont val="Calibri"/>
        <family val="2"/>
      </rPr>
      <t>1.513,04</t>
    </r>
  </si>
  <si>
    <r>
      <rPr>
        <sz val="8.5"/>
        <rFont val="Calibri"/>
        <family val="2"/>
      </rPr>
      <t>23.04.620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</si>
  <si>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- 120 x 210 cm</t>
    </r>
  </si>
  <si>
    <r>
      <rPr>
        <sz val="8.5"/>
        <rFont val="Calibri"/>
        <family val="2"/>
      </rPr>
      <t>1.996,76</t>
    </r>
  </si>
  <si>
    <r>
      <rPr>
        <sz val="8.5"/>
        <rFont val="Calibri"/>
        <family val="2"/>
      </rPr>
      <t>109,34</t>
    </r>
  </si>
  <si>
    <r>
      <rPr>
        <sz val="8.5"/>
        <rFont val="Calibri"/>
        <family val="2"/>
      </rPr>
      <t>2.106,10</t>
    </r>
  </si>
  <si>
    <r>
      <rPr>
        <sz val="8.5"/>
        <rFont val="Calibri"/>
        <family val="2"/>
      </rPr>
      <t>Marcenaria em geral</t>
    </r>
  </si>
  <si>
    <r>
      <rPr>
        <sz val="8.5"/>
        <rFont val="Calibri"/>
        <family val="2"/>
      </rPr>
      <t>23.08.010</t>
    </r>
  </si>
  <si>
    <r>
      <rPr>
        <sz val="8.5"/>
        <rFont val="Calibri"/>
        <family val="2"/>
      </rPr>
      <t>Estrado em madeira</t>
    </r>
  </si>
  <si>
    <r>
      <rPr>
        <sz val="8.5"/>
        <rFont val="Calibri"/>
        <family val="2"/>
      </rPr>
      <t>110,47</t>
    </r>
  </si>
  <si>
    <r>
      <rPr>
        <sz val="8.5"/>
        <rFont val="Calibri"/>
        <family val="2"/>
      </rPr>
      <t>142,63</t>
    </r>
  </si>
  <si>
    <r>
      <rPr>
        <sz val="8.5"/>
        <rFont val="Calibri"/>
        <family val="2"/>
      </rPr>
      <t>23.08.020</t>
    </r>
  </si>
  <si>
    <r>
      <rPr>
        <sz val="8.5"/>
        <rFont val="Calibri"/>
        <family val="2"/>
      </rPr>
      <t>Faixa/batedor de proteção em madeira aparelhada natural de 10 x 2,5 cm</t>
    </r>
  </si>
  <si>
    <r>
      <rPr>
        <sz val="8.5"/>
        <rFont val="Calibri"/>
        <family val="2"/>
      </rPr>
      <t>9,38</t>
    </r>
  </si>
  <si>
    <r>
      <rPr>
        <sz val="8.5"/>
        <rFont val="Calibri"/>
        <family val="2"/>
      </rPr>
      <t>15,81</t>
    </r>
  </si>
  <si>
    <r>
      <rPr>
        <sz val="8.5"/>
        <rFont val="Calibri"/>
        <family val="2"/>
      </rPr>
      <t>23.08.030</t>
    </r>
  </si>
  <si>
    <r>
      <rPr>
        <sz val="8.5"/>
        <rFont val="Calibri"/>
        <family val="2"/>
      </rPr>
      <t xml:space="preserve">Faixa/batedor de proteção em madeira de 20 x 5 cm, com acabamento
</t>
    </r>
    <r>
      <rPr>
        <sz val="8.5"/>
        <rFont val="Calibri"/>
        <family val="2"/>
      </rPr>
      <t>em laminado fenólico melamínico</t>
    </r>
  </si>
  <si>
    <r>
      <rPr>
        <sz val="8.5"/>
        <rFont val="Calibri"/>
        <family val="2"/>
      </rPr>
      <t>82,65</t>
    </r>
  </si>
  <si>
    <r>
      <rPr>
        <sz val="8.5"/>
        <rFont val="Calibri"/>
        <family val="2"/>
      </rPr>
      <t>64,32</t>
    </r>
  </si>
  <si>
    <r>
      <rPr>
        <sz val="8.5"/>
        <rFont val="Calibri"/>
        <family val="2"/>
      </rPr>
      <t>146,97</t>
    </r>
  </si>
  <si>
    <r>
      <rPr>
        <sz val="8.5"/>
        <rFont val="Calibri"/>
        <family val="2"/>
      </rPr>
      <t>23.08.040</t>
    </r>
  </si>
  <si>
    <r>
      <rPr>
        <sz val="8.5"/>
        <rFont val="Calibri"/>
        <family val="2"/>
      </rPr>
      <t xml:space="preserve">Armário/gabinete embutido em MDF sob medida, revestido em
</t>
    </r>
    <r>
      <rPr>
        <sz val="8.5"/>
        <rFont val="Calibri"/>
        <family val="2"/>
      </rPr>
      <t>laminado melamínico, com portas e prateleiras</t>
    </r>
  </si>
  <si>
    <r>
      <rPr>
        <sz val="8.5"/>
        <rFont val="Calibri"/>
        <family val="2"/>
      </rPr>
      <t>1.763,06</t>
    </r>
  </si>
  <si>
    <r>
      <rPr>
        <sz val="8.5"/>
        <rFont val="Calibri"/>
        <family val="2"/>
      </rPr>
      <t>23.08.060</t>
    </r>
  </si>
  <si>
    <r>
      <rPr>
        <sz val="8.5"/>
        <rFont val="Calibri"/>
        <family val="2"/>
      </rPr>
      <t xml:space="preserve">Tampo sob medida em compensado, revestido na face superior em
</t>
    </r>
    <r>
      <rPr>
        <sz val="8.5"/>
        <rFont val="Calibri"/>
        <family val="2"/>
      </rPr>
      <t>laminado fenólico melamínico</t>
    </r>
  </si>
  <si>
    <r>
      <rPr>
        <sz val="8.5"/>
        <rFont val="Calibri"/>
        <family val="2"/>
      </rPr>
      <t>718,30</t>
    </r>
  </si>
  <si>
    <r>
      <rPr>
        <sz val="8.5"/>
        <rFont val="Calibri"/>
        <family val="2"/>
      </rPr>
      <t>23.08.080</t>
    </r>
  </si>
  <si>
    <r>
      <rPr>
        <sz val="8.5"/>
        <rFont val="Calibri"/>
        <family val="2"/>
      </rPr>
      <t xml:space="preserve">Prateleira sob medida em compensado, revestida nas duas faces em
</t>
    </r>
    <r>
      <rPr>
        <sz val="8.5"/>
        <rFont val="Calibri"/>
        <family val="2"/>
      </rPr>
      <t>laminado fenólico melamínico</t>
    </r>
  </si>
  <si>
    <r>
      <rPr>
        <sz val="8.5"/>
        <rFont val="Calibri"/>
        <family val="2"/>
      </rPr>
      <t>520,95</t>
    </r>
  </si>
  <si>
    <r>
      <rPr>
        <sz val="8.5"/>
        <rFont val="Calibri"/>
        <family val="2"/>
      </rPr>
      <t>533,82</t>
    </r>
  </si>
  <si>
    <r>
      <rPr>
        <sz val="8.5"/>
        <rFont val="Calibri"/>
        <family val="2"/>
      </rPr>
      <t>23.08.100</t>
    </r>
  </si>
  <si>
    <r>
      <rPr>
        <sz val="8.5"/>
        <rFont val="Calibri"/>
        <family val="2"/>
      </rPr>
      <t xml:space="preserve">Armário tipo prateleira com subdivisão em compensado, revestido
</t>
    </r>
    <r>
      <rPr>
        <sz val="8.5"/>
        <rFont val="Calibri"/>
        <family val="2"/>
      </rPr>
      <t>totalmente em laminado fenólico melamínico</t>
    </r>
  </si>
  <si>
    <r>
      <rPr>
        <sz val="8.5"/>
        <rFont val="Calibri"/>
        <family val="2"/>
      </rPr>
      <t>1.334,50</t>
    </r>
  </si>
  <si>
    <r>
      <rPr>
        <sz val="8.5"/>
        <rFont val="Calibri"/>
        <family val="2"/>
      </rPr>
      <t>23.08.110</t>
    </r>
  </si>
  <si>
    <r>
      <rPr>
        <sz val="8.5"/>
        <rFont val="Calibri"/>
        <family val="2"/>
      </rPr>
      <t>Painel em compensado naval, espessura de 25 mm</t>
    </r>
  </si>
  <si>
    <r>
      <rPr>
        <sz val="8.5"/>
        <rFont val="Calibri"/>
        <family val="2"/>
      </rPr>
      <t>189,31</t>
    </r>
  </si>
  <si>
    <r>
      <rPr>
        <sz val="8.5"/>
        <rFont val="Calibri"/>
        <family val="2"/>
      </rPr>
      <t>221,47</t>
    </r>
  </si>
  <si>
    <r>
      <rPr>
        <sz val="8.5"/>
        <rFont val="Calibri"/>
        <family val="2"/>
      </rPr>
      <t>23.08.160</t>
    </r>
  </si>
  <si>
    <r>
      <rPr>
        <sz val="8.5"/>
        <rFont val="Calibri"/>
        <family val="2"/>
      </rPr>
      <t>Porta lisa com balcão, batente de madeira, completa - 80 x 210 cm</t>
    </r>
  </si>
  <si>
    <r>
      <rPr>
        <sz val="8.5"/>
        <rFont val="Calibri"/>
        <family val="2"/>
      </rPr>
      <t>821,28</t>
    </r>
  </si>
  <si>
    <r>
      <rPr>
        <sz val="8.5"/>
        <rFont val="Calibri"/>
        <family val="2"/>
      </rPr>
      <t>138,29</t>
    </r>
  </si>
  <si>
    <r>
      <rPr>
        <sz val="8.5"/>
        <rFont val="Calibri"/>
        <family val="2"/>
      </rPr>
      <t>959,57</t>
    </r>
  </si>
  <si>
    <r>
      <rPr>
        <sz val="8.5"/>
        <rFont val="Calibri"/>
        <family val="2"/>
      </rPr>
      <t>23.08.170</t>
    </r>
  </si>
  <si>
    <r>
      <rPr>
        <sz val="8.5"/>
        <rFont val="Calibri"/>
        <family val="2"/>
      </rPr>
      <t>Lousa em laminado melamínico, branco - linha comercial</t>
    </r>
  </si>
  <si>
    <r>
      <rPr>
        <sz val="8.5"/>
        <rFont val="Calibri"/>
        <family val="2"/>
      </rPr>
      <t>179,05</t>
    </r>
  </si>
  <si>
    <r>
      <rPr>
        <sz val="8.5"/>
        <rFont val="Calibri"/>
        <family val="2"/>
      </rPr>
      <t>6,31</t>
    </r>
  </si>
  <si>
    <r>
      <rPr>
        <sz val="8.5"/>
        <rFont val="Calibri"/>
        <family val="2"/>
      </rPr>
      <t>185,36</t>
    </r>
  </si>
  <si>
    <r>
      <rPr>
        <sz val="8.5"/>
        <rFont val="Calibri"/>
        <family val="2"/>
      </rPr>
      <t>23.08.210</t>
    </r>
  </si>
  <si>
    <r>
      <rPr>
        <sz val="8.5"/>
        <rFont val="Calibri"/>
        <family val="2"/>
      </rPr>
      <t xml:space="preserve">Armário sob medida em compensado de madeira totalmente revestido
</t>
    </r>
    <r>
      <rPr>
        <sz val="8.5"/>
        <rFont val="Calibri"/>
        <family val="2"/>
      </rPr>
      <t>em folheado de madeira, completo</t>
    </r>
  </si>
  <si>
    <r>
      <rPr>
        <sz val="8.5"/>
        <rFont val="Calibri"/>
        <family val="2"/>
      </rPr>
      <t>1.593,47</t>
    </r>
  </si>
  <si>
    <r>
      <rPr>
        <sz val="8.5"/>
        <rFont val="Calibri"/>
        <family val="2"/>
      </rPr>
      <t>23.08.220</t>
    </r>
  </si>
  <si>
    <r>
      <rPr>
        <sz val="8.5"/>
        <rFont val="Calibri"/>
        <family val="2"/>
      </rPr>
      <t xml:space="preserve">Armário sob medida em compensado de madeira totalmente revestido
</t>
    </r>
    <r>
      <rPr>
        <sz val="8.5"/>
        <rFont val="Calibri"/>
        <family val="2"/>
      </rPr>
      <t>em laminado melamínico texturizado, completo</t>
    </r>
  </si>
  <si>
    <r>
      <rPr>
        <sz val="8.5"/>
        <rFont val="Calibri"/>
        <family val="2"/>
      </rPr>
      <t>1.553,63</t>
    </r>
  </si>
  <si>
    <r>
      <rPr>
        <sz val="8.5"/>
        <rFont val="Calibri"/>
        <family val="2"/>
      </rPr>
      <t>23.08.320</t>
    </r>
  </si>
  <si>
    <r>
      <rPr>
        <sz val="8.5"/>
        <rFont val="Calibri"/>
        <family val="2"/>
      </rPr>
      <t>Porta acústica de madeira</t>
    </r>
  </si>
  <si>
    <r>
      <rPr>
        <sz val="8.5"/>
        <rFont val="Calibri"/>
        <family val="2"/>
      </rPr>
      <t>366,26</t>
    </r>
  </si>
  <si>
    <r>
      <rPr>
        <sz val="8.5"/>
        <rFont val="Calibri"/>
        <family val="2"/>
      </rPr>
      <t>65,12</t>
    </r>
  </si>
  <si>
    <r>
      <rPr>
        <sz val="8.5"/>
        <rFont val="Calibri"/>
        <family val="2"/>
      </rPr>
      <t>431,38</t>
    </r>
  </si>
  <si>
    <r>
      <rPr>
        <sz val="8.5"/>
        <rFont val="Calibri"/>
        <family val="2"/>
      </rPr>
      <t>23.08.380</t>
    </r>
  </si>
  <si>
    <r>
      <rPr>
        <sz val="8.5"/>
        <rFont val="Calibri"/>
        <family val="2"/>
      </rPr>
      <t xml:space="preserve">Faixa/batedor de proteção em madeira de 290 x 15 mm, com
</t>
    </r>
    <r>
      <rPr>
        <sz val="8.5"/>
        <rFont val="Calibri"/>
        <family val="2"/>
      </rPr>
      <t>acabamento em laminado fenólico melamínico</t>
    </r>
  </si>
  <si>
    <r>
      <rPr>
        <sz val="8.5"/>
        <rFont val="Calibri"/>
        <family val="2"/>
      </rPr>
      <t>108,45</t>
    </r>
  </si>
  <si>
    <r>
      <rPr>
        <sz val="8.5"/>
        <rFont val="Calibri"/>
        <family val="2"/>
      </rPr>
      <t>114,88</t>
    </r>
  </si>
  <si>
    <r>
      <rPr>
        <sz val="8.5"/>
        <rFont val="Calibri"/>
        <family val="2"/>
      </rPr>
      <t>Porta lisa comum montada com batente</t>
    </r>
  </si>
  <si>
    <r>
      <rPr>
        <sz val="8.5"/>
        <rFont val="Calibri"/>
        <family val="2"/>
      </rPr>
      <t>23.09.010</t>
    </r>
  </si>
  <si>
    <r>
      <rPr>
        <sz val="8.5"/>
        <rFont val="Calibri"/>
        <family val="2"/>
      </rPr>
      <t>Acréscimo de bandeira - porta lisa comum com batente de madeira</t>
    </r>
  </si>
  <si>
    <r>
      <rPr>
        <sz val="8.5"/>
        <rFont val="Calibri"/>
        <family val="2"/>
      </rPr>
      <t>217,70</t>
    </r>
  </si>
  <si>
    <r>
      <rPr>
        <sz val="8.5"/>
        <rFont val="Calibri"/>
        <family val="2"/>
      </rPr>
      <t>262,07</t>
    </r>
  </si>
  <si>
    <r>
      <rPr>
        <sz val="8.5"/>
        <rFont val="Calibri"/>
        <family val="2"/>
      </rPr>
      <t>23.09.020</t>
    </r>
  </si>
  <si>
    <r>
      <rPr>
        <sz val="8.5"/>
        <rFont val="Calibri"/>
        <family val="2"/>
      </rPr>
      <t>Porta lisa com batente madeira - 60 x 210 cm</t>
    </r>
  </si>
  <si>
    <r>
      <rPr>
        <sz val="8.5"/>
        <rFont val="Calibri"/>
        <family val="2"/>
      </rPr>
      <t>440,34</t>
    </r>
  </si>
  <si>
    <r>
      <rPr>
        <sz val="8.5"/>
        <rFont val="Calibri"/>
        <family val="2"/>
      </rPr>
      <t>530,39</t>
    </r>
  </si>
  <si>
    <r>
      <rPr>
        <sz val="8.5"/>
        <rFont val="Calibri"/>
        <family val="2"/>
      </rPr>
      <t>23.09.030</t>
    </r>
  </si>
  <si>
    <r>
      <rPr>
        <sz val="8.5"/>
        <rFont val="Calibri"/>
        <family val="2"/>
      </rPr>
      <t>Porta lisa com batente madeira - 70 x 210 cm</t>
    </r>
  </si>
  <si>
    <r>
      <rPr>
        <sz val="8.5"/>
        <rFont val="Calibri"/>
        <family val="2"/>
      </rPr>
      <t>419,75</t>
    </r>
  </si>
  <si>
    <r>
      <rPr>
        <sz val="8.5"/>
        <rFont val="Calibri"/>
        <family val="2"/>
      </rPr>
      <t>509,80</t>
    </r>
  </si>
  <si>
    <r>
      <rPr>
        <sz val="8.5"/>
        <rFont val="Calibri"/>
        <family val="2"/>
      </rPr>
      <t>23.09.040</t>
    </r>
  </si>
  <si>
    <r>
      <rPr>
        <sz val="8.5"/>
        <rFont val="Calibri"/>
        <family val="2"/>
      </rPr>
      <t>Porta lisa com batente madeira - 80 x 210 cm</t>
    </r>
  </si>
  <si>
    <r>
      <rPr>
        <sz val="8.5"/>
        <rFont val="Calibri"/>
        <family val="2"/>
      </rPr>
      <t>428,00</t>
    </r>
  </si>
  <si>
    <r>
      <rPr>
        <sz val="8.5"/>
        <rFont val="Calibri"/>
        <family val="2"/>
      </rPr>
      <t>518,05</t>
    </r>
  </si>
  <si>
    <r>
      <rPr>
        <sz val="8.5"/>
        <rFont val="Calibri"/>
        <family val="2"/>
      </rPr>
      <t>23.09.050</t>
    </r>
  </si>
  <si>
    <r>
      <rPr>
        <sz val="8.5"/>
        <rFont val="Calibri"/>
        <family val="2"/>
      </rPr>
      <t>Porta lisa com batente madeira - 90 x 210 cm</t>
    </r>
  </si>
  <si>
    <r>
      <rPr>
        <sz val="8.5"/>
        <rFont val="Calibri"/>
        <family val="2"/>
      </rPr>
      <t>451,84</t>
    </r>
  </si>
  <si>
    <r>
      <rPr>
        <sz val="8.5"/>
        <rFont val="Calibri"/>
        <family val="2"/>
      </rPr>
      <t>541,89</t>
    </r>
  </si>
  <si>
    <r>
      <rPr>
        <sz val="8.5"/>
        <rFont val="Calibri"/>
        <family val="2"/>
      </rPr>
      <t>23.09.052</t>
    </r>
  </si>
  <si>
    <r>
      <rPr>
        <sz val="8.5"/>
        <rFont val="Calibri"/>
        <family val="2"/>
      </rPr>
      <t>Porta lisa com batente madeira - 110 x 210 cm</t>
    </r>
  </si>
  <si>
    <r>
      <rPr>
        <sz val="8.5"/>
        <rFont val="Calibri"/>
        <family val="2"/>
      </rPr>
      <t>556,08</t>
    </r>
  </si>
  <si>
    <r>
      <rPr>
        <sz val="8.5"/>
        <rFont val="Calibri"/>
        <family val="2"/>
      </rPr>
      <t>646,13</t>
    </r>
  </si>
  <si>
    <r>
      <rPr>
        <sz val="8.5"/>
        <rFont val="Calibri"/>
        <family val="2"/>
      </rPr>
      <t>23.09.060</t>
    </r>
  </si>
  <si>
    <r>
      <rPr>
        <sz val="8.5"/>
        <rFont val="Calibri"/>
        <family val="2"/>
      </rPr>
      <t>Porta lisa com batente madeira - 120 x 210 cm</t>
    </r>
  </si>
  <si>
    <r>
      <rPr>
        <sz val="8.5"/>
        <rFont val="Calibri"/>
        <family val="2"/>
      </rPr>
      <t>840,65</t>
    </r>
  </si>
  <si>
    <r>
      <rPr>
        <sz val="8.5"/>
        <rFont val="Calibri"/>
        <family val="2"/>
      </rPr>
      <t>953,21</t>
    </r>
  </si>
  <si>
    <r>
      <rPr>
        <sz val="8.5"/>
        <rFont val="Calibri"/>
        <family val="2"/>
      </rPr>
      <t>23.09.100</t>
    </r>
  </si>
  <si>
    <r>
      <rPr>
        <sz val="8.5"/>
        <rFont val="Calibri"/>
        <family val="2"/>
      </rPr>
      <t>Porta lisa com batente madeira - 160 x 210 cm</t>
    </r>
  </si>
  <si>
    <r>
      <rPr>
        <sz val="8.5"/>
        <rFont val="Calibri"/>
        <family val="2"/>
      </rPr>
      <t>765,28</t>
    </r>
  </si>
  <si>
    <r>
      <rPr>
        <sz val="8.5"/>
        <rFont val="Calibri"/>
        <family val="2"/>
      </rPr>
      <t>130,25</t>
    </r>
  </si>
  <si>
    <r>
      <rPr>
        <sz val="8.5"/>
        <rFont val="Calibri"/>
        <family val="2"/>
      </rPr>
      <t>895,53</t>
    </r>
  </si>
  <si>
    <r>
      <rPr>
        <sz val="8.5"/>
        <rFont val="Calibri"/>
        <family val="2"/>
      </rPr>
      <t>23.09.420</t>
    </r>
  </si>
  <si>
    <r>
      <rPr>
        <sz val="8.5"/>
        <rFont val="Calibri"/>
        <family val="2"/>
      </rPr>
      <t xml:space="preserve">Porta lisa com batente em alumínio, largura 60 cm, altura de 105 a 200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</si>
  <si>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313,39</t>
    </r>
  </si>
  <si>
    <r>
      <rPr>
        <sz val="8.5"/>
        <rFont val="Calibri"/>
        <family val="2"/>
      </rPr>
      <t>358,42</t>
    </r>
  </si>
  <si>
    <r>
      <rPr>
        <sz val="8.5"/>
        <rFont val="Calibri"/>
        <family val="2"/>
      </rPr>
      <t>23.09.430</t>
    </r>
  </si>
  <si>
    <r>
      <rPr>
        <sz val="8.5"/>
        <rFont val="Calibri"/>
        <family val="2"/>
      </rPr>
      <t xml:space="preserve">Porta lisa com batente em alumínio, largura 80 cm, altura de 105 a 200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</si>
  <si>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301,05</t>
    </r>
  </si>
  <si>
    <r>
      <rPr>
        <sz val="8.5"/>
        <rFont val="Calibri"/>
        <family val="2"/>
      </rPr>
      <t>346,08</t>
    </r>
  </si>
  <si>
    <r>
      <rPr>
        <sz val="8.5"/>
        <rFont val="Calibri"/>
        <family val="2"/>
      </rPr>
      <t>23.09.440</t>
    </r>
  </si>
  <si>
    <r>
      <rPr>
        <sz val="8.5"/>
        <rFont val="Calibri"/>
        <family val="2"/>
      </rPr>
      <t xml:space="preserve">Porta lisa com batente em alumínio, largura 90 cm, altura de 105 a 200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</si>
  <si>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324,89</t>
    </r>
  </si>
  <si>
    <r>
      <rPr>
        <sz val="8.5"/>
        <rFont val="Calibri"/>
        <family val="2"/>
      </rPr>
      <t>369,92</t>
    </r>
  </si>
  <si>
    <r>
      <rPr>
        <sz val="8.5"/>
        <rFont val="Calibri"/>
        <family val="2"/>
      </rPr>
      <t>23.09.520</t>
    </r>
  </si>
  <si>
    <r>
      <rPr>
        <sz val="8.5"/>
        <rFont val="Calibri"/>
        <family val="2"/>
      </rPr>
      <t>Porta lisa com batente metálico - 60 x 160 cm</t>
    </r>
  </si>
  <si>
    <r>
      <rPr>
        <sz val="8.5"/>
        <rFont val="Calibri"/>
        <family val="2"/>
      </rPr>
      <t>599,46</t>
    </r>
  </si>
  <si>
    <r>
      <rPr>
        <sz val="8.5"/>
        <rFont val="Calibri"/>
        <family val="2"/>
      </rPr>
      <t>644,49</t>
    </r>
  </si>
  <si>
    <r>
      <rPr>
        <sz val="8.5"/>
        <rFont val="Calibri"/>
        <family val="2"/>
      </rPr>
      <t>23.09.530</t>
    </r>
  </si>
  <si>
    <r>
      <rPr>
        <sz val="8.5"/>
        <rFont val="Calibri"/>
        <family val="2"/>
      </rPr>
      <t>Porta lisa com batente metálico - 80 x 160 cm</t>
    </r>
  </si>
  <si>
    <r>
      <rPr>
        <sz val="8.5"/>
        <rFont val="Calibri"/>
        <family val="2"/>
      </rPr>
      <t>587,12</t>
    </r>
  </si>
  <si>
    <r>
      <rPr>
        <sz val="8.5"/>
        <rFont val="Calibri"/>
        <family val="2"/>
      </rPr>
      <t>632,15</t>
    </r>
  </si>
  <si>
    <r>
      <rPr>
        <sz val="8.5"/>
        <rFont val="Calibri"/>
        <family val="2"/>
      </rPr>
      <t>23.09.540</t>
    </r>
  </si>
  <si>
    <r>
      <rPr>
        <sz val="8.5"/>
        <rFont val="Calibri"/>
        <family val="2"/>
      </rPr>
      <t>Porta lisa com batente metálico - 70 x 210 cm</t>
    </r>
  </si>
  <si>
    <r>
      <rPr>
        <sz val="8.5"/>
        <rFont val="Calibri"/>
        <family val="2"/>
      </rPr>
      <t>787,95</t>
    </r>
  </si>
  <si>
    <r>
      <rPr>
        <sz val="8.5"/>
        <rFont val="Calibri"/>
        <family val="2"/>
      </rPr>
      <t>871,57</t>
    </r>
  </si>
  <si>
    <r>
      <rPr>
        <sz val="8.5"/>
        <rFont val="Calibri"/>
        <family val="2"/>
      </rPr>
      <t>23.09.550</t>
    </r>
  </si>
  <si>
    <r>
      <rPr>
        <sz val="8.5"/>
        <rFont val="Calibri"/>
        <family val="2"/>
      </rPr>
      <t>Porta lisa com batente metálico - 80 x 210 cm</t>
    </r>
  </si>
  <si>
    <r>
      <rPr>
        <sz val="8.5"/>
        <rFont val="Calibri"/>
        <family val="2"/>
      </rPr>
      <t>807,81</t>
    </r>
  </si>
  <si>
    <r>
      <rPr>
        <sz val="8.5"/>
        <rFont val="Calibri"/>
        <family val="2"/>
      </rPr>
      <t>891,43</t>
    </r>
  </si>
  <si>
    <r>
      <rPr>
        <sz val="8.5"/>
        <rFont val="Calibri"/>
        <family val="2"/>
      </rPr>
      <t>23.09.560</t>
    </r>
  </si>
  <si>
    <r>
      <rPr>
        <sz val="8.5"/>
        <rFont val="Calibri"/>
        <family val="2"/>
      </rPr>
      <t>Porta lisa com batente metálico - 90 x 210 cm</t>
    </r>
  </si>
  <si>
    <r>
      <rPr>
        <sz val="8.5"/>
        <rFont val="Calibri"/>
        <family val="2"/>
      </rPr>
      <t>843,26</t>
    </r>
  </si>
  <si>
    <r>
      <rPr>
        <sz val="8.5"/>
        <rFont val="Calibri"/>
        <family val="2"/>
      </rPr>
      <t>926,88</t>
    </r>
  </si>
  <si>
    <r>
      <rPr>
        <sz val="8.5"/>
        <rFont val="Calibri"/>
        <family val="2"/>
      </rPr>
      <t>23.09.570</t>
    </r>
  </si>
  <si>
    <r>
      <rPr>
        <sz val="8.5"/>
        <rFont val="Calibri"/>
        <family val="2"/>
      </rPr>
      <t>Porta lisa com batente metálico - 120 x 210 cm</t>
    </r>
  </si>
  <si>
    <r>
      <rPr>
        <sz val="8.5"/>
        <rFont val="Calibri"/>
        <family val="2"/>
      </rPr>
      <t>1.092,42</t>
    </r>
  </si>
  <si>
    <r>
      <rPr>
        <sz val="8.5"/>
        <rFont val="Calibri"/>
        <family val="2"/>
      </rPr>
      <t>1.201,76</t>
    </r>
  </si>
  <si>
    <r>
      <rPr>
        <sz val="8.5"/>
        <rFont val="Calibri"/>
        <family val="2"/>
      </rPr>
      <t>23.09.590</t>
    </r>
  </si>
  <si>
    <r>
      <rPr>
        <sz val="8.5"/>
        <rFont val="Calibri"/>
        <family val="2"/>
      </rPr>
      <t>Porta lisa com batente metálico - 160 x 210 cm</t>
    </r>
  </si>
  <si>
    <r>
      <rPr>
        <sz val="8.5"/>
        <rFont val="Calibri"/>
        <family val="2"/>
      </rPr>
      <t>1.114,17</t>
    </r>
  </si>
  <si>
    <r>
      <rPr>
        <sz val="8.5"/>
        <rFont val="Calibri"/>
        <family val="2"/>
      </rPr>
      <t>1.223,51</t>
    </r>
  </si>
  <si>
    <r>
      <rPr>
        <sz val="8.5"/>
        <rFont val="Calibri"/>
        <family val="2"/>
      </rPr>
      <t>23.09.600</t>
    </r>
  </si>
  <si>
    <r>
      <rPr>
        <sz val="8.5"/>
        <rFont val="Calibri"/>
        <family val="2"/>
      </rPr>
      <t>Porta lisa com batente metálico - 60 x 180 cm</t>
    </r>
  </si>
  <si>
    <r>
      <rPr>
        <sz val="8.5"/>
        <rFont val="Calibri"/>
        <family val="2"/>
      </rPr>
      <t>693,04</t>
    </r>
  </si>
  <si>
    <r>
      <rPr>
        <sz val="8.5"/>
        <rFont val="Calibri"/>
        <family val="2"/>
      </rPr>
      <t>738,07</t>
    </r>
  </si>
  <si>
    <r>
      <rPr>
        <sz val="8.5"/>
        <rFont val="Calibri"/>
        <family val="2"/>
      </rPr>
      <t>23.09.610</t>
    </r>
  </si>
  <si>
    <r>
      <rPr>
        <sz val="8.5"/>
        <rFont val="Calibri"/>
        <family val="2"/>
      </rPr>
      <t>Porta lisa com batente metálico - 60 x 210 cm</t>
    </r>
  </si>
  <si>
    <r>
      <rPr>
        <sz val="8.5"/>
        <rFont val="Calibri"/>
        <family val="2"/>
      </rPr>
      <t>796,93</t>
    </r>
  </si>
  <si>
    <r>
      <rPr>
        <sz val="8.5"/>
        <rFont val="Calibri"/>
        <family val="2"/>
      </rPr>
      <t>841,96</t>
    </r>
  </si>
  <si>
    <r>
      <rPr>
        <sz val="8.5"/>
        <rFont val="Calibri"/>
        <family val="2"/>
      </rPr>
      <t>23.09.630</t>
    </r>
  </si>
  <si>
    <r>
      <rPr>
        <sz val="8.5"/>
        <rFont val="Calibri"/>
        <family val="2"/>
      </rPr>
      <t>Porta lisa com batente madeira, 2 folhas - 140 x 210 cm</t>
    </r>
  </si>
  <si>
    <r>
      <rPr>
        <sz val="8.5"/>
        <rFont val="Calibri"/>
        <family val="2"/>
      </rPr>
      <t>845,83</t>
    </r>
  </si>
  <si>
    <r>
      <rPr>
        <sz val="8.5"/>
        <rFont val="Calibri"/>
        <family val="2"/>
      </rPr>
      <t>958,39</t>
    </r>
  </si>
  <si>
    <r>
      <rPr>
        <sz val="8.5"/>
        <rFont val="Calibri"/>
        <family val="2"/>
      </rPr>
      <t>Porta lisa para acabamento em verniz montada com batente</t>
    </r>
  </si>
  <si>
    <r>
      <rPr>
        <sz val="8.5"/>
        <rFont val="Calibri"/>
        <family val="2"/>
      </rPr>
      <t>23.11.010</t>
    </r>
  </si>
  <si>
    <r>
      <rPr>
        <sz val="8.5"/>
        <rFont val="Calibri"/>
        <family val="2"/>
      </rPr>
      <t xml:space="preserve">Acréscimo de bandeira - porta lisa para acabamento em verniz, com
</t>
    </r>
    <r>
      <rPr>
        <sz val="8.5"/>
        <rFont val="Calibri"/>
        <family val="2"/>
      </rPr>
      <t>batente de madeira</t>
    </r>
  </si>
  <si>
    <r>
      <rPr>
        <sz val="8.5"/>
        <rFont val="Calibri"/>
        <family val="2"/>
      </rPr>
      <t>235,70</t>
    </r>
  </si>
  <si>
    <r>
      <rPr>
        <sz val="8.5"/>
        <rFont val="Calibri"/>
        <family val="2"/>
      </rPr>
      <t>280,07</t>
    </r>
  </si>
  <si>
    <r>
      <rPr>
        <sz val="8.5"/>
        <rFont val="Calibri"/>
        <family val="2"/>
      </rPr>
      <t>23.11.030</t>
    </r>
  </si>
  <si>
    <r>
      <rPr>
        <sz val="8.5"/>
        <rFont val="Calibri"/>
        <family val="2"/>
      </rPr>
      <t xml:space="preserve">Porta lisa para acabamento em verniz, com batente de madeira - 70 x
</t>
    </r>
    <r>
      <rPr>
        <sz val="8.5"/>
        <rFont val="Calibri"/>
        <family val="2"/>
      </rPr>
      <t>210 cm</t>
    </r>
  </si>
  <si>
    <r>
      <rPr>
        <sz val="8.5"/>
        <rFont val="Calibri"/>
        <family val="2"/>
      </rPr>
      <t>449,62</t>
    </r>
  </si>
  <si>
    <r>
      <rPr>
        <sz val="8.5"/>
        <rFont val="Calibri"/>
        <family val="2"/>
      </rPr>
      <t>539,67</t>
    </r>
  </si>
  <si>
    <r>
      <rPr>
        <sz val="8.5"/>
        <rFont val="Calibri"/>
        <family val="2"/>
      </rPr>
      <t>23.11.040</t>
    </r>
  </si>
  <si>
    <r>
      <rPr>
        <sz val="8.5"/>
        <rFont val="Calibri"/>
        <family val="2"/>
      </rPr>
      <t xml:space="preserve">Porta lisa para acabamento em verniz, com batente de madeira - 80 x
</t>
    </r>
    <r>
      <rPr>
        <sz val="8.5"/>
        <rFont val="Calibri"/>
        <family val="2"/>
      </rPr>
      <t>210 cm</t>
    </r>
  </si>
  <si>
    <r>
      <rPr>
        <sz val="8.5"/>
        <rFont val="Calibri"/>
        <family val="2"/>
      </rPr>
      <t>447,67</t>
    </r>
  </si>
  <si>
    <r>
      <rPr>
        <sz val="8.5"/>
        <rFont val="Calibri"/>
        <family val="2"/>
      </rPr>
      <t>537,72</t>
    </r>
  </si>
  <si>
    <r>
      <rPr>
        <sz val="8.5"/>
        <rFont val="Calibri"/>
        <family val="2"/>
      </rPr>
      <t>23.11.050</t>
    </r>
  </si>
  <si>
    <r>
      <rPr>
        <sz val="8.5"/>
        <rFont val="Calibri"/>
        <family val="2"/>
      </rPr>
      <t xml:space="preserve">Porta lisa para acabamento em verniz, com batente de madeira - 90 x
</t>
    </r>
    <r>
      <rPr>
        <sz val="8.5"/>
        <rFont val="Calibri"/>
        <family val="2"/>
      </rPr>
      <t>210 cm</t>
    </r>
  </si>
  <si>
    <r>
      <rPr>
        <sz val="8.5"/>
        <rFont val="Calibri"/>
        <family val="2"/>
      </rPr>
      <t>482,10</t>
    </r>
  </si>
  <si>
    <r>
      <rPr>
        <sz val="8.5"/>
        <rFont val="Calibri"/>
        <family val="2"/>
      </rPr>
      <t>572,15</t>
    </r>
  </si>
  <si>
    <r>
      <rPr>
        <sz val="8.5"/>
        <rFont val="Calibri"/>
        <family val="2"/>
      </rPr>
      <t>Porta comum completa - uso coletivo (padrao dimensional medio)</t>
    </r>
  </si>
  <si>
    <r>
      <rPr>
        <sz val="8.5"/>
        <rFont val="Calibri"/>
        <family val="2"/>
      </rPr>
      <t>23.12.001</t>
    </r>
  </si>
  <si>
    <r>
      <rPr>
        <sz val="8.5"/>
        <rFont val="Calibri"/>
        <family val="2"/>
      </rPr>
      <t>Porta lisa de madeira, interna "PIM", para acabamento em pintura, padrão dimensional médio, com ferragens, completo - 80 x 210 cm</t>
    </r>
  </si>
  <si>
    <r>
      <rPr>
        <sz val="8.5"/>
        <rFont val="Calibri"/>
        <family val="2"/>
      </rPr>
      <t>561,69</t>
    </r>
  </si>
  <si>
    <r>
      <rPr>
        <sz val="8.5"/>
        <rFont val="Calibri"/>
        <family val="2"/>
      </rPr>
      <t>Porta comum completa - uso publico (padrao dimensional medio/pesado)</t>
    </r>
  </si>
  <si>
    <r>
      <rPr>
        <sz val="8.5"/>
        <rFont val="Calibri"/>
        <family val="2"/>
      </rPr>
      <t>23.13.001</t>
    </r>
  </si>
  <si>
    <r>
      <rPr>
        <sz val="8.5"/>
        <rFont val="Calibri"/>
        <family val="2"/>
      </rPr>
      <t xml:space="preserve">Porta lisa de madeira, interna "PIM", para acabamento em pintura,
</t>
    </r>
    <r>
      <rPr>
        <sz val="8.5"/>
        <rFont val="Calibri"/>
        <family val="2"/>
      </rPr>
      <t>padrão dimensional médio/pesado, com ferragens, completo - 80 x 210 cm</t>
    </r>
  </si>
  <si>
    <r>
      <rPr>
        <sz val="8.5"/>
        <rFont val="Calibri"/>
        <family val="2"/>
      </rPr>
      <t>23.13.002</t>
    </r>
  </si>
  <si>
    <r>
      <rPr>
        <sz val="8.5"/>
        <rFont val="Calibri"/>
        <family val="2"/>
      </rPr>
      <t xml:space="preserve">Porta lisa de madeira, interna "PIM", para acabamento em pintura, padrão dimensional médio/pesado, com ferragens, completo - 90 x 210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</si>
  <si>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619,31</t>
    </r>
  </si>
  <si>
    <r>
      <rPr>
        <sz val="8.5"/>
        <rFont val="Calibri"/>
        <family val="2"/>
      </rPr>
      <t>23.13.020</t>
    </r>
  </si>
  <si>
    <r>
      <rPr>
        <sz val="8.5"/>
        <rFont val="Calibri"/>
        <family val="2"/>
      </rPr>
      <t xml:space="preserve">Porta lisa de madeira, interna, resistente a umidade "PIM RU", para acabamento em pintura, padrão dimensional médio/pesado, com
</t>
    </r>
    <r>
      <rPr>
        <sz val="8.5"/>
        <rFont val="Calibri"/>
        <family val="2"/>
      </rPr>
      <t>ferragens, completo - 80 x 210 cm</t>
    </r>
  </si>
  <si>
    <r>
      <rPr>
        <sz val="8.5"/>
        <rFont val="Calibri"/>
        <family val="2"/>
      </rPr>
      <t>23.13.040</t>
    </r>
  </si>
  <si>
    <r>
      <rPr>
        <sz val="8.5"/>
        <rFont val="Calibri"/>
        <family val="2"/>
      </rPr>
      <t>Porta lisa de madeira, interna, resistente a umidade "PIM RU", para acabamento revestido ou em pintura, para divisória sanitária, padrão dimensional médio/pesado, com ferragens, completo - 80 x 190 cm</t>
    </r>
  </si>
  <si>
    <r>
      <rPr>
        <sz val="8.5"/>
        <rFont val="Calibri"/>
        <family val="2"/>
      </rPr>
      <t>23.13.052</t>
    </r>
  </si>
  <si>
    <r>
      <rPr>
        <sz val="8.5"/>
        <rFont val="Calibri"/>
        <family val="2"/>
      </rPr>
      <t>Porta lisa de madeira, interna, resistente a umidade "PIM RU", para acabamento em pintura, tipo acessível, padrão dimensional médio/pesado, com ferragens, completo - 90 x 210 cm</t>
    </r>
  </si>
  <si>
    <r>
      <rPr>
        <sz val="8.5"/>
        <rFont val="Calibri"/>
        <family val="2"/>
      </rPr>
      <t>23.13.064</t>
    </r>
  </si>
  <si>
    <r>
      <rPr>
        <sz val="8.5"/>
        <rFont val="Calibri"/>
        <family val="2"/>
      </rPr>
      <t xml:space="preserve">Porta lisa de madeira, interna, resistente a umidade "PIM RU", para acabamento em pintura, de correr ou deslizante, tipo acessível, padrão dimensional pesado, com sistema deslizante e ferragens, completo - 100
</t>
    </r>
    <r>
      <rPr>
        <sz val="8.5"/>
        <rFont val="Calibri"/>
        <family val="2"/>
      </rPr>
      <t>x 210 cm</t>
    </r>
  </si>
  <si>
    <r>
      <rPr>
        <sz val="8.5"/>
        <rFont val="Calibri"/>
        <family val="2"/>
      </rPr>
      <t>650,35</t>
    </r>
  </si>
  <si>
    <r>
      <rPr>
        <sz val="8.5"/>
        <rFont val="Calibri"/>
        <family val="2"/>
      </rPr>
      <t>Reparos, conservacoes e complementos - GRUPO 23</t>
    </r>
  </si>
  <si>
    <r>
      <rPr>
        <sz val="8.5"/>
        <rFont val="Calibri"/>
        <family val="2"/>
      </rPr>
      <t>23.20.020</t>
    </r>
  </si>
  <si>
    <r>
      <rPr>
        <sz val="8.5"/>
        <rFont val="Calibri"/>
        <family val="2"/>
      </rPr>
      <t>Recolocação de batentes de madeira</t>
    </r>
  </si>
  <si>
    <r>
      <rPr>
        <sz val="8.5"/>
        <rFont val="Calibri"/>
        <family val="2"/>
      </rPr>
      <t>23.20.040</t>
    </r>
  </si>
  <si>
    <r>
      <rPr>
        <sz val="8.5"/>
        <rFont val="Calibri"/>
        <family val="2"/>
      </rPr>
      <t>Recolocação de folhas de porta ou janela</t>
    </r>
  </si>
  <si>
    <r>
      <rPr>
        <sz val="8.5"/>
        <rFont val="Calibri"/>
        <family val="2"/>
      </rPr>
      <t>51,45</t>
    </r>
  </si>
  <si>
    <r>
      <rPr>
        <sz val="8.5"/>
        <rFont val="Calibri"/>
        <family val="2"/>
      </rPr>
      <t>23.20.060</t>
    </r>
  </si>
  <si>
    <r>
      <rPr>
        <sz val="8.5"/>
        <rFont val="Calibri"/>
        <family val="2"/>
      </rPr>
      <t>Recolocação de guarnição ou molduras</t>
    </r>
  </si>
  <si>
    <r>
      <rPr>
        <sz val="8.5"/>
        <rFont val="Calibri"/>
        <family val="2"/>
      </rPr>
      <t>23.20.100</t>
    </r>
  </si>
  <si>
    <r>
      <rPr>
        <sz val="8.5"/>
        <rFont val="Calibri"/>
        <family val="2"/>
      </rPr>
      <t>Batente de madeira para porta</t>
    </r>
  </si>
  <si>
    <r>
      <rPr>
        <sz val="8.5"/>
        <rFont val="Calibri"/>
        <family val="2"/>
      </rPr>
      <t>37,32</t>
    </r>
  </si>
  <si>
    <r>
      <rPr>
        <sz val="8.5"/>
        <rFont val="Calibri"/>
        <family val="2"/>
      </rPr>
      <t>46,97</t>
    </r>
  </si>
  <si>
    <r>
      <rPr>
        <sz val="8.5"/>
        <rFont val="Calibri"/>
        <family val="2"/>
      </rPr>
      <t>23.20.110</t>
    </r>
  </si>
  <si>
    <r>
      <rPr>
        <sz val="8.5"/>
        <rFont val="Calibri"/>
        <family val="2"/>
      </rPr>
      <t>Visor fixo e requadro de madeira para porta, para receber vidro</t>
    </r>
  </si>
  <si>
    <r>
      <rPr>
        <sz val="8.5"/>
        <rFont val="Calibri"/>
        <family val="2"/>
      </rPr>
      <t>1.028,30</t>
    </r>
  </si>
  <si>
    <r>
      <rPr>
        <sz val="8.5"/>
        <rFont val="Calibri"/>
        <family val="2"/>
      </rPr>
      <t>1.156,94</t>
    </r>
  </si>
  <si>
    <r>
      <rPr>
        <sz val="8.5"/>
        <rFont val="Calibri"/>
        <family val="2"/>
      </rPr>
      <t>23.20.120</t>
    </r>
  </si>
  <si>
    <r>
      <rPr>
        <sz val="8.5"/>
        <rFont val="Calibri"/>
        <family val="2"/>
      </rPr>
      <t>Guarnição de madeira</t>
    </r>
  </si>
  <si>
    <r>
      <rPr>
        <sz val="8.5"/>
        <rFont val="Calibri"/>
        <family val="2"/>
      </rPr>
      <t>3,56</t>
    </r>
  </si>
  <si>
    <r>
      <rPr>
        <sz val="8.5"/>
        <rFont val="Calibri"/>
        <family val="2"/>
      </rPr>
      <t>5,17</t>
    </r>
  </si>
  <si>
    <r>
      <rPr>
        <sz val="8.5"/>
        <rFont val="Calibri"/>
        <family val="2"/>
      </rPr>
      <t>23.20.140</t>
    </r>
  </si>
  <si>
    <r>
      <rPr>
        <sz val="8.5"/>
        <rFont val="Calibri"/>
        <family val="2"/>
      </rPr>
      <t>Acréscimo de visor completo em porta de madeira</t>
    </r>
  </si>
  <si>
    <r>
      <rPr>
        <sz val="8.5"/>
        <rFont val="Calibri"/>
        <family val="2"/>
      </rPr>
      <t>257,39</t>
    </r>
  </si>
  <si>
    <r>
      <rPr>
        <sz val="8.5"/>
        <rFont val="Calibri"/>
        <family val="2"/>
      </rPr>
      <t>23.20.160</t>
    </r>
  </si>
  <si>
    <r>
      <rPr>
        <sz val="8.5"/>
        <rFont val="Calibri"/>
        <family val="2"/>
      </rPr>
      <t>Folha de porta veneziana maciça, sob medida</t>
    </r>
  </si>
  <si>
    <r>
      <rPr>
        <sz val="8.5"/>
        <rFont val="Calibri"/>
        <family val="2"/>
      </rPr>
      <t>793,52</t>
    </r>
  </si>
  <si>
    <r>
      <rPr>
        <sz val="8.5"/>
        <rFont val="Calibri"/>
        <family val="2"/>
      </rPr>
      <t>809,60</t>
    </r>
  </si>
  <si>
    <r>
      <rPr>
        <sz val="8.5"/>
        <rFont val="Calibri"/>
        <family val="2"/>
      </rPr>
      <t>23.20.170</t>
    </r>
  </si>
  <si>
    <r>
      <rPr>
        <sz val="8.5"/>
        <rFont val="Calibri"/>
        <family val="2"/>
      </rPr>
      <t>Folha de porta lisa folheada com madeira, sob medida</t>
    </r>
  </si>
  <si>
    <r>
      <rPr>
        <sz val="8.5"/>
        <rFont val="Calibri"/>
        <family val="2"/>
      </rPr>
      <t>178,37</t>
    </r>
  </si>
  <si>
    <r>
      <rPr>
        <sz val="8.5"/>
        <rFont val="Calibri"/>
        <family val="2"/>
      </rPr>
      <t>194,45</t>
    </r>
  </si>
  <si>
    <r>
      <rPr>
        <sz val="8.5"/>
        <rFont val="Calibri"/>
        <family val="2"/>
      </rPr>
      <t>23.20.180</t>
    </r>
  </si>
  <si>
    <r>
      <rPr>
        <sz val="8.5"/>
        <rFont val="Calibri"/>
        <family val="2"/>
      </rPr>
      <t>Folha de porta em madeira para receber vidro, sob medida</t>
    </r>
  </si>
  <si>
    <r>
      <rPr>
        <sz val="8.5"/>
        <rFont val="Calibri"/>
        <family val="2"/>
      </rPr>
      <t>426,61</t>
    </r>
  </si>
  <si>
    <r>
      <rPr>
        <sz val="8.5"/>
        <rFont val="Calibri"/>
        <family val="2"/>
      </rPr>
      <t>442,69</t>
    </r>
  </si>
  <si>
    <r>
      <rPr>
        <sz val="8.5"/>
        <rFont val="Calibri"/>
        <family val="2"/>
      </rPr>
      <t>23.20.310</t>
    </r>
  </si>
  <si>
    <r>
      <rPr>
        <sz val="8.5"/>
        <rFont val="Calibri"/>
        <family val="2"/>
      </rPr>
      <t>Folha de porta lisa comum - 60 x 210 cm</t>
    </r>
  </si>
  <si>
    <r>
      <rPr>
        <sz val="8.5"/>
        <rFont val="Calibri"/>
        <family val="2"/>
      </rPr>
      <t>225,84</t>
    </r>
  </si>
  <si>
    <r>
      <rPr>
        <sz val="8.5"/>
        <rFont val="Calibri"/>
        <family val="2"/>
      </rPr>
      <t>274,08</t>
    </r>
  </si>
  <si>
    <r>
      <rPr>
        <sz val="8.5"/>
        <rFont val="Calibri"/>
        <family val="2"/>
      </rPr>
      <t>23.20.320</t>
    </r>
  </si>
  <si>
    <r>
      <rPr>
        <sz val="8.5"/>
        <rFont val="Calibri"/>
        <family val="2"/>
      </rPr>
      <t>Folha de porta lisa comum - 70 x 210 cm</t>
    </r>
  </si>
  <si>
    <r>
      <rPr>
        <sz val="8.5"/>
        <rFont val="Calibri"/>
        <family val="2"/>
      </rPr>
      <t>205,25</t>
    </r>
  </si>
  <si>
    <r>
      <rPr>
        <sz val="8.5"/>
        <rFont val="Calibri"/>
        <family val="2"/>
      </rPr>
      <t>253,49</t>
    </r>
  </si>
  <si>
    <r>
      <rPr>
        <sz val="8.5"/>
        <rFont val="Calibri"/>
        <family val="2"/>
      </rPr>
      <t>23.20.330</t>
    </r>
  </si>
  <si>
    <r>
      <rPr>
        <sz val="8.5"/>
        <rFont val="Calibri"/>
        <family val="2"/>
      </rPr>
      <t>Folha de porta lisa comum - 80 x 210 cm</t>
    </r>
  </si>
  <si>
    <r>
      <rPr>
        <sz val="8.5"/>
        <rFont val="Calibri"/>
        <family val="2"/>
      </rPr>
      <t>213,50</t>
    </r>
  </si>
  <si>
    <r>
      <rPr>
        <sz val="8.5"/>
        <rFont val="Calibri"/>
        <family val="2"/>
      </rPr>
      <t>261,74</t>
    </r>
  </si>
  <si>
    <r>
      <rPr>
        <sz val="8.5"/>
        <rFont val="Calibri"/>
        <family val="2"/>
      </rPr>
      <t>23.20.340</t>
    </r>
  </si>
  <si>
    <r>
      <rPr>
        <sz val="8.5"/>
        <rFont val="Calibri"/>
        <family val="2"/>
      </rPr>
      <t>Folha de porta lisa comum - 90 x 210 cm</t>
    </r>
  </si>
  <si>
    <r>
      <rPr>
        <sz val="8.5"/>
        <rFont val="Calibri"/>
        <family val="2"/>
      </rPr>
      <t>237,34</t>
    </r>
  </si>
  <si>
    <r>
      <rPr>
        <sz val="8.5"/>
        <rFont val="Calibri"/>
        <family val="2"/>
      </rPr>
      <t>285,58</t>
    </r>
  </si>
  <si>
    <r>
      <rPr>
        <sz val="8.5"/>
        <rFont val="Calibri"/>
        <family val="2"/>
      </rPr>
      <t>23.20.450</t>
    </r>
  </si>
  <si>
    <r>
      <rPr>
        <sz val="8.5"/>
        <rFont val="Calibri"/>
        <family val="2"/>
      </rPr>
      <t xml:space="preserve">Folha de porta em laminado fenólico melamínico com acabamento liso -
</t>
    </r>
    <r>
      <rPr>
        <sz val="8.5"/>
        <rFont val="Calibri"/>
        <family val="2"/>
      </rPr>
      <t>70 x 210 cm</t>
    </r>
  </si>
  <si>
    <r>
      <rPr>
        <sz val="8.5"/>
        <rFont val="Calibri"/>
        <family val="2"/>
      </rPr>
      <t>709,13</t>
    </r>
  </si>
  <si>
    <r>
      <rPr>
        <sz val="8.5"/>
        <rFont val="Calibri"/>
        <family val="2"/>
      </rPr>
      <t>757,37</t>
    </r>
  </si>
  <si>
    <r>
      <rPr>
        <sz val="8.5"/>
        <rFont val="Calibri"/>
        <family val="2"/>
      </rPr>
      <t>23.20.460</t>
    </r>
  </si>
  <si>
    <r>
      <rPr>
        <sz val="8.5"/>
        <rFont val="Calibri"/>
        <family val="2"/>
      </rPr>
      <t xml:space="preserve">Folha de porta em laminado fenólico melamínico com acabamento liso -
</t>
    </r>
    <r>
      <rPr>
        <sz val="8.5"/>
        <rFont val="Calibri"/>
        <family val="2"/>
      </rPr>
      <t>90 x 210 cm</t>
    </r>
  </si>
  <si>
    <r>
      <rPr>
        <sz val="8.5"/>
        <rFont val="Calibri"/>
        <family val="2"/>
      </rPr>
      <t>823,50</t>
    </r>
  </si>
  <si>
    <r>
      <rPr>
        <sz val="8.5"/>
        <rFont val="Calibri"/>
        <family val="2"/>
      </rPr>
      <t>871,74</t>
    </r>
  </si>
  <si>
    <r>
      <rPr>
        <sz val="8.5"/>
        <rFont val="Calibri"/>
        <family val="2"/>
      </rPr>
      <t>23.20.550</t>
    </r>
  </si>
  <si>
    <r>
      <rPr>
        <sz val="8.5"/>
        <rFont val="Calibri"/>
        <family val="2"/>
      </rPr>
      <t xml:space="preserve">Folha de porta em laminado fenólico melamínico com acabamento liso -
</t>
    </r>
    <r>
      <rPr>
        <sz val="8.5"/>
        <rFont val="Calibri"/>
        <family val="2"/>
      </rPr>
      <t>80 x 210 cm</t>
    </r>
  </si>
  <si>
    <r>
      <rPr>
        <sz val="8.5"/>
        <rFont val="Calibri"/>
        <family val="2"/>
      </rPr>
      <t>791,99</t>
    </r>
  </si>
  <si>
    <r>
      <rPr>
        <sz val="8.5"/>
        <rFont val="Calibri"/>
        <family val="2"/>
      </rPr>
      <t>840,23</t>
    </r>
  </si>
  <si>
    <r>
      <rPr>
        <sz val="8.5"/>
        <rFont val="Calibri"/>
        <family val="2"/>
      </rPr>
      <t>23.20.600</t>
    </r>
  </si>
  <si>
    <r>
      <rPr>
        <sz val="8.5"/>
        <rFont val="Calibri"/>
        <family val="2"/>
      </rPr>
      <t>Folha de porta em madeira com tela de proteção tipo mosqueteira</t>
    </r>
  </si>
  <si>
    <r>
      <rPr>
        <sz val="8.5"/>
        <rFont val="Calibri"/>
        <family val="2"/>
      </rPr>
      <t>700,08</t>
    </r>
  </si>
  <si>
    <r>
      <rPr>
        <sz val="8.5"/>
        <rFont val="Calibri"/>
        <family val="2"/>
      </rPr>
      <t>748,32</t>
    </r>
  </si>
  <si>
    <r>
      <rPr>
        <sz val="8.5"/>
        <rFont val="Calibri"/>
        <family val="2"/>
      </rPr>
      <t>ESQUADRIA, SERRALHERIA E ELEMENTO EM FERRO</t>
    </r>
  </si>
  <si>
    <r>
      <rPr>
        <sz val="8.5"/>
        <rFont val="Calibri"/>
        <family val="2"/>
      </rPr>
      <t>Caixilho em ferro</t>
    </r>
  </si>
  <si>
    <r>
      <rPr>
        <sz val="8.5"/>
        <rFont val="Calibri"/>
        <family val="2"/>
      </rPr>
      <t>24.01.010</t>
    </r>
  </si>
  <si>
    <r>
      <rPr>
        <sz val="8.5"/>
        <rFont val="Calibri"/>
        <family val="2"/>
      </rPr>
      <t>Caixilho em ferro fixo, sob medida</t>
    </r>
  </si>
  <si>
    <r>
      <rPr>
        <sz val="8.5"/>
        <rFont val="Calibri"/>
        <family val="2"/>
      </rPr>
      <t>890,77</t>
    </r>
  </si>
  <si>
    <r>
      <rPr>
        <sz val="8.5"/>
        <rFont val="Calibri"/>
        <family val="2"/>
      </rPr>
      <t>20,42</t>
    </r>
  </si>
  <si>
    <r>
      <rPr>
        <sz val="8.5"/>
        <rFont val="Calibri"/>
        <family val="2"/>
      </rPr>
      <t>911,19</t>
    </r>
  </si>
  <si>
    <r>
      <rPr>
        <sz val="8.5"/>
        <rFont val="Calibri"/>
        <family val="2"/>
      </rPr>
      <t>24.01.030</t>
    </r>
  </si>
  <si>
    <r>
      <rPr>
        <sz val="8.5"/>
        <rFont val="Calibri"/>
        <family val="2"/>
      </rPr>
      <t>Caixilho em ferro basculante, sob medida</t>
    </r>
  </si>
  <si>
    <r>
      <rPr>
        <sz val="8.5"/>
        <rFont val="Calibri"/>
        <family val="2"/>
      </rPr>
      <t>908,99</t>
    </r>
  </si>
  <si>
    <r>
      <rPr>
        <sz val="8.5"/>
        <rFont val="Calibri"/>
        <family val="2"/>
      </rPr>
      <t>929,41</t>
    </r>
  </si>
  <si>
    <r>
      <rPr>
        <sz val="8.5"/>
        <rFont val="Calibri"/>
        <family val="2"/>
      </rPr>
      <t>24.01.070</t>
    </r>
  </si>
  <si>
    <r>
      <rPr>
        <sz val="8.5"/>
        <rFont val="Calibri"/>
        <family val="2"/>
      </rPr>
      <t>Caixilho em ferro de correr, sob medida</t>
    </r>
  </si>
  <si>
    <r>
      <rPr>
        <sz val="8.5"/>
        <rFont val="Calibri"/>
        <family val="2"/>
      </rPr>
      <t>965,89</t>
    </r>
  </si>
  <si>
    <r>
      <rPr>
        <sz val="8.5"/>
        <rFont val="Calibri"/>
        <family val="2"/>
      </rPr>
      <t>986,31</t>
    </r>
  </si>
  <si>
    <r>
      <rPr>
        <sz val="8.5"/>
        <rFont val="Calibri"/>
        <family val="2"/>
      </rPr>
      <t>24.01.090</t>
    </r>
  </si>
  <si>
    <r>
      <rPr>
        <sz val="8.5"/>
        <rFont val="Calibri"/>
        <family val="2"/>
      </rPr>
      <t>Caixilho em ferro com ventilação permanente, sob medida</t>
    </r>
  </si>
  <si>
    <r>
      <rPr>
        <sz val="8.5"/>
        <rFont val="Calibri"/>
        <family val="2"/>
      </rPr>
      <t>803,37</t>
    </r>
  </si>
  <si>
    <r>
      <rPr>
        <sz val="8.5"/>
        <rFont val="Calibri"/>
        <family val="2"/>
      </rPr>
      <t>823,79</t>
    </r>
  </si>
  <si>
    <r>
      <rPr>
        <sz val="8.5"/>
        <rFont val="Calibri"/>
        <family val="2"/>
      </rPr>
      <t>24.01.100</t>
    </r>
  </si>
  <si>
    <r>
      <rPr>
        <sz val="8.5"/>
        <rFont val="Calibri"/>
        <family val="2"/>
      </rPr>
      <t>Caixilho em ferro tipo veneziana, linha comercial</t>
    </r>
  </si>
  <si>
    <r>
      <rPr>
        <sz val="8.5"/>
        <rFont val="Calibri"/>
        <family val="2"/>
      </rPr>
      <t>524,94</t>
    </r>
  </si>
  <si>
    <r>
      <rPr>
        <sz val="8.5"/>
        <rFont val="Calibri"/>
        <family val="2"/>
      </rPr>
      <t>545,36</t>
    </r>
  </si>
  <si>
    <r>
      <rPr>
        <sz val="8.5"/>
        <rFont val="Calibri"/>
        <family val="2"/>
      </rPr>
      <t>24.01.110</t>
    </r>
  </si>
  <si>
    <r>
      <rPr>
        <sz val="8.5"/>
        <rFont val="Calibri"/>
        <family val="2"/>
      </rPr>
      <t>Caixilho em ferro tipo veneziana, sob medida</t>
    </r>
  </si>
  <si>
    <r>
      <rPr>
        <sz val="8.5"/>
        <rFont val="Calibri"/>
        <family val="2"/>
      </rPr>
      <t>821,44</t>
    </r>
  </si>
  <si>
    <r>
      <rPr>
        <sz val="8.5"/>
        <rFont val="Calibri"/>
        <family val="2"/>
      </rPr>
      <t>841,86</t>
    </r>
  </si>
  <si>
    <r>
      <rPr>
        <sz val="8.5"/>
        <rFont val="Calibri"/>
        <family val="2"/>
      </rPr>
      <t>24.01.120</t>
    </r>
  </si>
  <si>
    <r>
      <rPr>
        <sz val="8.5"/>
        <rFont val="Calibri"/>
        <family val="2"/>
      </rPr>
      <t xml:space="preserve">Caixilho tipo veneziana industrial com montantes em aço galvanizado e
</t>
    </r>
    <r>
      <rPr>
        <sz val="8.5"/>
        <rFont val="Calibri"/>
        <family val="2"/>
      </rPr>
      <t>aletas em fibra de vidro</t>
    </r>
  </si>
  <si>
    <r>
      <rPr>
        <sz val="8.5"/>
        <rFont val="Calibri"/>
        <family val="2"/>
      </rPr>
      <t>248,58</t>
    </r>
  </si>
  <si>
    <r>
      <rPr>
        <sz val="8.5"/>
        <rFont val="Calibri"/>
        <family val="2"/>
      </rPr>
      <t>24.01.180</t>
    </r>
  </si>
  <si>
    <r>
      <rPr>
        <sz val="8.5"/>
        <rFont val="Calibri"/>
        <family val="2"/>
      </rPr>
      <t>Caixilho removível em tela de aço galvanizado, tipo ondulada com malha de 1", fio 12, com requadro tubular de aço carbono, sob medida</t>
    </r>
  </si>
  <si>
    <r>
      <rPr>
        <sz val="8.5"/>
        <rFont val="Calibri"/>
        <family val="2"/>
      </rPr>
      <t>516,18</t>
    </r>
  </si>
  <si>
    <r>
      <rPr>
        <sz val="8.5"/>
        <rFont val="Calibri"/>
        <family val="2"/>
      </rPr>
      <t>19,85</t>
    </r>
  </si>
  <si>
    <r>
      <rPr>
        <sz val="8.5"/>
        <rFont val="Calibri"/>
        <family val="2"/>
      </rPr>
      <t>536,03</t>
    </r>
  </si>
  <si>
    <r>
      <rPr>
        <sz val="8.5"/>
        <rFont val="Calibri"/>
        <family val="2"/>
      </rPr>
      <t>24.01.190</t>
    </r>
  </si>
  <si>
    <r>
      <rPr>
        <sz val="8.5"/>
        <rFont val="Calibri"/>
        <family val="2"/>
      </rPr>
      <t>Caixilho fixo em tela de aço galvanizado tipo ondulada com malha de 1/2", fio 12, com requadro em cantoneira de aço carbono, sob medida</t>
    </r>
  </si>
  <si>
    <r>
      <rPr>
        <sz val="8.5"/>
        <rFont val="Calibri"/>
        <family val="2"/>
      </rPr>
      <t>319,04</t>
    </r>
  </si>
  <si>
    <r>
      <rPr>
        <sz val="8.5"/>
        <rFont val="Calibri"/>
        <family val="2"/>
      </rPr>
      <t>338,89</t>
    </r>
  </si>
  <si>
    <r>
      <rPr>
        <sz val="8.5"/>
        <rFont val="Calibri"/>
        <family val="2"/>
      </rPr>
      <t>24.01.200</t>
    </r>
  </si>
  <si>
    <r>
      <rPr>
        <sz val="8.5"/>
        <rFont val="Calibri"/>
        <family val="2"/>
      </rPr>
      <t xml:space="preserve">Caixilho fixo em aço SAE 1010/1020 para vidro à prova de bala, sob
</t>
    </r>
    <r>
      <rPr>
        <sz val="8.5"/>
        <rFont val="Calibri"/>
        <family val="2"/>
      </rPr>
      <t>medida</t>
    </r>
  </si>
  <si>
    <r>
      <rPr>
        <sz val="8.5"/>
        <rFont val="Calibri"/>
        <family val="2"/>
      </rPr>
      <t>1.349,72</t>
    </r>
  </si>
  <si>
    <r>
      <rPr>
        <sz val="8.5"/>
        <rFont val="Calibri"/>
        <family val="2"/>
      </rPr>
      <t>52,70</t>
    </r>
  </si>
  <si>
    <r>
      <rPr>
        <sz val="8.5"/>
        <rFont val="Calibri"/>
        <family val="2"/>
      </rPr>
      <t>1.402,42</t>
    </r>
  </si>
  <si>
    <r>
      <rPr>
        <sz val="8.5"/>
        <rFont val="Calibri"/>
        <family val="2"/>
      </rPr>
      <t>24.01.280</t>
    </r>
  </si>
  <si>
    <r>
      <rPr>
        <sz val="8.5"/>
        <rFont val="Calibri"/>
        <family val="2"/>
      </rPr>
      <t>Caixilho tipo guichê em chapa de aço</t>
    </r>
  </si>
  <si>
    <r>
      <rPr>
        <sz val="8.5"/>
        <rFont val="Calibri"/>
        <family val="2"/>
      </rPr>
      <t>625,72</t>
    </r>
  </si>
  <si>
    <r>
      <rPr>
        <sz val="8.5"/>
        <rFont val="Calibri"/>
        <family val="2"/>
      </rPr>
      <t>67,44</t>
    </r>
  </si>
  <si>
    <r>
      <rPr>
        <sz val="8.5"/>
        <rFont val="Calibri"/>
        <family val="2"/>
      </rPr>
      <t>693,16</t>
    </r>
  </si>
  <si>
    <r>
      <rPr>
        <sz val="8.5"/>
        <rFont val="Calibri"/>
        <family val="2"/>
      </rPr>
      <t>Portas, portoes e gradis</t>
    </r>
  </si>
  <si>
    <r>
      <rPr>
        <sz val="8.5"/>
        <rFont val="Calibri"/>
        <family val="2"/>
      </rPr>
      <t>24.02.010</t>
    </r>
  </si>
  <si>
    <r>
      <rPr>
        <sz val="8.5"/>
        <rFont val="Calibri"/>
        <family val="2"/>
      </rPr>
      <t>Porta em ferro de abrir, para receber vidro, sob medida</t>
    </r>
  </si>
  <si>
    <r>
      <rPr>
        <sz val="8.5"/>
        <rFont val="Calibri"/>
        <family val="2"/>
      </rPr>
      <t>978,02</t>
    </r>
  </si>
  <si>
    <r>
      <rPr>
        <sz val="8.5"/>
        <rFont val="Calibri"/>
        <family val="2"/>
      </rPr>
      <t>1.039,22</t>
    </r>
  </si>
  <si>
    <r>
      <rPr>
        <sz val="8.5"/>
        <rFont val="Calibri"/>
        <family val="2"/>
      </rPr>
      <t>24.02.040</t>
    </r>
  </si>
  <si>
    <r>
      <rPr>
        <sz val="8.5"/>
        <rFont val="Calibri"/>
        <family val="2"/>
      </rPr>
      <t>Porta/portão tipo gradil sob medida</t>
    </r>
  </si>
  <si>
    <r>
      <rPr>
        <sz val="8.5"/>
        <rFont val="Calibri"/>
        <family val="2"/>
      </rPr>
      <t>901,45</t>
    </r>
  </si>
  <si>
    <r>
      <rPr>
        <sz val="8.5"/>
        <rFont val="Calibri"/>
        <family val="2"/>
      </rPr>
      <t>962,65</t>
    </r>
  </si>
  <si>
    <r>
      <rPr>
        <sz val="8.5"/>
        <rFont val="Calibri"/>
        <family val="2"/>
      </rPr>
      <t>24.02.050</t>
    </r>
  </si>
  <si>
    <r>
      <rPr>
        <sz val="8.5"/>
        <rFont val="Calibri"/>
        <family val="2"/>
      </rPr>
      <t xml:space="preserve">Porta corta-fogo classe P.90 de 90 x 210 cm, completa, com maçaneta
</t>
    </r>
    <r>
      <rPr>
        <sz val="8.5"/>
        <rFont val="Calibri"/>
        <family val="2"/>
      </rPr>
      <t>tipo alavanca</t>
    </r>
  </si>
  <si>
    <r>
      <rPr>
        <sz val="8.5"/>
        <rFont val="Calibri"/>
        <family val="2"/>
      </rPr>
      <t>1.095,21</t>
    </r>
  </si>
  <si>
    <r>
      <rPr>
        <sz val="8.5"/>
        <rFont val="Calibri"/>
        <family val="2"/>
      </rPr>
      <t>107,88</t>
    </r>
  </si>
  <si>
    <r>
      <rPr>
        <sz val="8.5"/>
        <rFont val="Calibri"/>
        <family val="2"/>
      </rPr>
      <t>1.203,09</t>
    </r>
  </si>
  <si>
    <r>
      <rPr>
        <sz val="8.5"/>
        <rFont val="Calibri"/>
        <family val="2"/>
      </rPr>
      <t>24.02.052</t>
    </r>
  </si>
  <si>
    <r>
      <rPr>
        <sz val="8.5"/>
        <rFont val="Calibri"/>
        <family val="2"/>
      </rPr>
      <t xml:space="preserve">Porta corta-fogo classe P.90 de 100 x 210 cm, completa, com maçaneta
</t>
    </r>
    <r>
      <rPr>
        <sz val="8.5"/>
        <rFont val="Calibri"/>
        <family val="2"/>
      </rPr>
      <t>tipo alavanca</t>
    </r>
  </si>
  <si>
    <r>
      <rPr>
        <sz val="8.5"/>
        <rFont val="Calibri"/>
        <family val="2"/>
      </rPr>
      <t>1.046,59</t>
    </r>
  </si>
  <si>
    <r>
      <rPr>
        <sz val="8.5"/>
        <rFont val="Calibri"/>
        <family val="2"/>
      </rPr>
      <t>1.154,47</t>
    </r>
  </si>
  <si>
    <r>
      <rPr>
        <sz val="8.5"/>
        <rFont val="Calibri"/>
        <family val="2"/>
      </rPr>
      <t>24.02.054</t>
    </r>
  </si>
  <si>
    <r>
      <rPr>
        <sz val="8.5"/>
        <rFont val="Calibri"/>
        <family val="2"/>
      </rPr>
      <t xml:space="preserve">Porta corta-fogo classe P.90, com barra antipânico numa face e
</t>
    </r>
    <r>
      <rPr>
        <sz val="8.5"/>
        <rFont val="Calibri"/>
        <family val="2"/>
      </rPr>
      <t>maçaneta na outra, completa</t>
    </r>
  </si>
  <si>
    <r>
      <rPr>
        <sz val="8.5"/>
        <rFont val="Calibri"/>
        <family val="2"/>
      </rPr>
      <t>1.194,19</t>
    </r>
  </si>
  <si>
    <r>
      <rPr>
        <sz val="8.5"/>
        <rFont val="Calibri"/>
        <family val="2"/>
      </rPr>
      <t>1.302,07</t>
    </r>
  </si>
  <si>
    <r>
      <rPr>
        <sz val="8.5"/>
        <rFont val="Calibri"/>
        <family val="2"/>
      </rPr>
      <t>24.02.056</t>
    </r>
  </si>
  <si>
    <r>
      <rPr>
        <sz val="8.5"/>
        <rFont val="Calibri"/>
        <family val="2"/>
      </rPr>
      <t xml:space="preserve">Porta corta-fogo classe P.120 de 80 x 210 cm, com uma folha de abrir,
</t>
    </r>
    <r>
      <rPr>
        <sz val="8.5"/>
        <rFont val="Calibri"/>
        <family val="2"/>
      </rPr>
      <t>completa</t>
    </r>
  </si>
  <si>
    <r>
      <rPr>
        <sz val="8.5"/>
        <rFont val="Calibri"/>
        <family val="2"/>
      </rPr>
      <t>1.307,06</t>
    </r>
  </si>
  <si>
    <r>
      <rPr>
        <sz val="8.5"/>
        <rFont val="Calibri"/>
        <family val="2"/>
      </rPr>
      <t>117,24</t>
    </r>
  </si>
  <si>
    <r>
      <rPr>
        <sz val="8.5"/>
        <rFont val="Calibri"/>
        <family val="2"/>
      </rPr>
      <t>1.424,30</t>
    </r>
  </si>
  <si>
    <r>
      <rPr>
        <sz val="8.5"/>
        <rFont val="Calibri"/>
        <family val="2"/>
      </rPr>
      <t>24.02.058</t>
    </r>
  </si>
  <si>
    <r>
      <rPr>
        <sz val="8.5"/>
        <rFont val="Calibri"/>
        <family val="2"/>
      </rPr>
      <t xml:space="preserve">Porta corta-fogo classe P.120 de 90 x 210 cm, com uma folha de abrir,
</t>
    </r>
    <r>
      <rPr>
        <sz val="8.5"/>
        <rFont val="Calibri"/>
        <family val="2"/>
      </rPr>
      <t>completa</t>
    </r>
  </si>
  <si>
    <r>
      <rPr>
        <sz val="8.5"/>
        <rFont val="Calibri"/>
        <family val="2"/>
      </rPr>
      <t>1.078,77</t>
    </r>
  </si>
  <si>
    <r>
      <rPr>
        <sz val="8.5"/>
        <rFont val="Calibri"/>
        <family val="2"/>
      </rPr>
      <t>1.196,01</t>
    </r>
  </si>
  <si>
    <r>
      <rPr>
        <sz val="8.5"/>
        <rFont val="Calibri"/>
        <family val="2"/>
      </rPr>
      <t>24.02.060</t>
    </r>
  </si>
  <si>
    <r>
      <rPr>
        <sz val="8.5"/>
        <rFont val="Calibri"/>
        <family val="2"/>
      </rPr>
      <t>Porta/portão de abrir em chapa, sob medida</t>
    </r>
  </si>
  <si>
    <r>
      <rPr>
        <sz val="8.5"/>
        <rFont val="Calibri"/>
        <family val="2"/>
      </rPr>
      <t>989,84</t>
    </r>
  </si>
  <si>
    <r>
      <rPr>
        <sz val="8.5"/>
        <rFont val="Calibri"/>
        <family val="2"/>
      </rPr>
      <t>1.051,04</t>
    </r>
  </si>
  <si>
    <r>
      <rPr>
        <sz val="8.5"/>
        <rFont val="Calibri"/>
        <family val="2"/>
      </rPr>
      <t>24.02.070</t>
    </r>
  </si>
  <si>
    <r>
      <rPr>
        <sz val="8.5"/>
        <rFont val="Calibri"/>
        <family val="2"/>
      </rPr>
      <t>Porta de ferro de abrir tipo veneziana, linha comercial</t>
    </r>
  </si>
  <si>
    <r>
      <rPr>
        <sz val="8.5"/>
        <rFont val="Calibri"/>
        <family val="2"/>
      </rPr>
      <t>365,15</t>
    </r>
  </si>
  <si>
    <r>
      <rPr>
        <sz val="8.5"/>
        <rFont val="Calibri"/>
        <family val="2"/>
      </rPr>
      <t>426,35</t>
    </r>
  </si>
  <si>
    <r>
      <rPr>
        <sz val="8.5"/>
        <rFont val="Calibri"/>
        <family val="2"/>
      </rPr>
      <t>24.02.080</t>
    </r>
  </si>
  <si>
    <r>
      <rPr>
        <sz val="8.5"/>
        <rFont val="Calibri"/>
        <family val="2"/>
      </rPr>
      <t>Porta/portão de abrir em veneziana de ferro, sob medida</t>
    </r>
  </si>
  <si>
    <r>
      <rPr>
        <sz val="8.5"/>
        <rFont val="Calibri"/>
        <family val="2"/>
      </rPr>
      <t>1.563,94</t>
    </r>
  </si>
  <si>
    <r>
      <rPr>
        <sz val="8.5"/>
        <rFont val="Calibri"/>
        <family val="2"/>
      </rPr>
      <t>1.625,14</t>
    </r>
  </si>
  <si>
    <r>
      <rPr>
        <sz val="8.5"/>
        <rFont val="Calibri"/>
        <family val="2"/>
      </rPr>
      <t>24.02.100</t>
    </r>
  </si>
  <si>
    <r>
      <rPr>
        <sz val="8.5"/>
        <rFont val="Calibri"/>
        <family val="2"/>
      </rPr>
      <t>Portão tubular em tela de aço galvanizado até 2,50 m de altura, completo</t>
    </r>
  </si>
  <si>
    <r>
      <rPr>
        <sz val="8.5"/>
        <rFont val="Calibri"/>
        <family val="2"/>
      </rPr>
      <t>606,77</t>
    </r>
  </si>
  <si>
    <r>
      <rPr>
        <sz val="8.5"/>
        <rFont val="Calibri"/>
        <family val="2"/>
      </rPr>
      <t>46,68</t>
    </r>
  </si>
  <si>
    <r>
      <rPr>
        <sz val="8.5"/>
        <rFont val="Calibri"/>
        <family val="2"/>
      </rPr>
      <t>653,45</t>
    </r>
  </si>
  <si>
    <r>
      <rPr>
        <sz val="8.5"/>
        <rFont val="Calibri"/>
        <family val="2"/>
      </rPr>
      <t>24.02.270</t>
    </r>
  </si>
  <si>
    <r>
      <rPr>
        <sz val="8.5"/>
        <rFont val="Calibri"/>
        <family val="2"/>
      </rPr>
      <t xml:space="preserve">Portão de 2 folhas, tubular em tela de aço galvanizado acima de 2,50 m
</t>
    </r>
    <r>
      <rPr>
        <sz val="8.5"/>
        <rFont val="Calibri"/>
        <family val="2"/>
      </rPr>
      <t>de altura, completo</t>
    </r>
  </si>
  <si>
    <r>
      <rPr>
        <sz val="8.5"/>
        <rFont val="Calibri"/>
        <family val="2"/>
      </rPr>
      <t>561,70</t>
    </r>
  </si>
  <si>
    <r>
      <rPr>
        <sz val="8.5"/>
        <rFont val="Calibri"/>
        <family val="2"/>
      </rPr>
      <t>622,90</t>
    </r>
  </si>
  <si>
    <r>
      <rPr>
        <sz val="8.5"/>
        <rFont val="Calibri"/>
        <family val="2"/>
      </rPr>
      <t>24.02.280</t>
    </r>
  </si>
  <si>
    <r>
      <rPr>
        <sz val="8.5"/>
        <rFont val="Calibri"/>
        <family val="2"/>
      </rPr>
      <t>Porta/portão de correr em tela ondulada de aço galvanizado, sob medida</t>
    </r>
  </si>
  <si>
    <r>
      <rPr>
        <sz val="8.5"/>
        <rFont val="Calibri"/>
        <family val="2"/>
      </rPr>
      <t>436,64</t>
    </r>
  </si>
  <si>
    <r>
      <rPr>
        <sz val="8.5"/>
        <rFont val="Calibri"/>
        <family val="2"/>
      </rPr>
      <t>497,84</t>
    </r>
  </si>
  <si>
    <r>
      <rPr>
        <sz val="8.5"/>
        <rFont val="Calibri"/>
        <family val="2"/>
      </rPr>
      <t>24.02.290</t>
    </r>
  </si>
  <si>
    <r>
      <rPr>
        <sz val="8.5"/>
        <rFont val="Calibri"/>
        <family val="2"/>
      </rPr>
      <t>Porta/portão de correr em chapa cega dupla, sob medida</t>
    </r>
  </si>
  <si>
    <r>
      <rPr>
        <sz val="8.5"/>
        <rFont val="Calibri"/>
        <family val="2"/>
      </rPr>
      <t>1.439,70</t>
    </r>
  </si>
  <si>
    <r>
      <rPr>
        <sz val="8.5"/>
        <rFont val="Calibri"/>
        <family val="2"/>
      </rPr>
      <t>1.500,90</t>
    </r>
  </si>
  <si>
    <r>
      <rPr>
        <sz val="8.5"/>
        <rFont val="Calibri"/>
        <family val="2"/>
      </rPr>
      <t>24.02.410</t>
    </r>
  </si>
  <si>
    <r>
      <rPr>
        <sz val="8.5"/>
        <rFont val="Calibri"/>
        <family val="2"/>
      </rPr>
      <t>Porta em ferro de correr, para receber vidro, sob medida</t>
    </r>
  </si>
  <si>
    <r>
      <rPr>
        <sz val="8.5"/>
        <rFont val="Calibri"/>
        <family val="2"/>
      </rPr>
      <t>1.493,53</t>
    </r>
  </si>
  <si>
    <r>
      <rPr>
        <sz val="8.5"/>
        <rFont val="Calibri"/>
        <family val="2"/>
      </rPr>
      <t>1.554,73</t>
    </r>
  </si>
  <si>
    <r>
      <rPr>
        <sz val="8.5"/>
        <rFont val="Calibri"/>
        <family val="2"/>
      </rPr>
      <t>24.02.430</t>
    </r>
  </si>
  <si>
    <r>
      <rPr>
        <sz val="8.5"/>
        <rFont val="Calibri"/>
        <family val="2"/>
      </rPr>
      <t xml:space="preserve">Porta em ferro de abrir, parte inferior chapeada, parte superior para
</t>
    </r>
    <r>
      <rPr>
        <sz val="8.5"/>
        <rFont val="Calibri"/>
        <family val="2"/>
      </rPr>
      <t>receber vidro, sob medida</t>
    </r>
  </si>
  <si>
    <r>
      <rPr>
        <sz val="8.5"/>
        <rFont val="Calibri"/>
        <family val="2"/>
      </rPr>
      <t>1.265,57</t>
    </r>
  </si>
  <si>
    <r>
      <rPr>
        <sz val="8.5"/>
        <rFont val="Calibri"/>
        <family val="2"/>
      </rPr>
      <t>1.326,77</t>
    </r>
  </si>
  <si>
    <r>
      <rPr>
        <sz val="8.5"/>
        <rFont val="Calibri"/>
        <family val="2"/>
      </rPr>
      <t>24.02.450</t>
    </r>
  </si>
  <si>
    <r>
      <rPr>
        <sz val="8.5"/>
        <rFont val="Calibri"/>
        <family val="2"/>
      </rPr>
      <t>Grade de proteção para caixilhos</t>
    </r>
  </si>
  <si>
    <r>
      <rPr>
        <sz val="8.5"/>
        <rFont val="Calibri"/>
        <family val="2"/>
      </rPr>
      <t>943,55</t>
    </r>
  </si>
  <si>
    <r>
      <rPr>
        <sz val="8.5"/>
        <rFont val="Calibri"/>
        <family val="2"/>
      </rPr>
      <t>40,67</t>
    </r>
  </si>
  <si>
    <r>
      <rPr>
        <sz val="8.5"/>
        <rFont val="Calibri"/>
        <family val="2"/>
      </rPr>
      <t>984,22</t>
    </r>
  </si>
  <si>
    <r>
      <rPr>
        <sz val="8.5"/>
        <rFont val="Calibri"/>
        <family val="2"/>
      </rPr>
      <t>24.02.460</t>
    </r>
  </si>
  <si>
    <r>
      <rPr>
        <sz val="8.5"/>
        <rFont val="Calibri"/>
        <family val="2"/>
      </rPr>
      <t>Porta de abrir em tela ondulada de aço galvanizado, completa</t>
    </r>
  </si>
  <si>
    <r>
      <rPr>
        <sz val="8.5"/>
        <rFont val="Calibri"/>
        <family val="2"/>
      </rPr>
      <t>675,22</t>
    </r>
  </si>
  <si>
    <r>
      <rPr>
        <sz val="8.5"/>
        <rFont val="Calibri"/>
        <family val="2"/>
      </rPr>
      <t>49,80</t>
    </r>
  </si>
  <si>
    <r>
      <rPr>
        <sz val="8.5"/>
        <rFont val="Calibri"/>
        <family val="2"/>
      </rPr>
      <t>725,02</t>
    </r>
  </si>
  <si>
    <r>
      <rPr>
        <sz val="8.5"/>
        <rFont val="Calibri"/>
        <family val="2"/>
      </rPr>
      <t>24.02.470</t>
    </r>
  </si>
  <si>
    <r>
      <rPr>
        <sz val="8.5"/>
        <rFont val="Calibri"/>
        <family val="2"/>
      </rPr>
      <t xml:space="preserve">Portinhola de correr em chapa, para ´passa pacote´, completa, sob
</t>
    </r>
    <r>
      <rPr>
        <sz val="8.5"/>
        <rFont val="Calibri"/>
        <family val="2"/>
      </rPr>
      <t>medida</t>
    </r>
  </si>
  <si>
    <r>
      <rPr>
        <sz val="8.5"/>
        <rFont val="Calibri"/>
        <family val="2"/>
      </rPr>
      <t>1.194,95</t>
    </r>
  </si>
  <si>
    <r>
      <rPr>
        <sz val="8.5"/>
        <rFont val="Calibri"/>
        <family val="2"/>
      </rPr>
      <t>1.235,62</t>
    </r>
  </si>
  <si>
    <r>
      <rPr>
        <sz val="8.5"/>
        <rFont val="Calibri"/>
        <family val="2"/>
      </rPr>
      <t>24.02.480</t>
    </r>
  </si>
  <si>
    <r>
      <rPr>
        <sz val="8.5"/>
        <rFont val="Calibri"/>
        <family val="2"/>
      </rPr>
      <t>Portinhola de abrir em chapa, para ´passa pacote´, completa, sob medida</t>
    </r>
  </si>
  <si>
    <r>
      <rPr>
        <sz val="8.5"/>
        <rFont val="Calibri"/>
        <family val="2"/>
      </rPr>
      <t>1.085,04</t>
    </r>
  </si>
  <si>
    <r>
      <rPr>
        <sz val="8.5"/>
        <rFont val="Calibri"/>
        <family val="2"/>
      </rPr>
      <t>1.125,71</t>
    </r>
  </si>
  <si>
    <r>
      <rPr>
        <sz val="8.5"/>
        <rFont val="Calibri"/>
        <family val="2"/>
      </rPr>
      <t>24.02.490</t>
    </r>
  </si>
  <si>
    <r>
      <rPr>
        <sz val="8.5"/>
        <rFont val="Calibri"/>
        <family val="2"/>
      </rPr>
      <t>Grade em barra chata soldada de 1 1/2´ x 1/4´, sob medida</t>
    </r>
  </si>
  <si>
    <r>
      <rPr>
        <sz val="8.5"/>
        <rFont val="Calibri"/>
        <family val="2"/>
      </rPr>
      <t>1.407,88</t>
    </r>
  </si>
  <si>
    <r>
      <rPr>
        <sz val="8.5"/>
        <rFont val="Calibri"/>
        <family val="2"/>
      </rPr>
      <t>1.428,30</t>
    </r>
  </si>
  <si>
    <r>
      <rPr>
        <sz val="8.5"/>
        <rFont val="Calibri"/>
        <family val="2"/>
      </rPr>
      <t>24.02.590</t>
    </r>
  </si>
  <si>
    <r>
      <rPr>
        <sz val="8.5"/>
        <rFont val="Calibri"/>
        <family val="2"/>
      </rPr>
      <t>Porta de enrolar manual, cega ou vazada</t>
    </r>
  </si>
  <si>
    <r>
      <rPr>
        <sz val="8.5"/>
        <rFont val="Calibri"/>
        <family val="2"/>
      </rPr>
      <t>262,17</t>
    </r>
  </si>
  <si>
    <r>
      <rPr>
        <sz val="8.5"/>
        <rFont val="Calibri"/>
        <family val="2"/>
      </rPr>
      <t>294,33</t>
    </r>
  </si>
  <si>
    <r>
      <rPr>
        <sz val="8.5"/>
        <rFont val="Calibri"/>
        <family val="2"/>
      </rPr>
      <t>24.02.630</t>
    </r>
  </si>
  <si>
    <r>
      <rPr>
        <sz val="8.5"/>
        <rFont val="Calibri"/>
        <family val="2"/>
      </rPr>
      <t xml:space="preserve">Portão de 2 folhas tubular diâmetro de 3´, com tela em aço galvanizado
</t>
    </r>
    <r>
      <rPr>
        <sz val="8.5"/>
        <rFont val="Calibri"/>
        <family val="2"/>
      </rPr>
      <t>de 2´, altura acima de 3,00 m, completo</t>
    </r>
  </si>
  <si>
    <r>
      <rPr>
        <sz val="8.5"/>
        <rFont val="Calibri"/>
        <family val="2"/>
      </rPr>
      <t>511,31</t>
    </r>
  </si>
  <si>
    <r>
      <rPr>
        <sz val="8.5"/>
        <rFont val="Calibri"/>
        <family val="2"/>
      </rPr>
      <t>572,51</t>
    </r>
  </si>
  <si>
    <r>
      <rPr>
        <sz val="8.5"/>
        <rFont val="Calibri"/>
        <family val="2"/>
      </rPr>
      <t>24.02.810</t>
    </r>
  </si>
  <si>
    <r>
      <rPr>
        <sz val="8.5"/>
        <rFont val="Calibri"/>
        <family val="2"/>
      </rPr>
      <t xml:space="preserve">Porta/portão de abrir em chapa cega com isolamento acústico, sob
</t>
    </r>
    <r>
      <rPr>
        <sz val="8.5"/>
        <rFont val="Calibri"/>
        <family val="2"/>
      </rPr>
      <t>medida</t>
    </r>
  </si>
  <si>
    <r>
      <rPr>
        <sz val="8.5"/>
        <rFont val="Calibri"/>
        <family val="2"/>
      </rPr>
      <t>1.246,02</t>
    </r>
  </si>
  <si>
    <r>
      <rPr>
        <sz val="8.5"/>
        <rFont val="Calibri"/>
        <family val="2"/>
      </rPr>
      <t>97,16</t>
    </r>
  </si>
  <si>
    <r>
      <rPr>
        <sz val="8.5"/>
        <rFont val="Calibri"/>
        <family val="2"/>
      </rPr>
      <t>1.343,18</t>
    </r>
  </si>
  <si>
    <r>
      <rPr>
        <sz val="8.5"/>
        <rFont val="Calibri"/>
        <family val="2"/>
      </rPr>
      <t>24.02.811</t>
    </r>
  </si>
  <si>
    <r>
      <rPr>
        <sz val="8.5"/>
        <rFont val="Calibri"/>
        <family val="2"/>
      </rPr>
      <t xml:space="preserve">Porta de ferro acústica, espessura de 80mm, batente tripla vedação
</t>
    </r>
    <r>
      <rPr>
        <sz val="8.5"/>
        <rFont val="Calibri"/>
        <family val="2"/>
      </rPr>
      <t>185mm, com fechadura e maçaneta - 50 dB</t>
    </r>
  </si>
  <si>
    <r>
      <rPr>
        <sz val="8.5"/>
        <rFont val="Calibri"/>
        <family val="2"/>
      </rPr>
      <t>5.328,41</t>
    </r>
  </si>
  <si>
    <r>
      <rPr>
        <sz val="8.5"/>
        <rFont val="Calibri"/>
        <family val="2"/>
      </rPr>
      <t>119,87</t>
    </r>
  </si>
  <si>
    <r>
      <rPr>
        <sz val="8.5"/>
        <rFont val="Calibri"/>
        <family val="2"/>
      </rPr>
      <t>5.448,28</t>
    </r>
  </si>
  <si>
    <r>
      <rPr>
        <sz val="8.5"/>
        <rFont val="Calibri"/>
        <family val="2"/>
      </rPr>
      <t>24.02.840</t>
    </r>
  </si>
  <si>
    <r>
      <rPr>
        <sz val="8.5"/>
        <rFont val="Calibri"/>
        <family val="2"/>
      </rPr>
      <t>Portão basculante em chapa metálica, estruturado com perfis metálicos</t>
    </r>
  </si>
  <si>
    <r>
      <rPr>
        <sz val="8.5"/>
        <rFont val="Calibri"/>
        <family val="2"/>
      </rPr>
      <t>813,86</t>
    </r>
  </si>
  <si>
    <r>
      <rPr>
        <sz val="8.5"/>
        <rFont val="Calibri"/>
        <family val="2"/>
      </rPr>
      <t>43,60</t>
    </r>
  </si>
  <si>
    <r>
      <rPr>
        <sz val="8.5"/>
        <rFont val="Calibri"/>
        <family val="2"/>
      </rPr>
      <t>857,46</t>
    </r>
  </si>
  <si>
    <r>
      <rPr>
        <sz val="8.5"/>
        <rFont val="Calibri"/>
        <family val="2"/>
      </rPr>
      <t>24.02.900</t>
    </r>
  </si>
  <si>
    <r>
      <rPr>
        <sz val="8.5"/>
        <rFont val="Calibri"/>
        <family val="2"/>
      </rPr>
      <t>Porta de abrir em chapa dupla com visor, batente envolvente, completa</t>
    </r>
  </si>
  <si>
    <r>
      <rPr>
        <sz val="8.5"/>
        <rFont val="Calibri"/>
        <family val="2"/>
      </rPr>
      <t>1.727,00</t>
    </r>
  </si>
  <si>
    <r>
      <rPr>
        <sz val="8.5"/>
        <rFont val="Calibri"/>
        <family val="2"/>
      </rPr>
      <t>46,47</t>
    </r>
  </si>
  <si>
    <r>
      <rPr>
        <sz val="8.5"/>
        <rFont val="Calibri"/>
        <family val="2"/>
      </rPr>
      <t>1.773,47</t>
    </r>
  </si>
  <si>
    <r>
      <rPr>
        <sz val="8.5"/>
        <rFont val="Calibri"/>
        <family val="2"/>
      </rPr>
      <t>24.02.930</t>
    </r>
  </si>
  <si>
    <r>
      <rPr>
        <sz val="8.5"/>
        <rFont val="Calibri"/>
        <family val="2"/>
      </rPr>
      <t xml:space="preserve">Portão de 2 folhas tubular, com tela em aço galvanizado de 2´ e fio 10,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</si>
  <si>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509,61</t>
    </r>
  </si>
  <si>
    <r>
      <rPr>
        <sz val="8.5"/>
        <rFont val="Calibri"/>
        <family val="2"/>
      </rPr>
      <t>570,81</t>
    </r>
  </si>
  <si>
    <r>
      <rPr>
        <sz val="8.5"/>
        <rFont val="Calibri"/>
        <family val="2"/>
      </rPr>
      <t>Elementos em ferro</t>
    </r>
  </si>
  <si>
    <r>
      <rPr>
        <sz val="8.5"/>
        <rFont val="Calibri"/>
        <family val="2"/>
      </rPr>
      <t>24.03.040</t>
    </r>
  </si>
  <si>
    <r>
      <rPr>
        <sz val="8.5"/>
        <rFont val="Calibri"/>
        <family val="2"/>
      </rPr>
      <t>Guarda-corpo tubular com tela em aço galvanizado, diâmetro de 1 1/2´</t>
    </r>
  </si>
  <si>
    <r>
      <rPr>
        <sz val="8.5"/>
        <rFont val="Calibri"/>
        <family val="2"/>
      </rPr>
      <t>658,47</t>
    </r>
  </si>
  <si>
    <r>
      <rPr>
        <sz val="8.5"/>
        <rFont val="Calibri"/>
        <family val="2"/>
      </rPr>
      <t>690,63</t>
    </r>
  </si>
  <si>
    <r>
      <rPr>
        <sz val="8.5"/>
        <rFont val="Calibri"/>
        <family val="2"/>
      </rPr>
      <t>24.03.060</t>
    </r>
  </si>
  <si>
    <r>
      <rPr>
        <sz val="8.5"/>
        <rFont val="Calibri"/>
        <family val="2"/>
      </rPr>
      <t>Escada marinheiro (galvanizada)</t>
    </r>
  </si>
  <si>
    <r>
      <rPr>
        <sz val="8.5"/>
        <rFont val="Calibri"/>
        <family val="2"/>
      </rPr>
      <t>685,22</t>
    </r>
  </si>
  <si>
    <r>
      <rPr>
        <sz val="8.5"/>
        <rFont val="Calibri"/>
        <family val="2"/>
      </rPr>
      <t>698,09</t>
    </r>
  </si>
  <si>
    <r>
      <rPr>
        <sz val="8.5"/>
        <rFont val="Calibri"/>
        <family val="2"/>
      </rPr>
      <t>24.03.080</t>
    </r>
  </si>
  <si>
    <r>
      <rPr>
        <sz val="8.5"/>
        <rFont val="Calibri"/>
        <family val="2"/>
      </rPr>
      <t>Escada marinheiro com guarda corpo (degrau em ´T´)</t>
    </r>
  </si>
  <si>
    <r>
      <rPr>
        <sz val="8.5"/>
        <rFont val="Calibri"/>
        <family val="2"/>
      </rPr>
      <t>1.193,59</t>
    </r>
  </si>
  <si>
    <r>
      <rPr>
        <sz val="8.5"/>
        <rFont val="Calibri"/>
        <family val="2"/>
      </rPr>
      <t>1.225,75</t>
    </r>
  </si>
  <si>
    <r>
      <rPr>
        <sz val="8.5"/>
        <rFont val="Calibri"/>
        <family val="2"/>
      </rPr>
      <t>24.03.100</t>
    </r>
  </si>
  <si>
    <r>
      <rPr>
        <sz val="8.5"/>
        <rFont val="Calibri"/>
        <family val="2"/>
      </rPr>
      <t>Alçapão/tampa em chapa de ferro com porta cadeado</t>
    </r>
  </si>
  <si>
    <r>
      <rPr>
        <sz val="8.5"/>
        <rFont val="Calibri"/>
        <family val="2"/>
      </rPr>
      <t>1.501,93</t>
    </r>
  </si>
  <si>
    <r>
      <rPr>
        <sz val="8.5"/>
        <rFont val="Calibri"/>
        <family val="2"/>
      </rPr>
      <t>1.566,25</t>
    </r>
  </si>
  <si>
    <r>
      <rPr>
        <sz val="8.5"/>
        <rFont val="Calibri"/>
        <family val="2"/>
      </rPr>
      <t>24.03.200</t>
    </r>
  </si>
  <si>
    <r>
      <rPr>
        <sz val="8.5"/>
        <rFont val="Calibri"/>
        <family val="2"/>
      </rPr>
      <t xml:space="preserve">Tela de proteção tipo mosquiteira em aço galvanizado, com requadro em
</t>
    </r>
    <r>
      <rPr>
        <sz val="8.5"/>
        <rFont val="Calibri"/>
        <family val="2"/>
      </rPr>
      <t>perfis de ferro</t>
    </r>
  </si>
  <si>
    <r>
      <rPr>
        <sz val="8.5"/>
        <rFont val="Calibri"/>
        <family val="2"/>
      </rPr>
      <t>499,08</t>
    </r>
  </si>
  <si>
    <r>
      <rPr>
        <sz val="8.5"/>
        <rFont val="Calibri"/>
        <family val="2"/>
      </rPr>
      <t>10,61</t>
    </r>
  </si>
  <si>
    <r>
      <rPr>
        <sz val="8.5"/>
        <rFont val="Calibri"/>
        <family val="2"/>
      </rPr>
      <t>509,69</t>
    </r>
  </si>
  <si>
    <r>
      <rPr>
        <sz val="8.5"/>
        <rFont val="Calibri"/>
        <family val="2"/>
      </rPr>
      <t>24.03.210</t>
    </r>
  </si>
  <si>
    <r>
      <rPr>
        <sz val="8.5"/>
        <rFont val="Calibri"/>
        <family val="2"/>
      </rPr>
      <t>Tela de proteção em malha ondulada de 1´, fio 10 (BWG), com requadro</t>
    </r>
  </si>
  <si>
    <r>
      <rPr>
        <sz val="8.5"/>
        <rFont val="Calibri"/>
        <family val="2"/>
      </rPr>
      <t>643,96</t>
    </r>
  </si>
  <si>
    <r>
      <rPr>
        <sz val="8.5"/>
        <rFont val="Calibri"/>
        <family val="2"/>
      </rPr>
      <t>676,12</t>
    </r>
  </si>
  <si>
    <r>
      <rPr>
        <sz val="8.5"/>
        <rFont val="Calibri"/>
        <family val="2"/>
      </rPr>
      <t>24.03.290</t>
    </r>
  </si>
  <si>
    <r>
      <rPr>
        <sz val="8.5"/>
        <rFont val="Calibri"/>
        <family val="2"/>
      </rPr>
      <t xml:space="preserve">Fechamento em chapa de aço galvanizada nº 14 MSG, perfurada com
</t>
    </r>
    <r>
      <rPr>
        <sz val="8.5"/>
        <rFont val="Calibri"/>
        <family val="2"/>
      </rPr>
      <t>diâmetro de 12,7 mm, requadro em chapa dobrada</t>
    </r>
  </si>
  <si>
    <r>
      <rPr>
        <sz val="8.5"/>
        <rFont val="Calibri"/>
        <family val="2"/>
      </rPr>
      <t>1.055,29</t>
    </r>
  </si>
  <si>
    <r>
      <rPr>
        <sz val="8.5"/>
        <rFont val="Calibri"/>
        <family val="2"/>
      </rPr>
      <t>1.075,71</t>
    </r>
  </si>
  <si>
    <r>
      <rPr>
        <sz val="8.5"/>
        <rFont val="Calibri"/>
        <family val="2"/>
      </rPr>
      <t>24.03.300</t>
    </r>
  </si>
  <si>
    <r>
      <rPr>
        <sz val="8.5"/>
        <rFont val="Calibri"/>
        <family val="2"/>
      </rPr>
      <t xml:space="preserve">Fechamento em chapa expandida losangular de 10 x 20 mm, com
</t>
    </r>
    <r>
      <rPr>
        <sz val="8.5"/>
        <rFont val="Calibri"/>
        <family val="2"/>
      </rPr>
      <t>requadro em cantoneira de aço carbono</t>
    </r>
  </si>
  <si>
    <r>
      <rPr>
        <sz val="8.5"/>
        <rFont val="Calibri"/>
        <family val="2"/>
      </rPr>
      <t>510,55</t>
    </r>
  </si>
  <si>
    <r>
      <rPr>
        <sz val="8.5"/>
        <rFont val="Calibri"/>
        <family val="2"/>
      </rPr>
      <t>551,22</t>
    </r>
  </si>
  <si>
    <r>
      <rPr>
        <sz val="8.5"/>
        <rFont val="Calibri"/>
        <family val="2"/>
      </rPr>
      <t>24.03.310</t>
    </r>
  </si>
  <si>
    <r>
      <rPr>
        <sz val="8.5"/>
        <rFont val="Calibri"/>
        <family val="2"/>
      </rPr>
      <t>Corrimão tubular em aço galvanizado, diâmetro 1 1/2´</t>
    </r>
  </si>
  <si>
    <r>
      <rPr>
        <sz val="8.5"/>
        <rFont val="Calibri"/>
        <family val="2"/>
      </rPr>
      <t>164,30</t>
    </r>
  </si>
  <si>
    <r>
      <rPr>
        <sz val="8.5"/>
        <rFont val="Calibri"/>
        <family val="2"/>
      </rPr>
      <t>180,38</t>
    </r>
  </si>
  <si>
    <r>
      <rPr>
        <sz val="8.5"/>
        <rFont val="Calibri"/>
        <family val="2"/>
      </rPr>
      <t>24.03.320</t>
    </r>
  </si>
  <si>
    <r>
      <rPr>
        <sz val="8.5"/>
        <rFont val="Calibri"/>
        <family val="2"/>
      </rPr>
      <t>Corrimão tubular em aço galvanizado, diâmetro 2´</t>
    </r>
  </si>
  <si>
    <r>
      <rPr>
        <sz val="8.5"/>
        <rFont val="Calibri"/>
        <family val="2"/>
      </rPr>
      <t>184,53</t>
    </r>
  </si>
  <si>
    <r>
      <rPr>
        <sz val="8.5"/>
        <rFont val="Calibri"/>
        <family val="2"/>
      </rPr>
      <t>200,61</t>
    </r>
  </si>
  <si>
    <r>
      <rPr>
        <sz val="8.5"/>
        <rFont val="Calibri"/>
        <family val="2"/>
      </rPr>
      <t>24.03.340</t>
    </r>
  </si>
  <si>
    <r>
      <rPr>
        <sz val="8.5"/>
        <rFont val="Calibri"/>
        <family val="2"/>
      </rPr>
      <t xml:space="preserve">Tampa em chapa de segurança tipo xadrez, aço galvanizado a fogo
</t>
    </r>
    <r>
      <rPr>
        <sz val="8.5"/>
        <rFont val="Calibri"/>
        <family val="2"/>
      </rPr>
      <t>antiderrapante de 1/4´</t>
    </r>
  </si>
  <si>
    <r>
      <rPr>
        <sz val="8.5"/>
        <rFont val="Calibri"/>
        <family val="2"/>
      </rPr>
      <t>1.214,30</t>
    </r>
  </si>
  <si>
    <r>
      <rPr>
        <sz val="8.5"/>
        <rFont val="Calibri"/>
        <family val="2"/>
      </rPr>
      <t>1.260,98</t>
    </r>
  </si>
  <si>
    <r>
      <rPr>
        <sz val="8.5"/>
        <rFont val="Calibri"/>
        <family val="2"/>
      </rPr>
      <t>24.03.410</t>
    </r>
  </si>
  <si>
    <r>
      <rPr>
        <sz val="8.5"/>
        <rFont val="Calibri"/>
        <family val="2"/>
      </rPr>
      <t xml:space="preserve">Fechamento em chapa perfurada, furos quadrados 4 x 4 mm, com
</t>
    </r>
    <r>
      <rPr>
        <sz val="8.5"/>
        <rFont val="Calibri"/>
        <family val="2"/>
      </rPr>
      <t>requadro em cantoneira de aço carbono</t>
    </r>
  </si>
  <si>
    <r>
      <rPr>
        <sz val="8.5"/>
        <rFont val="Calibri"/>
        <family val="2"/>
      </rPr>
      <t>1.066,34</t>
    </r>
  </si>
  <si>
    <r>
      <rPr>
        <sz val="8.5"/>
        <rFont val="Calibri"/>
        <family val="2"/>
      </rPr>
      <t>1.086,76</t>
    </r>
  </si>
  <si>
    <r>
      <rPr>
        <sz val="8.5"/>
        <rFont val="Calibri"/>
        <family val="2"/>
      </rPr>
      <t>24.03.680</t>
    </r>
  </si>
  <si>
    <r>
      <rPr>
        <sz val="8.5"/>
        <rFont val="Calibri"/>
        <family val="2"/>
      </rPr>
      <t xml:space="preserve">Grade para piso eletrofundida, malha 30 x 100 mm, com barra de 40 x 2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</si>
  <si>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856,18</t>
    </r>
  </si>
  <si>
    <r>
      <rPr>
        <sz val="8.5"/>
        <rFont val="Calibri"/>
        <family val="2"/>
      </rPr>
      <t>896,85</t>
    </r>
  </si>
  <si>
    <r>
      <rPr>
        <sz val="8.5"/>
        <rFont val="Calibri"/>
        <family val="2"/>
      </rPr>
      <t>24.03.690</t>
    </r>
  </si>
  <si>
    <r>
      <rPr>
        <sz val="8.5"/>
        <rFont val="Calibri"/>
        <family val="2"/>
      </rPr>
      <t xml:space="preserve">Grade para forro eletrofundida, malha 25 x 100 mm, com barra de 25 x 2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</si>
  <si>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489,21</t>
    </r>
  </si>
  <si>
    <r>
      <rPr>
        <sz val="8.5"/>
        <rFont val="Calibri"/>
        <family val="2"/>
      </rPr>
      <t>502,08</t>
    </r>
  </si>
  <si>
    <r>
      <rPr>
        <sz val="8.5"/>
        <rFont val="Calibri"/>
        <family val="2"/>
      </rPr>
      <t>24.03.930</t>
    </r>
  </si>
  <si>
    <r>
      <rPr>
        <sz val="8.5"/>
        <rFont val="Calibri"/>
        <family val="2"/>
      </rPr>
      <t>Porta de enrolar automatizada, em chapa de aço galvanizada microperfurada, com pintura eletrostática, com controle remoto</t>
    </r>
  </si>
  <si>
    <r>
      <rPr>
        <sz val="8.5"/>
        <rFont val="Calibri"/>
        <family val="2"/>
      </rPr>
      <t>544,80</t>
    </r>
  </si>
  <si>
    <r>
      <rPr>
        <sz val="8.5"/>
        <rFont val="Calibri"/>
        <family val="2"/>
      </rPr>
      <t>Esquadria, serralheria de seguranca</t>
    </r>
  </si>
  <si>
    <r>
      <rPr>
        <sz val="8.5"/>
        <rFont val="Calibri"/>
        <family val="2"/>
      </rPr>
      <t>24.04.150</t>
    </r>
  </si>
  <si>
    <r>
      <rPr>
        <sz val="8.5"/>
        <rFont val="Calibri"/>
        <family val="2"/>
      </rPr>
      <t xml:space="preserve">Porta de segurança de correr suspensa em grade de aço SAE 1045,
</t>
    </r>
    <r>
      <rPr>
        <sz val="8.5"/>
        <rFont val="Calibri"/>
        <family val="2"/>
      </rPr>
      <t>diâmetro de 1´, completa, sem têmpera e revenimento</t>
    </r>
  </si>
  <si>
    <r>
      <rPr>
        <sz val="8.5"/>
        <rFont val="Calibri"/>
        <family val="2"/>
      </rPr>
      <t>2.787,07</t>
    </r>
  </si>
  <si>
    <r>
      <rPr>
        <sz val="8.5"/>
        <rFont val="Calibri"/>
        <family val="2"/>
      </rPr>
      <t>46,00</t>
    </r>
  </si>
  <si>
    <r>
      <rPr>
        <sz val="8.5"/>
        <rFont val="Calibri"/>
        <family val="2"/>
      </rPr>
      <t>2.833,07</t>
    </r>
  </si>
  <si>
    <r>
      <rPr>
        <sz val="8.5"/>
        <rFont val="Calibri"/>
        <family val="2"/>
      </rPr>
      <t>24.04.220</t>
    </r>
  </si>
  <si>
    <r>
      <rPr>
        <sz val="8.5"/>
        <rFont val="Calibri"/>
        <family val="2"/>
      </rPr>
      <t xml:space="preserve">Grade de segurança em aço SAE 1045, diâmetro 1´, sem têmpera e
</t>
    </r>
    <r>
      <rPr>
        <sz val="8.5"/>
        <rFont val="Calibri"/>
        <family val="2"/>
      </rPr>
      <t>revenimento</t>
    </r>
  </si>
  <si>
    <r>
      <rPr>
        <sz val="8.5"/>
        <rFont val="Calibri"/>
        <family val="2"/>
      </rPr>
      <t>1.682,07</t>
    </r>
  </si>
  <si>
    <r>
      <rPr>
        <sz val="8.5"/>
        <rFont val="Calibri"/>
        <family val="2"/>
      </rPr>
      <t>1.728,07</t>
    </r>
  </si>
  <si>
    <r>
      <rPr>
        <sz val="8.5"/>
        <rFont val="Calibri"/>
        <family val="2"/>
      </rPr>
      <t>24.04.230</t>
    </r>
  </si>
  <si>
    <r>
      <rPr>
        <sz val="8.5"/>
        <rFont val="Calibri"/>
        <family val="2"/>
      </rPr>
      <t xml:space="preserve">Grade de segurança em aço SAE 1045, para janela, diâmetro 1´, sem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</si>
  <si>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1.816,09</t>
    </r>
  </si>
  <si>
    <r>
      <rPr>
        <sz val="8.5"/>
        <rFont val="Calibri"/>
        <family val="2"/>
      </rPr>
      <t>1.862,09</t>
    </r>
  </si>
  <si>
    <r>
      <rPr>
        <sz val="8.5"/>
        <rFont val="Calibri"/>
        <family val="2"/>
      </rPr>
      <t>24.04.240</t>
    </r>
  </si>
  <si>
    <r>
      <rPr>
        <sz val="8.5"/>
        <rFont val="Calibri"/>
        <family val="2"/>
      </rPr>
      <t xml:space="preserve">Grade de segurança em aço SAE 1045 chapeada, diâmetro 1´, sem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</si>
  <si>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2.741,10</t>
    </r>
  </si>
  <si>
    <r>
      <rPr>
        <sz val="8.5"/>
        <rFont val="Calibri"/>
        <family val="2"/>
      </rPr>
      <t>2.787,10</t>
    </r>
  </si>
  <si>
    <r>
      <rPr>
        <sz val="8.5"/>
        <rFont val="Calibri"/>
        <family val="2"/>
      </rPr>
      <t>24.04.250</t>
    </r>
  </si>
  <si>
    <r>
      <rPr>
        <sz val="8.5"/>
        <rFont val="Calibri"/>
        <family val="2"/>
      </rPr>
      <t xml:space="preserve">Porta de segurança de abrir em grade de aço SAE 1045, diâmetro 1´,
</t>
    </r>
    <r>
      <rPr>
        <sz val="8.5"/>
        <rFont val="Calibri"/>
        <family val="2"/>
      </rPr>
      <t>completa, sem têmpera e revenimento</t>
    </r>
  </si>
  <si>
    <r>
      <rPr>
        <sz val="8.5"/>
        <rFont val="Calibri"/>
        <family val="2"/>
      </rPr>
      <t>2.183,93</t>
    </r>
  </si>
  <si>
    <r>
      <rPr>
        <sz val="8.5"/>
        <rFont val="Calibri"/>
        <family val="2"/>
      </rPr>
      <t>2.268,44</t>
    </r>
  </si>
  <si>
    <r>
      <rPr>
        <sz val="8.5"/>
        <rFont val="Calibri"/>
        <family val="2"/>
      </rPr>
      <t>24.04.260</t>
    </r>
  </si>
  <si>
    <r>
      <rPr>
        <sz val="8.5"/>
        <rFont val="Calibri"/>
        <family val="2"/>
      </rPr>
      <t xml:space="preserve">Porta de segurança de abrir em grade de aço SAE 1045 chapeada,
</t>
    </r>
    <r>
      <rPr>
        <sz val="8.5"/>
        <rFont val="Calibri"/>
        <family val="2"/>
      </rPr>
      <t>diâmetro 1´, completa, sem têmpera e revenimento</t>
    </r>
  </si>
  <si>
    <r>
      <rPr>
        <sz val="8.5"/>
        <rFont val="Calibri"/>
        <family val="2"/>
      </rPr>
      <t>3.281,89</t>
    </r>
  </si>
  <si>
    <r>
      <rPr>
        <sz val="8.5"/>
        <rFont val="Calibri"/>
        <family val="2"/>
      </rPr>
      <t>3.366,40</t>
    </r>
  </si>
  <si>
    <r>
      <rPr>
        <sz val="8.5"/>
        <rFont val="Calibri"/>
        <family val="2"/>
      </rPr>
      <t>24.04.270</t>
    </r>
  </si>
  <si>
    <r>
      <rPr>
        <sz val="8.5"/>
        <rFont val="Calibri"/>
        <family val="2"/>
      </rPr>
      <t xml:space="preserve">Porta de segurança de abrir em grade de aço SAE 1045, diâmetro 1´, com ferrolho longo embutido em caixa, completa, sem têmpera e
</t>
    </r>
    <r>
      <rPr>
        <sz val="8.5"/>
        <rFont val="Calibri"/>
        <family val="2"/>
      </rPr>
      <t>revenimento</t>
    </r>
  </si>
  <si>
    <r>
      <rPr>
        <sz val="8.5"/>
        <rFont val="Calibri"/>
        <family val="2"/>
      </rPr>
      <t>2.674,67</t>
    </r>
  </si>
  <si>
    <r>
      <rPr>
        <sz val="8.5"/>
        <rFont val="Calibri"/>
        <family val="2"/>
      </rPr>
      <t>2.759,18</t>
    </r>
  </si>
  <si>
    <r>
      <rPr>
        <sz val="8.5"/>
        <rFont val="Calibri"/>
        <family val="2"/>
      </rPr>
      <t>24.04.280</t>
    </r>
  </si>
  <si>
    <r>
      <rPr>
        <sz val="8.5"/>
        <rFont val="Calibri"/>
        <family val="2"/>
      </rPr>
      <t>Portão de segurança de abrir em grade de aço SAE 1045 chapeado, para muralha, diâmetro 1´, completo, sem têmpera e revenimento</t>
    </r>
  </si>
  <si>
    <r>
      <rPr>
        <sz val="8.5"/>
        <rFont val="Calibri"/>
        <family val="2"/>
      </rPr>
      <t>3.333,76</t>
    </r>
  </si>
  <si>
    <r>
      <rPr>
        <sz val="8.5"/>
        <rFont val="Calibri"/>
        <family val="2"/>
      </rPr>
      <t>3.418,27</t>
    </r>
  </si>
  <si>
    <r>
      <rPr>
        <sz val="8.5"/>
        <rFont val="Calibri"/>
        <family val="2"/>
      </rPr>
      <t>24.04.300</t>
    </r>
  </si>
  <si>
    <r>
      <rPr>
        <sz val="8.5"/>
        <rFont val="Calibri"/>
        <family val="2"/>
      </rPr>
      <t xml:space="preserve">Grade de segurança em aço SAE 1045, diâmetro 1´, com têmpera e
</t>
    </r>
    <r>
      <rPr>
        <sz val="8.5"/>
        <rFont val="Calibri"/>
        <family val="2"/>
      </rPr>
      <t>revenimento</t>
    </r>
  </si>
  <si>
    <r>
      <rPr>
        <sz val="8.5"/>
        <rFont val="Calibri"/>
        <family val="2"/>
      </rPr>
      <t>2.084,34</t>
    </r>
  </si>
  <si>
    <r>
      <rPr>
        <sz val="8.5"/>
        <rFont val="Calibri"/>
        <family val="2"/>
      </rPr>
      <t>2.130,34</t>
    </r>
  </si>
  <si>
    <r>
      <rPr>
        <sz val="8.5"/>
        <rFont val="Calibri"/>
        <family val="2"/>
      </rPr>
      <t>24.04.310</t>
    </r>
  </si>
  <si>
    <r>
      <rPr>
        <sz val="8.5"/>
        <rFont val="Calibri"/>
        <family val="2"/>
      </rPr>
      <t xml:space="preserve">Grade de segurança em aço SAE 1045, para janela, diâmetro 1´, com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</si>
  <si>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2.056,13</t>
    </r>
  </si>
  <si>
    <r>
      <rPr>
        <sz val="8.5"/>
        <rFont val="Calibri"/>
        <family val="2"/>
      </rPr>
      <t>2.102,13</t>
    </r>
  </si>
  <si>
    <r>
      <rPr>
        <sz val="8.5"/>
        <rFont val="Calibri"/>
        <family val="2"/>
      </rPr>
      <t>24.04.320</t>
    </r>
  </si>
  <si>
    <r>
      <rPr>
        <sz val="8.5"/>
        <rFont val="Calibri"/>
        <family val="2"/>
      </rPr>
      <t xml:space="preserve">Grade de segurança em aço SAE 1045 chapeada, diâmetro 1´, com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</si>
  <si>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3.156,00</t>
    </r>
  </si>
  <si>
    <r>
      <rPr>
        <sz val="8.5"/>
        <rFont val="Calibri"/>
        <family val="2"/>
      </rPr>
      <t>3.202,00</t>
    </r>
  </si>
  <si>
    <r>
      <rPr>
        <sz val="8.5"/>
        <rFont val="Calibri"/>
        <family val="2"/>
      </rPr>
      <t>24.04.330</t>
    </r>
  </si>
  <si>
    <r>
      <rPr>
        <sz val="8.5"/>
        <rFont val="Calibri"/>
        <family val="2"/>
      </rPr>
      <t xml:space="preserve">Porta de segurança de abrir em grade de aço SAE 1045, diâmetro 1´,
</t>
    </r>
    <r>
      <rPr>
        <sz val="8.5"/>
        <rFont val="Calibri"/>
        <family val="2"/>
      </rPr>
      <t>completa, com têmpera e revenimento</t>
    </r>
  </si>
  <si>
    <r>
      <rPr>
        <sz val="8.5"/>
        <rFont val="Calibri"/>
        <family val="2"/>
      </rPr>
      <t>2.621,26</t>
    </r>
  </si>
  <si>
    <r>
      <rPr>
        <sz val="8.5"/>
        <rFont val="Calibri"/>
        <family val="2"/>
      </rPr>
      <t>2.705,77</t>
    </r>
  </si>
  <si>
    <r>
      <rPr>
        <sz val="8.5"/>
        <rFont val="Calibri"/>
        <family val="2"/>
      </rPr>
      <t>24.04.340</t>
    </r>
  </si>
  <si>
    <r>
      <rPr>
        <sz val="8.5"/>
        <rFont val="Calibri"/>
        <family val="2"/>
      </rPr>
      <t xml:space="preserve">Porta de segurança de abrir em grade de aço SAE 1045 chapeada,
</t>
    </r>
    <r>
      <rPr>
        <sz val="8.5"/>
        <rFont val="Calibri"/>
        <family val="2"/>
      </rPr>
      <t>diâmetro 1´, completa, com têmpera e revenimento</t>
    </r>
  </si>
  <si>
    <r>
      <rPr>
        <sz val="8.5"/>
        <rFont val="Calibri"/>
        <family val="2"/>
      </rPr>
      <t>3.720,25</t>
    </r>
  </si>
  <si>
    <r>
      <rPr>
        <sz val="8.5"/>
        <rFont val="Calibri"/>
        <family val="2"/>
      </rPr>
      <t>3.804,76</t>
    </r>
  </si>
  <si>
    <r>
      <rPr>
        <sz val="8.5"/>
        <rFont val="Calibri"/>
        <family val="2"/>
      </rPr>
      <t>24.04.350</t>
    </r>
  </si>
  <si>
    <r>
      <rPr>
        <sz val="8.5"/>
        <rFont val="Calibri"/>
        <family val="2"/>
      </rPr>
      <t xml:space="preserve">Porta de segurança de abrir em grade de aço SAE 1045, diâmetro 1´, com
</t>
    </r>
    <r>
      <rPr>
        <sz val="8.5"/>
        <rFont val="Calibri"/>
        <family val="2"/>
      </rPr>
      <t>ferrolho longo embutido em caixa, completa, com têmpera e revenimento</t>
    </r>
  </si>
  <si>
    <r>
      <rPr>
        <sz val="8.5"/>
        <rFont val="Calibri"/>
        <family val="2"/>
      </rPr>
      <t>2.862,12</t>
    </r>
  </si>
  <si>
    <r>
      <rPr>
        <sz val="8.5"/>
        <rFont val="Calibri"/>
        <family val="2"/>
      </rPr>
      <t>2.946,63</t>
    </r>
  </si>
  <si>
    <r>
      <rPr>
        <sz val="8.5"/>
        <rFont val="Calibri"/>
        <family val="2"/>
      </rPr>
      <t>24.04.360</t>
    </r>
  </si>
  <si>
    <r>
      <rPr>
        <sz val="8.5"/>
        <rFont val="Calibri"/>
        <family val="2"/>
      </rPr>
      <t>Porta de segurança de abrir em grade de aço SAE 1045 chapeada, com isolamento acústico, diâmetro 1´, completa, com têmpera e revenimento</t>
    </r>
  </si>
  <si>
    <r>
      <rPr>
        <sz val="8.5"/>
        <rFont val="Calibri"/>
        <family val="2"/>
      </rPr>
      <t>3.758,09</t>
    </r>
  </si>
  <si>
    <r>
      <rPr>
        <sz val="8.5"/>
        <rFont val="Calibri"/>
        <family val="2"/>
      </rPr>
      <t>3.842,60</t>
    </r>
  </si>
  <si>
    <r>
      <rPr>
        <sz val="8.5"/>
        <rFont val="Calibri"/>
        <family val="2"/>
      </rPr>
      <t>24.04.370</t>
    </r>
  </si>
  <si>
    <r>
      <rPr>
        <sz val="8.5"/>
        <rFont val="Calibri"/>
        <family val="2"/>
      </rPr>
      <t>Portão de segurança de abrir em grade de aço SAE 1045 chapeado, para muralha, diâmetro 1´, completo, com têmpera e revenimento</t>
    </r>
  </si>
  <si>
    <r>
      <rPr>
        <sz val="8.5"/>
        <rFont val="Calibri"/>
        <family val="2"/>
      </rPr>
      <t>3.810,32</t>
    </r>
  </si>
  <si>
    <r>
      <rPr>
        <sz val="8.5"/>
        <rFont val="Calibri"/>
        <family val="2"/>
      </rPr>
      <t>3.894,83</t>
    </r>
  </si>
  <si>
    <r>
      <rPr>
        <sz val="8.5"/>
        <rFont val="Calibri"/>
        <family val="2"/>
      </rPr>
      <t>24.04.380</t>
    </r>
  </si>
  <si>
    <r>
      <rPr>
        <sz val="8.5"/>
        <rFont val="Calibri"/>
        <family val="2"/>
      </rPr>
      <t>Porta de segurança de correr suspensa em grade de aço SAE 1045, chapeada, diâmetro de 1´, completa, sem têmpera e revenimento</t>
    </r>
  </si>
  <si>
    <r>
      <rPr>
        <sz val="8.5"/>
        <rFont val="Calibri"/>
        <family val="2"/>
      </rPr>
      <t>3.707,54</t>
    </r>
  </si>
  <si>
    <r>
      <rPr>
        <sz val="8.5"/>
        <rFont val="Calibri"/>
        <family val="2"/>
      </rPr>
      <t>3.753,54</t>
    </r>
  </si>
  <si>
    <r>
      <rPr>
        <sz val="8.5"/>
        <rFont val="Calibri"/>
        <family val="2"/>
      </rPr>
      <t>24.04.400</t>
    </r>
  </si>
  <si>
    <r>
      <rPr>
        <sz val="8.5"/>
        <rFont val="Calibri"/>
        <family val="2"/>
      </rPr>
      <t xml:space="preserve">Porta de segurança de correr em grade de aço SAE 1045, diâmetro de 1´,
</t>
    </r>
    <r>
      <rPr>
        <sz val="8.5"/>
        <rFont val="Calibri"/>
        <family val="2"/>
      </rPr>
      <t>completa, com têmpera e revenimento</t>
    </r>
  </si>
  <si>
    <r>
      <rPr>
        <sz val="8.5"/>
        <rFont val="Calibri"/>
        <family val="2"/>
      </rPr>
      <t>3.095,53</t>
    </r>
  </si>
  <si>
    <r>
      <rPr>
        <sz val="8.5"/>
        <rFont val="Calibri"/>
        <family val="2"/>
      </rPr>
      <t>3.141,53</t>
    </r>
  </si>
  <si>
    <r>
      <rPr>
        <sz val="8.5"/>
        <rFont val="Calibri"/>
        <family val="2"/>
      </rPr>
      <t>24.04.410</t>
    </r>
  </si>
  <si>
    <r>
      <rPr>
        <sz val="8.5"/>
        <rFont val="Calibri"/>
        <family val="2"/>
      </rPr>
      <t>Porta de segurança de correr suspensa em grade de aço SAE 1045 chapeada, diâmetro de 1´, completa, com têmpera e revenimento</t>
    </r>
  </si>
  <si>
    <r>
      <rPr>
        <sz val="8.5"/>
        <rFont val="Calibri"/>
        <family val="2"/>
      </rPr>
      <t>3.904,48</t>
    </r>
  </si>
  <si>
    <r>
      <rPr>
        <sz val="8.5"/>
        <rFont val="Calibri"/>
        <family val="2"/>
      </rPr>
      <t>3.950,48</t>
    </r>
  </si>
  <si>
    <r>
      <rPr>
        <sz val="8.5"/>
        <rFont val="Calibri"/>
        <family val="2"/>
      </rPr>
      <t>24.04.420</t>
    </r>
  </si>
  <si>
    <r>
      <rPr>
        <sz val="8.5"/>
        <rFont val="Calibri"/>
        <family val="2"/>
      </rPr>
      <t>Porta de segurança de correr em grade de aço SAE 1045 chapeada, diâmetro de 1´, completa, sem têmpera e revenimento</t>
    </r>
  </si>
  <si>
    <r>
      <rPr>
        <sz val="8.5"/>
        <rFont val="Calibri"/>
        <family val="2"/>
      </rPr>
      <t>2.838,13</t>
    </r>
  </si>
  <si>
    <r>
      <rPr>
        <sz val="8.5"/>
        <rFont val="Calibri"/>
        <family val="2"/>
      </rPr>
      <t>188,43</t>
    </r>
  </si>
  <si>
    <r>
      <rPr>
        <sz val="8.5"/>
        <rFont val="Calibri"/>
        <family val="2"/>
      </rPr>
      <t>3.026,56</t>
    </r>
  </si>
  <si>
    <r>
      <rPr>
        <sz val="8.5"/>
        <rFont val="Calibri"/>
        <family val="2"/>
      </rPr>
      <t>24.04.430</t>
    </r>
  </si>
  <si>
    <r>
      <rPr>
        <sz val="8.5"/>
        <rFont val="Calibri"/>
        <family val="2"/>
      </rPr>
      <t xml:space="preserve">Porta de segurança de correr em grade de aço SAE 1045, diâmetro de 1´,
</t>
    </r>
    <r>
      <rPr>
        <sz val="8.5"/>
        <rFont val="Calibri"/>
        <family val="2"/>
      </rPr>
      <t>completa, sem têmpera e revenimento</t>
    </r>
  </si>
  <si>
    <r>
      <rPr>
        <sz val="8.5"/>
        <rFont val="Calibri"/>
        <family val="2"/>
      </rPr>
      <t>2.356,71</t>
    </r>
  </si>
  <si>
    <r>
      <rPr>
        <sz val="8.5"/>
        <rFont val="Calibri"/>
        <family val="2"/>
      </rPr>
      <t>2.402,71</t>
    </r>
  </si>
  <si>
    <r>
      <rPr>
        <sz val="8.5"/>
        <rFont val="Calibri"/>
        <family val="2"/>
      </rPr>
      <t>24.04.610</t>
    </r>
  </si>
  <si>
    <r>
      <rPr>
        <sz val="8.5"/>
        <rFont val="Calibri"/>
        <family val="2"/>
      </rPr>
      <t xml:space="preserve">Caixilho de segurança em aço SAE 1010/1020 tipo fixo e de correr, para
</t>
    </r>
    <r>
      <rPr>
        <sz val="8.5"/>
        <rFont val="Calibri"/>
        <family val="2"/>
      </rPr>
      <t>receber vidro, com bandeira tipo veneziana</t>
    </r>
  </si>
  <si>
    <r>
      <rPr>
        <sz val="8.5"/>
        <rFont val="Calibri"/>
        <family val="2"/>
      </rPr>
      <t>1.465,27</t>
    </r>
  </si>
  <si>
    <r>
      <rPr>
        <sz val="8.5"/>
        <rFont val="Calibri"/>
        <family val="2"/>
      </rPr>
      <t>1.511,27</t>
    </r>
  </si>
  <si>
    <r>
      <rPr>
        <sz val="8.5"/>
        <rFont val="Calibri"/>
        <family val="2"/>
      </rPr>
      <t>24.04.620</t>
    </r>
  </si>
  <si>
    <r>
      <rPr>
        <sz val="8.5"/>
        <rFont val="Calibri"/>
        <family val="2"/>
      </rPr>
      <t xml:space="preserve">Guichê de segurança em grade de aço SAE 1045, diâmetro de 1´', com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</si>
  <si>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2.411,47</t>
    </r>
  </si>
  <si>
    <r>
      <rPr>
        <sz val="8.5"/>
        <rFont val="Calibri"/>
        <family val="2"/>
      </rPr>
      <t>2.457,47</t>
    </r>
  </si>
  <si>
    <r>
      <rPr>
        <sz val="8.5"/>
        <rFont val="Calibri"/>
        <family val="2"/>
      </rPr>
      <t>24.04.630</t>
    </r>
  </si>
  <si>
    <r>
      <rPr>
        <sz val="8.5"/>
        <rFont val="Calibri"/>
        <family val="2"/>
      </rPr>
      <t xml:space="preserve">Guichê de segurança em grade de aço SAE 1045, diâmetro de 1´', sem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</si>
  <si>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2.031,69</t>
    </r>
  </si>
  <si>
    <r>
      <rPr>
        <sz val="8.5"/>
        <rFont val="Calibri"/>
        <family val="2"/>
      </rPr>
      <t>2.077,69</t>
    </r>
  </si>
  <si>
    <r>
      <rPr>
        <sz val="8.5"/>
        <rFont val="Calibri"/>
        <family val="2"/>
      </rPr>
      <t>Esquadria, serralheria e elemento em ferro.</t>
    </r>
  </si>
  <si>
    <r>
      <rPr>
        <sz val="8.5"/>
        <rFont val="Calibri"/>
        <family val="2"/>
      </rPr>
      <t>24.06.030</t>
    </r>
  </si>
  <si>
    <r>
      <rPr>
        <sz val="8.5"/>
        <rFont val="Calibri"/>
        <family val="2"/>
      </rPr>
      <t xml:space="preserve">Guarda-corpo com vidro de 8 mm, em tubo de aço galvanizado, diâmetro
</t>
    </r>
    <r>
      <rPr>
        <sz val="8.5"/>
        <rFont val="Calibri"/>
        <family val="2"/>
      </rPr>
      <t>1 1/2´</t>
    </r>
  </si>
  <si>
    <r>
      <rPr>
        <sz val="8.5"/>
        <rFont val="Calibri"/>
        <family val="2"/>
      </rPr>
      <t>1.120,10</t>
    </r>
  </si>
  <si>
    <r>
      <rPr>
        <sz val="8.5"/>
        <rFont val="Calibri"/>
        <family val="2"/>
      </rPr>
      <t>38,51</t>
    </r>
  </si>
  <si>
    <r>
      <rPr>
        <sz val="8.5"/>
        <rFont val="Calibri"/>
        <family val="2"/>
      </rPr>
      <t>1.158,61</t>
    </r>
  </si>
  <si>
    <r>
      <rPr>
        <sz val="8.5"/>
        <rFont val="Calibri"/>
        <family val="2"/>
      </rPr>
      <t>Portas, portoes e gradis.</t>
    </r>
  </si>
  <si>
    <r>
      <rPr>
        <sz val="8.5"/>
        <rFont val="Calibri"/>
        <family val="2"/>
      </rPr>
      <t>24.07.030</t>
    </r>
  </si>
  <si>
    <r>
      <rPr>
        <sz val="8.5"/>
        <rFont val="Calibri"/>
        <family val="2"/>
      </rPr>
      <t xml:space="preserve">Porta de enrolar automatizado, em perfil meia cana perfurado, tipo
</t>
    </r>
    <r>
      <rPr>
        <sz val="8.5"/>
        <rFont val="Calibri"/>
        <family val="2"/>
      </rPr>
      <t>transvision</t>
    </r>
  </si>
  <si>
    <r>
      <rPr>
        <sz val="8.5"/>
        <rFont val="Calibri"/>
        <family val="2"/>
      </rPr>
      <t>645,38</t>
    </r>
  </si>
  <si>
    <r>
      <rPr>
        <sz val="8.5"/>
        <rFont val="Calibri"/>
        <family val="2"/>
      </rPr>
      <t>677,54</t>
    </r>
  </si>
  <si>
    <r>
      <rPr>
        <sz val="8.5"/>
        <rFont val="Calibri"/>
        <family val="2"/>
      </rPr>
      <t>24.07.040</t>
    </r>
  </si>
  <si>
    <r>
      <rPr>
        <sz val="8.5"/>
        <rFont val="Calibri"/>
        <family val="2"/>
      </rPr>
      <t xml:space="preserve">Porta de abrir em chapa de aço galvanizado, com requadro em tela
</t>
    </r>
    <r>
      <rPr>
        <sz val="8.5"/>
        <rFont val="Calibri"/>
        <family val="2"/>
      </rPr>
      <t>ondulada malha 2´ e fio 12</t>
    </r>
  </si>
  <si>
    <r>
      <rPr>
        <sz val="8.5"/>
        <rFont val="Calibri"/>
        <family val="2"/>
      </rPr>
      <t>1.013,95</t>
    </r>
  </si>
  <si>
    <r>
      <rPr>
        <sz val="8.5"/>
        <rFont val="Calibri"/>
        <family val="2"/>
      </rPr>
      <t>91,40</t>
    </r>
  </si>
  <si>
    <r>
      <rPr>
        <sz val="8.5"/>
        <rFont val="Calibri"/>
        <family val="2"/>
      </rPr>
      <t>1.105,35</t>
    </r>
  </si>
  <si>
    <r>
      <rPr>
        <sz val="8.5"/>
        <rFont val="Calibri"/>
        <family val="2"/>
      </rPr>
      <t>Esquadria, serralheria e elemento em aco inoxidavel</t>
    </r>
  </si>
  <si>
    <r>
      <rPr>
        <sz val="8.5"/>
        <rFont val="Calibri"/>
        <family val="2"/>
      </rPr>
      <t>24.08.020</t>
    </r>
  </si>
  <si>
    <r>
      <rPr>
        <sz val="8.5"/>
        <rFont val="Calibri"/>
        <family val="2"/>
      </rPr>
      <t xml:space="preserve">Corrimão duplo em tubo de aço inoxidável escovado, com diâmetro de 1
</t>
    </r>
    <r>
      <rPr>
        <sz val="8.5"/>
        <rFont val="Calibri"/>
        <family val="2"/>
      </rPr>
      <t>1/2´ e montantes com diâmetro de 2´</t>
    </r>
  </si>
  <si>
    <r>
      <rPr>
        <sz val="8.5"/>
        <rFont val="Calibri"/>
        <family val="2"/>
      </rPr>
      <t>780,50</t>
    </r>
  </si>
  <si>
    <r>
      <rPr>
        <sz val="8.5"/>
        <rFont val="Calibri"/>
        <family val="2"/>
      </rPr>
      <t>819,09</t>
    </r>
  </si>
  <si>
    <r>
      <rPr>
        <sz val="8.5"/>
        <rFont val="Calibri"/>
        <family val="2"/>
      </rPr>
      <t>24.08.031</t>
    </r>
  </si>
  <si>
    <r>
      <rPr>
        <sz val="8.5"/>
        <rFont val="Calibri"/>
        <family val="2"/>
      </rPr>
      <t>Corrimão em tubo de aço inoxidável escovado, diâmetro de 1 1/2"</t>
    </r>
  </si>
  <si>
    <r>
      <rPr>
        <sz val="8.5"/>
        <rFont val="Calibri"/>
        <family val="2"/>
      </rPr>
      <t>525,35</t>
    </r>
  </si>
  <si>
    <r>
      <rPr>
        <sz val="8.5"/>
        <rFont val="Calibri"/>
        <family val="2"/>
      </rPr>
      <t>541,43</t>
    </r>
  </si>
  <si>
    <r>
      <rPr>
        <sz val="8.5"/>
        <rFont val="Calibri"/>
        <family val="2"/>
      </rPr>
      <t>24.08.040</t>
    </r>
  </si>
  <si>
    <r>
      <rPr>
        <sz val="8.5"/>
        <rFont val="Calibri"/>
        <family val="2"/>
      </rPr>
      <t xml:space="preserve">Corrimão em tubo de aço inoxidável escovado, diâmetro de 1 1/2´ e
</t>
    </r>
    <r>
      <rPr>
        <sz val="8.5"/>
        <rFont val="Calibri"/>
        <family val="2"/>
      </rPr>
      <t>montantes com diâmetro de 2´</t>
    </r>
  </si>
  <si>
    <r>
      <rPr>
        <sz val="8.5"/>
        <rFont val="Calibri"/>
        <family val="2"/>
      </rPr>
      <t>617,88</t>
    </r>
  </si>
  <si>
    <r>
      <rPr>
        <sz val="8.5"/>
        <rFont val="Calibri"/>
        <family val="2"/>
      </rPr>
      <t>650,04</t>
    </r>
  </si>
  <si>
    <r>
      <rPr>
        <sz val="8.5"/>
        <rFont val="Calibri"/>
        <family val="2"/>
      </rPr>
      <t>Reparos, conservacoes e complementos - GRUPO 24</t>
    </r>
  </si>
  <si>
    <r>
      <rPr>
        <sz val="8.5"/>
        <rFont val="Calibri"/>
        <family val="2"/>
      </rPr>
      <t>24.20.020</t>
    </r>
  </si>
  <si>
    <r>
      <rPr>
        <sz val="8.5"/>
        <rFont val="Calibri"/>
        <family val="2"/>
      </rPr>
      <t>Recolocação de esquadrias metálicas</t>
    </r>
  </si>
  <si>
    <r>
      <rPr>
        <sz val="8.5"/>
        <rFont val="Calibri"/>
        <family val="2"/>
      </rPr>
      <t>24.20.040</t>
    </r>
  </si>
  <si>
    <r>
      <rPr>
        <sz val="8.5"/>
        <rFont val="Calibri"/>
        <family val="2"/>
      </rPr>
      <t>Recolocação de batentes</t>
    </r>
  </si>
  <si>
    <r>
      <rPr>
        <sz val="8.5"/>
        <rFont val="Calibri"/>
        <family val="2"/>
      </rPr>
      <t>1,43</t>
    </r>
  </si>
  <si>
    <r>
      <rPr>
        <sz val="8.5"/>
        <rFont val="Calibri"/>
        <family val="2"/>
      </rPr>
      <t>8,37</t>
    </r>
  </si>
  <si>
    <r>
      <rPr>
        <sz val="8.5"/>
        <rFont val="Calibri"/>
        <family val="2"/>
      </rPr>
      <t>9,80</t>
    </r>
  </si>
  <si>
    <r>
      <rPr>
        <sz val="8.5"/>
        <rFont val="Calibri"/>
        <family val="2"/>
      </rPr>
      <t>24.20.060</t>
    </r>
  </si>
  <si>
    <r>
      <rPr>
        <sz val="8.5"/>
        <rFont val="Calibri"/>
        <family val="2"/>
      </rPr>
      <t>Recolocação de escada de marinheiro</t>
    </r>
  </si>
  <si>
    <r>
      <rPr>
        <sz val="8.5"/>
        <rFont val="Calibri"/>
        <family val="2"/>
      </rPr>
      <t>24.20.090</t>
    </r>
  </si>
  <si>
    <r>
      <rPr>
        <sz val="8.5"/>
        <rFont val="Calibri"/>
        <family val="2"/>
      </rPr>
      <t>Solda MIG em esquadrias metálicas</t>
    </r>
  </si>
  <si>
    <r>
      <rPr>
        <sz val="8.5"/>
        <rFont val="Calibri"/>
        <family val="2"/>
      </rPr>
      <t>32,89</t>
    </r>
  </si>
  <si>
    <r>
      <rPr>
        <sz val="8.5"/>
        <rFont val="Calibri"/>
        <family val="2"/>
      </rPr>
      <t>22,36</t>
    </r>
  </si>
  <si>
    <r>
      <rPr>
        <sz val="8.5"/>
        <rFont val="Calibri"/>
        <family val="2"/>
      </rPr>
      <t>55,25</t>
    </r>
  </si>
  <si>
    <r>
      <rPr>
        <sz val="8.5"/>
        <rFont val="Calibri"/>
        <family val="2"/>
      </rPr>
      <t>24.20.100</t>
    </r>
  </si>
  <si>
    <r>
      <rPr>
        <sz val="8.5"/>
        <rFont val="Calibri"/>
        <family val="2"/>
      </rPr>
      <t>Brete para instalação lateral em grade de segurança</t>
    </r>
  </si>
  <si>
    <r>
      <rPr>
        <sz val="8.5"/>
        <rFont val="Calibri"/>
        <family val="2"/>
      </rPr>
      <t>3.461,31</t>
    </r>
  </si>
  <si>
    <r>
      <rPr>
        <sz val="8.5"/>
        <rFont val="Calibri"/>
        <family val="2"/>
      </rPr>
      <t>77,02</t>
    </r>
  </si>
  <si>
    <r>
      <rPr>
        <sz val="8.5"/>
        <rFont val="Calibri"/>
        <family val="2"/>
      </rPr>
      <t>3.538,33</t>
    </r>
  </si>
  <si>
    <r>
      <rPr>
        <sz val="8.5"/>
        <rFont val="Calibri"/>
        <family val="2"/>
      </rPr>
      <t>24.20.120</t>
    </r>
  </si>
  <si>
    <r>
      <rPr>
        <sz val="8.5"/>
        <rFont val="Calibri"/>
        <family val="2"/>
      </rPr>
      <t>Batente em chapa dobrada para portas</t>
    </r>
  </si>
  <si>
    <r>
      <rPr>
        <sz val="8.5"/>
        <rFont val="Calibri"/>
        <family val="2"/>
      </rPr>
      <t>118,35</t>
    </r>
  </si>
  <si>
    <r>
      <rPr>
        <sz val="8.5"/>
        <rFont val="Calibri"/>
        <family val="2"/>
      </rPr>
      <t>126,72</t>
    </r>
  </si>
  <si>
    <r>
      <rPr>
        <sz val="8.5"/>
        <rFont val="Calibri"/>
        <family val="2"/>
      </rPr>
      <t>24.20.140</t>
    </r>
  </si>
  <si>
    <r>
      <rPr>
        <sz val="8.5"/>
        <rFont val="Calibri"/>
        <family val="2"/>
      </rPr>
      <t xml:space="preserve">Batente em chapa de aço SAE 1010/1020, espessura de 3/16´, para obras
</t>
    </r>
    <r>
      <rPr>
        <sz val="8.5"/>
        <rFont val="Calibri"/>
        <family val="2"/>
      </rPr>
      <t>de segurança</t>
    </r>
  </si>
  <si>
    <r>
      <rPr>
        <sz val="8.5"/>
        <rFont val="Calibri"/>
        <family val="2"/>
      </rPr>
      <t>393,23</t>
    </r>
  </si>
  <si>
    <r>
      <rPr>
        <sz val="8.5"/>
        <rFont val="Calibri"/>
        <family val="2"/>
      </rPr>
      <t>401,60</t>
    </r>
  </si>
  <si>
    <r>
      <rPr>
        <sz val="8.5"/>
        <rFont val="Calibri"/>
        <family val="2"/>
      </rPr>
      <t>24.20.200</t>
    </r>
  </si>
  <si>
    <r>
      <rPr>
        <sz val="8.5"/>
        <rFont val="Calibri"/>
        <family val="2"/>
      </rPr>
      <t>Chapa de ferro nº 14, inclusive soldagem</t>
    </r>
  </si>
  <si>
    <r>
      <rPr>
        <sz val="8.5"/>
        <rFont val="Calibri"/>
        <family val="2"/>
      </rPr>
      <t>237,26</t>
    </r>
  </si>
  <si>
    <r>
      <rPr>
        <sz val="8.5"/>
        <rFont val="Calibri"/>
        <family val="2"/>
      </rPr>
      <t>275,85</t>
    </r>
  </si>
  <si>
    <r>
      <rPr>
        <sz val="8.5"/>
        <rFont val="Calibri"/>
        <family val="2"/>
      </rPr>
      <t>24.20.230</t>
    </r>
  </si>
  <si>
    <r>
      <rPr>
        <sz val="8.5"/>
        <rFont val="Calibri"/>
        <family val="2"/>
      </rPr>
      <t>Tela ondulada em aço galvanizado fio 10 BWG, malha de 1´</t>
    </r>
  </si>
  <si>
    <r>
      <rPr>
        <sz val="8.5"/>
        <rFont val="Calibri"/>
        <family val="2"/>
      </rPr>
      <t>120,12</t>
    </r>
  </si>
  <si>
    <r>
      <rPr>
        <sz val="8.5"/>
        <rFont val="Calibri"/>
        <family val="2"/>
      </rPr>
      <t>7,01</t>
    </r>
  </si>
  <si>
    <r>
      <rPr>
        <sz val="8.5"/>
        <rFont val="Calibri"/>
        <family val="2"/>
      </rPr>
      <t>127,13</t>
    </r>
  </si>
  <si>
    <r>
      <rPr>
        <sz val="8.5"/>
        <rFont val="Calibri"/>
        <family val="2"/>
      </rPr>
      <t>24.20.270</t>
    </r>
  </si>
  <si>
    <r>
      <rPr>
        <sz val="8.5"/>
        <rFont val="Calibri"/>
        <family val="2"/>
      </rPr>
      <t>Tela em aço galvanizado fio 16 BWG, malha de 1´ - tipo alambrado</t>
    </r>
  </si>
  <si>
    <r>
      <rPr>
        <sz val="8.5"/>
        <rFont val="Calibri"/>
        <family val="2"/>
      </rPr>
      <t>44,98</t>
    </r>
  </si>
  <si>
    <r>
      <rPr>
        <sz val="8.5"/>
        <rFont val="Calibri"/>
        <family val="2"/>
      </rPr>
      <t>24.20.300</t>
    </r>
  </si>
  <si>
    <r>
      <rPr>
        <sz val="8.5"/>
        <rFont val="Calibri"/>
        <family val="2"/>
      </rPr>
      <t xml:space="preserve">Chapa perfurada em aço SAE 1020, furos redondos de diâmetro 7,5 mm,
</t>
    </r>
    <r>
      <rPr>
        <sz val="8.5"/>
        <rFont val="Calibri"/>
        <family val="2"/>
      </rPr>
      <t>espessura 1/8´ - soldagem tipo MIG</t>
    </r>
  </si>
  <si>
    <r>
      <rPr>
        <sz val="8.5"/>
        <rFont val="Calibri"/>
        <family val="2"/>
      </rPr>
      <t>685,51</t>
    </r>
  </si>
  <si>
    <r>
      <rPr>
        <sz val="8.5"/>
        <rFont val="Calibri"/>
        <family val="2"/>
      </rPr>
      <t>70,80</t>
    </r>
  </si>
  <si>
    <r>
      <rPr>
        <sz val="8.5"/>
        <rFont val="Calibri"/>
        <family val="2"/>
      </rPr>
      <t>756,31</t>
    </r>
  </si>
  <si>
    <r>
      <rPr>
        <sz val="8.5"/>
        <rFont val="Calibri"/>
        <family val="2"/>
      </rPr>
      <t>24.20.310</t>
    </r>
  </si>
  <si>
    <r>
      <rPr>
        <sz val="8.5"/>
        <rFont val="Calibri"/>
        <family val="2"/>
      </rPr>
      <t xml:space="preserve">Chapa perfurada em aço SAE 1020, furos redondos de diâmetro 25 mm,
</t>
    </r>
    <r>
      <rPr>
        <sz val="8.5"/>
        <rFont val="Calibri"/>
        <family val="2"/>
      </rPr>
      <t>espessura 1/4´ - inclusive soldagem</t>
    </r>
  </si>
  <si>
    <r>
      <rPr>
        <sz val="8.5"/>
        <rFont val="Calibri"/>
        <family val="2"/>
      </rPr>
      <t>1.162,50</t>
    </r>
  </si>
  <si>
    <r>
      <rPr>
        <sz val="8.5"/>
        <rFont val="Calibri"/>
        <family val="2"/>
      </rPr>
      <t>1.233,30</t>
    </r>
  </si>
  <si>
    <r>
      <rPr>
        <sz val="8.5"/>
        <rFont val="Calibri"/>
        <family val="2"/>
      </rPr>
      <t>ESQUADRIA, SERRALHERIA E ELEMENTO EM ALUMINIO</t>
    </r>
  </si>
  <si>
    <r>
      <rPr>
        <sz val="8.5"/>
        <rFont val="Calibri"/>
        <family val="2"/>
      </rPr>
      <t>Caixilho em aluminio</t>
    </r>
  </si>
  <si>
    <r>
      <rPr>
        <sz val="8.5"/>
        <rFont val="Calibri"/>
        <family val="2"/>
      </rPr>
      <t>25.01.020</t>
    </r>
  </si>
  <si>
    <r>
      <rPr>
        <sz val="8.5"/>
        <rFont val="Calibri"/>
        <family val="2"/>
      </rPr>
      <t>Caixilho em alumínio fixo, sob medida</t>
    </r>
  </si>
  <si>
    <r>
      <rPr>
        <sz val="8.5"/>
        <rFont val="Calibri"/>
        <family val="2"/>
      </rPr>
      <t>716,29</t>
    </r>
  </si>
  <si>
    <r>
      <rPr>
        <sz val="8.5"/>
        <rFont val="Calibri"/>
        <family val="2"/>
      </rPr>
      <t>764,53</t>
    </r>
  </si>
  <si>
    <r>
      <rPr>
        <sz val="8.5"/>
        <rFont val="Calibri"/>
        <family val="2"/>
      </rPr>
      <t>25.01.030</t>
    </r>
  </si>
  <si>
    <r>
      <rPr>
        <sz val="8.5"/>
        <rFont val="Calibri"/>
        <family val="2"/>
      </rPr>
      <t>Caixilho em alumínio basculante com vidro, linha comercial</t>
    </r>
  </si>
  <si>
    <r>
      <rPr>
        <sz val="8.5"/>
        <rFont val="Calibri"/>
        <family val="2"/>
      </rPr>
      <t>341,30</t>
    </r>
  </si>
  <si>
    <r>
      <rPr>
        <sz val="8.5"/>
        <rFont val="Calibri"/>
        <family val="2"/>
      </rPr>
      <t>389,54</t>
    </r>
  </si>
  <si>
    <r>
      <rPr>
        <sz val="8.5"/>
        <rFont val="Calibri"/>
        <family val="2"/>
      </rPr>
      <t>25.01.040</t>
    </r>
  </si>
  <si>
    <r>
      <rPr>
        <sz val="8.5"/>
        <rFont val="Calibri"/>
        <family val="2"/>
      </rPr>
      <t>Caixilho em alumínio basculante, sob medida</t>
    </r>
  </si>
  <si>
    <r>
      <rPr>
        <sz val="8.5"/>
        <rFont val="Calibri"/>
        <family val="2"/>
      </rPr>
      <t>925,68</t>
    </r>
  </si>
  <si>
    <r>
      <rPr>
        <sz val="8.5"/>
        <rFont val="Calibri"/>
        <family val="2"/>
      </rPr>
      <t>973,92</t>
    </r>
  </si>
  <si>
    <r>
      <rPr>
        <sz val="8.5"/>
        <rFont val="Calibri"/>
        <family val="2"/>
      </rPr>
      <t>25.01.050</t>
    </r>
  </si>
  <si>
    <r>
      <rPr>
        <sz val="8.5"/>
        <rFont val="Calibri"/>
        <family val="2"/>
      </rPr>
      <t>Caixilho em alumínio maxim-ar com vidro, linha comercial</t>
    </r>
  </si>
  <si>
    <r>
      <rPr>
        <sz val="8.5"/>
        <rFont val="Calibri"/>
        <family val="2"/>
      </rPr>
      <t>773,93</t>
    </r>
  </si>
  <si>
    <r>
      <rPr>
        <sz val="8.5"/>
        <rFont val="Calibri"/>
        <family val="2"/>
      </rPr>
      <t>822,17</t>
    </r>
  </si>
  <si>
    <r>
      <rPr>
        <sz val="8.5"/>
        <rFont val="Calibri"/>
        <family val="2"/>
      </rPr>
      <t>25.01.060</t>
    </r>
  </si>
  <si>
    <r>
      <rPr>
        <sz val="8.5"/>
        <rFont val="Calibri"/>
        <family val="2"/>
      </rPr>
      <t>Caixilho em alumínio maxim-ar, sob medida</t>
    </r>
  </si>
  <si>
    <r>
      <rPr>
        <sz val="8.5"/>
        <rFont val="Calibri"/>
        <family val="2"/>
      </rPr>
      <t>751,90</t>
    </r>
  </si>
  <si>
    <r>
      <rPr>
        <sz val="8.5"/>
        <rFont val="Calibri"/>
        <family val="2"/>
      </rPr>
      <t>800,14</t>
    </r>
  </si>
  <si>
    <r>
      <rPr>
        <sz val="8.5"/>
        <rFont val="Calibri"/>
        <family val="2"/>
      </rPr>
      <t>25.01.070</t>
    </r>
  </si>
  <si>
    <r>
      <rPr>
        <sz val="8.5"/>
        <rFont val="Calibri"/>
        <family val="2"/>
      </rPr>
      <t>Caixilho em alumínio de correr com vidro, linha comercial</t>
    </r>
  </si>
  <si>
    <r>
      <rPr>
        <sz val="8.5"/>
        <rFont val="Calibri"/>
        <family val="2"/>
      </rPr>
      <t>356,16</t>
    </r>
  </si>
  <si>
    <r>
      <rPr>
        <sz val="8.5"/>
        <rFont val="Calibri"/>
        <family val="2"/>
      </rPr>
      <t>404,40</t>
    </r>
  </si>
  <si>
    <r>
      <rPr>
        <sz val="8.5"/>
        <rFont val="Calibri"/>
        <family val="2"/>
      </rPr>
      <t>25.01.080</t>
    </r>
  </si>
  <si>
    <r>
      <rPr>
        <sz val="8.5"/>
        <rFont val="Calibri"/>
        <family val="2"/>
      </rPr>
      <t>Caixilho em alumínio de correr, sob medida</t>
    </r>
  </si>
  <si>
    <r>
      <rPr>
        <sz val="8.5"/>
        <rFont val="Calibri"/>
        <family val="2"/>
      </rPr>
      <t>815,59</t>
    </r>
  </si>
  <si>
    <r>
      <rPr>
        <sz val="8.5"/>
        <rFont val="Calibri"/>
        <family val="2"/>
      </rPr>
      <t>863,83</t>
    </r>
  </si>
  <si>
    <r>
      <rPr>
        <sz val="8.5"/>
        <rFont val="Calibri"/>
        <family val="2"/>
      </rPr>
      <t>25.01.090</t>
    </r>
  </si>
  <si>
    <r>
      <rPr>
        <sz val="8.5"/>
        <rFont val="Calibri"/>
        <family val="2"/>
      </rPr>
      <t>Caixilho em alumínio tipo veneziana com vidro, linha comercial</t>
    </r>
  </si>
  <si>
    <r>
      <rPr>
        <sz val="8.5"/>
        <rFont val="Calibri"/>
        <family val="2"/>
      </rPr>
      <t>648,21</t>
    </r>
  </si>
  <si>
    <r>
      <rPr>
        <sz val="8.5"/>
        <rFont val="Calibri"/>
        <family val="2"/>
      </rPr>
      <t>696,45</t>
    </r>
  </si>
  <si>
    <r>
      <rPr>
        <sz val="8.5"/>
        <rFont val="Calibri"/>
        <family val="2"/>
      </rPr>
      <t>25.01.100</t>
    </r>
  </si>
  <si>
    <r>
      <rPr>
        <sz val="8.5"/>
        <rFont val="Calibri"/>
        <family val="2"/>
      </rPr>
      <t>Caixilho em alumínio tipo veneziana, sob medida</t>
    </r>
  </si>
  <si>
    <r>
      <rPr>
        <sz val="8.5"/>
        <rFont val="Calibri"/>
        <family val="2"/>
      </rPr>
      <t>1.004,39</t>
    </r>
  </si>
  <si>
    <r>
      <rPr>
        <sz val="8.5"/>
        <rFont val="Calibri"/>
        <family val="2"/>
      </rPr>
      <t>1.052,63</t>
    </r>
  </si>
  <si>
    <r>
      <rPr>
        <sz val="8.5"/>
        <rFont val="Calibri"/>
        <family val="2"/>
      </rPr>
      <t>25.01.110</t>
    </r>
  </si>
  <si>
    <r>
      <rPr>
        <sz val="8.5"/>
        <rFont val="Calibri"/>
        <family val="2"/>
      </rPr>
      <t>Caixilho guilhotina em alumínio anodizado, sob medida</t>
    </r>
  </si>
  <si>
    <r>
      <rPr>
        <sz val="8.5"/>
        <rFont val="Calibri"/>
        <family val="2"/>
      </rPr>
      <t>919,05</t>
    </r>
  </si>
  <si>
    <r>
      <rPr>
        <sz val="8.5"/>
        <rFont val="Calibri"/>
        <family val="2"/>
      </rPr>
      <t>967,29</t>
    </r>
  </si>
  <si>
    <r>
      <rPr>
        <sz val="8.5"/>
        <rFont val="Calibri"/>
        <family val="2"/>
      </rPr>
      <t>25.01.120</t>
    </r>
  </si>
  <si>
    <r>
      <rPr>
        <sz val="8.5"/>
        <rFont val="Calibri"/>
        <family val="2"/>
      </rPr>
      <t xml:space="preserve">Caixilho tipo veneziana industrial com montantes em alumínio e aletas
</t>
    </r>
    <r>
      <rPr>
        <sz val="8.5"/>
        <rFont val="Calibri"/>
        <family val="2"/>
      </rPr>
      <t>em fibra de vidro</t>
    </r>
  </si>
  <si>
    <r>
      <rPr>
        <sz val="8.5"/>
        <rFont val="Calibri"/>
        <family val="2"/>
      </rPr>
      <t>297,72</t>
    </r>
  </si>
  <si>
    <r>
      <rPr>
        <sz val="8.5"/>
        <rFont val="Calibri"/>
        <family val="2"/>
      </rPr>
      <t>25.01.240</t>
    </r>
  </si>
  <si>
    <r>
      <rPr>
        <sz val="8.5"/>
        <rFont val="Calibri"/>
        <family val="2"/>
      </rPr>
      <t>Caixilho fixo em alumínio, sob medida - branco</t>
    </r>
  </si>
  <si>
    <r>
      <rPr>
        <sz val="8.5"/>
        <rFont val="Calibri"/>
        <family val="2"/>
      </rPr>
      <t>819,46</t>
    </r>
  </si>
  <si>
    <r>
      <rPr>
        <sz val="8.5"/>
        <rFont val="Calibri"/>
        <family val="2"/>
      </rPr>
      <t>37,06</t>
    </r>
  </si>
  <si>
    <r>
      <rPr>
        <sz val="8.5"/>
        <rFont val="Calibri"/>
        <family val="2"/>
      </rPr>
      <t>856,52</t>
    </r>
  </si>
  <si>
    <r>
      <rPr>
        <sz val="8.5"/>
        <rFont val="Calibri"/>
        <family val="2"/>
      </rPr>
      <t>25.01.361</t>
    </r>
  </si>
  <si>
    <r>
      <rPr>
        <sz val="8.5"/>
        <rFont val="Calibri"/>
        <family val="2"/>
      </rPr>
      <t>Caixilho em alumínio maxim-ar com vidro - branco</t>
    </r>
  </si>
  <si>
    <r>
      <rPr>
        <sz val="8.5"/>
        <rFont val="Calibri"/>
        <family val="2"/>
      </rPr>
      <t>1.292,31</t>
    </r>
  </si>
  <si>
    <r>
      <rPr>
        <sz val="8.5"/>
        <rFont val="Calibri"/>
        <family val="2"/>
      </rPr>
      <t>1.340,55</t>
    </r>
  </si>
  <si>
    <r>
      <rPr>
        <sz val="8.5"/>
        <rFont val="Calibri"/>
        <family val="2"/>
      </rPr>
      <t>25.01.371</t>
    </r>
  </si>
  <si>
    <r>
      <rPr>
        <sz val="8.5"/>
        <rFont val="Calibri"/>
        <family val="2"/>
      </rPr>
      <t>Caixilho em alumínio basculante com vidro - branco</t>
    </r>
  </si>
  <si>
    <r>
      <rPr>
        <sz val="8.5"/>
        <rFont val="Calibri"/>
        <family val="2"/>
      </rPr>
      <t>1.326,63</t>
    </r>
  </si>
  <si>
    <r>
      <rPr>
        <sz val="8.5"/>
        <rFont val="Calibri"/>
        <family val="2"/>
      </rPr>
      <t>1.374,87</t>
    </r>
  </si>
  <si>
    <r>
      <rPr>
        <sz val="8.5"/>
        <rFont val="Calibri"/>
        <family val="2"/>
      </rPr>
      <t>25.01.380</t>
    </r>
  </si>
  <si>
    <r>
      <rPr>
        <sz val="8.5"/>
        <rFont val="Calibri"/>
        <family val="2"/>
      </rPr>
      <t>Caixilho em alumínio de correr com vidro - branco</t>
    </r>
  </si>
  <si>
    <r>
      <rPr>
        <sz val="8.5"/>
        <rFont val="Calibri"/>
        <family val="2"/>
      </rPr>
      <t>729,37</t>
    </r>
  </si>
  <si>
    <r>
      <rPr>
        <sz val="8.5"/>
        <rFont val="Calibri"/>
        <family val="2"/>
      </rPr>
      <t>777,61</t>
    </r>
  </si>
  <si>
    <r>
      <rPr>
        <sz val="8.5"/>
        <rFont val="Calibri"/>
        <family val="2"/>
      </rPr>
      <t>25.01.400</t>
    </r>
  </si>
  <si>
    <r>
      <rPr>
        <sz val="8.5"/>
        <rFont val="Calibri"/>
        <family val="2"/>
      </rPr>
      <t>Caixilho em alumínio anodizado fixo</t>
    </r>
  </si>
  <si>
    <r>
      <rPr>
        <sz val="8.5"/>
        <rFont val="Calibri"/>
        <family val="2"/>
      </rPr>
      <t>541,00</t>
    </r>
  </si>
  <si>
    <r>
      <rPr>
        <sz val="8.5"/>
        <rFont val="Calibri"/>
        <family val="2"/>
      </rPr>
      <t>578,06</t>
    </r>
  </si>
  <si>
    <r>
      <rPr>
        <sz val="8.5"/>
        <rFont val="Calibri"/>
        <family val="2"/>
      </rPr>
      <t>25.01.410</t>
    </r>
  </si>
  <si>
    <r>
      <rPr>
        <sz val="8.5"/>
        <rFont val="Calibri"/>
        <family val="2"/>
      </rPr>
      <t>Caixilho em alumínio anodizado maxim-ar</t>
    </r>
  </si>
  <si>
    <r>
      <rPr>
        <sz val="8.5"/>
        <rFont val="Calibri"/>
        <family val="2"/>
      </rPr>
      <t>770,58</t>
    </r>
  </si>
  <si>
    <r>
      <rPr>
        <sz val="8.5"/>
        <rFont val="Calibri"/>
        <family val="2"/>
      </rPr>
      <t>807,64</t>
    </r>
  </si>
  <si>
    <r>
      <rPr>
        <sz val="8.5"/>
        <rFont val="Calibri"/>
        <family val="2"/>
      </rPr>
      <t>25.01.430</t>
    </r>
  </si>
  <si>
    <r>
      <rPr>
        <sz val="8.5"/>
        <rFont val="Calibri"/>
        <family val="2"/>
      </rPr>
      <t>Caixilho em alumínio fixo, tipo fachada</t>
    </r>
  </si>
  <si>
    <r>
      <rPr>
        <sz val="8.5"/>
        <rFont val="Calibri"/>
        <family val="2"/>
      </rPr>
      <t>632,45</t>
    </r>
  </si>
  <si>
    <r>
      <rPr>
        <sz val="8.5"/>
        <rFont val="Calibri"/>
        <family val="2"/>
      </rPr>
      <t>27,80</t>
    </r>
  </si>
  <si>
    <r>
      <rPr>
        <sz val="8.5"/>
        <rFont val="Calibri"/>
        <family val="2"/>
      </rPr>
      <t>660,25</t>
    </r>
  </si>
  <si>
    <r>
      <rPr>
        <sz val="8.5"/>
        <rFont val="Calibri"/>
        <family val="2"/>
      </rPr>
      <t>25.01.440</t>
    </r>
  </si>
  <si>
    <r>
      <rPr>
        <sz val="8.5"/>
        <rFont val="Calibri"/>
        <family val="2"/>
      </rPr>
      <t>Caixilho em alumínio maxim-ar, tipo fachada</t>
    </r>
  </si>
  <si>
    <r>
      <rPr>
        <sz val="8.5"/>
        <rFont val="Calibri"/>
        <family val="2"/>
      </rPr>
      <t>710,86</t>
    </r>
  </si>
  <si>
    <r>
      <rPr>
        <sz val="8.5"/>
        <rFont val="Calibri"/>
        <family val="2"/>
      </rPr>
      <t>738,66</t>
    </r>
  </si>
  <si>
    <r>
      <rPr>
        <sz val="8.5"/>
        <rFont val="Calibri"/>
        <family val="2"/>
      </rPr>
      <t>25.01.450</t>
    </r>
  </si>
  <si>
    <r>
      <rPr>
        <sz val="8.5"/>
        <rFont val="Calibri"/>
        <family val="2"/>
      </rPr>
      <t>Caixilho em alumínio para pele de vidro, tipo fachada</t>
    </r>
  </si>
  <si>
    <r>
      <rPr>
        <sz val="8.5"/>
        <rFont val="Calibri"/>
        <family val="2"/>
      </rPr>
      <t>520,19</t>
    </r>
  </si>
  <si>
    <r>
      <rPr>
        <sz val="8.5"/>
        <rFont val="Calibri"/>
        <family val="2"/>
      </rPr>
      <t>547,99</t>
    </r>
  </si>
  <si>
    <r>
      <rPr>
        <sz val="8.5"/>
        <rFont val="Calibri"/>
        <family val="2"/>
      </rPr>
      <t>25.01.460</t>
    </r>
  </si>
  <si>
    <r>
      <rPr>
        <sz val="8.5"/>
        <rFont val="Calibri"/>
        <family val="2"/>
      </rPr>
      <t>Gradil em alumínio natural, sob medida</t>
    </r>
  </si>
  <si>
    <r>
      <rPr>
        <sz val="8.5"/>
        <rFont val="Calibri"/>
        <family val="2"/>
      </rPr>
      <t>930,98</t>
    </r>
  </si>
  <si>
    <r>
      <rPr>
        <sz val="8.5"/>
        <rFont val="Calibri"/>
        <family val="2"/>
      </rPr>
      <t>25.01.470</t>
    </r>
  </si>
  <si>
    <r>
      <rPr>
        <sz val="8.5"/>
        <rFont val="Calibri"/>
        <family val="2"/>
      </rPr>
      <t>Caixilho fixo tipo veneziana em alumínio anodizado, sob medida - branco</t>
    </r>
  </si>
  <si>
    <r>
      <rPr>
        <sz val="8.5"/>
        <rFont val="Calibri"/>
        <family val="2"/>
      </rPr>
      <t>25.01.480</t>
    </r>
  </si>
  <si>
    <r>
      <rPr>
        <sz val="8.5"/>
        <rFont val="Calibri"/>
        <family val="2"/>
      </rPr>
      <t xml:space="preserve">Caixilho em alumínio com pintura eletrostática, basculante, sob medida -
</t>
    </r>
    <r>
      <rPr>
        <sz val="8.5"/>
        <rFont val="Calibri"/>
        <family val="2"/>
      </rPr>
      <t>branco</t>
    </r>
  </si>
  <si>
    <r>
      <rPr>
        <sz val="8.5"/>
        <rFont val="Calibri"/>
        <family val="2"/>
      </rPr>
      <t>823,32</t>
    </r>
  </si>
  <si>
    <r>
      <rPr>
        <sz val="8.5"/>
        <rFont val="Calibri"/>
        <family val="2"/>
      </rPr>
      <t>25.01.490</t>
    </r>
  </si>
  <si>
    <r>
      <rPr>
        <sz val="8.5"/>
        <rFont val="Calibri"/>
        <family val="2"/>
      </rPr>
      <t xml:space="preserve">Caixilho em alumínio com pintura eletrostática, maxim-ar, sob medida -
</t>
    </r>
    <r>
      <rPr>
        <sz val="8.5"/>
        <rFont val="Calibri"/>
        <family val="2"/>
      </rPr>
      <t>branco</t>
    </r>
  </si>
  <si>
    <r>
      <rPr>
        <sz val="8.5"/>
        <rFont val="Calibri"/>
        <family val="2"/>
      </rPr>
      <t>819,83</t>
    </r>
  </si>
  <si>
    <r>
      <rPr>
        <sz val="8.5"/>
        <rFont val="Calibri"/>
        <family val="2"/>
      </rPr>
      <t>25.01.500</t>
    </r>
  </si>
  <si>
    <r>
      <rPr>
        <sz val="8.5"/>
        <rFont val="Calibri"/>
        <family val="2"/>
      </rPr>
      <t>Caixilho em alumínio anodizado fixo, sob medida - bronze/preto</t>
    </r>
  </si>
  <si>
    <r>
      <rPr>
        <sz val="8.5"/>
        <rFont val="Calibri"/>
        <family val="2"/>
      </rPr>
      <t>881,94</t>
    </r>
  </si>
  <si>
    <r>
      <rPr>
        <sz val="8.5"/>
        <rFont val="Calibri"/>
        <family val="2"/>
      </rPr>
      <t>930,18</t>
    </r>
  </si>
  <si>
    <r>
      <rPr>
        <sz val="8.5"/>
        <rFont val="Calibri"/>
        <family val="2"/>
      </rPr>
      <t>25.01.510</t>
    </r>
  </si>
  <si>
    <r>
      <rPr>
        <sz val="8.5"/>
        <rFont val="Calibri"/>
        <family val="2"/>
      </rPr>
      <t>Caixilho em alumínio anodizado basculante, sob medida - bronze/preto</t>
    </r>
  </si>
  <si>
    <r>
      <rPr>
        <sz val="8.5"/>
        <rFont val="Calibri"/>
        <family val="2"/>
      </rPr>
      <t>1.175,36</t>
    </r>
  </si>
  <si>
    <r>
      <rPr>
        <sz val="8.5"/>
        <rFont val="Calibri"/>
        <family val="2"/>
      </rPr>
      <t>1.223,60</t>
    </r>
  </si>
  <si>
    <r>
      <rPr>
        <sz val="8.5"/>
        <rFont val="Calibri"/>
        <family val="2"/>
      </rPr>
      <t>25.01.520</t>
    </r>
  </si>
  <si>
    <r>
      <rPr>
        <sz val="8.5"/>
        <rFont val="Calibri"/>
        <family val="2"/>
      </rPr>
      <t>Caixilho em alumínio anodizado maxim-ar, sob medida - bronze/preto</t>
    </r>
  </si>
  <si>
    <r>
      <rPr>
        <sz val="8.5"/>
        <rFont val="Calibri"/>
        <family val="2"/>
      </rPr>
      <t>873,70</t>
    </r>
  </si>
  <si>
    <r>
      <rPr>
        <sz val="8.5"/>
        <rFont val="Calibri"/>
        <family val="2"/>
      </rPr>
      <t>921,94</t>
    </r>
  </si>
  <si>
    <r>
      <rPr>
        <sz val="8.5"/>
        <rFont val="Calibri"/>
        <family val="2"/>
      </rPr>
      <t>25.01.530</t>
    </r>
  </si>
  <si>
    <r>
      <rPr>
        <sz val="8.5"/>
        <rFont val="Calibri"/>
        <family val="2"/>
      </rPr>
      <t>Caixilho em alumínio anodizado de correr, sob medida - bronze/preto</t>
    </r>
  </si>
  <si>
    <r>
      <rPr>
        <sz val="8.5"/>
        <rFont val="Calibri"/>
        <family val="2"/>
      </rPr>
      <t>901,33</t>
    </r>
  </si>
  <si>
    <r>
      <rPr>
        <sz val="8.5"/>
        <rFont val="Calibri"/>
        <family val="2"/>
      </rPr>
      <t>949,57</t>
    </r>
  </si>
  <si>
    <r>
      <rPr>
        <sz val="8.5"/>
        <rFont val="Calibri"/>
        <family val="2"/>
      </rPr>
      <t>Porta em aluminio</t>
    </r>
  </si>
  <si>
    <r>
      <rPr>
        <sz val="8.5"/>
        <rFont val="Calibri"/>
        <family val="2"/>
      </rPr>
      <t>25.02.010</t>
    </r>
  </si>
  <si>
    <r>
      <rPr>
        <sz val="8.5"/>
        <rFont val="Calibri"/>
        <family val="2"/>
      </rPr>
      <t>Porta de entrada de abrir em alumínio com vidro, linha comercial</t>
    </r>
  </si>
  <si>
    <r>
      <rPr>
        <sz val="8.5"/>
        <rFont val="Calibri"/>
        <family val="2"/>
      </rPr>
      <t>634,07</t>
    </r>
  </si>
  <si>
    <r>
      <rPr>
        <sz val="8.5"/>
        <rFont val="Calibri"/>
        <family val="2"/>
      </rPr>
      <t>730,55</t>
    </r>
  </si>
  <si>
    <r>
      <rPr>
        <sz val="8.5"/>
        <rFont val="Calibri"/>
        <family val="2"/>
      </rPr>
      <t>25.02.020</t>
    </r>
  </si>
  <si>
    <r>
      <rPr>
        <sz val="8.5"/>
        <rFont val="Calibri"/>
        <family val="2"/>
      </rPr>
      <t>Porta de entrada de abrir em alumínio, sob medida</t>
    </r>
  </si>
  <si>
    <r>
      <rPr>
        <sz val="8.5"/>
        <rFont val="Calibri"/>
        <family val="2"/>
      </rPr>
      <t>964,36</t>
    </r>
  </si>
  <si>
    <r>
      <rPr>
        <sz val="8.5"/>
        <rFont val="Calibri"/>
        <family val="2"/>
      </rPr>
      <t>1.060,84</t>
    </r>
  </si>
  <si>
    <r>
      <rPr>
        <sz val="8.5"/>
        <rFont val="Calibri"/>
        <family val="2"/>
      </rPr>
      <t>25.02.040</t>
    </r>
  </si>
  <si>
    <r>
      <rPr>
        <sz val="8.5"/>
        <rFont val="Calibri"/>
        <family val="2"/>
      </rPr>
      <t>Porta de entrada de correr em alumínio, sob medida</t>
    </r>
  </si>
  <si>
    <r>
      <rPr>
        <sz val="8.5"/>
        <rFont val="Calibri"/>
        <family val="2"/>
      </rPr>
      <t>1.093,33</t>
    </r>
  </si>
  <si>
    <r>
      <rPr>
        <sz val="8.5"/>
        <rFont val="Calibri"/>
        <family val="2"/>
      </rPr>
      <t>1.189,81</t>
    </r>
  </si>
  <si>
    <r>
      <rPr>
        <sz val="8.5"/>
        <rFont val="Calibri"/>
        <family val="2"/>
      </rPr>
      <t>25.02.042</t>
    </r>
  </si>
  <si>
    <r>
      <rPr>
        <sz val="8.5"/>
        <rFont val="Calibri"/>
        <family val="2"/>
      </rPr>
      <t>Porta de correr em alumínio tipo lambri branco, sob medida</t>
    </r>
  </si>
  <si>
    <r>
      <rPr>
        <sz val="8.5"/>
        <rFont val="Calibri"/>
        <family val="2"/>
      </rPr>
      <t>641,74</t>
    </r>
  </si>
  <si>
    <r>
      <rPr>
        <sz val="8.5"/>
        <rFont val="Calibri"/>
        <family val="2"/>
      </rPr>
      <t>689,98</t>
    </r>
  </si>
  <si>
    <r>
      <rPr>
        <sz val="8.5"/>
        <rFont val="Calibri"/>
        <family val="2"/>
      </rPr>
      <t>25.02.050</t>
    </r>
  </si>
  <si>
    <r>
      <rPr>
        <sz val="8.5"/>
        <rFont val="Calibri"/>
        <family val="2"/>
      </rPr>
      <t>Porta veneziana de abrir em alumínio, linha comercial</t>
    </r>
  </si>
  <si>
    <r>
      <rPr>
        <sz val="8.5"/>
        <rFont val="Calibri"/>
        <family val="2"/>
      </rPr>
      <t>489,51</t>
    </r>
  </si>
  <si>
    <r>
      <rPr>
        <sz val="8.5"/>
        <rFont val="Calibri"/>
        <family val="2"/>
      </rPr>
      <t>585,99</t>
    </r>
  </si>
  <si>
    <r>
      <rPr>
        <sz val="8.5"/>
        <rFont val="Calibri"/>
        <family val="2"/>
      </rPr>
      <t>25.02.060</t>
    </r>
  </si>
  <si>
    <r>
      <rPr>
        <sz val="8.5"/>
        <rFont val="Calibri"/>
        <family val="2"/>
      </rPr>
      <t>Porta/portinhola em alumínio, sob medida</t>
    </r>
  </si>
  <si>
    <r>
      <rPr>
        <sz val="8.5"/>
        <rFont val="Calibri"/>
        <family val="2"/>
      </rPr>
      <t>808,13</t>
    </r>
  </si>
  <si>
    <r>
      <rPr>
        <sz val="8.5"/>
        <rFont val="Calibri"/>
        <family val="2"/>
      </rPr>
      <t>904,61</t>
    </r>
  </si>
  <si>
    <r>
      <rPr>
        <sz val="8.5"/>
        <rFont val="Calibri"/>
        <family val="2"/>
      </rPr>
      <t>25.02.070</t>
    </r>
  </si>
  <si>
    <r>
      <rPr>
        <sz val="8.5"/>
        <rFont val="Calibri"/>
        <family val="2"/>
      </rPr>
      <t>Portinhola tipo veneziana em alumínio, linha comercial</t>
    </r>
  </si>
  <si>
    <r>
      <rPr>
        <sz val="8.5"/>
        <rFont val="Calibri"/>
        <family val="2"/>
      </rPr>
      <t>488,19</t>
    </r>
  </si>
  <si>
    <r>
      <rPr>
        <sz val="8.5"/>
        <rFont val="Calibri"/>
        <family val="2"/>
      </rPr>
      <t>584,67</t>
    </r>
  </si>
  <si>
    <r>
      <rPr>
        <sz val="8.5"/>
        <rFont val="Calibri"/>
        <family val="2"/>
      </rPr>
      <t>25.02.110</t>
    </r>
  </si>
  <si>
    <r>
      <rPr>
        <sz val="8.5"/>
        <rFont val="Calibri"/>
        <family val="2"/>
      </rPr>
      <t>Porta veneziana de abrir em alumínio, sob medida</t>
    </r>
  </si>
  <si>
    <r>
      <rPr>
        <sz val="8.5"/>
        <rFont val="Calibri"/>
        <family val="2"/>
      </rPr>
      <t>982,48</t>
    </r>
  </si>
  <si>
    <r>
      <rPr>
        <sz val="8.5"/>
        <rFont val="Calibri"/>
        <family val="2"/>
      </rPr>
      <t>1.078,96</t>
    </r>
  </si>
  <si>
    <r>
      <rPr>
        <sz val="8.5"/>
        <rFont val="Calibri"/>
        <family val="2"/>
      </rPr>
      <t>25.02.211</t>
    </r>
  </si>
  <si>
    <r>
      <rPr>
        <sz val="8.5"/>
        <rFont val="Calibri"/>
        <family val="2"/>
      </rPr>
      <t>Porta veneziana de abrir em alumínio - cor branca</t>
    </r>
  </si>
  <si>
    <r>
      <rPr>
        <sz val="8.5"/>
        <rFont val="Calibri"/>
        <family val="2"/>
      </rPr>
      <t>423,04</t>
    </r>
  </si>
  <si>
    <r>
      <rPr>
        <sz val="8.5"/>
        <rFont val="Calibri"/>
        <family val="2"/>
      </rPr>
      <t>519,52</t>
    </r>
  </si>
  <si>
    <r>
      <rPr>
        <sz val="8.5"/>
        <rFont val="Calibri"/>
        <family val="2"/>
      </rPr>
      <t>25.02.221</t>
    </r>
  </si>
  <si>
    <r>
      <rPr>
        <sz val="8.5"/>
        <rFont val="Calibri"/>
        <family val="2"/>
      </rPr>
      <t>Porta de correr em alumínio com veneziana e vidro - cor branca</t>
    </r>
  </si>
  <si>
    <r>
      <rPr>
        <sz val="8.5"/>
        <rFont val="Calibri"/>
        <family val="2"/>
      </rPr>
      <t>1.029,35</t>
    </r>
  </si>
  <si>
    <r>
      <rPr>
        <sz val="8.5"/>
        <rFont val="Calibri"/>
        <family val="2"/>
      </rPr>
      <t>1.125,83</t>
    </r>
  </si>
  <si>
    <r>
      <rPr>
        <sz val="8.5"/>
        <rFont val="Calibri"/>
        <family val="2"/>
      </rPr>
      <t>25.02.230</t>
    </r>
  </si>
  <si>
    <r>
      <rPr>
        <sz val="8.5"/>
        <rFont val="Calibri"/>
        <family val="2"/>
      </rPr>
      <t>Porta em alumínio anodizado de abrir, sob medida - bronze/preto</t>
    </r>
  </si>
  <si>
    <r>
      <rPr>
        <sz val="8.5"/>
        <rFont val="Calibri"/>
        <family val="2"/>
      </rPr>
      <t>939,07</t>
    </r>
  </si>
  <si>
    <r>
      <rPr>
        <sz val="8.5"/>
        <rFont val="Calibri"/>
        <family val="2"/>
      </rPr>
      <t>987,31</t>
    </r>
  </si>
  <si>
    <r>
      <rPr>
        <sz val="8.5"/>
        <rFont val="Calibri"/>
        <family val="2"/>
      </rPr>
      <t>25.02.240</t>
    </r>
  </si>
  <si>
    <r>
      <rPr>
        <sz val="8.5"/>
        <rFont val="Calibri"/>
        <family val="2"/>
      </rPr>
      <t>Porta em alumínio anodizado de correr, sob medida - bronze/preto</t>
    </r>
  </si>
  <si>
    <r>
      <rPr>
        <sz val="8.5"/>
        <rFont val="Calibri"/>
        <family val="2"/>
      </rPr>
      <t>861,71</t>
    </r>
  </si>
  <si>
    <r>
      <rPr>
        <sz val="8.5"/>
        <rFont val="Calibri"/>
        <family val="2"/>
      </rPr>
      <t>909,95</t>
    </r>
  </si>
  <si>
    <r>
      <rPr>
        <sz val="8.5"/>
        <rFont val="Calibri"/>
        <family val="2"/>
      </rPr>
      <t>25.02.250</t>
    </r>
  </si>
  <si>
    <r>
      <rPr>
        <sz val="8.5"/>
        <rFont val="Calibri"/>
        <family val="2"/>
      </rPr>
      <t xml:space="preserve">Porta em alumínio anodizado de abrir, tipo veneziana, sob medida -
</t>
    </r>
    <r>
      <rPr>
        <sz val="8.5"/>
        <rFont val="Calibri"/>
        <family val="2"/>
      </rPr>
      <t>bronze/preto</t>
    </r>
  </si>
  <si>
    <r>
      <rPr>
        <sz val="8.5"/>
        <rFont val="Calibri"/>
        <family val="2"/>
      </rPr>
      <t>1.009,38</t>
    </r>
  </si>
  <si>
    <r>
      <rPr>
        <sz val="8.5"/>
        <rFont val="Calibri"/>
        <family val="2"/>
      </rPr>
      <t>1.057,62</t>
    </r>
  </si>
  <si>
    <r>
      <rPr>
        <sz val="8.5"/>
        <rFont val="Calibri"/>
        <family val="2"/>
      </rPr>
      <t>25.02.260</t>
    </r>
  </si>
  <si>
    <r>
      <rPr>
        <sz val="8.5"/>
        <rFont val="Calibri"/>
        <family val="2"/>
      </rPr>
      <t xml:space="preserve">Portinhola em alumínio anodizado de correr, tipo veneziana, sob medida
</t>
    </r>
    <r>
      <rPr>
        <sz val="8.5"/>
        <rFont val="Calibri"/>
        <family val="2"/>
      </rPr>
      <t>- bronze/preto</t>
    </r>
  </si>
  <si>
    <r>
      <rPr>
        <sz val="8.5"/>
        <rFont val="Calibri"/>
        <family val="2"/>
      </rPr>
      <t>1.086,01</t>
    </r>
  </si>
  <si>
    <r>
      <rPr>
        <sz val="8.5"/>
        <rFont val="Calibri"/>
        <family val="2"/>
      </rPr>
      <t>1.134,25</t>
    </r>
  </si>
  <si>
    <r>
      <rPr>
        <sz val="8.5"/>
        <rFont val="Calibri"/>
        <family val="2"/>
      </rPr>
      <t>25.02.300</t>
    </r>
  </si>
  <si>
    <r>
      <rPr>
        <sz val="8.5"/>
        <rFont val="Calibri"/>
        <family val="2"/>
      </rPr>
      <t xml:space="preserve">Porta de abrir em alumínio com pintura eletrostática, sob medida - cor
</t>
    </r>
    <r>
      <rPr>
        <sz val="8.5"/>
        <rFont val="Calibri"/>
        <family val="2"/>
      </rPr>
      <t>branca</t>
    </r>
  </si>
  <si>
    <r>
      <rPr>
        <sz val="8.5"/>
        <rFont val="Calibri"/>
        <family val="2"/>
      </rPr>
      <t>987,56</t>
    </r>
  </si>
  <si>
    <r>
      <rPr>
        <sz val="8.5"/>
        <rFont val="Calibri"/>
        <family val="2"/>
      </rPr>
      <t>1.084,04</t>
    </r>
  </si>
  <si>
    <r>
      <rPr>
        <sz val="8.5"/>
        <rFont val="Calibri"/>
        <family val="2"/>
      </rPr>
      <t>25.02.310</t>
    </r>
  </si>
  <si>
    <r>
      <rPr>
        <sz val="8.5"/>
        <rFont val="Calibri"/>
        <family val="2"/>
      </rPr>
      <t>Porta de abrir em alumínio tipo lambri, sob medida - cor branca</t>
    </r>
  </si>
  <si>
    <r>
      <rPr>
        <sz val="8.5"/>
        <rFont val="Calibri"/>
        <family val="2"/>
      </rPr>
      <t>1.007,71</t>
    </r>
  </si>
  <si>
    <r>
      <rPr>
        <sz val="8.5"/>
        <rFont val="Calibri"/>
        <family val="2"/>
      </rPr>
      <t>1.104,19</t>
    </r>
  </si>
  <si>
    <r>
      <rPr>
        <sz val="8.5"/>
        <rFont val="Calibri"/>
        <family val="2"/>
      </rPr>
      <t>Reparos, conservacoes e complementos - GRUPO 25</t>
    </r>
  </si>
  <si>
    <r>
      <rPr>
        <sz val="8.5"/>
        <rFont val="Calibri"/>
        <family val="2"/>
      </rPr>
      <t>25.20.020</t>
    </r>
  </si>
  <si>
    <r>
      <rPr>
        <sz val="8.5"/>
        <rFont val="Calibri"/>
        <family val="2"/>
      </rPr>
      <t xml:space="preserve">Tela de proteção tipo mosquiteira removível, em fibra de vidro com
</t>
    </r>
    <r>
      <rPr>
        <sz val="8.5"/>
        <rFont val="Calibri"/>
        <family val="2"/>
      </rPr>
      <t>revestimento em PVC e requadro em alumínio</t>
    </r>
  </si>
  <si>
    <r>
      <rPr>
        <sz val="8.5"/>
        <rFont val="Calibri"/>
        <family val="2"/>
      </rPr>
      <t>143,78</t>
    </r>
  </si>
  <si>
    <r>
      <rPr>
        <sz val="8.5"/>
        <rFont val="Calibri"/>
        <family val="2"/>
      </rPr>
      <t>ESQUADRIA E ELEMENTO EM VIDRO</t>
    </r>
  </si>
  <si>
    <r>
      <rPr>
        <sz val="8.5"/>
        <rFont val="Calibri"/>
        <family val="2"/>
      </rPr>
      <t>Vidro comum e laminado</t>
    </r>
  </si>
  <si>
    <r>
      <rPr>
        <sz val="8.5"/>
        <rFont val="Calibri"/>
        <family val="2"/>
      </rPr>
      <t>26.01.020</t>
    </r>
  </si>
  <si>
    <r>
      <rPr>
        <sz val="8.5"/>
        <rFont val="Calibri"/>
        <family val="2"/>
      </rPr>
      <t>Vidro liso transparente de 3 mm</t>
    </r>
  </si>
  <si>
    <r>
      <rPr>
        <sz val="8.5"/>
        <rFont val="Calibri"/>
        <family val="2"/>
      </rPr>
      <t>83,26</t>
    </r>
  </si>
  <si>
    <r>
      <rPr>
        <sz val="8.5"/>
        <rFont val="Calibri"/>
        <family val="2"/>
      </rPr>
      <t>21,87</t>
    </r>
  </si>
  <si>
    <r>
      <rPr>
        <sz val="8.5"/>
        <rFont val="Calibri"/>
        <family val="2"/>
      </rPr>
      <t>105,13</t>
    </r>
  </si>
  <si>
    <r>
      <rPr>
        <sz val="8.5"/>
        <rFont val="Calibri"/>
        <family val="2"/>
      </rPr>
      <t>26.01.040</t>
    </r>
  </si>
  <si>
    <r>
      <rPr>
        <sz val="8.5"/>
        <rFont val="Calibri"/>
        <family val="2"/>
      </rPr>
      <t>Vidro liso transparente de 4 mm</t>
    </r>
  </si>
  <si>
    <r>
      <rPr>
        <sz val="8.5"/>
        <rFont val="Calibri"/>
        <family val="2"/>
      </rPr>
      <t>105,26</t>
    </r>
  </si>
  <si>
    <r>
      <rPr>
        <sz val="8.5"/>
        <rFont val="Calibri"/>
        <family val="2"/>
      </rPr>
      <t>26.01.060</t>
    </r>
  </si>
  <si>
    <r>
      <rPr>
        <sz val="8.5"/>
        <rFont val="Calibri"/>
        <family val="2"/>
      </rPr>
      <t>Vidro liso transparente de 5 mm</t>
    </r>
  </si>
  <si>
    <r>
      <rPr>
        <sz val="8.5"/>
        <rFont val="Calibri"/>
        <family val="2"/>
      </rPr>
      <t>108,11</t>
    </r>
  </si>
  <si>
    <r>
      <rPr>
        <sz val="8.5"/>
        <rFont val="Calibri"/>
        <family val="2"/>
      </rPr>
      <t>129,98</t>
    </r>
  </si>
  <si>
    <r>
      <rPr>
        <sz val="8.5"/>
        <rFont val="Calibri"/>
        <family val="2"/>
      </rPr>
      <t>26.01.080</t>
    </r>
  </si>
  <si>
    <r>
      <rPr>
        <sz val="8.5"/>
        <rFont val="Calibri"/>
        <family val="2"/>
      </rPr>
      <t>Vidro liso transparente de 6 mm</t>
    </r>
  </si>
  <si>
    <r>
      <rPr>
        <sz val="8.5"/>
        <rFont val="Calibri"/>
        <family val="2"/>
      </rPr>
      <t>123,32</t>
    </r>
  </si>
  <si>
    <r>
      <rPr>
        <sz val="8.5"/>
        <rFont val="Calibri"/>
        <family val="2"/>
      </rPr>
      <t>145,19</t>
    </r>
  </si>
  <si>
    <r>
      <rPr>
        <sz val="8.5"/>
        <rFont val="Calibri"/>
        <family val="2"/>
      </rPr>
      <t>26.01.140</t>
    </r>
  </si>
  <si>
    <r>
      <rPr>
        <sz val="8.5"/>
        <rFont val="Calibri"/>
        <family val="2"/>
      </rPr>
      <t>Vidro liso laminado colorido de 6 mm</t>
    </r>
  </si>
  <si>
    <r>
      <rPr>
        <sz val="8.5"/>
        <rFont val="Calibri"/>
        <family val="2"/>
      </rPr>
      <t>377,69</t>
    </r>
  </si>
  <si>
    <r>
      <rPr>
        <sz val="8.5"/>
        <rFont val="Calibri"/>
        <family val="2"/>
      </rPr>
      <t>399,56</t>
    </r>
  </si>
  <si>
    <r>
      <rPr>
        <sz val="8.5"/>
        <rFont val="Calibri"/>
        <family val="2"/>
      </rPr>
      <t>26.01.155</t>
    </r>
  </si>
  <si>
    <r>
      <rPr>
        <sz val="8.5"/>
        <rFont val="Calibri"/>
        <family val="2"/>
      </rPr>
      <t>Vidro liso laminado colorido de 10 mm</t>
    </r>
  </si>
  <si>
    <r>
      <rPr>
        <sz val="8.5"/>
        <rFont val="Calibri"/>
        <family val="2"/>
      </rPr>
      <t>606,51</t>
    </r>
  </si>
  <si>
    <r>
      <rPr>
        <sz val="8.5"/>
        <rFont val="Calibri"/>
        <family val="2"/>
      </rPr>
      <t>628,38</t>
    </r>
  </si>
  <si>
    <r>
      <rPr>
        <sz val="8.5"/>
        <rFont val="Calibri"/>
        <family val="2"/>
      </rPr>
      <t>26.01.160</t>
    </r>
  </si>
  <si>
    <r>
      <rPr>
        <sz val="8.5"/>
        <rFont val="Calibri"/>
        <family val="2"/>
      </rPr>
      <t>Vidro liso laminado leitoso de 6 mm</t>
    </r>
  </si>
  <si>
    <r>
      <rPr>
        <sz val="8.5"/>
        <rFont val="Calibri"/>
        <family val="2"/>
      </rPr>
      <t>461,46</t>
    </r>
  </si>
  <si>
    <r>
      <rPr>
        <sz val="8.5"/>
        <rFont val="Calibri"/>
        <family val="2"/>
      </rPr>
      <t>483,33</t>
    </r>
  </si>
  <si>
    <r>
      <rPr>
        <sz val="8.5"/>
        <rFont val="Calibri"/>
        <family val="2"/>
      </rPr>
      <t>26.01.168</t>
    </r>
  </si>
  <si>
    <r>
      <rPr>
        <sz val="8.5"/>
        <rFont val="Calibri"/>
        <family val="2"/>
      </rPr>
      <t>Vidro liso laminado incolor de 6 mm</t>
    </r>
  </si>
  <si>
    <r>
      <rPr>
        <sz val="8.5"/>
        <rFont val="Calibri"/>
        <family val="2"/>
      </rPr>
      <t>215,64</t>
    </r>
  </si>
  <si>
    <r>
      <rPr>
        <sz val="8.5"/>
        <rFont val="Calibri"/>
        <family val="2"/>
      </rPr>
      <t>237,51</t>
    </r>
  </si>
  <si>
    <r>
      <rPr>
        <sz val="8.5"/>
        <rFont val="Calibri"/>
        <family val="2"/>
      </rPr>
      <t>26.01.169</t>
    </r>
  </si>
  <si>
    <r>
      <rPr>
        <sz val="8.5"/>
        <rFont val="Calibri"/>
        <family val="2"/>
      </rPr>
      <t>Vidro liso laminado incolor de 8 mm</t>
    </r>
  </si>
  <si>
    <r>
      <rPr>
        <sz val="8.5"/>
        <rFont val="Calibri"/>
        <family val="2"/>
      </rPr>
      <t>314,76</t>
    </r>
  </si>
  <si>
    <r>
      <rPr>
        <sz val="8.5"/>
        <rFont val="Calibri"/>
        <family val="2"/>
      </rPr>
      <t>336,63</t>
    </r>
  </si>
  <si>
    <r>
      <rPr>
        <sz val="8.5"/>
        <rFont val="Calibri"/>
        <family val="2"/>
      </rPr>
      <t>26.01.170</t>
    </r>
  </si>
  <si>
    <r>
      <rPr>
        <sz val="8.5"/>
        <rFont val="Calibri"/>
        <family val="2"/>
      </rPr>
      <t>Vidro liso laminado incolor de 10 mm</t>
    </r>
  </si>
  <si>
    <r>
      <rPr>
        <sz val="8.5"/>
        <rFont val="Calibri"/>
        <family val="2"/>
      </rPr>
      <t>364,08</t>
    </r>
  </si>
  <si>
    <r>
      <rPr>
        <sz val="8.5"/>
        <rFont val="Calibri"/>
        <family val="2"/>
      </rPr>
      <t>385,95</t>
    </r>
  </si>
  <si>
    <r>
      <rPr>
        <sz val="8.5"/>
        <rFont val="Calibri"/>
        <family val="2"/>
      </rPr>
      <t>26.01.190</t>
    </r>
  </si>
  <si>
    <r>
      <rPr>
        <sz val="8.5"/>
        <rFont val="Calibri"/>
        <family val="2"/>
      </rPr>
      <t>Vidro liso laminado jateado de 6 mm</t>
    </r>
  </si>
  <si>
    <r>
      <rPr>
        <sz val="8.5"/>
        <rFont val="Calibri"/>
        <family val="2"/>
      </rPr>
      <t>422,21</t>
    </r>
  </si>
  <si>
    <r>
      <rPr>
        <sz val="8.5"/>
        <rFont val="Calibri"/>
        <family val="2"/>
      </rPr>
      <t>444,08</t>
    </r>
  </si>
  <si>
    <r>
      <rPr>
        <sz val="8.5"/>
        <rFont val="Calibri"/>
        <family val="2"/>
      </rPr>
      <t>26.01.230</t>
    </r>
  </si>
  <si>
    <r>
      <rPr>
        <sz val="8.5"/>
        <rFont val="Calibri"/>
        <family val="2"/>
      </rPr>
      <t>Vidro fantasia de 3/4 mm</t>
    </r>
  </si>
  <si>
    <r>
      <rPr>
        <sz val="8.5"/>
        <rFont val="Calibri"/>
        <family val="2"/>
      </rPr>
      <t>113,73</t>
    </r>
  </si>
  <si>
    <r>
      <rPr>
        <sz val="8.5"/>
        <rFont val="Calibri"/>
        <family val="2"/>
      </rPr>
      <t>135,60</t>
    </r>
  </si>
  <si>
    <r>
      <rPr>
        <sz val="8.5"/>
        <rFont val="Calibri"/>
        <family val="2"/>
      </rPr>
      <t>26.01.348</t>
    </r>
  </si>
  <si>
    <r>
      <rPr>
        <sz val="8.5"/>
        <rFont val="Calibri"/>
        <family val="2"/>
      </rPr>
      <t>Vidro multilaminado de alta segurança, proteção balística nível III</t>
    </r>
  </si>
  <si>
    <r>
      <rPr>
        <sz val="8.5"/>
        <rFont val="Calibri"/>
        <family val="2"/>
      </rPr>
      <t>3.006,63</t>
    </r>
  </si>
  <si>
    <r>
      <rPr>
        <sz val="8.5"/>
        <rFont val="Calibri"/>
        <family val="2"/>
      </rPr>
      <t>26.01.350</t>
    </r>
  </si>
  <si>
    <r>
      <rPr>
        <sz val="8.5"/>
        <rFont val="Calibri"/>
        <family val="2"/>
      </rPr>
      <t xml:space="preserve">Vidro multilaminado de alta segurança em policarbonato, proteção
</t>
    </r>
    <r>
      <rPr>
        <sz val="8.5"/>
        <rFont val="Calibri"/>
        <family val="2"/>
      </rPr>
      <t>balística nível III</t>
    </r>
  </si>
  <si>
    <r>
      <rPr>
        <sz val="8.5"/>
        <rFont val="Calibri"/>
        <family val="2"/>
      </rPr>
      <t>4.867,20</t>
    </r>
  </si>
  <si>
    <r>
      <rPr>
        <sz val="8.5"/>
        <rFont val="Calibri"/>
        <family val="2"/>
      </rPr>
      <t>26.01.460</t>
    </r>
  </si>
  <si>
    <r>
      <rPr>
        <sz val="8.5"/>
        <rFont val="Calibri"/>
        <family val="2"/>
      </rPr>
      <t>Vidros float monolíticos verde de 6 mm</t>
    </r>
  </si>
  <si>
    <r>
      <rPr>
        <sz val="8.5"/>
        <rFont val="Calibri"/>
        <family val="2"/>
      </rPr>
      <t>145,49</t>
    </r>
  </si>
  <si>
    <r>
      <rPr>
        <sz val="8.5"/>
        <rFont val="Calibri"/>
        <family val="2"/>
      </rPr>
      <t>167,36</t>
    </r>
  </si>
  <si>
    <r>
      <rPr>
        <sz val="8.5"/>
        <rFont val="Calibri"/>
        <family val="2"/>
      </rPr>
      <t>Vidro temperado</t>
    </r>
  </si>
  <si>
    <r>
      <rPr>
        <sz val="8.5"/>
        <rFont val="Calibri"/>
        <family val="2"/>
      </rPr>
      <t>26.02.020</t>
    </r>
  </si>
  <si>
    <r>
      <rPr>
        <sz val="8.5"/>
        <rFont val="Calibri"/>
        <family val="2"/>
      </rPr>
      <t>Vidro temperado incolor de 6 mm</t>
    </r>
  </si>
  <si>
    <r>
      <rPr>
        <sz val="8.5"/>
        <rFont val="Calibri"/>
        <family val="2"/>
      </rPr>
      <t>187,74</t>
    </r>
  </si>
  <si>
    <r>
      <rPr>
        <sz val="8.5"/>
        <rFont val="Calibri"/>
        <family val="2"/>
      </rPr>
      <t>26.02.040</t>
    </r>
  </si>
  <si>
    <r>
      <rPr>
        <sz val="8.5"/>
        <rFont val="Calibri"/>
        <family val="2"/>
      </rPr>
      <t>Vidro temperado incolor de 8 mm</t>
    </r>
  </si>
  <si>
    <r>
      <rPr>
        <sz val="8.5"/>
        <rFont val="Calibri"/>
        <family val="2"/>
      </rPr>
      <t>222,23</t>
    </r>
  </si>
  <si>
    <r>
      <rPr>
        <sz val="8.5"/>
        <rFont val="Calibri"/>
        <family val="2"/>
      </rPr>
      <t>26.02.060</t>
    </r>
  </si>
  <si>
    <r>
      <rPr>
        <sz val="8.5"/>
        <rFont val="Calibri"/>
        <family val="2"/>
      </rPr>
      <t>Vidro temperado incolor de 10 mm</t>
    </r>
  </si>
  <si>
    <r>
      <rPr>
        <sz val="8.5"/>
        <rFont val="Calibri"/>
        <family val="2"/>
      </rPr>
      <t>281,11</t>
    </r>
  </si>
  <si>
    <r>
      <rPr>
        <sz val="8.5"/>
        <rFont val="Calibri"/>
        <family val="2"/>
      </rPr>
      <t>26.02.120</t>
    </r>
  </si>
  <si>
    <r>
      <rPr>
        <sz val="8.5"/>
        <rFont val="Calibri"/>
        <family val="2"/>
      </rPr>
      <t>Vidro temperado cinza ou bronze de 6 mm</t>
    </r>
  </si>
  <si>
    <r>
      <rPr>
        <sz val="8.5"/>
        <rFont val="Calibri"/>
        <family val="2"/>
      </rPr>
      <t>250,08</t>
    </r>
  </si>
  <si>
    <r>
      <rPr>
        <sz val="8.5"/>
        <rFont val="Calibri"/>
        <family val="2"/>
      </rPr>
      <t>26.02.140</t>
    </r>
  </si>
  <si>
    <r>
      <rPr>
        <sz val="8.5"/>
        <rFont val="Calibri"/>
        <family val="2"/>
      </rPr>
      <t>Vidro temperado cinza ou bronze de 8 mm</t>
    </r>
  </si>
  <si>
    <r>
      <rPr>
        <sz val="8.5"/>
        <rFont val="Calibri"/>
        <family val="2"/>
      </rPr>
      <t>352,92</t>
    </r>
  </si>
  <si>
    <r>
      <rPr>
        <sz val="8.5"/>
        <rFont val="Calibri"/>
        <family val="2"/>
      </rPr>
      <t>26.02.160</t>
    </r>
  </si>
  <si>
    <r>
      <rPr>
        <sz val="8.5"/>
        <rFont val="Calibri"/>
        <family val="2"/>
      </rPr>
      <t>Vidro temperado cinza ou bronze de 10 mm</t>
    </r>
  </si>
  <si>
    <r>
      <rPr>
        <sz val="8.5"/>
        <rFont val="Calibri"/>
        <family val="2"/>
      </rPr>
      <t>468,77</t>
    </r>
  </si>
  <si>
    <r>
      <rPr>
        <sz val="8.5"/>
        <rFont val="Calibri"/>
        <family val="2"/>
      </rPr>
      <t>26.02.170</t>
    </r>
  </si>
  <si>
    <r>
      <rPr>
        <sz val="8.5"/>
        <rFont val="Calibri"/>
        <family val="2"/>
      </rPr>
      <t>Vidro temperado serigrafado incolor de 8 mm</t>
    </r>
  </si>
  <si>
    <r>
      <rPr>
        <sz val="8.5"/>
        <rFont val="Calibri"/>
        <family val="2"/>
      </rPr>
      <t>648,35</t>
    </r>
  </si>
  <si>
    <r>
      <rPr>
        <sz val="8.5"/>
        <rFont val="Calibri"/>
        <family val="2"/>
      </rPr>
      <t>26.02.300</t>
    </r>
  </si>
  <si>
    <r>
      <rPr>
        <sz val="8.5"/>
        <rFont val="Calibri"/>
        <family val="2"/>
      </rPr>
      <t>Vidro temperado neutro verde de 10 mm</t>
    </r>
  </si>
  <si>
    <r>
      <rPr>
        <sz val="8.5"/>
        <rFont val="Calibri"/>
        <family val="2"/>
      </rPr>
      <t>413,59</t>
    </r>
  </si>
  <si>
    <r>
      <rPr>
        <sz val="8.5"/>
        <rFont val="Calibri"/>
        <family val="2"/>
      </rPr>
      <t>Vidro especial</t>
    </r>
  </si>
  <si>
    <r>
      <rPr>
        <sz val="8.5"/>
        <rFont val="Calibri"/>
        <family val="2"/>
      </rPr>
      <t>26.03.070</t>
    </r>
  </si>
  <si>
    <r>
      <rPr>
        <sz val="8.5"/>
        <rFont val="Calibri"/>
        <family val="2"/>
      </rPr>
      <t>Vidro laminado temperado incolor de 8mm</t>
    </r>
  </si>
  <si>
    <r>
      <rPr>
        <sz val="8.5"/>
        <rFont val="Calibri"/>
        <family val="2"/>
      </rPr>
      <t>418,84</t>
    </r>
  </si>
  <si>
    <r>
      <rPr>
        <sz val="8.5"/>
        <rFont val="Calibri"/>
        <family val="2"/>
      </rPr>
      <t>26.03.074</t>
    </r>
  </si>
  <si>
    <r>
      <rPr>
        <sz val="8.5"/>
        <rFont val="Calibri"/>
        <family val="2"/>
      </rPr>
      <t>Vidro laminado temperado incolor de 16 mm</t>
    </r>
  </si>
  <si>
    <r>
      <rPr>
        <sz val="8.5"/>
        <rFont val="Calibri"/>
        <family val="2"/>
      </rPr>
      <t>1.056,83</t>
    </r>
  </si>
  <si>
    <r>
      <rPr>
        <sz val="8.5"/>
        <rFont val="Calibri"/>
        <family val="2"/>
      </rPr>
      <t>26.03.090</t>
    </r>
  </si>
  <si>
    <r>
      <rPr>
        <sz val="8.5"/>
        <rFont val="Calibri"/>
        <family val="2"/>
      </rPr>
      <t>Vidro laminado temperado jateado de 8 mm</t>
    </r>
  </si>
  <si>
    <r>
      <rPr>
        <sz val="8.5"/>
        <rFont val="Calibri"/>
        <family val="2"/>
      </rPr>
      <t>610,73</t>
    </r>
  </si>
  <si>
    <r>
      <rPr>
        <sz val="8.5"/>
        <rFont val="Calibri"/>
        <family val="2"/>
      </rPr>
      <t>26.03.300</t>
    </r>
  </si>
  <si>
    <r>
      <rPr>
        <sz val="8.5"/>
        <rFont val="Calibri"/>
        <family val="2"/>
      </rPr>
      <t>Vidro laminado temperado neutro verde de 12 mm</t>
    </r>
  </si>
  <si>
    <r>
      <rPr>
        <sz val="8.5"/>
        <rFont val="Calibri"/>
        <family val="2"/>
      </rPr>
      <t>1.536,32</t>
    </r>
  </si>
  <si>
    <r>
      <rPr>
        <sz val="8.5"/>
        <rFont val="Calibri"/>
        <family val="2"/>
      </rPr>
      <t>Espelhos</t>
    </r>
  </si>
  <si>
    <r>
      <rPr>
        <sz val="8.5"/>
        <rFont val="Calibri"/>
        <family val="2"/>
      </rPr>
      <t>26.04.010</t>
    </r>
  </si>
  <si>
    <r>
      <rPr>
        <sz val="8.5"/>
        <rFont val="Calibri"/>
        <family val="2"/>
      </rPr>
      <t>Espelho em vidro cristal liso, espessura de 4 mm</t>
    </r>
  </si>
  <si>
    <r>
      <rPr>
        <sz val="8.5"/>
        <rFont val="Calibri"/>
        <family val="2"/>
      </rPr>
      <t>455,85</t>
    </r>
  </si>
  <si>
    <r>
      <rPr>
        <sz val="8.5"/>
        <rFont val="Calibri"/>
        <family val="2"/>
      </rPr>
      <t>26.04.030</t>
    </r>
  </si>
  <si>
    <r>
      <rPr>
        <sz val="8.5"/>
        <rFont val="Calibri"/>
        <family val="2"/>
      </rPr>
      <t>Espelho comum de 3 mm com moldura em alumínio</t>
    </r>
  </si>
  <si>
    <r>
      <rPr>
        <sz val="8.5"/>
        <rFont val="Calibri"/>
        <family val="2"/>
      </rPr>
      <t>557,53</t>
    </r>
  </si>
  <si>
    <r>
      <rPr>
        <sz val="8.5"/>
        <rFont val="Calibri"/>
        <family val="2"/>
      </rPr>
      <t>573,61</t>
    </r>
  </si>
  <si>
    <r>
      <rPr>
        <sz val="8.5"/>
        <rFont val="Calibri"/>
        <family val="2"/>
      </rPr>
      <t>Reparos, conservacoes e complementos - GRUPO 26</t>
    </r>
  </si>
  <si>
    <r>
      <rPr>
        <sz val="8.5"/>
        <rFont val="Calibri"/>
        <family val="2"/>
      </rPr>
      <t>26.20.010</t>
    </r>
  </si>
  <si>
    <r>
      <rPr>
        <sz val="8.5"/>
        <rFont val="Calibri"/>
        <family val="2"/>
      </rPr>
      <t>Massa para vidro</t>
    </r>
  </si>
  <si>
    <r>
      <rPr>
        <sz val="8.5"/>
        <rFont val="Calibri"/>
        <family val="2"/>
      </rPr>
      <t>1,19</t>
    </r>
  </si>
  <si>
    <r>
      <rPr>
        <sz val="8.5"/>
        <rFont val="Calibri"/>
        <family val="2"/>
      </rPr>
      <t>3,28</t>
    </r>
  </si>
  <si>
    <r>
      <rPr>
        <sz val="8.5"/>
        <rFont val="Calibri"/>
        <family val="2"/>
      </rPr>
      <t>4,47</t>
    </r>
  </si>
  <si>
    <r>
      <rPr>
        <sz val="8.5"/>
        <rFont val="Calibri"/>
        <family val="2"/>
      </rPr>
      <t>26.20.020</t>
    </r>
  </si>
  <si>
    <r>
      <rPr>
        <sz val="8.5"/>
        <rFont val="Calibri"/>
        <family val="2"/>
      </rPr>
      <t>Recolocação de vidro inclusive emassamento ou recolocação de baguetes</t>
    </r>
  </si>
  <si>
    <r>
      <rPr>
        <sz val="8.5"/>
        <rFont val="Calibri"/>
        <family val="2"/>
      </rPr>
      <t>5,96</t>
    </r>
  </si>
  <si>
    <r>
      <rPr>
        <sz val="8.5"/>
        <rFont val="Calibri"/>
        <family val="2"/>
      </rPr>
      <t>43,74</t>
    </r>
  </si>
  <si>
    <r>
      <rPr>
        <sz val="8.5"/>
        <rFont val="Calibri"/>
        <family val="2"/>
      </rPr>
      <t>49,70</t>
    </r>
  </si>
  <si>
    <r>
      <rPr>
        <sz val="8.5"/>
        <rFont val="Calibri"/>
        <family val="2"/>
      </rPr>
      <t>ESQUADRIA E ELEMENTO EM MATERIAL ESPECIAL</t>
    </r>
  </si>
  <si>
    <r>
      <rPr>
        <sz val="8.5"/>
        <rFont val="Calibri"/>
        <family val="2"/>
      </rPr>
      <t>Policarbonato</t>
    </r>
  </si>
  <si>
    <r>
      <rPr>
        <sz val="8.5"/>
        <rFont val="Calibri"/>
        <family val="2"/>
      </rPr>
      <t>27.02.001</t>
    </r>
  </si>
  <si>
    <r>
      <rPr>
        <sz val="8.5"/>
        <rFont val="Calibri"/>
        <family val="2"/>
      </rPr>
      <t>Chapa em policarbonato compacta, fumê, espessura de 6mm</t>
    </r>
  </si>
  <si>
    <r>
      <rPr>
        <sz val="8.5"/>
        <rFont val="Calibri"/>
        <family val="2"/>
      </rPr>
      <t>524,49</t>
    </r>
  </si>
  <si>
    <r>
      <rPr>
        <sz val="8.5"/>
        <rFont val="Calibri"/>
        <family val="2"/>
      </rPr>
      <t>75,86</t>
    </r>
  </si>
  <si>
    <r>
      <rPr>
        <sz val="8.5"/>
        <rFont val="Calibri"/>
        <family val="2"/>
      </rPr>
      <t>600,35</t>
    </r>
  </si>
  <si>
    <r>
      <rPr>
        <sz val="8.5"/>
        <rFont val="Calibri"/>
        <family val="2"/>
      </rPr>
      <t>27.02.011</t>
    </r>
  </si>
  <si>
    <r>
      <rPr>
        <sz val="8.5"/>
        <rFont val="Calibri"/>
        <family val="2"/>
      </rPr>
      <t>Chapa em policarbonato compacta, cristal, espessura de 6 mm</t>
    </r>
  </si>
  <si>
    <r>
      <rPr>
        <sz val="8.5"/>
        <rFont val="Calibri"/>
        <family val="2"/>
      </rPr>
      <t>400,44</t>
    </r>
  </si>
  <si>
    <r>
      <rPr>
        <sz val="8.5"/>
        <rFont val="Calibri"/>
        <family val="2"/>
      </rPr>
      <t>476,30</t>
    </r>
  </si>
  <si>
    <r>
      <rPr>
        <sz val="8.5"/>
        <rFont val="Calibri"/>
        <family val="2"/>
      </rPr>
      <t>27.02.041</t>
    </r>
  </si>
  <si>
    <r>
      <rPr>
        <sz val="8.5"/>
        <rFont val="Calibri"/>
        <family val="2"/>
      </rPr>
      <t>Chapa em policarbonato compacta, cristal, espessura de 10 mm</t>
    </r>
  </si>
  <si>
    <r>
      <rPr>
        <sz val="8.5"/>
        <rFont val="Calibri"/>
        <family val="2"/>
      </rPr>
      <t>676,74</t>
    </r>
  </si>
  <si>
    <r>
      <rPr>
        <sz val="8.5"/>
        <rFont val="Calibri"/>
        <family val="2"/>
      </rPr>
      <t>752,60</t>
    </r>
  </si>
  <si>
    <r>
      <rPr>
        <sz val="8.5"/>
        <rFont val="Calibri"/>
        <family val="2"/>
      </rPr>
      <t>27.02.050</t>
    </r>
  </si>
  <si>
    <r>
      <rPr>
        <sz val="8.5"/>
        <rFont val="Calibri"/>
        <family val="2"/>
      </rPr>
      <t>Chapa de policarbonato alveolar de 6 mm</t>
    </r>
  </si>
  <si>
    <r>
      <rPr>
        <sz val="8.5"/>
        <rFont val="Calibri"/>
        <family val="2"/>
      </rPr>
      <t>69,43</t>
    </r>
  </si>
  <si>
    <r>
      <rPr>
        <sz val="8.5"/>
        <rFont val="Calibri"/>
        <family val="2"/>
      </rPr>
      <t>145,29</t>
    </r>
  </si>
  <si>
    <r>
      <rPr>
        <sz val="8.5"/>
        <rFont val="Calibri"/>
        <family val="2"/>
      </rPr>
      <t>Chapa de fibra de vidro</t>
    </r>
  </si>
  <si>
    <r>
      <rPr>
        <sz val="8.5"/>
        <rFont val="Calibri"/>
        <family val="2"/>
      </rPr>
      <t>27.03.030</t>
    </r>
  </si>
  <si>
    <r>
      <rPr>
        <sz val="8.5"/>
        <rFont val="Calibri"/>
        <family val="2"/>
      </rPr>
      <t>Placa de poliéster reforçada com fibra de vidro de 3 mm</t>
    </r>
  </si>
  <si>
    <r>
      <rPr>
        <sz val="8.5"/>
        <rFont val="Calibri"/>
        <family val="2"/>
      </rPr>
      <t>152,54</t>
    </r>
  </si>
  <si>
    <r>
      <rPr>
        <sz val="8.5"/>
        <rFont val="Calibri"/>
        <family val="2"/>
      </rPr>
      <t>196,28</t>
    </r>
  </si>
  <si>
    <r>
      <rPr>
        <sz val="8.5"/>
        <rFont val="Calibri"/>
        <family val="2"/>
      </rPr>
      <t>PVC / VINIL</t>
    </r>
  </si>
  <si>
    <r>
      <rPr>
        <sz val="8.5"/>
        <rFont val="Calibri"/>
        <family val="2"/>
      </rPr>
      <t>27.04.031</t>
    </r>
  </si>
  <si>
    <r>
      <rPr>
        <sz val="8.5"/>
        <rFont val="Calibri"/>
        <family val="2"/>
      </rPr>
      <t>Caixilho de correr em PVC com vidro e persiana</t>
    </r>
  </si>
  <si>
    <r>
      <rPr>
        <sz val="8.5"/>
        <rFont val="Calibri"/>
        <family val="2"/>
      </rPr>
      <t>2.213,59</t>
    </r>
  </si>
  <si>
    <r>
      <rPr>
        <sz val="8.5"/>
        <rFont val="Calibri"/>
        <family val="2"/>
      </rPr>
      <t>75,06</t>
    </r>
  </si>
  <si>
    <r>
      <rPr>
        <sz val="8.5"/>
        <rFont val="Calibri"/>
        <family val="2"/>
      </rPr>
      <t>2.288,65</t>
    </r>
  </si>
  <si>
    <r>
      <rPr>
        <sz val="8.5"/>
        <rFont val="Calibri"/>
        <family val="2"/>
      </rPr>
      <t>27.04.040</t>
    </r>
  </si>
  <si>
    <r>
      <rPr>
        <sz val="8.5"/>
        <rFont val="Calibri"/>
        <family val="2"/>
      </rPr>
      <t xml:space="preserve">Corrimão, bate-maca ou protetor de parede em PVC, com
</t>
    </r>
    <r>
      <rPr>
        <sz val="8.5"/>
        <rFont val="Calibri"/>
        <family val="2"/>
      </rPr>
      <t>amortecimento à impacto, altura de 131 mm</t>
    </r>
  </si>
  <si>
    <r>
      <rPr>
        <sz val="8.5"/>
        <rFont val="Calibri"/>
        <family val="2"/>
      </rPr>
      <t>306,46</t>
    </r>
  </si>
  <si>
    <r>
      <rPr>
        <sz val="8.5"/>
        <rFont val="Calibri"/>
        <family val="2"/>
      </rPr>
      <t>59,34</t>
    </r>
  </si>
  <si>
    <r>
      <rPr>
        <sz val="8.5"/>
        <rFont val="Calibri"/>
        <family val="2"/>
      </rPr>
      <t>365,80</t>
    </r>
  </si>
  <si>
    <r>
      <rPr>
        <sz val="8.5"/>
        <rFont val="Calibri"/>
        <family val="2"/>
      </rPr>
      <t>27.04.050</t>
    </r>
  </si>
  <si>
    <r>
      <rPr>
        <sz val="8.5"/>
        <rFont val="Calibri"/>
        <family val="2"/>
      </rPr>
      <t xml:space="preserve">Protetor de parede ou bate-maca em PVC flexível, com amortecimento à
</t>
    </r>
    <r>
      <rPr>
        <sz val="8.5"/>
        <rFont val="Calibri"/>
        <family val="2"/>
      </rPr>
      <t>impacto, altura de 150 mm</t>
    </r>
  </si>
  <si>
    <r>
      <rPr>
        <sz val="8.5"/>
        <rFont val="Calibri"/>
        <family val="2"/>
      </rPr>
      <t>64,97</t>
    </r>
  </si>
  <si>
    <r>
      <rPr>
        <sz val="8.5"/>
        <rFont val="Calibri"/>
        <family val="2"/>
      </rPr>
      <t>84,26</t>
    </r>
  </si>
  <si>
    <r>
      <rPr>
        <sz val="8.5"/>
        <rFont val="Calibri"/>
        <family val="2"/>
      </rPr>
      <t>27.04.051</t>
    </r>
  </si>
  <si>
    <r>
      <rPr>
        <sz val="8.5"/>
        <rFont val="Calibri"/>
        <family val="2"/>
      </rPr>
      <t xml:space="preserve">Faixa em vinil para proteção de paredes, com amortecimento à alto
</t>
    </r>
    <r>
      <rPr>
        <sz val="8.5"/>
        <rFont val="Calibri"/>
        <family val="2"/>
      </rPr>
      <t>impacto, altura de 400 mm</t>
    </r>
  </si>
  <si>
    <r>
      <rPr>
        <sz val="8.5"/>
        <rFont val="Calibri"/>
        <family val="2"/>
      </rPr>
      <t>150,51</t>
    </r>
  </si>
  <si>
    <r>
      <rPr>
        <sz val="8.5"/>
        <rFont val="Calibri"/>
        <family val="2"/>
      </rPr>
      <t>159,33</t>
    </r>
  </si>
  <si>
    <r>
      <rPr>
        <sz val="8.5"/>
        <rFont val="Calibri"/>
        <family val="2"/>
      </rPr>
      <t>27.04.052</t>
    </r>
  </si>
  <si>
    <r>
      <rPr>
        <sz val="8.5"/>
        <rFont val="Calibri"/>
        <family val="2"/>
      </rPr>
      <t>Cantoneira adesiva em vinil de alto impacto</t>
    </r>
  </si>
  <si>
    <r>
      <rPr>
        <sz val="8.5"/>
        <rFont val="Calibri"/>
        <family val="2"/>
      </rPr>
      <t>73,11</t>
    </r>
  </si>
  <si>
    <r>
      <rPr>
        <sz val="8.5"/>
        <rFont val="Calibri"/>
        <family val="2"/>
      </rPr>
      <t>77,94</t>
    </r>
  </si>
  <si>
    <r>
      <rPr>
        <sz val="8.5"/>
        <rFont val="Calibri"/>
        <family val="2"/>
      </rPr>
      <t>27.04.060</t>
    </r>
  </si>
  <si>
    <r>
      <rPr>
        <sz val="8.5"/>
        <rFont val="Calibri"/>
        <family val="2"/>
      </rPr>
      <t xml:space="preserve">Bate-maca ou protetor de parede curvo em PVC, com amortecimento à
</t>
    </r>
    <r>
      <rPr>
        <sz val="8.5"/>
        <rFont val="Calibri"/>
        <family val="2"/>
      </rPr>
      <t>impacto, altura de 200 mm</t>
    </r>
  </si>
  <si>
    <r>
      <rPr>
        <sz val="8.5"/>
        <rFont val="Calibri"/>
        <family val="2"/>
      </rPr>
      <t>146,15</t>
    </r>
  </si>
  <si>
    <r>
      <rPr>
        <sz val="8.5"/>
        <rFont val="Calibri"/>
        <family val="2"/>
      </rPr>
      <t>52,60</t>
    </r>
  </si>
  <si>
    <r>
      <rPr>
        <sz val="8.5"/>
        <rFont val="Calibri"/>
        <family val="2"/>
      </rPr>
      <t>198,75</t>
    </r>
  </si>
  <si>
    <r>
      <rPr>
        <sz val="8.5"/>
        <rFont val="Calibri"/>
        <family val="2"/>
      </rPr>
      <t>27.04.070</t>
    </r>
  </si>
  <si>
    <r>
      <rPr>
        <sz val="8.5"/>
        <rFont val="Calibri"/>
        <family val="2"/>
      </rPr>
      <t xml:space="preserve">Bate-maca ou protetor de parede em PVC, com amortecimento à
</t>
    </r>
    <r>
      <rPr>
        <sz val="8.5"/>
        <rFont val="Calibri"/>
        <family val="2"/>
      </rPr>
      <t>impacto, altura de 200 mm</t>
    </r>
  </si>
  <si>
    <r>
      <rPr>
        <sz val="8.5"/>
        <rFont val="Calibri"/>
        <family val="2"/>
      </rPr>
      <t>108,34</t>
    </r>
  </si>
  <si>
    <r>
      <rPr>
        <sz val="8.5"/>
        <rFont val="Calibri"/>
        <family val="2"/>
      </rPr>
      <t>26,87</t>
    </r>
  </si>
  <si>
    <r>
      <rPr>
        <sz val="8.5"/>
        <rFont val="Calibri"/>
        <family val="2"/>
      </rPr>
      <t>135,21</t>
    </r>
  </si>
  <si>
    <r>
      <rPr>
        <sz val="8.5"/>
        <rFont val="Calibri"/>
        <family val="2"/>
      </rPr>
      <t>FERRAGEM COMPLEMENTAR PARA ESQUADRIAS</t>
    </r>
  </si>
  <si>
    <r>
      <rPr>
        <sz val="8.5"/>
        <rFont val="Calibri"/>
        <family val="2"/>
      </rPr>
      <t>Ferragem para porta</t>
    </r>
  </si>
  <si>
    <r>
      <rPr>
        <sz val="8.5"/>
        <rFont val="Calibri"/>
        <family val="2"/>
      </rPr>
      <t>28.01.020</t>
    </r>
  </si>
  <si>
    <r>
      <rPr>
        <sz val="8.5"/>
        <rFont val="Calibri"/>
        <family val="2"/>
      </rPr>
      <t xml:space="preserve">Ferragem completa com maçaneta tipo alavanca, para porta externa
</t>
    </r>
    <r>
      <rPr>
        <sz val="8.5"/>
        <rFont val="Calibri"/>
        <family val="2"/>
      </rPr>
      <t>com 1 folha</t>
    </r>
  </si>
  <si>
    <r>
      <rPr>
        <sz val="8.5"/>
        <rFont val="Calibri"/>
        <family val="2"/>
      </rPr>
      <t>257,68</t>
    </r>
  </si>
  <si>
    <r>
      <rPr>
        <sz val="8.5"/>
        <rFont val="Calibri"/>
        <family val="2"/>
      </rPr>
      <t>305,92</t>
    </r>
  </si>
  <si>
    <r>
      <rPr>
        <sz val="8.5"/>
        <rFont val="Calibri"/>
        <family val="2"/>
      </rPr>
      <t>28.01.030</t>
    </r>
  </si>
  <si>
    <r>
      <rPr>
        <sz val="8.5"/>
        <rFont val="Calibri"/>
        <family val="2"/>
      </rPr>
      <t xml:space="preserve">Ferragem completa com maçaneta tipo alavanca, para porta externa
</t>
    </r>
    <r>
      <rPr>
        <sz val="8.5"/>
        <rFont val="Calibri"/>
        <family val="2"/>
      </rPr>
      <t>com 2 folhas</t>
    </r>
  </si>
  <si>
    <r>
      <rPr>
        <sz val="8.5"/>
        <rFont val="Calibri"/>
        <family val="2"/>
      </rPr>
      <t>493,05</t>
    </r>
  </si>
  <si>
    <r>
      <rPr>
        <sz val="8.5"/>
        <rFont val="Calibri"/>
        <family val="2"/>
      </rPr>
      <t>557,37</t>
    </r>
  </si>
  <si>
    <r>
      <rPr>
        <sz val="8.5"/>
        <rFont val="Calibri"/>
        <family val="2"/>
      </rPr>
      <t>28.01.040</t>
    </r>
  </si>
  <si>
    <r>
      <rPr>
        <sz val="8.5"/>
        <rFont val="Calibri"/>
        <family val="2"/>
      </rPr>
      <t xml:space="preserve">Ferragem completa com maçaneta tipo alavanca, para porta interna com
</t>
    </r>
    <r>
      <rPr>
        <sz val="8.5"/>
        <rFont val="Calibri"/>
        <family val="2"/>
      </rPr>
      <t>1 folha</t>
    </r>
  </si>
  <si>
    <r>
      <rPr>
        <sz val="8.5"/>
        <rFont val="Calibri"/>
        <family val="2"/>
      </rPr>
      <t>191,86</t>
    </r>
  </si>
  <si>
    <r>
      <rPr>
        <sz val="8.5"/>
        <rFont val="Calibri"/>
        <family val="2"/>
      </rPr>
      <t>240,10</t>
    </r>
  </si>
  <si>
    <r>
      <rPr>
        <sz val="8.5"/>
        <rFont val="Calibri"/>
        <family val="2"/>
      </rPr>
      <t>28.01.050</t>
    </r>
  </si>
  <si>
    <r>
      <rPr>
        <sz val="8.5"/>
        <rFont val="Calibri"/>
        <family val="2"/>
      </rPr>
      <t xml:space="preserve">Ferragem completa com maçaneta tipo alavanca, para porta interna com
</t>
    </r>
    <r>
      <rPr>
        <sz val="8.5"/>
        <rFont val="Calibri"/>
        <family val="2"/>
      </rPr>
      <t>2 folhas</t>
    </r>
  </si>
  <si>
    <r>
      <rPr>
        <sz val="8.5"/>
        <rFont val="Calibri"/>
        <family val="2"/>
      </rPr>
      <t>387,75</t>
    </r>
  </si>
  <si>
    <r>
      <rPr>
        <sz val="8.5"/>
        <rFont val="Calibri"/>
        <family val="2"/>
      </rPr>
      <t>452,07</t>
    </r>
  </si>
  <si>
    <r>
      <rPr>
        <sz val="8.5"/>
        <rFont val="Calibri"/>
        <family val="2"/>
      </rPr>
      <t>28.01.070</t>
    </r>
  </si>
  <si>
    <r>
      <rPr>
        <sz val="8.5"/>
        <rFont val="Calibri"/>
        <family val="2"/>
      </rPr>
      <t>Ferragem completa para porta de box de WC tipo livre/ocupado</t>
    </r>
  </si>
  <si>
    <r>
      <rPr>
        <sz val="8.5"/>
        <rFont val="Calibri"/>
        <family val="2"/>
      </rPr>
      <t>158,51</t>
    </r>
  </si>
  <si>
    <r>
      <rPr>
        <sz val="8.5"/>
        <rFont val="Calibri"/>
        <family val="2"/>
      </rPr>
      <t>206,75</t>
    </r>
  </si>
  <si>
    <r>
      <rPr>
        <sz val="8.5"/>
        <rFont val="Calibri"/>
        <family val="2"/>
      </rPr>
      <t>28.01.080</t>
    </r>
  </si>
  <si>
    <r>
      <rPr>
        <sz val="8.5"/>
        <rFont val="Calibri"/>
        <family val="2"/>
      </rPr>
      <t>Ferragem adicional para porta vão simples em divisória</t>
    </r>
  </si>
  <si>
    <r>
      <rPr>
        <sz val="8.5"/>
        <rFont val="Calibri"/>
        <family val="2"/>
      </rPr>
      <t>201,92</t>
    </r>
  </si>
  <si>
    <r>
      <rPr>
        <sz val="8.5"/>
        <rFont val="Calibri"/>
        <family val="2"/>
      </rPr>
      <t>28.01.090</t>
    </r>
  </si>
  <si>
    <r>
      <rPr>
        <sz val="8.5"/>
        <rFont val="Calibri"/>
        <family val="2"/>
      </rPr>
      <t>Ferragem adicional para porta vão duplo em divisória</t>
    </r>
  </si>
  <si>
    <r>
      <rPr>
        <sz val="8.5"/>
        <rFont val="Calibri"/>
        <family val="2"/>
      </rPr>
      <t>333,46</t>
    </r>
  </si>
  <si>
    <r>
      <rPr>
        <sz val="8.5"/>
        <rFont val="Calibri"/>
        <family val="2"/>
      </rPr>
      <t>28.01.146</t>
    </r>
  </si>
  <si>
    <r>
      <rPr>
        <sz val="8.5"/>
        <rFont val="Calibri"/>
        <family val="2"/>
      </rPr>
      <t>Fechadura eletromagnética para capacidade de atraque de 150 kgf</t>
    </r>
  </si>
  <si>
    <r>
      <rPr>
        <sz val="8.5"/>
        <rFont val="Calibri"/>
        <family val="2"/>
      </rPr>
      <t>317,36</t>
    </r>
  </si>
  <si>
    <r>
      <rPr>
        <sz val="8.5"/>
        <rFont val="Calibri"/>
        <family val="2"/>
      </rPr>
      <t>371,95</t>
    </r>
  </si>
  <si>
    <r>
      <rPr>
        <sz val="8.5"/>
        <rFont val="Calibri"/>
        <family val="2"/>
      </rPr>
      <t>28.01.150</t>
    </r>
  </si>
  <si>
    <r>
      <rPr>
        <sz val="8.5"/>
        <rFont val="Calibri"/>
        <family val="2"/>
      </rPr>
      <t>Fechadura elétrica de sobrepor para porta ou portão com peso até 400 kg</t>
    </r>
  </si>
  <si>
    <r>
      <rPr>
        <sz val="8.5"/>
        <rFont val="Calibri"/>
        <family val="2"/>
      </rPr>
      <t>444,57</t>
    </r>
  </si>
  <si>
    <r>
      <rPr>
        <sz val="8.5"/>
        <rFont val="Calibri"/>
        <family val="2"/>
      </rPr>
      <t>499,16</t>
    </r>
  </si>
  <si>
    <r>
      <rPr>
        <sz val="8.5"/>
        <rFont val="Calibri"/>
        <family val="2"/>
      </rPr>
      <t>28.01.160</t>
    </r>
  </si>
  <si>
    <r>
      <rPr>
        <sz val="8.5"/>
        <rFont val="Calibri"/>
        <family val="2"/>
      </rPr>
      <t>Mola aérea para porta, com esforço acima de 50 kg até 60 kg</t>
    </r>
  </si>
  <si>
    <r>
      <rPr>
        <sz val="8.5"/>
        <rFont val="Calibri"/>
        <family val="2"/>
      </rPr>
      <t>301,55</t>
    </r>
  </si>
  <si>
    <r>
      <rPr>
        <sz val="8.5"/>
        <rFont val="Calibri"/>
        <family val="2"/>
      </rPr>
      <t>15,41</t>
    </r>
  </si>
  <si>
    <r>
      <rPr>
        <sz val="8.5"/>
        <rFont val="Calibri"/>
        <family val="2"/>
      </rPr>
      <t>316,96</t>
    </r>
  </si>
  <si>
    <r>
      <rPr>
        <sz val="8.5"/>
        <rFont val="Calibri"/>
        <family val="2"/>
      </rPr>
      <t>28.01.171</t>
    </r>
  </si>
  <si>
    <r>
      <rPr>
        <sz val="8.5"/>
        <rFont val="Calibri"/>
        <family val="2"/>
      </rPr>
      <t>Mola aérea para porta, com esforço acima de 60 kg até 80 kg</t>
    </r>
  </si>
  <si>
    <r>
      <rPr>
        <sz val="8.5"/>
        <rFont val="Calibri"/>
        <family val="2"/>
      </rPr>
      <t>284,99</t>
    </r>
  </si>
  <si>
    <r>
      <rPr>
        <sz val="8.5"/>
        <rFont val="Calibri"/>
        <family val="2"/>
      </rPr>
      <t>300,40</t>
    </r>
  </si>
  <si>
    <r>
      <rPr>
        <sz val="8.5"/>
        <rFont val="Calibri"/>
        <family val="2"/>
      </rPr>
      <t>28.01.180</t>
    </r>
  </si>
  <si>
    <r>
      <rPr>
        <sz val="8.5"/>
        <rFont val="Calibri"/>
        <family val="2"/>
      </rPr>
      <t>Mola aérea hidráulica, para porta com largura até 1,60 m</t>
    </r>
  </si>
  <si>
    <r>
      <rPr>
        <sz val="8.5"/>
        <rFont val="Calibri"/>
        <family val="2"/>
      </rPr>
      <t>4.308,29</t>
    </r>
  </si>
  <si>
    <r>
      <rPr>
        <sz val="8.5"/>
        <rFont val="Calibri"/>
        <family val="2"/>
      </rPr>
      <t>4.346,80</t>
    </r>
  </si>
  <si>
    <r>
      <rPr>
        <sz val="8.5"/>
        <rFont val="Calibri"/>
        <family val="2"/>
      </rPr>
      <t>28.01.210</t>
    </r>
  </si>
  <si>
    <r>
      <rPr>
        <sz val="8.5"/>
        <rFont val="Calibri"/>
        <family val="2"/>
      </rPr>
      <t>Fechadura tipo alavanca com chave para porta corta-fogo</t>
    </r>
  </si>
  <si>
    <r>
      <rPr>
        <sz val="8.5"/>
        <rFont val="Calibri"/>
        <family val="2"/>
      </rPr>
      <t>509,94</t>
    </r>
  </si>
  <si>
    <r>
      <rPr>
        <sz val="8.5"/>
        <rFont val="Calibri"/>
        <family val="2"/>
      </rPr>
      <t>28,88</t>
    </r>
  </si>
  <si>
    <r>
      <rPr>
        <sz val="8.5"/>
        <rFont val="Calibri"/>
        <family val="2"/>
      </rPr>
      <t>538,82</t>
    </r>
  </si>
  <si>
    <r>
      <rPr>
        <sz val="8.5"/>
        <rFont val="Calibri"/>
        <family val="2"/>
      </rPr>
      <t>28.01.250</t>
    </r>
  </si>
  <si>
    <r>
      <rPr>
        <sz val="8.5"/>
        <rFont val="Calibri"/>
        <family val="2"/>
      </rPr>
      <t>Visor tipo olho mágico</t>
    </r>
  </si>
  <si>
    <r>
      <rPr>
        <sz val="8.5"/>
        <rFont val="Calibri"/>
        <family val="2"/>
      </rPr>
      <t>26,29</t>
    </r>
  </si>
  <si>
    <r>
      <rPr>
        <sz val="8.5"/>
        <rFont val="Calibri"/>
        <family val="2"/>
      </rPr>
      <t>35,94</t>
    </r>
  </si>
  <si>
    <r>
      <rPr>
        <sz val="8.5"/>
        <rFont val="Calibri"/>
        <family val="2"/>
      </rPr>
      <t>28.01.270</t>
    </r>
  </si>
  <si>
    <r>
      <rPr>
        <sz val="8.5"/>
        <rFont val="Calibri"/>
        <family val="2"/>
      </rPr>
      <t xml:space="preserve">Fechadura de segurança para cela tipo gorges, com clic e abertura de um
</t>
    </r>
    <r>
      <rPr>
        <sz val="8.5"/>
        <rFont val="Calibri"/>
        <family val="2"/>
      </rPr>
      <t>lado</t>
    </r>
  </si>
  <si>
    <r>
      <rPr>
        <sz val="8.5"/>
        <rFont val="Calibri"/>
        <family val="2"/>
      </rPr>
      <t>1.101,03</t>
    </r>
  </si>
  <si>
    <r>
      <rPr>
        <sz val="8.5"/>
        <rFont val="Calibri"/>
        <family val="2"/>
      </rPr>
      <t>4,80</t>
    </r>
  </si>
  <si>
    <r>
      <rPr>
        <sz val="8.5"/>
        <rFont val="Calibri"/>
        <family val="2"/>
      </rPr>
      <t>1.105,83</t>
    </r>
  </si>
  <si>
    <r>
      <rPr>
        <sz val="8.5"/>
        <rFont val="Calibri"/>
        <family val="2"/>
      </rPr>
      <t>28.01.280</t>
    </r>
  </si>
  <si>
    <r>
      <rPr>
        <sz val="8.5"/>
        <rFont val="Calibri"/>
        <family val="2"/>
      </rPr>
      <t xml:space="preserve">Fechadura de segurança para cela tipo gorges, com clic e abertura de um
</t>
    </r>
    <r>
      <rPr>
        <sz val="8.5"/>
        <rFont val="Calibri"/>
        <family val="2"/>
      </rPr>
      <t>lado, embutida em caixa</t>
    </r>
  </si>
  <si>
    <r>
      <rPr>
        <sz val="8.5"/>
        <rFont val="Calibri"/>
        <family val="2"/>
      </rPr>
      <t>1.581,77</t>
    </r>
  </si>
  <si>
    <r>
      <rPr>
        <sz val="8.5"/>
        <rFont val="Calibri"/>
        <family val="2"/>
      </rPr>
      <t>1.586,57</t>
    </r>
  </si>
  <si>
    <r>
      <rPr>
        <sz val="8.5"/>
        <rFont val="Calibri"/>
        <family val="2"/>
      </rPr>
      <t>28.01.290</t>
    </r>
  </si>
  <si>
    <r>
      <rPr>
        <sz val="8.5"/>
        <rFont val="Calibri"/>
        <family val="2"/>
      </rPr>
      <t xml:space="preserve">Fechadura de segurança para corredor tipo gorges, com abertura de dois
</t>
    </r>
    <r>
      <rPr>
        <sz val="8.5"/>
        <rFont val="Calibri"/>
        <family val="2"/>
      </rPr>
      <t>lados</t>
    </r>
  </si>
  <si>
    <r>
      <rPr>
        <sz val="8.5"/>
        <rFont val="Calibri"/>
        <family val="2"/>
      </rPr>
      <t>1.224,19</t>
    </r>
  </si>
  <si>
    <r>
      <rPr>
        <sz val="8.5"/>
        <rFont val="Calibri"/>
        <family val="2"/>
      </rPr>
      <t>1.228,99</t>
    </r>
  </si>
  <si>
    <r>
      <rPr>
        <sz val="8.5"/>
        <rFont val="Calibri"/>
        <family val="2"/>
      </rPr>
      <t>28.01.330</t>
    </r>
  </si>
  <si>
    <r>
      <rPr>
        <sz val="8.5"/>
        <rFont val="Calibri"/>
        <family val="2"/>
      </rPr>
      <t xml:space="preserve">Mola hidráulica de piso, para porta com largura até 1,10 m e peso até
</t>
    </r>
    <r>
      <rPr>
        <sz val="8.5"/>
        <rFont val="Calibri"/>
        <family val="2"/>
      </rPr>
      <t>120 kg</t>
    </r>
  </si>
  <si>
    <r>
      <rPr>
        <sz val="8.5"/>
        <rFont val="Calibri"/>
        <family val="2"/>
      </rPr>
      <t>998,57</t>
    </r>
  </si>
  <si>
    <r>
      <rPr>
        <sz val="8.5"/>
        <rFont val="Calibri"/>
        <family val="2"/>
      </rPr>
      <t>1.037,08</t>
    </r>
  </si>
  <si>
    <r>
      <rPr>
        <sz val="8.5"/>
        <rFont val="Calibri"/>
        <family val="2"/>
      </rPr>
      <t>28.01.400</t>
    </r>
  </si>
  <si>
    <r>
      <rPr>
        <sz val="8.5"/>
        <rFont val="Calibri"/>
        <family val="2"/>
      </rPr>
      <t xml:space="preserve">Ferrolho de segurança de 1,20 m, para adaptação em portas de celas,
</t>
    </r>
    <r>
      <rPr>
        <sz val="8.5"/>
        <rFont val="Calibri"/>
        <family val="2"/>
      </rPr>
      <t>embutido em caixa</t>
    </r>
  </si>
  <si>
    <r>
      <rPr>
        <sz val="8.5"/>
        <rFont val="Calibri"/>
        <family val="2"/>
      </rPr>
      <t>895,11</t>
    </r>
  </si>
  <si>
    <r>
      <rPr>
        <sz val="8.5"/>
        <rFont val="Calibri"/>
        <family val="2"/>
      </rPr>
      <t>972,13</t>
    </r>
  </si>
  <si>
    <r>
      <rPr>
        <sz val="8.5"/>
        <rFont val="Calibri"/>
        <family val="2"/>
      </rPr>
      <t>28.01.550</t>
    </r>
  </si>
  <si>
    <r>
      <rPr>
        <sz val="8.5"/>
        <rFont val="Calibri"/>
        <family val="2"/>
      </rPr>
      <t xml:space="preserve">Fechadura com maçaneta tipo alavanca em aço inoxidável, para porta
</t>
    </r>
    <r>
      <rPr>
        <sz val="8.5"/>
        <rFont val="Calibri"/>
        <family val="2"/>
      </rPr>
      <t>externa</t>
    </r>
  </si>
  <si>
    <r>
      <rPr>
        <sz val="8.5"/>
        <rFont val="Calibri"/>
        <family val="2"/>
      </rPr>
      <t>289,78</t>
    </r>
  </si>
  <si>
    <r>
      <rPr>
        <sz val="8.5"/>
        <rFont val="Calibri"/>
        <family val="2"/>
      </rPr>
      <t>338,02</t>
    </r>
  </si>
  <si>
    <r>
      <rPr>
        <sz val="8.5"/>
        <rFont val="Calibri"/>
        <family val="2"/>
      </rPr>
      <t>Cadeado</t>
    </r>
  </si>
  <si>
    <r>
      <rPr>
        <sz val="8.5"/>
        <rFont val="Calibri"/>
        <family val="2"/>
      </rPr>
      <t>28.05.020</t>
    </r>
  </si>
  <si>
    <r>
      <rPr>
        <sz val="8.5"/>
        <rFont val="Calibri"/>
        <family val="2"/>
      </rPr>
      <t>Cadeado de latão com cilindro - trava dupla - 25/27mm</t>
    </r>
  </si>
  <si>
    <r>
      <rPr>
        <sz val="8.5"/>
        <rFont val="Calibri"/>
        <family val="2"/>
      </rPr>
      <t>19,30</t>
    </r>
  </si>
  <si>
    <r>
      <rPr>
        <sz val="8.5"/>
        <rFont val="Calibri"/>
        <family val="2"/>
      </rPr>
      <t>28.05.040</t>
    </r>
  </si>
  <si>
    <r>
      <rPr>
        <sz val="8.5"/>
        <rFont val="Calibri"/>
        <family val="2"/>
      </rPr>
      <t>Cadeado de latão com cilindro - trava dupla - 35/36mm</t>
    </r>
  </si>
  <si>
    <r>
      <rPr>
        <sz val="8.5"/>
        <rFont val="Calibri"/>
        <family val="2"/>
      </rPr>
      <t>27,93</t>
    </r>
  </si>
  <si>
    <r>
      <rPr>
        <sz val="8.5"/>
        <rFont val="Calibri"/>
        <family val="2"/>
      </rPr>
      <t>28.05.060</t>
    </r>
  </si>
  <si>
    <r>
      <rPr>
        <sz val="8.5"/>
        <rFont val="Calibri"/>
        <family val="2"/>
      </rPr>
      <t>Cadeado de latão com cilindro - trava dupla - 50mm</t>
    </r>
  </si>
  <si>
    <r>
      <rPr>
        <sz val="8.5"/>
        <rFont val="Calibri"/>
        <family val="2"/>
      </rPr>
      <t>47,95</t>
    </r>
  </si>
  <si>
    <r>
      <rPr>
        <sz val="8.5"/>
        <rFont val="Calibri"/>
        <family val="2"/>
      </rPr>
      <t>28.05.070</t>
    </r>
  </si>
  <si>
    <r>
      <rPr>
        <sz val="8.5"/>
        <rFont val="Calibri"/>
        <family val="2"/>
      </rPr>
      <t xml:space="preserve">Cadeado de latão com cilindro de alta segurança, com 16 pinos e tetra-
</t>
    </r>
    <r>
      <rPr>
        <sz val="8.5"/>
        <rFont val="Calibri"/>
        <family val="2"/>
      </rPr>
      <t>chave - 70mm</t>
    </r>
  </si>
  <si>
    <r>
      <rPr>
        <sz val="8.5"/>
        <rFont val="Calibri"/>
        <family val="2"/>
      </rPr>
      <t>163,61</t>
    </r>
  </si>
  <si>
    <r>
      <rPr>
        <sz val="8.5"/>
        <rFont val="Calibri"/>
        <family val="2"/>
      </rPr>
      <t>28.05.080</t>
    </r>
  </si>
  <si>
    <r>
      <rPr>
        <sz val="8.5"/>
        <rFont val="Calibri"/>
        <family val="2"/>
      </rPr>
      <t>Cadeado de latão com cilindro - trava dupla - 60mm</t>
    </r>
  </si>
  <si>
    <r>
      <rPr>
        <sz val="8.5"/>
        <rFont val="Calibri"/>
        <family val="2"/>
      </rPr>
      <t>74,36</t>
    </r>
  </si>
  <si>
    <r>
      <rPr>
        <sz val="8.5"/>
        <rFont val="Calibri"/>
        <family val="2"/>
      </rPr>
      <t>Reparos, conservacoes e complementos - GRUPO 28</t>
    </r>
  </si>
  <si>
    <r>
      <rPr>
        <sz val="8.5"/>
        <rFont val="Calibri"/>
        <family val="2"/>
      </rPr>
      <t>28.20.020</t>
    </r>
  </si>
  <si>
    <r>
      <rPr>
        <sz val="8.5"/>
        <rFont val="Calibri"/>
        <family val="2"/>
      </rPr>
      <t>Recolocação de fechaduras de embutir</t>
    </r>
  </si>
  <si>
    <r>
      <rPr>
        <sz val="8.5"/>
        <rFont val="Calibri"/>
        <family val="2"/>
      </rPr>
      <t>28.20.030</t>
    </r>
  </si>
  <si>
    <r>
      <rPr>
        <sz val="8.5"/>
        <rFont val="Calibri"/>
        <family val="2"/>
      </rPr>
      <t>Barra antipânico de sobrepor para porta de 1 folha</t>
    </r>
  </si>
  <si>
    <r>
      <rPr>
        <sz val="8.5"/>
        <rFont val="Calibri"/>
        <family val="2"/>
      </rPr>
      <t>779,78</t>
    </r>
  </si>
  <si>
    <r>
      <rPr>
        <sz val="8.5"/>
        <rFont val="Calibri"/>
        <family val="2"/>
      </rPr>
      <t>818,29</t>
    </r>
  </si>
  <si>
    <r>
      <rPr>
        <sz val="8.5"/>
        <rFont val="Calibri"/>
        <family val="2"/>
      </rPr>
      <t>28.20.040</t>
    </r>
  </si>
  <si>
    <r>
      <rPr>
        <sz val="8.5"/>
        <rFont val="Calibri"/>
        <family val="2"/>
      </rPr>
      <t>Recolocação de fechaduras e fechos de sobrepor</t>
    </r>
  </si>
  <si>
    <r>
      <rPr>
        <sz val="8.5"/>
        <rFont val="Calibri"/>
        <family val="2"/>
      </rPr>
      <t>41,49</t>
    </r>
  </si>
  <si>
    <r>
      <rPr>
        <sz val="8.5"/>
        <rFont val="Calibri"/>
        <family val="2"/>
      </rPr>
      <t>28.20.050</t>
    </r>
  </si>
  <si>
    <r>
      <rPr>
        <sz val="8.5"/>
        <rFont val="Calibri"/>
        <family val="2"/>
      </rPr>
      <t>Barra antipânico de sobrepor e maçaneta livre para porta de 1 folha</t>
    </r>
  </si>
  <si>
    <r>
      <rPr>
        <sz val="8.5"/>
        <rFont val="Calibri"/>
        <family val="2"/>
      </rPr>
      <t>1.298,33</t>
    </r>
  </si>
  <si>
    <r>
      <rPr>
        <sz val="8.5"/>
        <rFont val="Calibri"/>
        <family val="2"/>
      </rPr>
      <t>50,07</t>
    </r>
  </si>
  <si>
    <r>
      <rPr>
        <sz val="8.5"/>
        <rFont val="Calibri"/>
        <family val="2"/>
      </rPr>
      <t>1.348,40</t>
    </r>
  </si>
  <si>
    <r>
      <rPr>
        <sz val="8.5"/>
        <rFont val="Calibri"/>
        <family val="2"/>
      </rPr>
      <t>28.20.060</t>
    </r>
  </si>
  <si>
    <r>
      <rPr>
        <sz val="8.5"/>
        <rFont val="Calibri"/>
        <family val="2"/>
      </rPr>
      <t>Recolocação de dobradiças</t>
    </r>
  </si>
  <si>
    <r>
      <rPr>
        <sz val="8.5"/>
        <rFont val="Calibri"/>
        <family val="2"/>
      </rPr>
      <t>28.20.070</t>
    </r>
  </si>
  <si>
    <r>
      <rPr>
        <sz val="8.5"/>
        <rFont val="Calibri"/>
        <family val="2"/>
      </rPr>
      <t>Ferragem para portão de tapume</t>
    </r>
  </si>
  <si>
    <r>
      <rPr>
        <sz val="8.5"/>
        <rFont val="Calibri"/>
        <family val="2"/>
      </rPr>
      <t>378,70</t>
    </r>
  </si>
  <si>
    <r>
      <rPr>
        <sz val="8.5"/>
        <rFont val="Calibri"/>
        <family val="2"/>
      </rPr>
      <t>475,18</t>
    </r>
  </si>
  <si>
    <r>
      <rPr>
        <sz val="8.5"/>
        <rFont val="Calibri"/>
        <family val="2"/>
      </rPr>
      <t>28.20.090</t>
    </r>
  </si>
  <si>
    <r>
      <rPr>
        <sz val="8.5"/>
        <rFont val="Calibri"/>
        <family val="2"/>
      </rPr>
      <t>Dobradiça tipo gonzo, diâmetro de 1 1/2´ com abas de 2´ x 3/8´</t>
    </r>
  </si>
  <si>
    <r>
      <rPr>
        <sz val="8.5"/>
        <rFont val="Calibri"/>
        <family val="2"/>
      </rPr>
      <t>137,84</t>
    </r>
  </si>
  <si>
    <r>
      <rPr>
        <sz val="8.5"/>
        <rFont val="Calibri"/>
        <family val="2"/>
      </rPr>
      <t>156,40</t>
    </r>
  </si>
  <si>
    <r>
      <rPr>
        <sz val="8.5"/>
        <rFont val="Calibri"/>
        <family val="2"/>
      </rPr>
      <t>28.20.170</t>
    </r>
  </si>
  <si>
    <r>
      <rPr>
        <sz val="8.5"/>
        <rFont val="Calibri"/>
        <family val="2"/>
      </rPr>
      <t>Brete para instalação superior em porta chapa/grade de segurança</t>
    </r>
  </si>
  <si>
    <r>
      <rPr>
        <sz val="8.5"/>
        <rFont val="Calibri"/>
        <family val="2"/>
      </rPr>
      <t>3.737,59</t>
    </r>
  </si>
  <si>
    <r>
      <rPr>
        <sz val="8.5"/>
        <rFont val="Calibri"/>
        <family val="2"/>
      </rPr>
      <t>3.853,12</t>
    </r>
  </si>
  <si>
    <r>
      <rPr>
        <sz val="8.5"/>
        <rFont val="Calibri"/>
        <family val="2"/>
      </rPr>
      <t>28.20.210</t>
    </r>
  </si>
  <si>
    <r>
      <rPr>
        <sz val="8.5"/>
        <rFont val="Calibri"/>
        <family val="2"/>
      </rPr>
      <t>Ferrolho de segurança para adaptação em portas de celas</t>
    </r>
  </si>
  <si>
    <r>
      <rPr>
        <sz val="8.5"/>
        <rFont val="Calibri"/>
        <family val="2"/>
      </rPr>
      <t>373,57</t>
    </r>
  </si>
  <si>
    <r>
      <rPr>
        <sz val="8.5"/>
        <rFont val="Calibri"/>
        <family val="2"/>
      </rPr>
      <t>412,08</t>
    </r>
  </si>
  <si>
    <r>
      <rPr>
        <sz val="8.5"/>
        <rFont val="Calibri"/>
        <family val="2"/>
      </rPr>
      <t>28.20.211</t>
    </r>
  </si>
  <si>
    <r>
      <rPr>
        <sz val="8.5"/>
        <rFont val="Calibri"/>
        <family val="2"/>
      </rPr>
      <t>Maçaneta tipo alavanca, acionamento com chave, para porta corta-fogo</t>
    </r>
  </si>
  <si>
    <r>
      <rPr>
        <sz val="8.5"/>
        <rFont val="Calibri"/>
        <family val="2"/>
      </rPr>
      <t>237,98</t>
    </r>
  </si>
  <si>
    <r>
      <rPr>
        <sz val="8.5"/>
        <rFont val="Calibri"/>
        <family val="2"/>
      </rPr>
      <t>266,86</t>
    </r>
  </si>
  <si>
    <r>
      <rPr>
        <sz val="8.5"/>
        <rFont val="Calibri"/>
        <family val="2"/>
      </rPr>
      <t>28.20.220</t>
    </r>
  </si>
  <si>
    <r>
      <rPr>
        <sz val="8.5"/>
        <rFont val="Calibri"/>
        <family val="2"/>
      </rPr>
      <t>Dobradiça inferior para porta de vidro temperado</t>
    </r>
  </si>
  <si>
    <r>
      <rPr>
        <sz val="8.5"/>
        <rFont val="Calibri"/>
        <family val="2"/>
      </rPr>
      <t>78,30</t>
    </r>
  </si>
  <si>
    <r>
      <rPr>
        <sz val="8.5"/>
        <rFont val="Calibri"/>
        <family val="2"/>
      </rPr>
      <t>6,55</t>
    </r>
  </si>
  <si>
    <r>
      <rPr>
        <sz val="8.5"/>
        <rFont val="Calibri"/>
        <family val="2"/>
      </rPr>
      <t>84,85</t>
    </r>
  </si>
  <si>
    <r>
      <rPr>
        <sz val="8.5"/>
        <rFont val="Calibri"/>
        <family val="2"/>
      </rPr>
      <t>28.20.230</t>
    </r>
  </si>
  <si>
    <r>
      <rPr>
        <sz val="8.5"/>
        <rFont val="Calibri"/>
        <family val="2"/>
      </rPr>
      <t>Dobradiça superior para porta de vidro temperado</t>
    </r>
  </si>
  <si>
    <r>
      <rPr>
        <sz val="8.5"/>
        <rFont val="Calibri"/>
        <family val="2"/>
      </rPr>
      <t>56,87</t>
    </r>
  </si>
  <si>
    <r>
      <rPr>
        <sz val="8.5"/>
        <rFont val="Calibri"/>
        <family val="2"/>
      </rPr>
      <t>63,42</t>
    </r>
  </si>
  <si>
    <r>
      <rPr>
        <sz val="8.5"/>
        <rFont val="Calibri"/>
        <family val="2"/>
      </rPr>
      <t>28.20.360</t>
    </r>
  </si>
  <si>
    <r>
      <rPr>
        <sz val="8.5"/>
        <rFont val="Calibri"/>
        <family val="2"/>
      </rPr>
      <t>Suporte duplo para vidro temperado fixado em alvenaria</t>
    </r>
  </si>
  <si>
    <r>
      <rPr>
        <sz val="8.5"/>
        <rFont val="Calibri"/>
        <family val="2"/>
      </rPr>
      <t>189,76</t>
    </r>
  </si>
  <si>
    <r>
      <rPr>
        <sz val="8.5"/>
        <rFont val="Calibri"/>
        <family val="2"/>
      </rPr>
      <t>196,31</t>
    </r>
  </si>
  <si>
    <r>
      <rPr>
        <sz val="8.5"/>
        <rFont val="Calibri"/>
        <family val="2"/>
      </rPr>
      <t>28.20.411</t>
    </r>
  </si>
  <si>
    <r>
      <rPr>
        <sz val="8.5"/>
        <rFont val="Calibri"/>
        <family val="2"/>
      </rPr>
      <t>Dobradiça em aço cromado de 3 1/2", para porta de até 21 kg</t>
    </r>
  </si>
  <si>
    <r>
      <rPr>
        <sz val="8.5"/>
        <rFont val="Calibri"/>
        <family val="2"/>
      </rPr>
      <t>25,62</t>
    </r>
  </si>
  <si>
    <r>
      <rPr>
        <sz val="8.5"/>
        <rFont val="Calibri"/>
        <family val="2"/>
      </rPr>
      <t>31,09</t>
    </r>
  </si>
  <si>
    <r>
      <rPr>
        <sz val="8.5"/>
        <rFont val="Calibri"/>
        <family val="2"/>
      </rPr>
      <t>28.20.412</t>
    </r>
  </si>
  <si>
    <r>
      <rPr>
        <sz val="8.5"/>
        <rFont val="Calibri"/>
        <family val="2"/>
      </rPr>
      <t>Dobradiça em aço inoxidável de 3" x 2 1/2", para porta de até 25 kg</t>
    </r>
  </si>
  <si>
    <r>
      <rPr>
        <sz val="8.5"/>
        <rFont val="Calibri"/>
        <family val="2"/>
      </rPr>
      <t>38,47</t>
    </r>
  </si>
  <si>
    <r>
      <rPr>
        <sz val="8.5"/>
        <rFont val="Calibri"/>
        <family val="2"/>
      </rPr>
      <t>43,94</t>
    </r>
  </si>
  <si>
    <r>
      <rPr>
        <sz val="8.5"/>
        <rFont val="Calibri"/>
        <family val="2"/>
      </rPr>
      <t>28.20.413</t>
    </r>
  </si>
  <si>
    <r>
      <rPr>
        <sz val="8.5"/>
        <rFont val="Calibri"/>
        <family val="2"/>
      </rPr>
      <t xml:space="preserve">Dobradiça em latão cromado reforçada de 3 1/2" x 3", para porta de até
</t>
    </r>
    <r>
      <rPr>
        <sz val="8.5"/>
        <rFont val="Calibri"/>
        <family val="2"/>
      </rPr>
      <t>35 kg</t>
    </r>
  </si>
  <si>
    <r>
      <rPr>
        <sz val="8.5"/>
        <rFont val="Calibri"/>
        <family val="2"/>
      </rPr>
      <t>49,54</t>
    </r>
  </si>
  <si>
    <r>
      <rPr>
        <sz val="8.5"/>
        <rFont val="Calibri"/>
        <family val="2"/>
      </rPr>
      <t>55,01</t>
    </r>
  </si>
  <si>
    <r>
      <rPr>
        <sz val="8.5"/>
        <rFont val="Calibri"/>
        <family val="2"/>
      </rPr>
      <t>28.20.430</t>
    </r>
  </si>
  <si>
    <r>
      <rPr>
        <sz val="8.5"/>
        <rFont val="Calibri"/>
        <family val="2"/>
      </rPr>
      <t>Dobradiça em latão cromado, com mola tipo vai e vem, de 3"</t>
    </r>
  </si>
  <si>
    <r>
      <rPr>
        <sz val="8.5"/>
        <rFont val="Calibri"/>
        <family val="2"/>
      </rPr>
      <t>204,67</t>
    </r>
  </si>
  <si>
    <r>
      <rPr>
        <sz val="8.5"/>
        <rFont val="Calibri"/>
        <family val="2"/>
      </rPr>
      <t>11,58</t>
    </r>
  </si>
  <si>
    <r>
      <rPr>
        <sz val="8.5"/>
        <rFont val="Calibri"/>
        <family val="2"/>
      </rPr>
      <t>216,25</t>
    </r>
  </si>
  <si>
    <r>
      <rPr>
        <sz val="8.5"/>
        <rFont val="Calibri"/>
        <family val="2"/>
      </rPr>
      <t>28.20.510</t>
    </r>
  </si>
  <si>
    <r>
      <rPr>
        <sz val="8.5"/>
        <rFont val="Calibri"/>
        <family val="2"/>
      </rPr>
      <t>Pivô superior lateral para porta em vidro temperado</t>
    </r>
  </si>
  <si>
    <r>
      <rPr>
        <sz val="8.5"/>
        <rFont val="Calibri"/>
        <family val="2"/>
      </rPr>
      <t>53,51</t>
    </r>
  </si>
  <si>
    <r>
      <rPr>
        <sz val="8.5"/>
        <rFont val="Calibri"/>
        <family val="2"/>
      </rPr>
      <t>60,06</t>
    </r>
  </si>
  <si>
    <r>
      <rPr>
        <sz val="8.5"/>
        <rFont val="Calibri"/>
        <family val="2"/>
      </rPr>
      <t>28.20.550</t>
    </r>
  </si>
  <si>
    <r>
      <rPr>
        <sz val="8.5"/>
        <rFont val="Calibri"/>
        <family val="2"/>
      </rPr>
      <t>Mancal inferior com rolamento para porta em vidro temperado</t>
    </r>
  </si>
  <si>
    <r>
      <rPr>
        <sz val="8.5"/>
        <rFont val="Calibri"/>
        <family val="2"/>
      </rPr>
      <t>89,42</t>
    </r>
  </si>
  <si>
    <r>
      <rPr>
        <sz val="8.5"/>
        <rFont val="Calibri"/>
        <family val="2"/>
      </rPr>
      <t>95,97</t>
    </r>
  </si>
  <si>
    <r>
      <rPr>
        <sz val="8.5"/>
        <rFont val="Calibri"/>
        <family val="2"/>
      </rPr>
      <t>28.20.590</t>
    </r>
  </si>
  <si>
    <r>
      <rPr>
        <sz val="8.5"/>
        <rFont val="Calibri"/>
        <family val="2"/>
      </rPr>
      <t>Contra fechadura de centro para porta em vidro temperado</t>
    </r>
  </si>
  <si>
    <r>
      <rPr>
        <sz val="8.5"/>
        <rFont val="Calibri"/>
        <family val="2"/>
      </rPr>
      <t>190,87</t>
    </r>
  </si>
  <si>
    <r>
      <rPr>
        <sz val="8.5"/>
        <rFont val="Calibri"/>
        <family val="2"/>
      </rPr>
      <t>195,67</t>
    </r>
  </si>
  <si>
    <r>
      <rPr>
        <sz val="8.5"/>
        <rFont val="Calibri"/>
        <family val="2"/>
      </rPr>
      <t>28.20.600</t>
    </r>
  </si>
  <si>
    <r>
      <rPr>
        <sz val="8.5"/>
        <rFont val="Calibri"/>
        <family val="2"/>
      </rPr>
      <t>Fechadura de centro com cilindro para porta em vidro temperado</t>
    </r>
  </si>
  <si>
    <r>
      <rPr>
        <sz val="8.5"/>
        <rFont val="Calibri"/>
        <family val="2"/>
      </rPr>
      <t>177,65</t>
    </r>
  </si>
  <si>
    <r>
      <rPr>
        <sz val="8.5"/>
        <rFont val="Calibri"/>
        <family val="2"/>
      </rPr>
      <t>184,20</t>
    </r>
  </si>
  <si>
    <r>
      <rPr>
        <sz val="8.5"/>
        <rFont val="Calibri"/>
        <family val="2"/>
      </rPr>
      <t>28.20.650</t>
    </r>
  </si>
  <si>
    <r>
      <rPr>
        <sz val="8.5"/>
        <rFont val="Calibri"/>
        <family val="2"/>
      </rPr>
      <t xml:space="preserve">Puxador duplo em aço inoxidável, para porta de madeira, alumínio ou
</t>
    </r>
    <r>
      <rPr>
        <sz val="8.5"/>
        <rFont val="Calibri"/>
        <family val="2"/>
      </rPr>
      <t>vidro, de 350 mm</t>
    </r>
  </si>
  <si>
    <r>
      <rPr>
        <sz val="8.5"/>
        <rFont val="Calibri"/>
        <family val="2"/>
      </rPr>
      <t>1.059,31</t>
    </r>
  </si>
  <si>
    <r>
      <rPr>
        <sz val="8.5"/>
        <rFont val="Calibri"/>
        <family val="2"/>
      </rPr>
      <t>57,77</t>
    </r>
  </si>
  <si>
    <r>
      <rPr>
        <sz val="8.5"/>
        <rFont val="Calibri"/>
        <family val="2"/>
      </rPr>
      <t>1.117,08</t>
    </r>
  </si>
  <si>
    <r>
      <rPr>
        <sz val="8.5"/>
        <rFont val="Calibri"/>
        <family val="2"/>
      </rPr>
      <t>28.20.750</t>
    </r>
  </si>
  <si>
    <r>
      <rPr>
        <sz val="8.5"/>
        <rFont val="Calibri"/>
        <family val="2"/>
      </rPr>
      <t>Capa de proteção para fechadura / ferrolho</t>
    </r>
  </si>
  <si>
    <r>
      <rPr>
        <sz val="8.5"/>
        <rFont val="Calibri"/>
        <family val="2"/>
      </rPr>
      <t>37,12</t>
    </r>
  </si>
  <si>
    <r>
      <rPr>
        <sz val="8.5"/>
        <rFont val="Calibri"/>
        <family val="2"/>
      </rPr>
      <t>62,87</t>
    </r>
  </si>
  <si>
    <r>
      <rPr>
        <sz val="8.5"/>
        <rFont val="Calibri"/>
        <family val="2"/>
      </rPr>
      <t>28.20.770</t>
    </r>
  </si>
  <si>
    <r>
      <rPr>
        <sz val="8.5"/>
        <rFont val="Calibri"/>
        <family val="2"/>
      </rPr>
      <t>Trinco de piso para porta em vidro temperado</t>
    </r>
  </si>
  <si>
    <r>
      <rPr>
        <sz val="8.5"/>
        <rFont val="Calibri"/>
        <family val="2"/>
      </rPr>
      <t>177,99</t>
    </r>
  </si>
  <si>
    <r>
      <rPr>
        <sz val="8.5"/>
        <rFont val="Calibri"/>
        <family val="2"/>
      </rPr>
      <t>184,54</t>
    </r>
  </si>
  <si>
    <r>
      <rPr>
        <sz val="8.5"/>
        <rFont val="Calibri"/>
        <family val="2"/>
      </rPr>
      <t>28.20.800</t>
    </r>
  </si>
  <si>
    <r>
      <rPr>
        <sz val="8.5"/>
        <rFont val="Calibri"/>
        <family val="2"/>
      </rPr>
      <t>Equipamento automatizador de portas deslizantes para folha dupla</t>
    </r>
  </si>
  <si>
    <r>
      <rPr>
        <sz val="8.5"/>
        <rFont val="Calibri"/>
        <family val="2"/>
      </rPr>
      <t>9.645,98</t>
    </r>
  </si>
  <si>
    <r>
      <rPr>
        <sz val="8.5"/>
        <rFont val="Calibri"/>
        <family val="2"/>
      </rPr>
      <t>28.20.810</t>
    </r>
  </si>
  <si>
    <r>
      <rPr>
        <sz val="8.5"/>
        <rFont val="Calibri"/>
        <family val="2"/>
      </rPr>
      <t xml:space="preserve">Equipamento automatizador telescópico unilateral de portas deslizantes
</t>
    </r>
    <r>
      <rPr>
        <sz val="8.5"/>
        <rFont val="Calibri"/>
        <family val="2"/>
      </rPr>
      <t>para folha dupla</t>
    </r>
  </si>
  <si>
    <r>
      <rPr>
        <sz val="8.5"/>
        <rFont val="Calibri"/>
        <family val="2"/>
      </rPr>
      <t>13.602,09</t>
    </r>
  </si>
  <si>
    <r>
      <rPr>
        <sz val="8.5"/>
        <rFont val="Calibri"/>
        <family val="2"/>
      </rPr>
      <t>28.20.820</t>
    </r>
  </si>
  <si>
    <r>
      <rPr>
        <sz val="8.5"/>
        <rFont val="Calibri"/>
        <family val="2"/>
      </rPr>
      <t xml:space="preserve">Barra antipânico de sobrepor com maçaneta e chave, para porta em
</t>
    </r>
    <r>
      <rPr>
        <sz val="8.5"/>
        <rFont val="Calibri"/>
        <family val="2"/>
      </rPr>
      <t>vidro de 1 folha</t>
    </r>
  </si>
  <si>
    <r>
      <rPr>
        <sz val="8.5"/>
        <rFont val="Calibri"/>
        <family val="2"/>
      </rPr>
      <t>805,38</t>
    </r>
  </si>
  <si>
    <r>
      <rPr>
        <sz val="8.5"/>
        <rFont val="Calibri"/>
        <family val="2"/>
      </rPr>
      <t>882,40</t>
    </r>
  </si>
  <si>
    <r>
      <rPr>
        <sz val="8.5"/>
        <rFont val="Calibri"/>
        <family val="2"/>
      </rPr>
      <t>28.20.830</t>
    </r>
  </si>
  <si>
    <r>
      <rPr>
        <sz val="8.5"/>
        <rFont val="Calibri"/>
        <family val="2"/>
      </rPr>
      <t xml:space="preserve">Barra antipânico de sobrepor com maçaneta e chave, para porta dupla
</t>
    </r>
    <r>
      <rPr>
        <sz val="8.5"/>
        <rFont val="Calibri"/>
        <family val="2"/>
      </rPr>
      <t>em vidro</t>
    </r>
  </si>
  <si>
    <r>
      <rPr>
        <sz val="8.5"/>
        <rFont val="Calibri"/>
        <family val="2"/>
      </rPr>
      <t>1.603,55</t>
    </r>
  </si>
  <si>
    <r>
      <rPr>
        <sz val="8.5"/>
        <rFont val="Calibri"/>
        <family val="2"/>
      </rPr>
      <t>154,04</t>
    </r>
  </si>
  <si>
    <r>
      <rPr>
        <sz val="8.5"/>
        <rFont val="Calibri"/>
        <family val="2"/>
      </rPr>
      <t>1.757,59</t>
    </r>
  </si>
  <si>
    <r>
      <rPr>
        <sz val="8.5"/>
        <rFont val="Calibri"/>
        <family val="2"/>
      </rPr>
      <t>28.20.840</t>
    </r>
  </si>
  <si>
    <r>
      <rPr>
        <sz val="8.5"/>
        <rFont val="Calibri"/>
        <family val="2"/>
      </rPr>
      <t xml:space="preserve">Barra antipânico para porta dupla com travamentos horizontal e vertical completa, com maçaneta tipo alavanca e chave, para vãos de 1,40 a 1,60
</t>
    </r>
    <r>
      <rPr>
        <sz val="8.5"/>
        <rFont val="Calibri"/>
        <family val="2"/>
      </rPr>
      <t>m</t>
    </r>
  </si>
  <si>
    <r>
      <rPr>
        <sz val="8.5"/>
        <rFont val="Calibri"/>
        <family val="2"/>
      </rPr>
      <t>1.179,31</t>
    </r>
  </si>
  <si>
    <r>
      <rPr>
        <sz val="8.5"/>
        <rFont val="Calibri"/>
        <family val="2"/>
      </rPr>
      <t>1.333,35</t>
    </r>
  </si>
  <si>
    <r>
      <rPr>
        <sz val="8.5"/>
        <rFont val="Calibri"/>
        <family val="2"/>
      </rPr>
      <t>28.20.850</t>
    </r>
  </si>
  <si>
    <r>
      <rPr>
        <sz val="8.5"/>
        <rFont val="Calibri"/>
        <family val="2"/>
      </rPr>
      <t xml:space="preserve">Barra antipânico para porta dupla com travamentos horizontal e vertical completa, com maçaneta tipo alavanca e chave, para vãos de 1,70 a 2,60
</t>
    </r>
    <r>
      <rPr>
        <sz val="8.5"/>
        <rFont val="Calibri"/>
        <family val="2"/>
      </rPr>
      <t>m</t>
    </r>
  </si>
  <si>
    <r>
      <rPr>
        <sz val="8.5"/>
        <rFont val="Calibri"/>
        <family val="2"/>
      </rPr>
      <t>1.318,78</t>
    </r>
  </si>
  <si>
    <r>
      <rPr>
        <sz val="8.5"/>
        <rFont val="Calibri"/>
        <family val="2"/>
      </rPr>
      <t>1.472,82</t>
    </r>
  </si>
  <si>
    <r>
      <rPr>
        <sz val="8.5"/>
        <rFont val="Calibri"/>
        <family val="2"/>
      </rPr>
      <t>28.20.860</t>
    </r>
  </si>
  <si>
    <r>
      <rPr>
        <sz val="8.5"/>
        <rFont val="Calibri"/>
        <family val="2"/>
      </rPr>
      <t>Veda porta/veda fresta com escova em alumínio branco</t>
    </r>
  </si>
  <si>
    <r>
      <rPr>
        <sz val="8.5"/>
        <rFont val="Calibri"/>
        <family val="2"/>
      </rPr>
      <t>56,13</t>
    </r>
  </si>
  <si>
    <r>
      <rPr>
        <sz val="8.5"/>
        <rFont val="Calibri"/>
        <family val="2"/>
      </rPr>
      <t>64,95</t>
    </r>
  </si>
  <si>
    <r>
      <rPr>
        <sz val="8.5"/>
        <rFont val="Calibri"/>
        <family val="2"/>
      </rPr>
      <t>INSERTE METALICO</t>
    </r>
  </si>
  <si>
    <r>
      <rPr>
        <sz val="8.5"/>
        <rFont val="Calibri"/>
        <family val="2"/>
      </rPr>
      <t>Cantoneira</t>
    </r>
  </si>
  <si>
    <r>
      <rPr>
        <sz val="8.5"/>
        <rFont val="Calibri"/>
        <family val="2"/>
      </rPr>
      <t>29.01.020</t>
    </r>
  </si>
  <si>
    <r>
      <rPr>
        <sz val="8.5"/>
        <rFont val="Calibri"/>
        <family val="2"/>
      </rPr>
      <t>Cantoneira em alumínio perfil sextavado</t>
    </r>
  </si>
  <si>
    <r>
      <rPr>
        <sz val="8.5"/>
        <rFont val="Calibri"/>
        <family val="2"/>
      </rPr>
      <t>11,42</t>
    </r>
  </si>
  <si>
    <r>
      <rPr>
        <sz val="8.5"/>
        <rFont val="Calibri"/>
        <family val="2"/>
      </rPr>
      <t>17,62</t>
    </r>
  </si>
  <si>
    <r>
      <rPr>
        <sz val="8.5"/>
        <rFont val="Calibri"/>
        <family val="2"/>
      </rPr>
      <t>29.01.030</t>
    </r>
  </si>
  <si>
    <r>
      <rPr>
        <sz val="8.5"/>
        <rFont val="Calibri"/>
        <family val="2"/>
      </rPr>
      <t>Perfil em alumínio natural</t>
    </r>
  </si>
  <si>
    <r>
      <rPr>
        <sz val="8.5"/>
        <rFont val="Calibri"/>
        <family val="2"/>
      </rPr>
      <t>34,45</t>
    </r>
  </si>
  <si>
    <r>
      <rPr>
        <sz val="8.5"/>
        <rFont val="Calibri"/>
        <family val="2"/>
      </rPr>
      <t>51,06</t>
    </r>
  </si>
  <si>
    <r>
      <rPr>
        <sz val="8.5"/>
        <rFont val="Calibri"/>
        <family val="2"/>
      </rPr>
      <t>85,51</t>
    </r>
  </si>
  <si>
    <r>
      <rPr>
        <sz val="8.5"/>
        <rFont val="Calibri"/>
        <family val="2"/>
      </rPr>
      <t>29.01.040</t>
    </r>
  </si>
  <si>
    <r>
      <rPr>
        <sz val="8.5"/>
        <rFont val="Calibri"/>
        <family val="2"/>
      </rPr>
      <t>Cantoneira em alumínio perfil ´Y´</t>
    </r>
  </si>
  <si>
    <r>
      <rPr>
        <sz val="8.5"/>
        <rFont val="Calibri"/>
        <family val="2"/>
      </rPr>
      <t>7,59</t>
    </r>
  </si>
  <si>
    <r>
      <rPr>
        <sz val="8.5"/>
        <rFont val="Calibri"/>
        <family val="2"/>
      </rPr>
      <t>19,01</t>
    </r>
  </si>
  <si>
    <r>
      <rPr>
        <sz val="8.5"/>
        <rFont val="Calibri"/>
        <family val="2"/>
      </rPr>
      <t>29.01.210</t>
    </r>
  </si>
  <si>
    <r>
      <rPr>
        <sz val="8.5"/>
        <rFont val="Calibri"/>
        <family val="2"/>
      </rPr>
      <t>Cantoneira em aço galvanizado</t>
    </r>
  </si>
  <si>
    <r>
      <rPr>
        <sz val="8.5"/>
        <rFont val="Calibri"/>
        <family val="2"/>
      </rPr>
      <t>16,80</t>
    </r>
  </si>
  <si>
    <r>
      <rPr>
        <sz val="8.5"/>
        <rFont val="Calibri"/>
        <family val="2"/>
      </rPr>
      <t>28,22</t>
    </r>
  </si>
  <si>
    <r>
      <rPr>
        <sz val="8.5"/>
        <rFont val="Calibri"/>
        <family val="2"/>
      </rPr>
      <t>29.01.230</t>
    </r>
  </si>
  <si>
    <r>
      <rPr>
        <sz val="8.5"/>
        <rFont val="Calibri"/>
        <family val="2"/>
      </rPr>
      <t>Cantoneira e perfis em ferro</t>
    </r>
  </si>
  <si>
    <r>
      <rPr>
        <sz val="8.5"/>
        <rFont val="Calibri"/>
        <family val="2"/>
      </rPr>
      <t>11,74</t>
    </r>
  </si>
  <si>
    <r>
      <rPr>
        <sz val="8.5"/>
        <rFont val="Calibri"/>
        <family val="2"/>
      </rPr>
      <t>23,16</t>
    </r>
  </si>
  <si>
    <r>
      <rPr>
        <sz val="8.5"/>
        <rFont val="Calibri"/>
        <family val="2"/>
      </rPr>
      <t>Cabos e cordoalhas</t>
    </r>
  </si>
  <si>
    <r>
      <rPr>
        <sz val="8.5"/>
        <rFont val="Calibri"/>
        <family val="2"/>
      </rPr>
      <t>29.03.010</t>
    </r>
  </si>
  <si>
    <r>
      <rPr>
        <sz val="8.5"/>
        <rFont val="Calibri"/>
        <family val="2"/>
      </rPr>
      <t>Cabo em aço galvanizado com alma de aço, diâmetro de 3/16´ (4,76 mm)</t>
    </r>
  </si>
  <si>
    <r>
      <rPr>
        <sz val="8.5"/>
        <rFont val="Calibri"/>
        <family val="2"/>
      </rPr>
      <t>8,08</t>
    </r>
  </si>
  <si>
    <r>
      <rPr>
        <sz val="8.5"/>
        <rFont val="Calibri"/>
        <family val="2"/>
      </rPr>
      <t>17,73</t>
    </r>
  </si>
  <si>
    <r>
      <rPr>
        <sz val="8.5"/>
        <rFont val="Calibri"/>
        <family val="2"/>
      </rPr>
      <t>29.03.020</t>
    </r>
  </si>
  <si>
    <r>
      <rPr>
        <sz val="8.5"/>
        <rFont val="Calibri"/>
        <family val="2"/>
      </rPr>
      <t>Cabo em aço galvanizado com alma de aço, diâmetro de 5/16´ (7,94 mm)</t>
    </r>
  </si>
  <si>
    <r>
      <rPr>
        <sz val="8.5"/>
        <rFont val="Calibri"/>
        <family val="2"/>
      </rPr>
      <t>14,23</t>
    </r>
  </si>
  <si>
    <r>
      <rPr>
        <sz val="8.5"/>
        <rFont val="Calibri"/>
        <family val="2"/>
      </rPr>
      <t>23,88</t>
    </r>
  </si>
  <si>
    <r>
      <rPr>
        <sz val="8.5"/>
        <rFont val="Calibri"/>
        <family val="2"/>
      </rPr>
      <t>29.03.030</t>
    </r>
  </si>
  <si>
    <r>
      <rPr>
        <sz val="8.5"/>
        <rFont val="Calibri"/>
        <family val="2"/>
      </rPr>
      <t>Cordoalha de aço galvanizado, diâmetro de 1/4´ (6,35 mm)</t>
    </r>
  </si>
  <si>
    <r>
      <rPr>
        <sz val="8.5"/>
        <rFont val="Calibri"/>
        <family val="2"/>
      </rPr>
      <t>18,75</t>
    </r>
  </si>
  <si>
    <r>
      <rPr>
        <sz val="8.5"/>
        <rFont val="Calibri"/>
        <family val="2"/>
      </rPr>
      <t>29.03.040</t>
    </r>
  </si>
  <si>
    <r>
      <rPr>
        <sz val="8.5"/>
        <rFont val="Calibri"/>
        <family val="2"/>
      </rPr>
      <t>Cabo em aço galvanizado com alma de aço, diâmetro de 3/8´ (9,52 mm)</t>
    </r>
  </si>
  <si>
    <r>
      <rPr>
        <sz val="8.5"/>
        <rFont val="Calibri"/>
        <family val="2"/>
      </rPr>
      <t>21,18</t>
    </r>
  </si>
  <si>
    <r>
      <rPr>
        <sz val="8.5"/>
        <rFont val="Calibri"/>
        <family val="2"/>
      </rPr>
      <t>30,83</t>
    </r>
  </si>
  <si>
    <r>
      <rPr>
        <sz val="8.5"/>
        <rFont val="Calibri"/>
        <family val="2"/>
      </rPr>
      <t>Reparos, conservacoes e complementos - GRUPO 29</t>
    </r>
  </si>
  <si>
    <r>
      <rPr>
        <sz val="8.5"/>
        <rFont val="Calibri"/>
        <family val="2"/>
      </rPr>
      <t>29.20.030</t>
    </r>
  </si>
  <si>
    <r>
      <rPr>
        <sz val="8.5"/>
        <rFont val="Calibri"/>
        <family val="2"/>
      </rPr>
      <t>Alumínio liso para complementos e reparos</t>
    </r>
  </si>
  <si>
    <r>
      <rPr>
        <sz val="8.5"/>
        <rFont val="Calibri"/>
        <family val="2"/>
      </rPr>
      <t>45,63</t>
    </r>
  </si>
  <si>
    <r>
      <rPr>
        <sz val="8.5"/>
        <rFont val="Calibri"/>
        <family val="2"/>
      </rPr>
      <t>57,66</t>
    </r>
  </si>
  <si>
    <r>
      <rPr>
        <sz val="8.5"/>
        <rFont val="Calibri"/>
        <family val="2"/>
      </rPr>
      <t>ACESSIBILIDADE</t>
    </r>
  </si>
  <si>
    <r>
      <rPr>
        <sz val="8.5"/>
        <rFont val="Calibri"/>
        <family val="2"/>
      </rPr>
      <t>Barra de apoio</t>
    </r>
  </si>
  <si>
    <r>
      <rPr>
        <sz val="8.5"/>
        <rFont val="Calibri"/>
        <family val="2"/>
      </rPr>
      <t>30.01.010</t>
    </r>
  </si>
  <si>
    <r>
      <rPr>
        <sz val="8.5"/>
        <rFont val="Calibri"/>
        <family val="2"/>
      </rPr>
      <t xml:space="preserve">Barra de apoio reta, para pessoas com mobilidade reduzida, em tubo de
</t>
    </r>
    <r>
      <rPr>
        <sz val="8.5"/>
        <rFont val="Calibri"/>
        <family val="2"/>
      </rPr>
      <t>aço inoxidável de 1 1/2´</t>
    </r>
  </si>
  <si>
    <r>
      <rPr>
        <sz val="8.5"/>
        <rFont val="Calibri"/>
        <family val="2"/>
      </rPr>
      <t>206,83</t>
    </r>
  </si>
  <si>
    <r>
      <rPr>
        <sz val="8.5"/>
        <rFont val="Calibri"/>
        <family val="2"/>
      </rPr>
      <t>216,48</t>
    </r>
  </si>
  <si>
    <r>
      <rPr>
        <sz val="8.5"/>
        <rFont val="Calibri"/>
        <family val="2"/>
      </rPr>
      <t>30.01.020</t>
    </r>
  </si>
  <si>
    <r>
      <rPr>
        <sz val="8.5"/>
        <rFont val="Calibri"/>
        <family val="2"/>
      </rPr>
      <t xml:space="preserve">Barra de apoio reta, para pessoas com mobilidade reduzida, em tubo de
</t>
    </r>
    <r>
      <rPr>
        <sz val="8.5"/>
        <rFont val="Calibri"/>
        <family val="2"/>
      </rPr>
      <t>aço inoxidável de 1 1/2´ x 500 mm</t>
    </r>
  </si>
  <si>
    <r>
      <rPr>
        <sz val="8.5"/>
        <rFont val="Calibri"/>
        <family val="2"/>
      </rPr>
      <t>118,26</t>
    </r>
  </si>
  <si>
    <r>
      <rPr>
        <sz val="8.5"/>
        <rFont val="Calibri"/>
        <family val="2"/>
      </rPr>
      <t>127,91</t>
    </r>
  </si>
  <si>
    <r>
      <rPr>
        <sz val="8.5"/>
        <rFont val="Calibri"/>
        <family val="2"/>
      </rPr>
      <t>30.01.030</t>
    </r>
  </si>
  <si>
    <r>
      <rPr>
        <sz val="8.5"/>
        <rFont val="Calibri"/>
        <family val="2"/>
      </rPr>
      <t xml:space="preserve">Barra de apoio reta, para pessoas com mobilidade reduzida, em tubo de
</t>
    </r>
    <r>
      <rPr>
        <sz val="8.5"/>
        <rFont val="Calibri"/>
        <family val="2"/>
      </rPr>
      <t>aço inoxidável de 1 1/2´ x 800 mm</t>
    </r>
  </si>
  <si>
    <r>
      <rPr>
        <sz val="8.5"/>
        <rFont val="Calibri"/>
        <family val="2"/>
      </rPr>
      <t>172,36</t>
    </r>
  </si>
  <si>
    <r>
      <rPr>
        <sz val="8.5"/>
        <rFont val="Calibri"/>
        <family val="2"/>
      </rPr>
      <t>182,01</t>
    </r>
  </si>
  <si>
    <r>
      <rPr>
        <sz val="8.5"/>
        <rFont val="Calibri"/>
        <family val="2"/>
      </rPr>
      <t>30.01.050</t>
    </r>
  </si>
  <si>
    <r>
      <rPr>
        <sz val="8.5"/>
        <rFont val="Calibri"/>
        <family val="2"/>
      </rPr>
      <t xml:space="preserve">Barra de apoio em ângulo de 90°, para pessoas com mobilidade
</t>
    </r>
    <r>
      <rPr>
        <sz val="8.5"/>
        <rFont val="Calibri"/>
        <family val="2"/>
      </rPr>
      <t>reduzida, em tubo de aço inoxidável de 1 1/2´ x 800 x 800 mm</t>
    </r>
  </si>
  <si>
    <r>
      <rPr>
        <sz val="8.5"/>
        <rFont val="Calibri"/>
        <family val="2"/>
      </rPr>
      <t>433,18</t>
    </r>
  </si>
  <si>
    <r>
      <rPr>
        <sz val="8.5"/>
        <rFont val="Calibri"/>
        <family val="2"/>
      </rPr>
      <t>442,83</t>
    </r>
  </si>
  <si>
    <r>
      <rPr>
        <sz val="8.5"/>
        <rFont val="Calibri"/>
        <family val="2"/>
      </rPr>
      <t>30.01.061</t>
    </r>
  </si>
  <si>
    <r>
      <rPr>
        <sz val="8.5"/>
        <rFont val="Calibri"/>
        <family val="2"/>
      </rPr>
      <t>Barra de apoio lateral para lavatório, para pessoas com mobilidade reduzida, em tubo de aço inoxidável de 1.1/4", comprimento 25 a 30 cm</t>
    </r>
  </si>
  <si>
    <r>
      <rPr>
        <sz val="8.5"/>
        <rFont val="Calibri"/>
        <family val="2"/>
      </rPr>
      <t>195,86</t>
    </r>
  </si>
  <si>
    <r>
      <rPr>
        <sz val="8.5"/>
        <rFont val="Calibri"/>
        <family val="2"/>
      </rPr>
      <t>205,51</t>
    </r>
  </si>
  <si>
    <r>
      <rPr>
        <sz val="8.5"/>
        <rFont val="Calibri"/>
        <family val="2"/>
      </rPr>
      <t>30.01.080</t>
    </r>
  </si>
  <si>
    <r>
      <rPr>
        <sz val="8.5"/>
        <rFont val="Calibri"/>
        <family val="2"/>
      </rPr>
      <t>Barra de apoio reta, para pessoas com mobilidade reduzida, em tubo de alumínio, comprimento de 800 mm, acabamento com pintura epóxi</t>
    </r>
  </si>
  <si>
    <r>
      <rPr>
        <sz val="8.5"/>
        <rFont val="Calibri"/>
        <family val="2"/>
      </rPr>
      <t>173,05</t>
    </r>
  </si>
  <si>
    <r>
      <rPr>
        <sz val="8.5"/>
        <rFont val="Calibri"/>
        <family val="2"/>
      </rPr>
      <t>182,70</t>
    </r>
  </si>
  <si>
    <r>
      <rPr>
        <sz val="8.5"/>
        <rFont val="Calibri"/>
        <family val="2"/>
      </rPr>
      <t>30.01.090</t>
    </r>
  </si>
  <si>
    <r>
      <rPr>
        <sz val="8.5"/>
        <rFont val="Calibri"/>
        <family val="2"/>
      </rPr>
      <t xml:space="preserve">Barra de apoio em ângulo de 90°, para pessoas com mobilidade reduzida, em tubo de alumínio de 800 x 800 mm, acabamento com
</t>
    </r>
    <r>
      <rPr>
        <sz val="8.5"/>
        <rFont val="Calibri"/>
        <family val="2"/>
      </rPr>
      <t>pintura epóxi</t>
    </r>
  </si>
  <si>
    <r>
      <rPr>
        <sz val="8.5"/>
        <rFont val="Calibri"/>
        <family val="2"/>
      </rPr>
      <t>361,58</t>
    </r>
  </si>
  <si>
    <r>
      <rPr>
        <sz val="8.5"/>
        <rFont val="Calibri"/>
        <family val="2"/>
      </rPr>
      <t>371,23</t>
    </r>
  </si>
  <si>
    <r>
      <rPr>
        <sz val="8.5"/>
        <rFont val="Calibri"/>
        <family val="2"/>
      </rPr>
      <t>30.01.110</t>
    </r>
  </si>
  <si>
    <r>
      <rPr>
        <sz val="8.5"/>
        <rFont val="Calibri"/>
        <family val="2"/>
      </rPr>
      <t xml:space="preserve">Barra de proteção para sifão, para pessoas com mobilidade reduzida, em
</t>
    </r>
    <r>
      <rPr>
        <sz val="8.5"/>
        <rFont val="Calibri"/>
        <family val="2"/>
      </rPr>
      <t>tubo de alumínio, acabamento com pintura epóxi</t>
    </r>
  </si>
  <si>
    <r>
      <rPr>
        <sz val="8.5"/>
        <rFont val="Calibri"/>
        <family val="2"/>
      </rPr>
      <t>306,24</t>
    </r>
  </si>
  <si>
    <r>
      <rPr>
        <sz val="8.5"/>
        <rFont val="Calibri"/>
        <family val="2"/>
      </rPr>
      <t>315,89</t>
    </r>
  </si>
  <si>
    <r>
      <rPr>
        <sz val="8.5"/>
        <rFont val="Calibri"/>
        <family val="2"/>
      </rPr>
      <t>30.01.120</t>
    </r>
  </si>
  <si>
    <r>
      <rPr>
        <sz val="8.5"/>
        <rFont val="Calibri"/>
        <family val="2"/>
      </rPr>
      <t xml:space="preserve">Barra de apoio reta, para pessoas com mobilidade reduzida, em tubo de
</t>
    </r>
    <r>
      <rPr>
        <sz val="8.5"/>
        <rFont val="Calibri"/>
        <family val="2"/>
      </rPr>
      <t>aço inoxidável de 1 1/4´ x 400 mm</t>
    </r>
  </si>
  <si>
    <r>
      <rPr>
        <sz val="8.5"/>
        <rFont val="Calibri"/>
        <family val="2"/>
      </rPr>
      <t>136,36</t>
    </r>
  </si>
  <si>
    <r>
      <rPr>
        <sz val="8.5"/>
        <rFont val="Calibri"/>
        <family val="2"/>
      </rPr>
      <t>146,01</t>
    </r>
  </si>
  <si>
    <r>
      <rPr>
        <sz val="8.5"/>
        <rFont val="Calibri"/>
        <family val="2"/>
      </rPr>
      <t>30.01.130</t>
    </r>
  </si>
  <si>
    <r>
      <rPr>
        <sz val="8.5"/>
        <rFont val="Calibri"/>
        <family val="2"/>
      </rPr>
      <t xml:space="preserve">Barra de proteção para lavatório, para pessoas com mobilidade reduzida,
</t>
    </r>
    <r>
      <rPr>
        <sz val="8.5"/>
        <rFont val="Calibri"/>
        <family val="2"/>
      </rPr>
      <t>em tubo de alumínio acabamento com pintura epóxi</t>
    </r>
  </si>
  <si>
    <r>
      <rPr>
        <sz val="8.5"/>
        <rFont val="Calibri"/>
        <family val="2"/>
      </rPr>
      <t>442,45</t>
    </r>
  </si>
  <si>
    <r>
      <rPr>
        <sz val="8.5"/>
        <rFont val="Calibri"/>
        <family val="2"/>
      </rPr>
      <t>458,53</t>
    </r>
  </si>
  <si>
    <r>
      <rPr>
        <sz val="8.5"/>
        <rFont val="Calibri"/>
        <family val="2"/>
      </rPr>
      <t>Aparelhos eletricos, hidraulicos e a gas</t>
    </r>
  </si>
  <si>
    <r>
      <rPr>
        <sz val="8.5"/>
        <rFont val="Calibri"/>
        <family val="2"/>
      </rPr>
      <t>30.03.032</t>
    </r>
  </si>
  <si>
    <r>
      <rPr>
        <sz val="8.5"/>
        <rFont val="Calibri"/>
        <family val="2"/>
      </rPr>
      <t>Purificador de pressão elétrico em chapa eletrozincado pré-pintada e tampo em aço inoxidável, capacidade de refrigeração de 2,75 l/h</t>
    </r>
  </si>
  <si>
    <r>
      <rPr>
        <sz val="8.5"/>
        <rFont val="Calibri"/>
        <family val="2"/>
      </rPr>
      <t>2.322,52</t>
    </r>
  </si>
  <si>
    <r>
      <rPr>
        <sz val="8.5"/>
        <rFont val="Calibri"/>
        <family val="2"/>
      </rPr>
      <t>2.373,43</t>
    </r>
  </si>
  <si>
    <r>
      <rPr>
        <sz val="8.5"/>
        <rFont val="Calibri"/>
        <family val="2"/>
      </rPr>
      <t>30.03.042</t>
    </r>
  </si>
  <si>
    <r>
      <rPr>
        <sz val="8.5"/>
        <rFont val="Calibri"/>
        <family val="2"/>
      </rPr>
      <t>Purificador de pressão elétrico em chapa eletrozincado pré-pintada e tampo em aço inoxidável, capacidade de refrigeração de 7,2 l/h</t>
    </r>
  </si>
  <si>
    <r>
      <rPr>
        <sz val="8.5"/>
        <rFont val="Calibri"/>
        <family val="2"/>
      </rPr>
      <t>3.003,84</t>
    </r>
  </si>
  <si>
    <r>
      <rPr>
        <sz val="8.5"/>
        <rFont val="Calibri"/>
        <family val="2"/>
      </rPr>
      <t>3.054,75</t>
    </r>
  </si>
  <si>
    <r>
      <rPr>
        <sz val="8.5"/>
        <rFont val="Calibri"/>
        <family val="2"/>
      </rPr>
      <t>Revestimento</t>
    </r>
  </si>
  <si>
    <r>
      <rPr>
        <sz val="8.5"/>
        <rFont val="Calibri"/>
        <family val="2"/>
      </rPr>
      <t>30.04.010</t>
    </r>
  </si>
  <si>
    <r>
      <rPr>
        <sz val="8.5"/>
        <rFont val="Calibri"/>
        <family val="2"/>
      </rPr>
      <t>Revestimento em borracha sintética colorida de 5 mm, para sinalização tátil de alerta / direcional - assentamento argamassado</t>
    </r>
  </si>
  <si>
    <r>
      <rPr>
        <sz val="8.5"/>
        <rFont val="Calibri"/>
        <family val="2"/>
      </rPr>
      <t>235,23</t>
    </r>
  </si>
  <si>
    <r>
      <rPr>
        <sz val="8.5"/>
        <rFont val="Calibri"/>
        <family val="2"/>
      </rPr>
      <t>17,68</t>
    </r>
  </si>
  <si>
    <r>
      <rPr>
        <sz val="8.5"/>
        <rFont val="Calibri"/>
        <family val="2"/>
      </rPr>
      <t>252,91</t>
    </r>
  </si>
  <si>
    <r>
      <rPr>
        <sz val="8.5"/>
        <rFont val="Calibri"/>
        <family val="2"/>
      </rPr>
      <t>30.04.020</t>
    </r>
  </si>
  <si>
    <r>
      <rPr>
        <sz val="8.5"/>
        <rFont val="Calibri"/>
        <family val="2"/>
      </rPr>
      <t xml:space="preserve">Revestimento em borracha sintética colorida de 5 mm, para sinalização
</t>
    </r>
    <r>
      <rPr>
        <sz val="8.5"/>
        <rFont val="Calibri"/>
        <family val="2"/>
      </rPr>
      <t>tátil de alerta / direcional - colado</t>
    </r>
  </si>
  <si>
    <r>
      <rPr>
        <sz val="8.5"/>
        <rFont val="Calibri"/>
        <family val="2"/>
      </rPr>
      <t>156,23</t>
    </r>
  </si>
  <si>
    <r>
      <rPr>
        <sz val="8.5"/>
        <rFont val="Calibri"/>
        <family val="2"/>
      </rPr>
      <t>163,63</t>
    </r>
  </si>
  <si>
    <r>
      <rPr>
        <sz val="8.5"/>
        <rFont val="Calibri"/>
        <family val="2"/>
      </rPr>
      <t>30.04.030</t>
    </r>
  </si>
  <si>
    <r>
      <rPr>
        <sz val="8.5"/>
        <rFont val="Calibri"/>
        <family val="2"/>
      </rPr>
      <t xml:space="preserve">Piso em ladrilho hidráulico podotátil várias cores (25x25x2,5cm),
</t>
    </r>
    <r>
      <rPr>
        <sz val="8.5"/>
        <rFont val="Calibri"/>
        <family val="2"/>
      </rPr>
      <t>assentado com argamassa mista</t>
    </r>
  </si>
  <si>
    <r>
      <rPr>
        <sz val="8.5"/>
        <rFont val="Calibri"/>
        <family val="2"/>
      </rPr>
      <t>107,25</t>
    </r>
  </si>
  <si>
    <r>
      <rPr>
        <sz val="8.5"/>
        <rFont val="Calibri"/>
        <family val="2"/>
      </rPr>
      <t>127,99</t>
    </r>
  </si>
  <si>
    <r>
      <rPr>
        <sz val="8.5"/>
        <rFont val="Calibri"/>
        <family val="2"/>
      </rPr>
      <t>30.04.040</t>
    </r>
  </si>
  <si>
    <r>
      <rPr>
        <sz val="8.5"/>
        <rFont val="Calibri"/>
        <family val="2"/>
      </rPr>
      <t xml:space="preserve">Faixa em policarbonato para sinalização visual fotoluminescente, para
</t>
    </r>
    <r>
      <rPr>
        <sz val="8.5"/>
        <rFont val="Calibri"/>
        <family val="2"/>
      </rPr>
      <t>degraus, comprimento de 20 cm</t>
    </r>
  </si>
  <si>
    <r>
      <rPr>
        <sz val="8.5"/>
        <rFont val="Calibri"/>
        <family val="2"/>
      </rPr>
      <t>3,62</t>
    </r>
  </si>
  <si>
    <r>
      <rPr>
        <sz val="8.5"/>
        <rFont val="Calibri"/>
        <family val="2"/>
      </rPr>
      <t>4,75</t>
    </r>
  </si>
  <si>
    <r>
      <rPr>
        <sz val="8.5"/>
        <rFont val="Calibri"/>
        <family val="2"/>
      </rPr>
      <t>30.04.060</t>
    </r>
  </si>
  <si>
    <r>
      <rPr>
        <sz val="8.5"/>
        <rFont val="Calibri"/>
        <family val="2"/>
      </rPr>
      <t xml:space="preserve">Revestimento em chapa de aço inoxidável para proteção de portas,
</t>
    </r>
    <r>
      <rPr>
        <sz val="8.5"/>
        <rFont val="Calibri"/>
        <family val="2"/>
      </rPr>
      <t>altura de 40 cm</t>
    </r>
  </si>
  <si>
    <r>
      <rPr>
        <sz val="8.5"/>
        <rFont val="Calibri"/>
        <family val="2"/>
      </rPr>
      <t>417,48</t>
    </r>
  </si>
  <si>
    <r>
      <rPr>
        <sz val="8.5"/>
        <rFont val="Calibri"/>
        <family val="2"/>
      </rPr>
      <t>30.04.070</t>
    </r>
  </si>
  <si>
    <r>
      <rPr>
        <sz val="8.5"/>
        <rFont val="Calibri"/>
        <family val="2"/>
      </rPr>
      <t xml:space="preserve">Rejuntamento de piso em ladrilho hidráulico (25x25x2,5cm) com
</t>
    </r>
    <r>
      <rPr>
        <sz val="8.5"/>
        <rFont val="Calibri"/>
        <family val="2"/>
      </rPr>
      <t>argamassa industrializada para rejunte, juntas de 2 mm</t>
    </r>
  </si>
  <si>
    <r>
      <rPr>
        <sz val="8.5"/>
        <rFont val="Calibri"/>
        <family val="2"/>
      </rPr>
      <t>11,49</t>
    </r>
  </si>
  <si>
    <r>
      <rPr>
        <sz val="8.5"/>
        <rFont val="Calibri"/>
        <family val="2"/>
      </rPr>
      <t>30.04.090</t>
    </r>
  </si>
  <si>
    <r>
      <rPr>
        <sz val="8.5"/>
        <rFont val="Calibri"/>
        <family val="2"/>
      </rPr>
      <t xml:space="preserve">Sinalização visual de degraus com pintura esmalte epóxi, comprimento
</t>
    </r>
    <r>
      <rPr>
        <sz val="8.5"/>
        <rFont val="Calibri"/>
        <family val="2"/>
      </rPr>
      <t>de 20 cm</t>
    </r>
  </si>
  <si>
    <r>
      <rPr>
        <sz val="8.5"/>
        <rFont val="Calibri"/>
        <family val="2"/>
      </rPr>
      <t>11,77</t>
    </r>
  </si>
  <si>
    <r>
      <rPr>
        <sz val="8.5"/>
        <rFont val="Calibri"/>
        <family val="2"/>
      </rPr>
      <t>12,16</t>
    </r>
  </si>
  <si>
    <r>
      <rPr>
        <sz val="8.5"/>
        <rFont val="Calibri"/>
        <family val="2"/>
      </rPr>
      <t>30.04.100</t>
    </r>
  </si>
  <si>
    <r>
      <rPr>
        <sz val="8.5"/>
        <rFont val="Calibri"/>
        <family val="2"/>
      </rPr>
      <t xml:space="preserve">Piso tátil de concreto, alerta / direcional, intertravado, espessura de 6
</t>
    </r>
    <r>
      <rPr>
        <sz val="8.5"/>
        <rFont val="Calibri"/>
        <family val="2"/>
      </rPr>
      <t>cm, com rejunte em areia</t>
    </r>
  </si>
  <si>
    <r>
      <rPr>
        <sz val="8.5"/>
        <rFont val="Calibri"/>
        <family val="2"/>
      </rPr>
      <t>67,70</t>
    </r>
  </si>
  <si>
    <r>
      <rPr>
        <sz val="8.5"/>
        <rFont val="Calibri"/>
        <family val="2"/>
      </rPr>
      <t>79,15</t>
    </r>
  </si>
  <si>
    <r>
      <rPr>
        <sz val="8.5"/>
        <rFont val="Calibri"/>
        <family val="2"/>
      </rPr>
      <t>Comunicacao visual e sonora</t>
    </r>
  </si>
  <si>
    <r>
      <rPr>
        <sz val="8.5"/>
        <rFont val="Calibri"/>
        <family val="2"/>
      </rPr>
      <t>30.06.010</t>
    </r>
  </si>
  <si>
    <r>
      <rPr>
        <sz val="8.5"/>
        <rFont val="Calibri"/>
        <family val="2"/>
      </rPr>
      <t>Placa para sinalização tátil (início ou final) em braile para corrimão</t>
    </r>
  </si>
  <si>
    <r>
      <rPr>
        <sz val="8.5"/>
        <rFont val="Calibri"/>
        <family val="2"/>
      </rPr>
      <t>30.06.020</t>
    </r>
  </si>
  <si>
    <r>
      <rPr>
        <sz val="8.5"/>
        <rFont val="Calibri"/>
        <family val="2"/>
      </rPr>
      <t>Placa para sinalização tátil (pavimento) em braile para corrimão</t>
    </r>
  </si>
  <si>
    <r>
      <rPr>
        <sz val="8.5"/>
        <rFont val="Calibri"/>
        <family val="2"/>
      </rPr>
      <t>13,74</t>
    </r>
  </si>
  <si>
    <r>
      <rPr>
        <sz val="8.5"/>
        <rFont val="Calibri"/>
        <family val="2"/>
      </rPr>
      <t>14,87</t>
    </r>
  </si>
  <si>
    <r>
      <rPr>
        <sz val="8.5"/>
        <rFont val="Calibri"/>
        <family val="2"/>
      </rPr>
      <t>30.06.030</t>
    </r>
  </si>
  <si>
    <r>
      <rPr>
        <sz val="8.5"/>
        <rFont val="Calibri"/>
        <family val="2"/>
      </rPr>
      <t>Anel de borracha para sinalização tátil para corrimão, diâmetro de 4,5 cm</t>
    </r>
  </si>
  <si>
    <r>
      <rPr>
        <sz val="8.5"/>
        <rFont val="Calibri"/>
        <family val="2"/>
      </rPr>
      <t>25,25</t>
    </r>
  </si>
  <si>
    <r>
      <rPr>
        <sz val="8.5"/>
        <rFont val="Calibri"/>
        <family val="2"/>
      </rPr>
      <t>26,38</t>
    </r>
  </si>
  <si>
    <r>
      <rPr>
        <sz val="8.5"/>
        <rFont val="Calibri"/>
        <family val="2"/>
      </rPr>
      <t>30.06.050</t>
    </r>
  </si>
  <si>
    <r>
      <rPr>
        <sz val="8.5"/>
        <rFont val="Calibri"/>
        <family val="2"/>
      </rPr>
      <t xml:space="preserve">Tinta acrílica para sinalização visual de piso, com acabamento
</t>
    </r>
    <r>
      <rPr>
        <sz val="8.5"/>
        <rFont val="Calibri"/>
        <family val="2"/>
      </rPr>
      <t>microtexturizado e antiderrapante</t>
    </r>
  </si>
  <si>
    <r>
      <rPr>
        <sz val="8.5"/>
        <rFont val="Calibri"/>
        <family val="2"/>
      </rPr>
      <t>45,91</t>
    </r>
  </si>
  <si>
    <r>
      <rPr>
        <sz val="8.5"/>
        <rFont val="Calibri"/>
        <family val="2"/>
      </rPr>
      <t>30.06.061</t>
    </r>
  </si>
  <si>
    <r>
      <rPr>
        <sz val="8.5"/>
        <rFont val="Calibri"/>
        <family val="2"/>
      </rPr>
      <t xml:space="preserve">Sistema de alarme PNE com indicador audiovisual, para pessoas com
</t>
    </r>
    <r>
      <rPr>
        <sz val="8.5"/>
        <rFont val="Calibri"/>
        <family val="2"/>
      </rPr>
      <t>mobilidade reduzida ou cadeirante</t>
    </r>
  </si>
  <si>
    <r>
      <rPr>
        <sz val="8.5"/>
        <rFont val="Calibri"/>
        <family val="2"/>
      </rPr>
      <t>411,17</t>
    </r>
  </si>
  <si>
    <r>
      <rPr>
        <sz val="8.5"/>
        <rFont val="Calibri"/>
        <family val="2"/>
      </rPr>
      <t>429,37</t>
    </r>
  </si>
  <si>
    <r>
      <rPr>
        <sz val="8.5"/>
        <rFont val="Calibri"/>
        <family val="2"/>
      </rPr>
      <t>30.06.064</t>
    </r>
  </si>
  <si>
    <r>
      <rPr>
        <sz val="8.5"/>
        <rFont val="Calibri"/>
        <family val="2"/>
      </rPr>
      <t>Sistema de alarme PNE com indicador audiovisual, sistema sem fio (Wireless), para pessoas com mobilidade reduzida ou cadeirante</t>
    </r>
  </si>
  <si>
    <r>
      <rPr>
        <sz val="8.5"/>
        <rFont val="Calibri"/>
        <family val="2"/>
      </rPr>
      <t>670,91</t>
    </r>
  </si>
  <si>
    <r>
      <rPr>
        <sz val="8.5"/>
        <rFont val="Calibri"/>
        <family val="2"/>
      </rPr>
      <t>689,11</t>
    </r>
  </si>
  <si>
    <r>
      <rPr>
        <sz val="8.5"/>
        <rFont val="Calibri"/>
        <family val="2"/>
      </rPr>
      <t>30.06.080</t>
    </r>
  </si>
  <si>
    <r>
      <rPr>
        <sz val="8.5"/>
        <rFont val="Calibri"/>
        <family val="2"/>
      </rPr>
      <t xml:space="preserve">Placa de identificação em alumínio para WC, com desenho universal de
</t>
    </r>
    <r>
      <rPr>
        <sz val="8.5"/>
        <rFont val="Calibri"/>
        <family val="2"/>
      </rPr>
      <t>acessibilidade</t>
    </r>
  </si>
  <si>
    <r>
      <rPr>
        <sz val="8.5"/>
        <rFont val="Calibri"/>
        <family val="2"/>
      </rPr>
      <t>22,91</t>
    </r>
  </si>
  <si>
    <r>
      <rPr>
        <sz val="8.5"/>
        <rFont val="Calibri"/>
        <family val="2"/>
      </rPr>
      <t>25,81</t>
    </r>
  </si>
  <si>
    <r>
      <rPr>
        <sz val="8.5"/>
        <rFont val="Calibri"/>
        <family val="2"/>
      </rPr>
      <t>30.06.090</t>
    </r>
  </si>
  <si>
    <r>
      <rPr>
        <sz val="8.5"/>
        <rFont val="Calibri"/>
        <family val="2"/>
      </rPr>
      <t xml:space="preserve">Placa de identificação para estacionamento, com desenho universal de
</t>
    </r>
    <r>
      <rPr>
        <sz val="8.5"/>
        <rFont val="Calibri"/>
        <family val="2"/>
      </rPr>
      <t>acessibilidade, tipo pedestal</t>
    </r>
  </si>
  <si>
    <r>
      <rPr>
        <sz val="8.5"/>
        <rFont val="Calibri"/>
        <family val="2"/>
      </rPr>
      <t>519,95</t>
    </r>
  </si>
  <si>
    <r>
      <rPr>
        <sz val="8.5"/>
        <rFont val="Calibri"/>
        <family val="2"/>
      </rPr>
      <t>30.06.100</t>
    </r>
  </si>
  <si>
    <r>
      <rPr>
        <sz val="8.5"/>
        <rFont val="Calibri"/>
        <family val="2"/>
      </rPr>
      <t>Sinalização com pictograma para vaga de estacionamento</t>
    </r>
  </si>
  <si>
    <r>
      <rPr>
        <sz val="8.5"/>
        <rFont val="Calibri"/>
        <family val="2"/>
      </rPr>
      <t>134,79</t>
    </r>
  </si>
  <si>
    <r>
      <rPr>
        <sz val="8.5"/>
        <rFont val="Calibri"/>
        <family val="2"/>
      </rPr>
      <t>62,41</t>
    </r>
  </si>
  <si>
    <r>
      <rPr>
        <sz val="8.5"/>
        <rFont val="Calibri"/>
        <family val="2"/>
      </rPr>
      <t>197,20</t>
    </r>
  </si>
  <si>
    <r>
      <rPr>
        <sz val="8.5"/>
        <rFont val="Calibri"/>
        <family val="2"/>
      </rPr>
      <t>30.06.110</t>
    </r>
  </si>
  <si>
    <r>
      <rPr>
        <sz val="8.5"/>
        <rFont val="Calibri"/>
        <family val="2"/>
      </rPr>
      <t xml:space="preserve">Sinalização com pictograma para vaga de estacionamento, com faixas
</t>
    </r>
    <r>
      <rPr>
        <sz val="8.5"/>
        <rFont val="Calibri"/>
        <family val="2"/>
      </rPr>
      <t>demarcatórias</t>
    </r>
  </si>
  <si>
    <r>
      <rPr>
        <sz val="8.5"/>
        <rFont val="Calibri"/>
        <family val="2"/>
      </rPr>
      <t>256,72</t>
    </r>
  </si>
  <si>
    <r>
      <rPr>
        <sz val="8.5"/>
        <rFont val="Calibri"/>
        <family val="2"/>
      </rPr>
      <t>142,64</t>
    </r>
  </si>
  <si>
    <r>
      <rPr>
        <sz val="8.5"/>
        <rFont val="Calibri"/>
        <family val="2"/>
      </rPr>
      <t>399,36</t>
    </r>
  </si>
  <si>
    <r>
      <rPr>
        <sz val="8.5"/>
        <rFont val="Calibri"/>
        <family val="2"/>
      </rPr>
      <t>30.06.124</t>
    </r>
  </si>
  <si>
    <r>
      <rPr>
        <sz val="8.5"/>
        <rFont val="Calibri"/>
        <family val="2"/>
      </rPr>
      <t xml:space="preserve">Sinalização com pictograma autoadesivo em policarbonato para piso 80
</t>
    </r>
    <r>
      <rPr>
        <sz val="8.5"/>
        <rFont val="Calibri"/>
        <family val="2"/>
      </rPr>
      <t>cm x 120 cm - área de resgate</t>
    </r>
  </si>
  <si>
    <r>
      <rPr>
        <sz val="8.5"/>
        <rFont val="Calibri"/>
        <family val="2"/>
      </rPr>
      <t>205,06</t>
    </r>
  </si>
  <si>
    <r>
      <rPr>
        <sz val="8.5"/>
        <rFont val="Calibri"/>
        <family val="2"/>
      </rPr>
      <t>221,14</t>
    </r>
  </si>
  <si>
    <r>
      <rPr>
        <sz val="8.5"/>
        <rFont val="Calibri"/>
        <family val="2"/>
      </rPr>
      <t>30.06.132</t>
    </r>
  </si>
  <si>
    <r>
      <rPr>
        <sz val="8.5"/>
        <rFont val="Calibri"/>
        <family val="2"/>
      </rPr>
      <t xml:space="preserve">Placa de sinalização tátil em poliestireno com alto relevo em braile, para
</t>
    </r>
    <r>
      <rPr>
        <sz val="8.5"/>
        <rFont val="Calibri"/>
        <family val="2"/>
      </rPr>
      <t>identificação de pavimentos</t>
    </r>
  </si>
  <si>
    <r>
      <rPr>
        <sz val="8.5"/>
        <rFont val="Calibri"/>
        <family val="2"/>
      </rPr>
      <t>16,26</t>
    </r>
  </si>
  <si>
    <r>
      <rPr>
        <sz val="8.5"/>
        <rFont val="Calibri"/>
        <family val="2"/>
      </rPr>
      <t>19,16</t>
    </r>
  </si>
  <si>
    <r>
      <rPr>
        <sz val="8.5"/>
        <rFont val="Calibri"/>
        <family val="2"/>
      </rPr>
      <t>Aparelhos sanitarios</t>
    </r>
  </si>
  <si>
    <r>
      <rPr>
        <sz val="8.5"/>
        <rFont val="Calibri"/>
        <family val="2"/>
      </rPr>
      <t>30.08.030</t>
    </r>
  </si>
  <si>
    <r>
      <rPr>
        <sz val="8.5"/>
        <rFont val="Calibri"/>
        <family val="2"/>
      </rPr>
      <t xml:space="preserve">Assento articulado para banho, em alumínio com pintura epóxi de 700 x
</t>
    </r>
    <r>
      <rPr>
        <sz val="8.5"/>
        <rFont val="Calibri"/>
        <family val="2"/>
      </rPr>
      <t>450 mm</t>
    </r>
  </si>
  <si>
    <r>
      <rPr>
        <sz val="8.5"/>
        <rFont val="Calibri"/>
        <family val="2"/>
      </rPr>
      <t>715,02</t>
    </r>
  </si>
  <si>
    <r>
      <rPr>
        <sz val="8.5"/>
        <rFont val="Calibri"/>
        <family val="2"/>
      </rPr>
      <t>718,65</t>
    </r>
  </si>
  <si>
    <r>
      <rPr>
        <sz val="8.5"/>
        <rFont val="Calibri"/>
        <family val="2"/>
      </rPr>
      <t>30.08.040</t>
    </r>
  </si>
  <si>
    <r>
      <rPr>
        <sz val="8.5"/>
        <rFont val="Calibri"/>
        <family val="2"/>
      </rPr>
      <t xml:space="preserve">Lavatório de louça para canto sem coluna para pessoas com mobilidade
</t>
    </r>
    <r>
      <rPr>
        <sz val="8.5"/>
        <rFont val="Calibri"/>
        <family val="2"/>
      </rPr>
      <t>reduzida</t>
    </r>
  </si>
  <si>
    <r>
      <rPr>
        <sz val="8.5"/>
        <rFont val="Calibri"/>
        <family val="2"/>
      </rPr>
      <t>1.195,35</t>
    </r>
  </si>
  <si>
    <r>
      <rPr>
        <sz val="8.5"/>
        <rFont val="Calibri"/>
        <family val="2"/>
      </rPr>
      <t>1.246,26</t>
    </r>
  </si>
  <si>
    <r>
      <rPr>
        <sz val="8.5"/>
        <rFont val="Calibri"/>
        <family val="2"/>
      </rPr>
      <t>30.08.050</t>
    </r>
  </si>
  <si>
    <r>
      <rPr>
        <sz val="8.5"/>
        <rFont val="Calibri"/>
        <family val="2"/>
      </rPr>
      <t xml:space="preserve">Trocador acessível em MDF com revestimento em laminado melamínico
</t>
    </r>
    <r>
      <rPr>
        <sz val="8.5"/>
        <rFont val="Calibri"/>
        <family val="2"/>
      </rPr>
      <t>de 180x80cm</t>
    </r>
  </si>
  <si>
    <r>
      <rPr>
        <sz val="8.5"/>
        <rFont val="Calibri"/>
        <family val="2"/>
      </rPr>
      <t>2.627,27</t>
    </r>
  </si>
  <si>
    <r>
      <rPr>
        <sz val="8.5"/>
        <rFont val="Calibri"/>
        <family val="2"/>
      </rPr>
      <t>261,58</t>
    </r>
  </si>
  <si>
    <r>
      <rPr>
        <sz val="8.5"/>
        <rFont val="Calibri"/>
        <family val="2"/>
      </rPr>
      <t>2.888,85</t>
    </r>
  </si>
  <si>
    <r>
      <rPr>
        <sz val="8.5"/>
        <rFont val="Calibri"/>
        <family val="2"/>
      </rPr>
      <t>30.08.060</t>
    </r>
  </si>
  <si>
    <r>
      <rPr>
        <sz val="8.5"/>
        <rFont val="Calibri"/>
        <family val="2"/>
      </rPr>
      <t xml:space="preserve">Bacia sifonada de louça para pessoas com mobilidade reduzida -
</t>
    </r>
    <r>
      <rPr>
        <sz val="8.5"/>
        <rFont val="Calibri"/>
        <family val="2"/>
      </rPr>
      <t>capacidade de 6 litros</t>
    </r>
  </si>
  <si>
    <r>
      <rPr>
        <sz val="8.5"/>
        <rFont val="Calibri"/>
        <family val="2"/>
      </rPr>
      <t>740,30</t>
    </r>
  </si>
  <si>
    <r>
      <rPr>
        <sz val="8.5"/>
        <rFont val="Calibri"/>
        <family val="2"/>
      </rPr>
      <t>43,65</t>
    </r>
  </si>
  <si>
    <r>
      <rPr>
        <sz val="8.5"/>
        <rFont val="Calibri"/>
        <family val="2"/>
      </rPr>
      <t>783,95</t>
    </r>
  </si>
  <si>
    <r>
      <rPr>
        <sz val="8.5"/>
        <rFont val="Calibri"/>
        <family val="2"/>
      </rPr>
      <t>Elevador e plataforma</t>
    </r>
  </si>
  <si>
    <r>
      <rPr>
        <sz val="8.5"/>
        <rFont val="Calibri"/>
        <family val="2"/>
      </rPr>
      <t>30.14.010</t>
    </r>
  </si>
  <si>
    <r>
      <rPr>
        <sz val="8.5"/>
        <rFont val="Calibri"/>
        <family val="2"/>
      </rPr>
      <t>Elevador de uso restrito a pessoas com mobilidade reduzida com 02 paradas, capacidade de 225 kg - uso interno em alvenaria</t>
    </r>
  </si>
  <si>
    <r>
      <rPr>
        <sz val="8.5"/>
        <rFont val="Calibri"/>
        <family val="2"/>
      </rPr>
      <t>117.011,70</t>
    </r>
  </si>
  <si>
    <r>
      <rPr>
        <sz val="8.5"/>
        <rFont val="Calibri"/>
        <family val="2"/>
      </rPr>
      <t>30.14.020</t>
    </r>
  </si>
  <si>
    <r>
      <rPr>
        <sz val="8.5"/>
        <rFont val="Calibri"/>
        <family val="2"/>
      </rPr>
      <t>Elevador de uso restrito a pessoas com mobilidade reduzida com 03 paradas, capacidade de 225 kg - uso interno em alvenaria</t>
    </r>
  </si>
  <si>
    <r>
      <rPr>
        <sz val="8.5"/>
        <rFont val="Calibri"/>
        <family val="2"/>
      </rPr>
      <t>148.159,47</t>
    </r>
  </si>
  <si>
    <r>
      <rPr>
        <sz val="8.5"/>
        <rFont val="Calibri"/>
        <family val="2"/>
      </rPr>
      <t>30.14.030</t>
    </r>
  </si>
  <si>
    <r>
      <rPr>
        <sz val="8.5"/>
        <rFont val="Calibri"/>
        <family val="2"/>
      </rPr>
      <t xml:space="preserve">Plataforma para elevação até 2,00 m, nas dimensões de 900 x 1400 mm,
</t>
    </r>
    <r>
      <rPr>
        <sz val="8.5"/>
        <rFont val="Calibri"/>
        <family val="2"/>
      </rPr>
      <t>capacidade de 250 kg- percurso até 1,00 m de altura</t>
    </r>
  </si>
  <si>
    <r>
      <rPr>
        <sz val="8.5"/>
        <rFont val="Calibri"/>
        <family val="2"/>
      </rPr>
      <t>44.245,00</t>
    </r>
  </si>
  <si>
    <r>
      <rPr>
        <sz val="8.5"/>
        <rFont val="Calibri"/>
        <family val="2"/>
      </rPr>
      <t>30.14.040</t>
    </r>
  </si>
  <si>
    <r>
      <rPr>
        <sz val="8.5"/>
        <rFont val="Calibri"/>
        <family val="2"/>
      </rPr>
      <t>Plataforma para elevação até 2,00 m, nas dimensões de 900 x 1400 mm, capacidade de 250 kg - percurso superior a 1,00 m de altura</t>
    </r>
  </si>
  <si>
    <r>
      <rPr>
        <sz val="8.5"/>
        <rFont val="Calibri"/>
        <family val="2"/>
      </rPr>
      <t>43.815,36</t>
    </r>
  </si>
  <si>
    <r>
      <rPr>
        <sz val="8.5"/>
        <rFont val="Calibri"/>
        <family val="2"/>
      </rPr>
      <t>IMPERMEABILIZACAO, PROTECAO E JUNTA</t>
    </r>
  </si>
  <si>
    <r>
      <rPr>
        <sz val="8.5"/>
        <rFont val="Calibri"/>
        <family val="2"/>
      </rPr>
      <t>Isolamentos termicos / acusticos</t>
    </r>
  </si>
  <si>
    <r>
      <rPr>
        <sz val="8.5"/>
        <rFont val="Calibri"/>
        <family val="2"/>
      </rPr>
      <t>32.06.010</t>
    </r>
  </si>
  <si>
    <r>
      <rPr>
        <sz val="8.5"/>
        <rFont val="Calibri"/>
        <family val="2"/>
      </rPr>
      <t>Lã de vidro e/ou lã de rocha com espessura de 1´</t>
    </r>
  </si>
  <si>
    <r>
      <rPr>
        <sz val="8.5"/>
        <rFont val="Calibri"/>
        <family val="2"/>
      </rPr>
      <t>18,92</t>
    </r>
  </si>
  <si>
    <r>
      <rPr>
        <sz val="8.5"/>
        <rFont val="Calibri"/>
        <family val="2"/>
      </rPr>
      <t>21,82</t>
    </r>
  </si>
  <si>
    <r>
      <rPr>
        <sz val="8.5"/>
        <rFont val="Calibri"/>
        <family val="2"/>
      </rPr>
      <t>32.06.030</t>
    </r>
  </si>
  <si>
    <r>
      <rPr>
        <sz val="8.5"/>
        <rFont val="Calibri"/>
        <family val="2"/>
      </rPr>
      <t>Lã de vidro e/ou lã de rocha com espessura de 2´</t>
    </r>
  </si>
  <si>
    <r>
      <rPr>
        <sz val="8.5"/>
        <rFont val="Calibri"/>
        <family val="2"/>
      </rPr>
      <t>24,02</t>
    </r>
  </si>
  <si>
    <r>
      <rPr>
        <sz val="8.5"/>
        <rFont val="Calibri"/>
        <family val="2"/>
      </rPr>
      <t>26,92</t>
    </r>
  </si>
  <si>
    <r>
      <rPr>
        <sz val="8.5"/>
        <rFont val="Calibri"/>
        <family val="2"/>
      </rPr>
      <t>32.06.120</t>
    </r>
  </si>
  <si>
    <r>
      <rPr>
        <sz val="8.5"/>
        <rFont val="Calibri"/>
        <family val="2"/>
      </rPr>
      <t>Argila expandida</t>
    </r>
  </si>
  <si>
    <r>
      <rPr>
        <sz val="8.5"/>
        <rFont val="Calibri"/>
        <family val="2"/>
      </rPr>
      <t>347,59</t>
    </r>
  </si>
  <si>
    <r>
      <rPr>
        <sz val="8.5"/>
        <rFont val="Calibri"/>
        <family val="2"/>
      </rPr>
      <t>40,66</t>
    </r>
  </si>
  <si>
    <r>
      <rPr>
        <sz val="8.5"/>
        <rFont val="Calibri"/>
        <family val="2"/>
      </rPr>
      <t>388,25</t>
    </r>
  </si>
  <si>
    <r>
      <rPr>
        <sz val="8.5"/>
        <rFont val="Calibri"/>
        <family val="2"/>
      </rPr>
      <t>32.06.130</t>
    </r>
  </si>
  <si>
    <r>
      <rPr>
        <sz val="8.5"/>
        <rFont val="Calibri"/>
        <family val="2"/>
      </rPr>
      <t xml:space="preserve">Espuma flexível de poliuretano poliéter/poliéster para absorção acústica,
</t>
    </r>
    <r>
      <rPr>
        <sz val="8.5"/>
        <rFont val="Calibri"/>
        <family val="2"/>
      </rPr>
      <t>espessura de 50 mm</t>
    </r>
  </si>
  <si>
    <r>
      <rPr>
        <sz val="8.5"/>
        <rFont val="Calibri"/>
        <family val="2"/>
      </rPr>
      <t>108,54</t>
    </r>
  </si>
  <si>
    <r>
      <rPr>
        <sz val="8.5"/>
        <rFont val="Calibri"/>
        <family val="2"/>
      </rPr>
      <t>5,34</t>
    </r>
  </si>
  <si>
    <r>
      <rPr>
        <sz val="8.5"/>
        <rFont val="Calibri"/>
        <family val="2"/>
      </rPr>
      <t>113,88</t>
    </r>
  </si>
  <si>
    <r>
      <rPr>
        <sz val="8.5"/>
        <rFont val="Calibri"/>
        <family val="2"/>
      </rPr>
      <t>32.06.151</t>
    </r>
  </si>
  <si>
    <r>
      <rPr>
        <sz val="8.5"/>
        <rFont val="Calibri"/>
        <family val="2"/>
      </rPr>
      <t>Lâmina refletiva revestida com dupla face em alumínio, dupla malha de reforço e laminação entre camadas, para isolação térmica</t>
    </r>
  </si>
  <si>
    <r>
      <rPr>
        <sz val="8.5"/>
        <rFont val="Calibri"/>
        <family val="2"/>
      </rPr>
      <t>16,61</t>
    </r>
  </si>
  <si>
    <r>
      <rPr>
        <sz val="8.5"/>
        <rFont val="Calibri"/>
        <family val="2"/>
      </rPr>
      <t>7,89</t>
    </r>
  </si>
  <si>
    <r>
      <rPr>
        <sz val="8.5"/>
        <rFont val="Calibri"/>
        <family val="2"/>
      </rPr>
      <t>24,50</t>
    </r>
  </si>
  <si>
    <r>
      <rPr>
        <sz val="8.5"/>
        <rFont val="Calibri"/>
        <family val="2"/>
      </rPr>
      <t>32.06.231</t>
    </r>
  </si>
  <si>
    <r>
      <rPr>
        <sz val="8.5"/>
        <rFont val="Calibri"/>
        <family val="2"/>
      </rPr>
      <t>Película de controle solar refletiva na cor prata, para aplicação em vidros</t>
    </r>
  </si>
  <si>
    <r>
      <rPr>
        <sz val="8.5"/>
        <rFont val="Calibri"/>
        <family val="2"/>
      </rPr>
      <t>94,78</t>
    </r>
  </si>
  <si>
    <r>
      <rPr>
        <sz val="8.5"/>
        <rFont val="Calibri"/>
        <family val="2"/>
      </rPr>
      <t>32.06.380</t>
    </r>
  </si>
  <si>
    <r>
      <rPr>
        <sz val="8.5"/>
        <rFont val="Calibri"/>
        <family val="2"/>
      </rPr>
      <t xml:space="preserve">Isolamento acústico em placas de espuma semirrígida, com uma camada
</t>
    </r>
    <r>
      <rPr>
        <sz val="8.5"/>
        <rFont val="Calibri"/>
        <family val="2"/>
      </rPr>
      <t>de manta HD, espessura de 50 mm</t>
    </r>
  </si>
  <si>
    <r>
      <rPr>
        <sz val="8.5"/>
        <rFont val="Calibri"/>
        <family val="2"/>
      </rPr>
      <t>784,24</t>
    </r>
  </si>
  <si>
    <r>
      <rPr>
        <sz val="8.5"/>
        <rFont val="Calibri"/>
        <family val="2"/>
      </rPr>
      <t>32.06.396</t>
    </r>
  </si>
  <si>
    <r>
      <rPr>
        <sz val="8.5"/>
        <rFont val="Calibri"/>
        <family val="2"/>
      </rPr>
      <t xml:space="preserve">Manta termoacústica em fibra cerâmica aluminizada, espessura de 38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</si>
  <si>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85,33</t>
    </r>
  </si>
  <si>
    <r>
      <rPr>
        <sz val="8.5"/>
        <rFont val="Calibri"/>
        <family val="2"/>
      </rPr>
      <t>107,16</t>
    </r>
  </si>
  <si>
    <r>
      <rPr>
        <sz val="8.5"/>
        <rFont val="Calibri"/>
        <family val="2"/>
      </rPr>
      <t>32.06.400</t>
    </r>
  </si>
  <si>
    <r>
      <rPr>
        <sz val="8.5"/>
        <rFont val="Calibri"/>
        <family val="2"/>
      </rPr>
      <t>Isolamento acústico em placas de espuma semirrígida incombustível, com superfície em cunhas anecóicas, espessura de 50 mm</t>
    </r>
  </si>
  <si>
    <r>
      <rPr>
        <sz val="8.5"/>
        <rFont val="Calibri"/>
        <family val="2"/>
      </rPr>
      <t>378,13</t>
    </r>
  </si>
  <si>
    <r>
      <rPr>
        <sz val="8.5"/>
        <rFont val="Calibri"/>
        <family val="2"/>
      </rPr>
      <t>Junta de dilatacao</t>
    </r>
  </si>
  <si>
    <r>
      <rPr>
        <sz val="8.5"/>
        <rFont val="Calibri"/>
        <family val="2"/>
      </rPr>
      <t>32.07.040</t>
    </r>
  </si>
  <si>
    <r>
      <rPr>
        <sz val="8.5"/>
        <rFont val="Calibri"/>
        <family val="2"/>
      </rPr>
      <t>Junta plástica de 3/4´ x 1/8´</t>
    </r>
  </si>
  <si>
    <r>
      <rPr>
        <sz val="8.5"/>
        <rFont val="Calibri"/>
        <family val="2"/>
      </rPr>
      <t>6,82</t>
    </r>
  </si>
  <si>
    <r>
      <rPr>
        <sz val="8.5"/>
        <rFont val="Calibri"/>
        <family val="2"/>
      </rPr>
      <t>32.07.060</t>
    </r>
  </si>
  <si>
    <r>
      <rPr>
        <sz val="8.5"/>
        <rFont val="Calibri"/>
        <family val="2"/>
      </rPr>
      <t>Junta de latão bitola de 1/8´</t>
    </r>
  </si>
  <si>
    <r>
      <rPr>
        <sz val="8.5"/>
        <rFont val="Calibri"/>
        <family val="2"/>
      </rPr>
      <t>78,00</t>
    </r>
  </si>
  <si>
    <r>
      <rPr>
        <sz val="8.5"/>
        <rFont val="Calibri"/>
        <family val="2"/>
      </rPr>
      <t>83,47</t>
    </r>
  </si>
  <si>
    <r>
      <rPr>
        <sz val="8.5"/>
        <rFont val="Calibri"/>
        <family val="2"/>
      </rPr>
      <t>32.07.090</t>
    </r>
  </si>
  <si>
    <r>
      <rPr>
        <sz val="8.5"/>
        <rFont val="Calibri"/>
        <family val="2"/>
      </rPr>
      <t xml:space="preserve">Junta de dilatação ou vedação com mastique de silicone, 1,0 x 0,5 cm -
</t>
    </r>
    <r>
      <rPr>
        <sz val="8.5"/>
        <rFont val="Calibri"/>
        <family val="2"/>
      </rPr>
      <t>inclusive guia de apoio em polietileno</t>
    </r>
  </si>
  <si>
    <r>
      <rPr>
        <sz val="8.5"/>
        <rFont val="Calibri"/>
        <family val="2"/>
      </rPr>
      <t>2,21</t>
    </r>
  </si>
  <si>
    <r>
      <rPr>
        <sz val="8.5"/>
        <rFont val="Calibri"/>
        <family val="2"/>
      </rPr>
      <t>7,19</t>
    </r>
  </si>
  <si>
    <r>
      <rPr>
        <sz val="8.5"/>
        <rFont val="Calibri"/>
        <family val="2"/>
      </rPr>
      <t>32.07.110</t>
    </r>
  </si>
  <si>
    <r>
      <rPr>
        <sz val="8.5"/>
        <rFont val="Calibri"/>
        <family val="2"/>
      </rPr>
      <t>Junta a base de asfalto oxidado a quente</t>
    </r>
  </si>
  <si>
    <r>
      <rPr>
        <sz val="8.5"/>
        <rFont val="Calibri"/>
        <family val="2"/>
      </rPr>
      <t>CM3</t>
    </r>
  </si>
  <si>
    <r>
      <rPr>
        <sz val="8.5"/>
        <rFont val="Calibri"/>
        <family val="2"/>
      </rPr>
      <t>0,04</t>
    </r>
  </si>
  <si>
    <r>
      <rPr>
        <sz val="8.5"/>
        <rFont val="Calibri"/>
        <family val="2"/>
      </rPr>
      <t>32.07.120</t>
    </r>
  </si>
  <si>
    <r>
      <rPr>
        <sz val="8.5"/>
        <rFont val="Calibri"/>
        <family val="2"/>
      </rPr>
      <t>Mangueira plástica flexível para junta de dilatação</t>
    </r>
  </si>
  <si>
    <r>
      <rPr>
        <sz val="8.5"/>
        <rFont val="Calibri"/>
        <family val="2"/>
      </rPr>
      <t>6,74</t>
    </r>
  </si>
  <si>
    <r>
      <rPr>
        <sz val="8.5"/>
        <rFont val="Calibri"/>
        <family val="2"/>
      </rPr>
      <t>10,27</t>
    </r>
  </si>
  <si>
    <r>
      <rPr>
        <sz val="8.5"/>
        <rFont val="Calibri"/>
        <family val="2"/>
      </rPr>
      <t>32.07.160</t>
    </r>
  </si>
  <si>
    <r>
      <rPr>
        <sz val="8.5"/>
        <rFont val="Calibri"/>
        <family val="2"/>
      </rPr>
      <t>Junta de dilatação elástica a base de poliuretano</t>
    </r>
  </si>
  <si>
    <r>
      <rPr>
        <sz val="8.5"/>
        <rFont val="Calibri"/>
        <family val="2"/>
      </rPr>
      <t>0,14</t>
    </r>
  </si>
  <si>
    <r>
      <rPr>
        <sz val="8.5"/>
        <rFont val="Calibri"/>
        <family val="2"/>
      </rPr>
      <t>32.07.230</t>
    </r>
  </si>
  <si>
    <r>
      <rPr>
        <sz val="8.5"/>
        <rFont val="Calibri"/>
        <family val="2"/>
      </rPr>
      <t xml:space="preserve">Perfil de acabamento com borracha termoplástica vulcanizada contínua
</t>
    </r>
    <r>
      <rPr>
        <sz val="8.5"/>
        <rFont val="Calibri"/>
        <family val="2"/>
      </rPr>
      <t>flexível, para junta de dilatação de embutir - piso-piso</t>
    </r>
  </si>
  <si>
    <r>
      <rPr>
        <sz val="8.5"/>
        <rFont val="Calibri"/>
        <family val="2"/>
      </rPr>
      <t>264,78</t>
    </r>
  </si>
  <si>
    <r>
      <rPr>
        <sz val="8.5"/>
        <rFont val="Calibri"/>
        <family val="2"/>
      </rPr>
      <t>267,99</t>
    </r>
  </si>
  <si>
    <r>
      <rPr>
        <sz val="8.5"/>
        <rFont val="Calibri"/>
        <family val="2"/>
      </rPr>
      <t>32.07.240</t>
    </r>
  </si>
  <si>
    <r>
      <rPr>
        <sz val="8.5"/>
        <rFont val="Calibri"/>
        <family val="2"/>
      </rPr>
      <t>Perfil de acabamento com borracha termoplástica vulcanizada contínua flexível, para junta de dilatação de embutir - piso-parede</t>
    </r>
  </si>
  <si>
    <r>
      <rPr>
        <sz val="8.5"/>
        <rFont val="Calibri"/>
        <family val="2"/>
      </rPr>
      <t>225,91</t>
    </r>
  </si>
  <si>
    <r>
      <rPr>
        <sz val="8.5"/>
        <rFont val="Calibri"/>
        <family val="2"/>
      </rPr>
      <t>229,12</t>
    </r>
  </si>
  <si>
    <r>
      <rPr>
        <sz val="8.5"/>
        <rFont val="Calibri"/>
        <family val="2"/>
      </rPr>
      <t>32.07.250</t>
    </r>
  </si>
  <si>
    <r>
      <rPr>
        <sz val="8.5"/>
        <rFont val="Calibri"/>
        <family val="2"/>
      </rPr>
      <t xml:space="preserve">Perfil de acabamento com borracha termoplástica vulcanizada contínua flexível, para junta de dilatação de embutir - parede-parede ou forro-
</t>
    </r>
    <r>
      <rPr>
        <sz val="8.5"/>
        <rFont val="Calibri"/>
        <family val="2"/>
      </rPr>
      <t>forro</t>
    </r>
  </si>
  <si>
    <r>
      <rPr>
        <sz val="8.5"/>
        <rFont val="Calibri"/>
        <family val="2"/>
      </rPr>
      <t>139,79</t>
    </r>
  </si>
  <si>
    <r>
      <rPr>
        <sz val="8.5"/>
        <rFont val="Calibri"/>
        <family val="2"/>
      </rPr>
      <t>143,00</t>
    </r>
  </si>
  <si>
    <r>
      <rPr>
        <sz val="8.5"/>
        <rFont val="Calibri"/>
        <family val="2"/>
      </rPr>
      <t>32.07.260</t>
    </r>
  </si>
  <si>
    <r>
      <rPr>
        <sz val="8.5"/>
        <rFont val="Calibri"/>
        <family val="2"/>
      </rPr>
      <t xml:space="preserve">Perfil de acabamento com borracha termoplástica vulcanizada contínua flexível, para junta de dilatação de embutir - parede-parede ou forro-
</t>
    </r>
    <r>
      <rPr>
        <sz val="8.5"/>
        <rFont val="Calibri"/>
        <family val="2"/>
      </rPr>
      <t>forro - canto</t>
    </r>
  </si>
  <si>
    <r>
      <rPr>
        <sz val="8.5"/>
        <rFont val="Calibri"/>
        <family val="2"/>
      </rPr>
      <t>134,37</t>
    </r>
  </si>
  <si>
    <r>
      <rPr>
        <sz val="8.5"/>
        <rFont val="Calibri"/>
        <family val="2"/>
      </rPr>
      <t>137,58</t>
    </r>
  </si>
  <si>
    <r>
      <rPr>
        <sz val="8.5"/>
        <rFont val="Calibri"/>
        <family val="2"/>
      </rPr>
      <t>Junta de dilatacao estrutural</t>
    </r>
  </si>
  <si>
    <r>
      <rPr>
        <sz val="8.5"/>
        <rFont val="Calibri"/>
        <family val="2"/>
      </rPr>
      <t>32.08.010</t>
    </r>
  </si>
  <si>
    <r>
      <rPr>
        <sz val="8.5"/>
        <rFont val="Calibri"/>
        <family val="2"/>
      </rPr>
      <t xml:space="preserve">Junta estrutural com poliestireno expandido de alta densidade P-III,
</t>
    </r>
    <r>
      <rPr>
        <sz val="8.5"/>
        <rFont val="Calibri"/>
        <family val="2"/>
      </rPr>
      <t>espessura de 10 mm</t>
    </r>
  </si>
  <si>
    <r>
      <rPr>
        <sz val="8.5"/>
        <rFont val="Calibri"/>
        <family val="2"/>
      </rPr>
      <t>8,90</t>
    </r>
  </si>
  <si>
    <r>
      <rPr>
        <sz val="8.5"/>
        <rFont val="Calibri"/>
        <family val="2"/>
      </rPr>
      <t>11,08</t>
    </r>
  </si>
  <si>
    <r>
      <rPr>
        <sz val="8.5"/>
        <rFont val="Calibri"/>
        <family val="2"/>
      </rPr>
      <t>32.08.030</t>
    </r>
  </si>
  <si>
    <r>
      <rPr>
        <sz val="8.5"/>
        <rFont val="Calibri"/>
        <family val="2"/>
      </rPr>
      <t xml:space="preserve">Junta estrutural com poliestireno expandido de alta densidade P-III,
</t>
    </r>
    <r>
      <rPr>
        <sz val="8.5"/>
        <rFont val="Calibri"/>
        <family val="2"/>
      </rPr>
      <t>espessura de 20 mm</t>
    </r>
  </si>
  <si>
    <r>
      <rPr>
        <sz val="8.5"/>
        <rFont val="Calibri"/>
        <family val="2"/>
      </rPr>
      <t>15,31</t>
    </r>
  </si>
  <si>
    <r>
      <rPr>
        <sz val="8.5"/>
        <rFont val="Calibri"/>
        <family val="2"/>
      </rPr>
      <t>17,49</t>
    </r>
  </si>
  <si>
    <r>
      <rPr>
        <sz val="8.5"/>
        <rFont val="Calibri"/>
        <family val="2"/>
      </rPr>
      <t>32.08.050</t>
    </r>
  </si>
  <si>
    <r>
      <rPr>
        <sz val="8.5"/>
        <rFont val="Calibri"/>
        <family val="2"/>
      </rPr>
      <t>Junta estrutural com perfilado termoplástico em PVC, perfil O-12</t>
    </r>
  </si>
  <si>
    <r>
      <rPr>
        <sz val="8.5"/>
        <rFont val="Calibri"/>
        <family val="2"/>
      </rPr>
      <t>14,94</t>
    </r>
  </si>
  <si>
    <r>
      <rPr>
        <sz val="8.5"/>
        <rFont val="Calibri"/>
        <family val="2"/>
      </rPr>
      <t>58,59</t>
    </r>
  </si>
  <si>
    <r>
      <rPr>
        <sz val="8.5"/>
        <rFont val="Calibri"/>
        <family val="2"/>
      </rPr>
      <t>32.08.060</t>
    </r>
  </si>
  <si>
    <r>
      <rPr>
        <sz val="8.5"/>
        <rFont val="Calibri"/>
        <family val="2"/>
      </rPr>
      <t>Junta estrutural com perfilado termoplástico em PVC, perfil O-22</t>
    </r>
  </si>
  <si>
    <r>
      <rPr>
        <sz val="8.5"/>
        <rFont val="Calibri"/>
        <family val="2"/>
      </rPr>
      <t>89,69</t>
    </r>
  </si>
  <si>
    <r>
      <rPr>
        <sz val="8.5"/>
        <rFont val="Calibri"/>
        <family val="2"/>
      </rPr>
      <t>104,63</t>
    </r>
  </si>
  <si>
    <r>
      <rPr>
        <sz val="8.5"/>
        <rFont val="Calibri"/>
        <family val="2"/>
      </rPr>
      <t>32.08.070</t>
    </r>
  </si>
  <si>
    <r>
      <rPr>
        <sz val="8.5"/>
        <rFont val="Calibri"/>
        <family val="2"/>
      </rPr>
      <t xml:space="preserve">Junta estrutural com perfil elastomérico para fissuras, painéis e
</t>
    </r>
    <r>
      <rPr>
        <sz val="8.5"/>
        <rFont val="Calibri"/>
        <family val="2"/>
      </rPr>
      <t>estruturas em geral, movimentação máxima 15 mm</t>
    </r>
  </si>
  <si>
    <r>
      <rPr>
        <sz val="8.5"/>
        <rFont val="Calibri"/>
        <family val="2"/>
      </rPr>
      <t>152,15</t>
    </r>
  </si>
  <si>
    <r>
      <rPr>
        <sz val="8.5"/>
        <rFont val="Calibri"/>
        <family val="2"/>
      </rPr>
      <t>32.08.090</t>
    </r>
  </si>
  <si>
    <r>
      <rPr>
        <sz val="8.5"/>
        <rFont val="Calibri"/>
        <family val="2"/>
      </rPr>
      <t xml:space="preserve">Junta estrutural com perfil elastomérico para fissuras, painéis e
</t>
    </r>
    <r>
      <rPr>
        <sz val="8.5"/>
        <rFont val="Calibri"/>
        <family val="2"/>
      </rPr>
      <t>estruturas em geral, movimentação máxima 30 mm</t>
    </r>
  </si>
  <si>
    <r>
      <rPr>
        <sz val="8.5"/>
        <rFont val="Calibri"/>
        <family val="2"/>
      </rPr>
      <t>322,61</t>
    </r>
  </si>
  <si>
    <r>
      <rPr>
        <sz val="8.5"/>
        <rFont val="Calibri"/>
        <family val="2"/>
      </rPr>
      <t>32.08.110</t>
    </r>
  </si>
  <si>
    <r>
      <rPr>
        <sz val="8.5"/>
        <rFont val="Calibri"/>
        <family val="2"/>
      </rPr>
      <t xml:space="preserve">Junta estrutural com perfil elastomérico e lábios poliméricos para obras
</t>
    </r>
    <r>
      <rPr>
        <sz val="8.5"/>
        <rFont val="Calibri"/>
        <family val="2"/>
      </rPr>
      <t>de arte, movimentação máxima 40 mm</t>
    </r>
  </si>
  <si>
    <r>
      <rPr>
        <sz val="8.5"/>
        <rFont val="Calibri"/>
        <family val="2"/>
      </rPr>
      <t>668,53</t>
    </r>
  </si>
  <si>
    <r>
      <rPr>
        <sz val="8.5"/>
        <rFont val="Calibri"/>
        <family val="2"/>
      </rPr>
      <t>675,79</t>
    </r>
  </si>
  <si>
    <r>
      <rPr>
        <sz val="8.5"/>
        <rFont val="Calibri"/>
        <family val="2"/>
      </rPr>
      <t>32.08.130</t>
    </r>
  </si>
  <si>
    <r>
      <rPr>
        <sz val="8.5"/>
        <rFont val="Calibri"/>
        <family val="2"/>
      </rPr>
      <t xml:space="preserve">Junta estrutural com perfil elastomérico e lábios poliméricos para obras
</t>
    </r>
    <r>
      <rPr>
        <sz val="8.5"/>
        <rFont val="Calibri"/>
        <family val="2"/>
      </rPr>
      <t>de arte, movimentação máxima 55 mm</t>
    </r>
  </si>
  <si>
    <r>
      <rPr>
        <sz val="8.5"/>
        <rFont val="Calibri"/>
        <family val="2"/>
      </rPr>
      <t>990,35</t>
    </r>
  </si>
  <si>
    <r>
      <rPr>
        <sz val="8.5"/>
        <rFont val="Calibri"/>
        <family val="2"/>
      </rPr>
      <t>997,61</t>
    </r>
  </si>
  <si>
    <r>
      <rPr>
        <sz val="8.5"/>
        <rFont val="Calibri"/>
        <family val="2"/>
      </rPr>
      <t>32.08.160</t>
    </r>
  </si>
  <si>
    <r>
      <rPr>
        <sz val="8.5"/>
        <rFont val="Calibri"/>
        <family val="2"/>
      </rPr>
      <t>Junta elástica estrutural de neoprene</t>
    </r>
  </si>
  <si>
    <r>
      <rPr>
        <sz val="8.5"/>
        <rFont val="Calibri"/>
        <family val="2"/>
      </rPr>
      <t>224,00</t>
    </r>
  </si>
  <si>
    <r>
      <rPr>
        <sz val="8.5"/>
        <rFont val="Calibri"/>
        <family val="2"/>
      </rPr>
      <t>Apoios e afins</t>
    </r>
  </si>
  <si>
    <r>
      <rPr>
        <sz val="8.5"/>
        <rFont val="Calibri"/>
        <family val="2"/>
      </rPr>
      <t>32.09.020</t>
    </r>
  </si>
  <si>
    <r>
      <rPr>
        <sz val="8.5"/>
        <rFont val="Calibri"/>
        <family val="2"/>
      </rPr>
      <t>Chapa de aço em bitolas medias</t>
    </r>
  </si>
  <si>
    <r>
      <rPr>
        <sz val="8.5"/>
        <rFont val="Calibri"/>
        <family val="2"/>
      </rPr>
      <t>11,28</t>
    </r>
  </si>
  <si>
    <r>
      <rPr>
        <sz val="8.5"/>
        <rFont val="Calibri"/>
        <family val="2"/>
      </rPr>
      <t>20,93</t>
    </r>
  </si>
  <si>
    <r>
      <rPr>
        <sz val="8.5"/>
        <rFont val="Calibri"/>
        <family val="2"/>
      </rPr>
      <t>32.09.040</t>
    </r>
  </si>
  <si>
    <r>
      <rPr>
        <sz val="8.5"/>
        <rFont val="Calibri"/>
        <family val="2"/>
      </rPr>
      <t>Apoio em placa de neoprene fretado</t>
    </r>
  </si>
  <si>
    <r>
      <rPr>
        <sz val="8.5"/>
        <rFont val="Calibri"/>
        <family val="2"/>
      </rPr>
      <t>DM3</t>
    </r>
  </si>
  <si>
    <r>
      <rPr>
        <sz val="8.5"/>
        <rFont val="Calibri"/>
        <family val="2"/>
      </rPr>
      <t>134,02</t>
    </r>
  </si>
  <si>
    <r>
      <rPr>
        <sz val="8.5"/>
        <rFont val="Calibri"/>
        <family val="2"/>
      </rPr>
      <t>140,45</t>
    </r>
  </si>
  <si>
    <r>
      <rPr>
        <sz val="8.5"/>
        <rFont val="Calibri"/>
        <family val="2"/>
      </rPr>
      <t>Envelope de concreto e protecao de tubos</t>
    </r>
  </si>
  <si>
    <r>
      <rPr>
        <sz val="8.5"/>
        <rFont val="Calibri"/>
        <family val="2"/>
      </rPr>
      <t>32.10.050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</si>
  <si>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até 1´</t>
    </r>
  </si>
  <si>
    <r>
      <rPr>
        <sz val="8.5"/>
        <rFont val="Calibri"/>
        <family val="2"/>
      </rPr>
      <t>5,28</t>
    </r>
  </si>
  <si>
    <r>
      <rPr>
        <sz val="8.5"/>
        <rFont val="Calibri"/>
        <family val="2"/>
      </rPr>
      <t>32.10.060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</si>
  <si>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acima de 1´ até 2´</t>
    </r>
  </si>
  <si>
    <r>
      <rPr>
        <sz val="8.5"/>
        <rFont val="Calibri"/>
        <family val="2"/>
      </rPr>
      <t>6,58</t>
    </r>
  </si>
  <si>
    <r>
      <rPr>
        <sz val="8.5"/>
        <rFont val="Calibri"/>
        <family val="2"/>
      </rPr>
      <t>4,01</t>
    </r>
  </si>
  <si>
    <r>
      <rPr>
        <sz val="8.5"/>
        <rFont val="Calibri"/>
        <family val="2"/>
      </rPr>
      <t>10,59</t>
    </r>
  </si>
  <si>
    <r>
      <rPr>
        <sz val="8.5"/>
        <rFont val="Calibri"/>
        <family val="2"/>
      </rPr>
      <t>32.10.070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</si>
  <si>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acima de 2´ até 3´</t>
    </r>
  </si>
  <si>
    <r>
      <rPr>
        <sz val="8.5"/>
        <rFont val="Calibri"/>
        <family val="2"/>
      </rPr>
      <t>9,88</t>
    </r>
  </si>
  <si>
    <r>
      <rPr>
        <sz val="8.5"/>
        <rFont val="Calibri"/>
        <family val="2"/>
      </rPr>
      <t>6,00</t>
    </r>
  </si>
  <si>
    <r>
      <rPr>
        <sz val="8.5"/>
        <rFont val="Calibri"/>
        <family val="2"/>
      </rPr>
      <t>15,88</t>
    </r>
  </si>
  <si>
    <r>
      <rPr>
        <sz val="8.5"/>
        <rFont val="Calibri"/>
        <family val="2"/>
      </rPr>
      <t>32.10.080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</si>
  <si>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acima de 3´ até 4´</t>
    </r>
  </si>
  <si>
    <r>
      <rPr>
        <sz val="8.5"/>
        <rFont val="Calibri"/>
        <family val="2"/>
      </rPr>
      <t>13,18</t>
    </r>
  </si>
  <si>
    <r>
      <rPr>
        <sz val="8.5"/>
        <rFont val="Calibri"/>
        <family val="2"/>
      </rPr>
      <t>8,01</t>
    </r>
  </si>
  <si>
    <r>
      <rPr>
        <sz val="8.5"/>
        <rFont val="Calibri"/>
        <family val="2"/>
      </rPr>
      <t>32.10.082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</si>
  <si>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acima de 5´ até 6´</t>
    </r>
  </si>
  <si>
    <r>
      <rPr>
        <sz val="8.5"/>
        <rFont val="Calibri"/>
        <family val="2"/>
      </rPr>
      <t>19,79</t>
    </r>
  </si>
  <si>
    <r>
      <rPr>
        <sz val="8.5"/>
        <rFont val="Calibri"/>
        <family val="2"/>
      </rPr>
      <t>12,02</t>
    </r>
  </si>
  <si>
    <r>
      <rPr>
        <sz val="8.5"/>
        <rFont val="Calibri"/>
        <family val="2"/>
      </rPr>
      <t>31,81</t>
    </r>
  </si>
  <si>
    <r>
      <rPr>
        <sz val="8.5"/>
        <rFont val="Calibri"/>
        <family val="2"/>
      </rPr>
      <t>32.10.090</t>
    </r>
  </si>
  <si>
    <r>
      <rPr>
        <sz val="8.5"/>
        <rFont val="Calibri"/>
        <family val="2"/>
      </rPr>
      <t xml:space="preserve">Proteção anticorrosiva, com fita adesiva, para ramais sob a terra, com
</t>
    </r>
    <r>
      <rPr>
        <sz val="8.5"/>
        <rFont val="Calibri"/>
        <family val="2"/>
      </rPr>
      <t>DN até 1´</t>
    </r>
  </si>
  <si>
    <r>
      <rPr>
        <sz val="8.5"/>
        <rFont val="Calibri"/>
        <family val="2"/>
      </rPr>
      <t>22,47</t>
    </r>
  </si>
  <si>
    <r>
      <rPr>
        <sz val="8.5"/>
        <rFont val="Calibri"/>
        <family val="2"/>
      </rPr>
      <t>23,68</t>
    </r>
  </si>
  <si>
    <r>
      <rPr>
        <sz val="8.5"/>
        <rFont val="Calibri"/>
        <family val="2"/>
      </rPr>
      <t>32.10.100</t>
    </r>
  </si>
  <si>
    <r>
      <rPr>
        <sz val="8.5"/>
        <rFont val="Calibri"/>
        <family val="2"/>
      </rPr>
      <t xml:space="preserve">Proteção anticorrosiva, com fita adesiva, para ramais sob a terra, com
</t>
    </r>
    <r>
      <rPr>
        <sz val="8.5"/>
        <rFont val="Calibri"/>
        <family val="2"/>
      </rPr>
      <t>DN acima de 1´ até 2´</t>
    </r>
  </si>
  <si>
    <r>
      <rPr>
        <sz val="8.5"/>
        <rFont val="Calibri"/>
        <family val="2"/>
      </rPr>
      <t>40,53</t>
    </r>
  </si>
  <si>
    <r>
      <rPr>
        <sz val="8.5"/>
        <rFont val="Calibri"/>
        <family val="2"/>
      </rPr>
      <t>1,69</t>
    </r>
  </si>
  <si>
    <r>
      <rPr>
        <sz val="8.5"/>
        <rFont val="Calibri"/>
        <family val="2"/>
      </rPr>
      <t>42,22</t>
    </r>
  </si>
  <si>
    <r>
      <rPr>
        <sz val="8.5"/>
        <rFont val="Calibri"/>
        <family val="2"/>
      </rPr>
      <t>32.10.110</t>
    </r>
  </si>
  <si>
    <r>
      <rPr>
        <sz val="8.5"/>
        <rFont val="Calibri"/>
        <family val="2"/>
      </rPr>
      <t xml:space="preserve">Proteção anticorrosiva, com fita adesiva, para ramais sob a terra, com
</t>
    </r>
    <r>
      <rPr>
        <sz val="8.5"/>
        <rFont val="Calibri"/>
        <family val="2"/>
      </rPr>
      <t>DN acima de 2´ até 3´</t>
    </r>
  </si>
  <si>
    <r>
      <rPr>
        <sz val="8.5"/>
        <rFont val="Calibri"/>
        <family val="2"/>
      </rPr>
      <t>68,09</t>
    </r>
  </si>
  <si>
    <r>
      <rPr>
        <sz val="8.5"/>
        <rFont val="Calibri"/>
        <family val="2"/>
      </rPr>
      <t>70,27</t>
    </r>
  </si>
  <si>
    <r>
      <rPr>
        <sz val="8.5"/>
        <rFont val="Calibri"/>
        <family val="2"/>
      </rPr>
      <t>Isolante termico para tubos e dutos</t>
    </r>
  </si>
  <si>
    <r>
      <rPr>
        <sz val="8.5"/>
        <rFont val="Calibri"/>
        <family val="2"/>
      </rPr>
      <t>32.11.150</t>
    </r>
  </si>
  <si>
    <r>
      <rPr>
        <sz val="8.5"/>
        <rFont val="Calibri"/>
        <family val="2"/>
      </rPr>
      <t>Proteção para isolamento térmico em alumínio</t>
    </r>
  </si>
  <si>
    <r>
      <rPr>
        <sz val="8.5"/>
        <rFont val="Calibri"/>
        <family val="2"/>
      </rPr>
      <t>31,14</t>
    </r>
  </si>
  <si>
    <r>
      <rPr>
        <sz val="8.5"/>
        <rFont val="Calibri"/>
        <family val="2"/>
      </rPr>
      <t>39,51</t>
    </r>
  </si>
  <si>
    <r>
      <rPr>
        <sz val="8.5"/>
        <rFont val="Calibri"/>
        <family val="2"/>
      </rPr>
      <t>32.11.200</t>
    </r>
  </si>
  <si>
    <r>
      <rPr>
        <sz val="8.5"/>
        <rFont val="Calibri"/>
        <family val="2"/>
      </rPr>
      <t xml:space="preserve">Isolamento térmico em polietileno expandido, espessura de 5 mm, para
</t>
    </r>
    <r>
      <rPr>
        <sz val="8.5"/>
        <rFont val="Calibri"/>
        <family val="2"/>
      </rPr>
      <t>tubulação de 1/2´ (15 mm)</t>
    </r>
  </si>
  <si>
    <r>
      <rPr>
        <sz val="8.5"/>
        <rFont val="Calibri"/>
        <family val="2"/>
      </rPr>
      <t>1,03</t>
    </r>
  </si>
  <si>
    <r>
      <rPr>
        <sz val="8.5"/>
        <rFont val="Calibri"/>
        <family val="2"/>
      </rPr>
      <t>32.11.210</t>
    </r>
  </si>
  <si>
    <r>
      <rPr>
        <sz val="8.5"/>
        <rFont val="Calibri"/>
        <family val="2"/>
      </rPr>
      <t xml:space="preserve">Isolamento térmico em polietileno expandido, espessura de 5 mm, para
</t>
    </r>
    <r>
      <rPr>
        <sz val="8.5"/>
        <rFont val="Calibri"/>
        <family val="2"/>
      </rPr>
      <t>tubulação de 3/4´ (22 mm)</t>
    </r>
  </si>
  <si>
    <r>
      <rPr>
        <sz val="8.5"/>
        <rFont val="Calibri"/>
        <family val="2"/>
      </rPr>
      <t>9,82</t>
    </r>
  </si>
  <si>
    <r>
      <rPr>
        <sz val="8.5"/>
        <rFont val="Calibri"/>
        <family val="2"/>
      </rPr>
      <t>32.11.220</t>
    </r>
  </si>
  <si>
    <r>
      <rPr>
        <sz val="8.5"/>
        <rFont val="Calibri"/>
        <family val="2"/>
      </rPr>
      <t xml:space="preserve">Isolamento térmico em polietileno expandido, espessura de 5 mm, para
</t>
    </r>
    <r>
      <rPr>
        <sz val="8.5"/>
        <rFont val="Calibri"/>
        <family val="2"/>
      </rPr>
      <t>tubulação de 1´ (28 mm)</t>
    </r>
  </si>
  <si>
    <r>
      <rPr>
        <sz val="8.5"/>
        <rFont val="Calibri"/>
        <family val="2"/>
      </rPr>
      <t>1,80</t>
    </r>
  </si>
  <si>
    <r>
      <rPr>
        <sz val="8.5"/>
        <rFont val="Calibri"/>
        <family val="2"/>
      </rPr>
      <t>10,17</t>
    </r>
  </si>
  <si>
    <r>
      <rPr>
        <sz val="8.5"/>
        <rFont val="Calibri"/>
        <family val="2"/>
      </rPr>
      <t>32.11.230</t>
    </r>
  </si>
  <si>
    <r>
      <rPr>
        <sz val="8.5"/>
        <rFont val="Calibri"/>
        <family val="2"/>
      </rPr>
      <t xml:space="preserve">Isolamento térmico em polietileno expandido, espessura de 10 mm, para
</t>
    </r>
    <r>
      <rPr>
        <sz val="8.5"/>
        <rFont val="Calibri"/>
        <family val="2"/>
      </rPr>
      <t>tubulação de 1 1/4´ (35 mm)</t>
    </r>
  </si>
  <si>
    <r>
      <rPr>
        <sz val="8.5"/>
        <rFont val="Calibri"/>
        <family val="2"/>
      </rPr>
      <t>10,40</t>
    </r>
  </si>
  <si>
    <r>
      <rPr>
        <sz val="8.5"/>
        <rFont val="Calibri"/>
        <family val="2"/>
      </rPr>
      <t>32.11.240</t>
    </r>
  </si>
  <si>
    <r>
      <rPr>
        <sz val="8.5"/>
        <rFont val="Calibri"/>
        <family val="2"/>
      </rPr>
      <t xml:space="preserve">Isolamento térmico em polietileno expandido, espessura de 10 mm, para
</t>
    </r>
    <r>
      <rPr>
        <sz val="8.5"/>
        <rFont val="Calibri"/>
        <family val="2"/>
      </rPr>
      <t>tubulação de 1 1/2´ (42 mm)</t>
    </r>
  </si>
  <si>
    <r>
      <rPr>
        <sz val="8.5"/>
        <rFont val="Calibri"/>
        <family val="2"/>
      </rPr>
      <t>3,93</t>
    </r>
  </si>
  <si>
    <r>
      <rPr>
        <sz val="8.5"/>
        <rFont val="Calibri"/>
        <family val="2"/>
      </rPr>
      <t>12,30</t>
    </r>
  </si>
  <si>
    <r>
      <rPr>
        <sz val="8.5"/>
        <rFont val="Calibri"/>
        <family val="2"/>
      </rPr>
      <t>32.11.250</t>
    </r>
  </si>
  <si>
    <r>
      <rPr>
        <sz val="8.5"/>
        <rFont val="Calibri"/>
        <family val="2"/>
      </rPr>
      <t xml:space="preserve">Isolamento térmico em polietileno expandido, espessura de 10 mm, para
</t>
    </r>
    <r>
      <rPr>
        <sz val="8.5"/>
        <rFont val="Calibri"/>
        <family val="2"/>
      </rPr>
      <t>tubulação de 2´ (54 mm)</t>
    </r>
  </si>
  <si>
    <r>
      <rPr>
        <sz val="8.5"/>
        <rFont val="Calibri"/>
        <family val="2"/>
      </rPr>
      <t>4,64</t>
    </r>
  </si>
  <si>
    <r>
      <rPr>
        <sz val="8.5"/>
        <rFont val="Calibri"/>
        <family val="2"/>
      </rPr>
      <t>13,01</t>
    </r>
  </si>
  <si>
    <r>
      <rPr>
        <sz val="8.5"/>
        <rFont val="Calibri"/>
        <family val="2"/>
      </rPr>
      <t>32.11.270</t>
    </r>
  </si>
  <si>
    <r>
      <rPr>
        <sz val="8.5"/>
        <rFont val="Calibri"/>
        <family val="2"/>
      </rPr>
      <t xml:space="preserve">Isolamento térmico em espuma elastomérica, espessura de 9 a 12 mm,
</t>
    </r>
    <r>
      <rPr>
        <sz val="8.5"/>
        <rFont val="Calibri"/>
        <family val="2"/>
      </rPr>
      <t>para tubulação de 1/4´ (cobre)</t>
    </r>
  </si>
  <si>
    <r>
      <rPr>
        <sz val="8.5"/>
        <rFont val="Calibri"/>
        <family val="2"/>
      </rPr>
      <t>13,50</t>
    </r>
  </si>
  <si>
    <r>
      <rPr>
        <sz val="8.5"/>
        <rFont val="Calibri"/>
        <family val="2"/>
      </rPr>
      <t>32.11.280</t>
    </r>
  </si>
  <si>
    <r>
      <rPr>
        <sz val="8.5"/>
        <rFont val="Calibri"/>
        <family val="2"/>
      </rPr>
      <t xml:space="preserve">Isolamento térmico em espuma elastomérica, espessura de 9 a 12 mm,
</t>
    </r>
    <r>
      <rPr>
        <sz val="8.5"/>
        <rFont val="Calibri"/>
        <family val="2"/>
      </rPr>
      <t>para tubulação de 1/2´ (cobre)</t>
    </r>
  </si>
  <si>
    <r>
      <rPr>
        <sz val="8.5"/>
        <rFont val="Calibri"/>
        <family val="2"/>
      </rPr>
      <t>5,77</t>
    </r>
  </si>
  <si>
    <r>
      <rPr>
        <sz val="8.5"/>
        <rFont val="Calibri"/>
        <family val="2"/>
      </rPr>
      <t>14,14</t>
    </r>
  </si>
  <si>
    <r>
      <rPr>
        <sz val="8.5"/>
        <rFont val="Calibri"/>
        <family val="2"/>
      </rPr>
      <t>32.11.290</t>
    </r>
  </si>
  <si>
    <r>
      <rPr>
        <sz val="8.5"/>
        <rFont val="Calibri"/>
        <family val="2"/>
      </rPr>
      <t xml:space="preserve">Isolamento térmico em espuma elastomérica, espessura de 9 a 12 mm,
</t>
    </r>
    <r>
      <rPr>
        <sz val="8.5"/>
        <rFont val="Calibri"/>
        <family val="2"/>
      </rPr>
      <t>para tubulação de 5/8´ (cobre) ou 1/4´ (ferro)</t>
    </r>
  </si>
  <si>
    <r>
      <rPr>
        <sz val="8.5"/>
        <rFont val="Calibri"/>
        <family val="2"/>
      </rPr>
      <t>14,93</t>
    </r>
  </si>
  <si>
    <r>
      <rPr>
        <sz val="8.5"/>
        <rFont val="Calibri"/>
        <family val="2"/>
      </rPr>
      <t>32.11.300</t>
    </r>
  </si>
  <si>
    <r>
      <rPr>
        <sz val="8.5"/>
        <rFont val="Calibri"/>
        <family val="2"/>
      </rPr>
      <t xml:space="preserve">Isolamento térmico em espuma elastomérica, espessura de 9 a 12 mm,
</t>
    </r>
    <r>
      <rPr>
        <sz val="8.5"/>
        <rFont val="Calibri"/>
        <family val="2"/>
      </rPr>
      <t>para tubulação de 1´ (cobre)</t>
    </r>
  </si>
  <si>
    <r>
      <rPr>
        <sz val="8.5"/>
        <rFont val="Calibri"/>
        <family val="2"/>
      </rPr>
      <t>7,56</t>
    </r>
  </si>
  <si>
    <r>
      <rPr>
        <sz val="8.5"/>
        <rFont val="Calibri"/>
        <family val="2"/>
      </rPr>
      <t>15,93</t>
    </r>
  </si>
  <si>
    <r>
      <rPr>
        <sz val="8.5"/>
        <rFont val="Calibri"/>
        <family val="2"/>
      </rPr>
      <t>32.11.310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</si>
  <si>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7/8´ (cobre) ou 1/2´ (ferro)</t>
    </r>
  </si>
  <si>
    <r>
      <rPr>
        <sz val="8.5"/>
        <rFont val="Calibri"/>
        <family val="2"/>
      </rPr>
      <t>17,48</t>
    </r>
  </si>
  <si>
    <r>
      <rPr>
        <sz val="8.5"/>
        <rFont val="Calibri"/>
        <family val="2"/>
      </rPr>
      <t>25,85</t>
    </r>
  </si>
  <si>
    <r>
      <rPr>
        <sz val="8.5"/>
        <rFont val="Calibri"/>
        <family val="2"/>
      </rPr>
      <t>32.11.320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</si>
  <si>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1 1/8´ (cobre) ou 3/4´ (ferro)</t>
    </r>
  </si>
  <si>
    <r>
      <rPr>
        <sz val="8.5"/>
        <rFont val="Calibri"/>
        <family val="2"/>
      </rPr>
      <t>19,94</t>
    </r>
  </si>
  <si>
    <r>
      <rPr>
        <sz val="8.5"/>
        <rFont val="Calibri"/>
        <family val="2"/>
      </rPr>
      <t>28,31</t>
    </r>
  </si>
  <si>
    <r>
      <rPr>
        <sz val="8.5"/>
        <rFont val="Calibri"/>
        <family val="2"/>
      </rPr>
      <t>32.11.330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</si>
  <si>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1 3/8´ (cobre) ou 1´ (ferro)</t>
    </r>
  </si>
  <si>
    <r>
      <rPr>
        <sz val="8.5"/>
        <rFont val="Calibri"/>
        <family val="2"/>
      </rPr>
      <t>31,87</t>
    </r>
  </si>
  <si>
    <r>
      <rPr>
        <sz val="8.5"/>
        <rFont val="Calibri"/>
        <family val="2"/>
      </rPr>
      <t>32.11.340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</si>
  <si>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1 5/8´ (cobre) ou 1 1/4´ (ferro)</t>
    </r>
  </si>
  <si>
    <r>
      <rPr>
        <sz val="8.5"/>
        <rFont val="Calibri"/>
        <family val="2"/>
      </rPr>
      <t>28,74</t>
    </r>
  </si>
  <si>
    <r>
      <rPr>
        <sz val="8.5"/>
        <rFont val="Calibri"/>
        <family val="2"/>
      </rPr>
      <t>37,11</t>
    </r>
  </si>
  <si>
    <r>
      <rPr>
        <sz val="8.5"/>
        <rFont val="Calibri"/>
        <family val="2"/>
      </rPr>
      <t>32.11.350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</si>
  <si>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1 1/2´ (ferro)</t>
    </r>
  </si>
  <si>
    <r>
      <rPr>
        <sz val="8.5"/>
        <rFont val="Calibri"/>
        <family val="2"/>
      </rPr>
      <t>30,66</t>
    </r>
  </si>
  <si>
    <r>
      <rPr>
        <sz val="8.5"/>
        <rFont val="Calibri"/>
        <family val="2"/>
      </rPr>
      <t>32.11.360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</si>
  <si>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2´ (ferro)</t>
    </r>
  </si>
  <si>
    <r>
      <rPr>
        <sz val="8.5"/>
        <rFont val="Calibri"/>
        <family val="2"/>
      </rPr>
      <t>33,80</t>
    </r>
  </si>
  <si>
    <r>
      <rPr>
        <sz val="8.5"/>
        <rFont val="Calibri"/>
        <family val="2"/>
      </rPr>
      <t>42,17</t>
    </r>
  </si>
  <si>
    <r>
      <rPr>
        <sz val="8.5"/>
        <rFont val="Calibri"/>
        <family val="2"/>
      </rPr>
      <t>32.11.370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</si>
  <si>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2 1/2´ (ferro)</t>
    </r>
  </si>
  <si>
    <r>
      <rPr>
        <sz val="8.5"/>
        <rFont val="Calibri"/>
        <family val="2"/>
      </rPr>
      <t>42,59</t>
    </r>
  </si>
  <si>
    <r>
      <rPr>
        <sz val="8.5"/>
        <rFont val="Calibri"/>
        <family val="2"/>
      </rPr>
      <t>50,96</t>
    </r>
  </si>
  <si>
    <r>
      <rPr>
        <sz val="8.5"/>
        <rFont val="Calibri"/>
        <family val="2"/>
      </rPr>
      <t>32.11.380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</si>
  <si>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3 1/2´ (cobre) ou 3´ (ferro)</t>
    </r>
  </si>
  <si>
    <r>
      <rPr>
        <sz val="8.5"/>
        <rFont val="Calibri"/>
        <family val="2"/>
      </rPr>
      <t>47,91</t>
    </r>
  </si>
  <si>
    <r>
      <rPr>
        <sz val="8.5"/>
        <rFont val="Calibri"/>
        <family val="2"/>
      </rPr>
      <t>56,28</t>
    </r>
  </si>
  <si>
    <r>
      <rPr>
        <sz val="8.5"/>
        <rFont val="Calibri"/>
        <family val="2"/>
      </rPr>
      <t>32.11.390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</si>
  <si>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4´ (ferro)</t>
    </r>
  </si>
  <si>
    <r>
      <rPr>
        <sz val="8.5"/>
        <rFont val="Calibri"/>
        <family val="2"/>
      </rPr>
      <t>64,35</t>
    </r>
  </si>
  <si>
    <r>
      <rPr>
        <sz val="8.5"/>
        <rFont val="Calibri"/>
        <family val="2"/>
      </rPr>
      <t>72,72</t>
    </r>
  </si>
  <si>
    <r>
      <rPr>
        <sz val="8.5"/>
        <rFont val="Calibri"/>
        <family val="2"/>
      </rPr>
      <t>32.11.400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</si>
  <si>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5´ (ferro)</t>
    </r>
  </si>
  <si>
    <r>
      <rPr>
        <sz val="8.5"/>
        <rFont val="Calibri"/>
        <family val="2"/>
      </rPr>
      <t>80,08</t>
    </r>
  </si>
  <si>
    <r>
      <rPr>
        <sz val="8.5"/>
        <rFont val="Calibri"/>
        <family val="2"/>
      </rPr>
      <t>88,45</t>
    </r>
  </si>
  <si>
    <r>
      <rPr>
        <sz val="8.5"/>
        <rFont val="Calibri"/>
        <family val="2"/>
      </rPr>
      <t>32.11.410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</si>
  <si>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6´ (ferro)</t>
    </r>
  </si>
  <si>
    <r>
      <rPr>
        <sz val="8.5"/>
        <rFont val="Calibri"/>
        <family val="2"/>
      </rPr>
      <t>113,52</t>
    </r>
  </si>
  <si>
    <r>
      <rPr>
        <sz val="8.5"/>
        <rFont val="Calibri"/>
        <family val="2"/>
      </rPr>
      <t>121,89</t>
    </r>
  </si>
  <si>
    <r>
      <rPr>
        <sz val="8.5"/>
        <rFont val="Calibri"/>
        <family val="2"/>
      </rPr>
      <t>32.11.420</t>
    </r>
  </si>
  <si>
    <r>
      <rPr>
        <sz val="8.5"/>
        <rFont val="Calibri"/>
        <family val="2"/>
      </rPr>
      <t xml:space="preserve">Manta em espuma elastomérica, espessura de 19 a 26 mm, para
</t>
    </r>
    <r>
      <rPr>
        <sz val="8.5"/>
        <rFont val="Calibri"/>
        <family val="2"/>
      </rPr>
      <t>isolamento térmico de tubulação acima de 6´</t>
    </r>
  </si>
  <si>
    <r>
      <rPr>
        <sz val="8.5"/>
        <rFont val="Calibri"/>
        <family val="2"/>
      </rPr>
      <t>155,03</t>
    </r>
  </si>
  <si>
    <r>
      <rPr>
        <sz val="8.5"/>
        <rFont val="Calibri"/>
        <family val="2"/>
      </rPr>
      <t>15,27</t>
    </r>
  </si>
  <si>
    <r>
      <rPr>
        <sz val="8.5"/>
        <rFont val="Calibri"/>
        <family val="2"/>
      </rPr>
      <t>170,30</t>
    </r>
  </si>
  <si>
    <r>
      <rPr>
        <sz val="8.5"/>
        <rFont val="Calibri"/>
        <family val="2"/>
      </rPr>
      <t>32.11.430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</si>
  <si>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3/8" (cobre) ou 1/8" (ferro)</t>
    </r>
  </si>
  <si>
    <r>
      <rPr>
        <sz val="8.5"/>
        <rFont val="Calibri"/>
        <family val="2"/>
      </rPr>
      <t>12,53</t>
    </r>
  </si>
  <si>
    <r>
      <rPr>
        <sz val="8.5"/>
        <rFont val="Calibri"/>
        <family val="2"/>
      </rPr>
      <t>20,90</t>
    </r>
  </si>
  <si>
    <r>
      <rPr>
        <sz val="8.5"/>
        <rFont val="Calibri"/>
        <family val="2"/>
      </rPr>
      <t>32.11.440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</si>
  <si>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3/4" (cobre) ou 3/8" (ferro)</t>
    </r>
  </si>
  <si>
    <r>
      <rPr>
        <sz val="8.5"/>
        <rFont val="Calibri"/>
        <family val="2"/>
      </rPr>
      <t>24,04</t>
    </r>
  </si>
  <si>
    <r>
      <rPr>
        <sz val="8.5"/>
        <rFont val="Calibri"/>
        <family val="2"/>
      </rPr>
      <t>Impermeabilizacao flexivel com manta</t>
    </r>
  </si>
  <si>
    <r>
      <rPr>
        <sz val="8.5"/>
        <rFont val="Calibri"/>
        <family val="2"/>
      </rPr>
      <t>32.15.030</t>
    </r>
  </si>
  <si>
    <r>
      <rPr>
        <sz val="8.5"/>
        <rFont val="Calibri"/>
        <family val="2"/>
      </rPr>
      <t xml:space="preserve">Impermeabilização em manta asfáltica com armadura, tipo III-B,
</t>
    </r>
    <r>
      <rPr>
        <sz val="8.5"/>
        <rFont val="Calibri"/>
        <family val="2"/>
      </rPr>
      <t>espessura de 3 mm</t>
    </r>
  </si>
  <si>
    <r>
      <rPr>
        <sz val="8.5"/>
        <rFont val="Calibri"/>
        <family val="2"/>
      </rPr>
      <t>47,19</t>
    </r>
  </si>
  <si>
    <r>
      <rPr>
        <sz val="8.5"/>
        <rFont val="Calibri"/>
        <family val="2"/>
      </rPr>
      <t>61,19</t>
    </r>
  </si>
  <si>
    <r>
      <rPr>
        <sz val="8.5"/>
        <rFont val="Calibri"/>
        <family val="2"/>
      </rPr>
      <t>32.15.040</t>
    </r>
  </si>
  <si>
    <r>
      <rPr>
        <sz val="8.5"/>
        <rFont val="Calibri"/>
        <family val="2"/>
      </rPr>
      <t xml:space="preserve">Impermeabilização em manta asfáltica com armadura, tipo III-B,
</t>
    </r>
    <r>
      <rPr>
        <sz val="8.5"/>
        <rFont val="Calibri"/>
        <family val="2"/>
      </rPr>
      <t>espessura de 4 mm</t>
    </r>
  </si>
  <si>
    <r>
      <rPr>
        <sz val="8.5"/>
        <rFont val="Calibri"/>
        <family val="2"/>
      </rPr>
      <t>50,33</t>
    </r>
  </si>
  <si>
    <r>
      <rPr>
        <sz val="8.5"/>
        <rFont val="Calibri"/>
        <family val="2"/>
      </rPr>
      <t>64,33</t>
    </r>
  </si>
  <si>
    <r>
      <rPr>
        <sz val="8.5"/>
        <rFont val="Calibri"/>
        <family val="2"/>
      </rPr>
      <t>32.15.080</t>
    </r>
  </si>
  <si>
    <r>
      <rPr>
        <sz val="8.5"/>
        <rFont val="Calibri"/>
        <family val="2"/>
      </rPr>
      <t xml:space="preserve">Impermeabilização em manta asfáltica tipo III-B, espessura de 3 mm,
</t>
    </r>
    <r>
      <rPr>
        <sz val="8.5"/>
        <rFont val="Calibri"/>
        <family val="2"/>
      </rPr>
      <t>face exposta em geotêxtil, com membrana acrílica</t>
    </r>
  </si>
  <si>
    <r>
      <rPr>
        <sz val="8.5"/>
        <rFont val="Calibri"/>
        <family val="2"/>
      </rPr>
      <t>130,29</t>
    </r>
  </si>
  <si>
    <r>
      <rPr>
        <sz val="8.5"/>
        <rFont val="Calibri"/>
        <family val="2"/>
      </rPr>
      <t>17,63</t>
    </r>
  </si>
  <si>
    <r>
      <rPr>
        <sz val="8.5"/>
        <rFont val="Calibri"/>
        <family val="2"/>
      </rPr>
      <t>147,92</t>
    </r>
  </si>
  <si>
    <r>
      <rPr>
        <sz val="8.5"/>
        <rFont val="Calibri"/>
        <family val="2"/>
      </rPr>
      <t>32.15.100</t>
    </r>
  </si>
  <si>
    <r>
      <rPr>
        <sz val="8.5"/>
        <rFont val="Calibri"/>
        <family val="2"/>
      </rPr>
      <t>Impermeabilização em manta asfáltica plastomérica com armadura, tipo III, espessura de 4 mm, face exposta em geotêxtil com membrana acrílica</t>
    </r>
  </si>
  <si>
    <r>
      <rPr>
        <sz val="8.5"/>
        <rFont val="Calibri"/>
        <family val="2"/>
      </rPr>
      <t>107,75</t>
    </r>
  </si>
  <si>
    <r>
      <rPr>
        <sz val="8.5"/>
        <rFont val="Calibri"/>
        <family val="2"/>
      </rPr>
      <t>125,38</t>
    </r>
  </si>
  <si>
    <r>
      <rPr>
        <sz val="8.5"/>
        <rFont val="Calibri"/>
        <family val="2"/>
      </rPr>
      <t>32.15.240</t>
    </r>
  </si>
  <si>
    <r>
      <rPr>
        <sz val="8.5"/>
        <rFont val="Calibri"/>
        <family val="2"/>
      </rPr>
      <t xml:space="preserve">Impermeabilização com manta asfáltica tipo III, anti raiz, espessura de 4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</si>
  <si>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Impermeabilizacao flexivel com membranas</t>
    </r>
  </si>
  <si>
    <r>
      <rPr>
        <sz val="8.5"/>
        <rFont val="Calibri"/>
        <family val="2"/>
      </rPr>
      <t>32.16.010</t>
    </r>
  </si>
  <si>
    <r>
      <rPr>
        <sz val="8.5"/>
        <rFont val="Calibri"/>
        <family val="2"/>
      </rPr>
      <t xml:space="preserve">Impermeabilização em pintura de asfalto oxidado com solventes
</t>
    </r>
    <r>
      <rPr>
        <sz val="8.5"/>
        <rFont val="Calibri"/>
        <family val="2"/>
      </rPr>
      <t>orgânicos, sobre massa</t>
    </r>
  </si>
  <si>
    <r>
      <rPr>
        <sz val="8.5"/>
        <rFont val="Calibri"/>
        <family val="2"/>
      </rPr>
      <t>13,70</t>
    </r>
  </si>
  <si>
    <r>
      <rPr>
        <sz val="8.5"/>
        <rFont val="Calibri"/>
        <family val="2"/>
      </rPr>
      <t>32.16.020</t>
    </r>
  </si>
  <si>
    <r>
      <rPr>
        <sz val="8.5"/>
        <rFont val="Calibri"/>
        <family val="2"/>
      </rPr>
      <t xml:space="preserve">Impermeabilização em pintura de asfalto oxidado com solventes
</t>
    </r>
    <r>
      <rPr>
        <sz val="8.5"/>
        <rFont val="Calibri"/>
        <family val="2"/>
      </rPr>
      <t>orgânicos, sobre metal</t>
    </r>
  </si>
  <si>
    <r>
      <rPr>
        <sz val="8.5"/>
        <rFont val="Calibri"/>
        <family val="2"/>
      </rPr>
      <t>5,52</t>
    </r>
  </si>
  <si>
    <r>
      <rPr>
        <sz val="8.5"/>
        <rFont val="Calibri"/>
        <family val="2"/>
      </rPr>
      <t>11,33</t>
    </r>
  </si>
  <si>
    <r>
      <rPr>
        <sz val="8.5"/>
        <rFont val="Calibri"/>
        <family val="2"/>
      </rPr>
      <t>32.16.030</t>
    </r>
  </si>
  <si>
    <r>
      <rPr>
        <sz val="8.5"/>
        <rFont val="Calibri"/>
        <family val="2"/>
      </rPr>
      <t xml:space="preserve">Impermeabilização em membrana de asfalto modificado com
</t>
    </r>
    <r>
      <rPr>
        <sz val="8.5"/>
        <rFont val="Calibri"/>
        <family val="2"/>
      </rPr>
      <t>elastômeros, na cor preta</t>
    </r>
  </si>
  <si>
    <r>
      <rPr>
        <sz val="8.5"/>
        <rFont val="Calibri"/>
        <family val="2"/>
      </rPr>
      <t>34,20</t>
    </r>
  </si>
  <si>
    <r>
      <rPr>
        <sz val="8.5"/>
        <rFont val="Calibri"/>
        <family val="2"/>
      </rPr>
      <t>40,01</t>
    </r>
  </si>
  <si>
    <r>
      <rPr>
        <sz val="8.5"/>
        <rFont val="Calibri"/>
        <family val="2"/>
      </rPr>
      <t>32.16.040</t>
    </r>
  </si>
  <si>
    <r>
      <rPr>
        <sz val="8.5"/>
        <rFont val="Calibri"/>
        <family val="2"/>
      </rPr>
      <t xml:space="preserve">Impermeabilização em membrana de asfalto modificado com
</t>
    </r>
    <r>
      <rPr>
        <sz val="8.5"/>
        <rFont val="Calibri"/>
        <family val="2"/>
      </rPr>
      <t>elastômeros, na cor preta e reforço em tela poliéster</t>
    </r>
  </si>
  <si>
    <r>
      <rPr>
        <sz val="8.5"/>
        <rFont val="Calibri"/>
        <family val="2"/>
      </rPr>
      <t>66,35</t>
    </r>
  </si>
  <si>
    <r>
      <rPr>
        <sz val="8.5"/>
        <rFont val="Calibri"/>
        <family val="2"/>
      </rPr>
      <t>32.16.050</t>
    </r>
  </si>
  <si>
    <r>
      <rPr>
        <sz val="8.5"/>
        <rFont val="Calibri"/>
        <family val="2"/>
      </rPr>
      <t xml:space="preserve">Impermeabilização em membrana à base de polímeros acrílicos, na cor
</t>
    </r>
    <r>
      <rPr>
        <sz val="8.5"/>
        <rFont val="Calibri"/>
        <family val="2"/>
      </rPr>
      <t>branca</t>
    </r>
  </si>
  <si>
    <r>
      <rPr>
        <sz val="8.5"/>
        <rFont val="Calibri"/>
        <family val="2"/>
      </rPr>
      <t>37,43</t>
    </r>
  </si>
  <si>
    <r>
      <rPr>
        <sz val="8.5"/>
        <rFont val="Calibri"/>
        <family val="2"/>
      </rPr>
      <t>43,24</t>
    </r>
  </si>
  <si>
    <r>
      <rPr>
        <sz val="8.5"/>
        <rFont val="Calibri"/>
        <family val="2"/>
      </rPr>
      <t>32.16.060</t>
    </r>
  </si>
  <si>
    <r>
      <rPr>
        <sz val="8.5"/>
        <rFont val="Calibri"/>
        <family val="2"/>
      </rPr>
      <t xml:space="preserve">Impermeabilização em membrana à base de polímeros acrílicos, na cor
</t>
    </r>
    <r>
      <rPr>
        <sz val="8.5"/>
        <rFont val="Calibri"/>
        <family val="2"/>
      </rPr>
      <t>branca e reforço em tela poliéster</t>
    </r>
  </si>
  <si>
    <r>
      <rPr>
        <sz val="8.5"/>
        <rFont val="Calibri"/>
        <family val="2"/>
      </rPr>
      <t>54,79</t>
    </r>
  </si>
  <si>
    <r>
      <rPr>
        <sz val="8.5"/>
        <rFont val="Calibri"/>
        <family val="2"/>
      </rPr>
      <t>70,87</t>
    </r>
  </si>
  <si>
    <r>
      <rPr>
        <sz val="8.5"/>
        <rFont val="Calibri"/>
        <family val="2"/>
      </rPr>
      <t>32.16.070</t>
    </r>
  </si>
  <si>
    <r>
      <rPr>
        <sz val="8.5"/>
        <rFont val="Calibri"/>
        <family val="2"/>
      </rPr>
      <t>Impermeabilização em membrana à base de resina termoplástica e cimentos aditivados com reforço em tela poliéster</t>
    </r>
  </si>
  <si>
    <r>
      <rPr>
        <sz val="8.5"/>
        <rFont val="Calibri"/>
        <family val="2"/>
      </rPr>
      <t>29,45</t>
    </r>
  </si>
  <si>
    <r>
      <rPr>
        <sz val="8.5"/>
        <rFont val="Calibri"/>
        <family val="2"/>
      </rPr>
      <t>18,98</t>
    </r>
  </si>
  <si>
    <r>
      <rPr>
        <sz val="8.5"/>
        <rFont val="Calibri"/>
        <family val="2"/>
      </rPr>
      <t>48,43</t>
    </r>
  </si>
  <si>
    <r>
      <rPr>
        <sz val="8.5"/>
        <rFont val="Calibri"/>
        <family val="2"/>
      </rPr>
      <t>Impermeabilizacao rigida</t>
    </r>
  </si>
  <si>
    <r>
      <rPr>
        <sz val="8.5"/>
        <rFont val="Calibri"/>
        <family val="2"/>
      </rPr>
      <t>32.17.010</t>
    </r>
  </si>
  <si>
    <r>
      <rPr>
        <sz val="8.5"/>
        <rFont val="Calibri"/>
        <family val="2"/>
      </rPr>
      <t>Impermeabilização em argamassa impermeável com aditivo hidrófugo</t>
    </r>
  </si>
  <si>
    <r>
      <rPr>
        <sz val="8.5"/>
        <rFont val="Calibri"/>
        <family val="2"/>
      </rPr>
      <t>403,99</t>
    </r>
  </si>
  <si>
    <r>
      <rPr>
        <sz val="8.5"/>
        <rFont val="Calibri"/>
        <family val="2"/>
      </rPr>
      <t>251,04</t>
    </r>
  </si>
  <si>
    <r>
      <rPr>
        <sz val="8.5"/>
        <rFont val="Calibri"/>
        <family val="2"/>
      </rPr>
      <t>655,03</t>
    </r>
  </si>
  <si>
    <r>
      <rPr>
        <sz val="8.5"/>
        <rFont val="Calibri"/>
        <family val="2"/>
      </rPr>
      <t>32.17.012</t>
    </r>
  </si>
  <si>
    <r>
      <rPr>
        <sz val="8.5"/>
        <rFont val="Calibri"/>
        <family val="2"/>
      </rPr>
      <t xml:space="preserve">Impermeabilização em argamassa de concreto não estrutural com
</t>
    </r>
    <r>
      <rPr>
        <sz val="8.5"/>
        <rFont val="Calibri"/>
        <family val="2"/>
      </rPr>
      <t>aditivo hidrófugo</t>
    </r>
  </si>
  <si>
    <r>
      <rPr>
        <sz val="8.5"/>
        <rFont val="Calibri"/>
        <family val="2"/>
      </rPr>
      <t>430,00</t>
    </r>
  </si>
  <si>
    <r>
      <rPr>
        <sz val="8.5"/>
        <rFont val="Calibri"/>
        <family val="2"/>
      </rPr>
      <t>32.17.030</t>
    </r>
  </si>
  <si>
    <r>
      <rPr>
        <sz val="8.5"/>
        <rFont val="Calibri"/>
        <family val="2"/>
      </rPr>
      <t xml:space="preserve">Impermeabilização em argamassa polimérica para umidade e água de
</t>
    </r>
    <r>
      <rPr>
        <sz val="8.5"/>
        <rFont val="Calibri"/>
        <family val="2"/>
      </rPr>
      <t>percolação</t>
    </r>
  </si>
  <si>
    <r>
      <rPr>
        <sz val="8.5"/>
        <rFont val="Calibri"/>
        <family val="2"/>
      </rPr>
      <t>4,44</t>
    </r>
  </si>
  <si>
    <r>
      <rPr>
        <sz val="8.5"/>
        <rFont val="Calibri"/>
        <family val="2"/>
      </rPr>
      <t>6,12</t>
    </r>
  </si>
  <si>
    <r>
      <rPr>
        <sz val="8.5"/>
        <rFont val="Calibri"/>
        <family val="2"/>
      </rPr>
      <t>32.17.040</t>
    </r>
  </si>
  <si>
    <r>
      <rPr>
        <sz val="8.5"/>
        <rFont val="Calibri"/>
        <family val="2"/>
      </rPr>
      <t xml:space="preserve">Impermeabilização em argamassa polimérica com reforço em tela
</t>
    </r>
    <r>
      <rPr>
        <sz val="8.5"/>
        <rFont val="Calibri"/>
        <family val="2"/>
      </rPr>
      <t>poliéster para pressão hidrostática positiva</t>
    </r>
  </si>
  <si>
    <r>
      <rPr>
        <sz val="8.5"/>
        <rFont val="Calibri"/>
        <family val="2"/>
      </rPr>
      <t>11,27</t>
    </r>
  </si>
  <si>
    <r>
      <rPr>
        <sz val="8.5"/>
        <rFont val="Calibri"/>
        <family val="2"/>
      </rPr>
      <t>12,24</t>
    </r>
  </si>
  <si>
    <r>
      <rPr>
        <sz val="8.5"/>
        <rFont val="Calibri"/>
        <family val="2"/>
      </rPr>
      <t>23,51</t>
    </r>
  </si>
  <si>
    <r>
      <rPr>
        <sz val="8.5"/>
        <rFont val="Calibri"/>
        <family val="2"/>
      </rPr>
      <t>32.17.070</t>
    </r>
  </si>
  <si>
    <r>
      <rPr>
        <sz val="8.5"/>
        <rFont val="Calibri"/>
        <family val="2"/>
      </rPr>
      <t xml:space="preserve">Impermeabilização anticorrosiva em membrana epoxídica com alcatrão
</t>
    </r>
    <r>
      <rPr>
        <sz val="8.5"/>
        <rFont val="Calibri"/>
        <family val="2"/>
      </rPr>
      <t>de hulha, sobre massa</t>
    </r>
  </si>
  <si>
    <r>
      <rPr>
        <sz val="8.5"/>
        <rFont val="Calibri"/>
        <family val="2"/>
      </rPr>
      <t>40,78</t>
    </r>
  </si>
  <si>
    <r>
      <rPr>
        <sz val="8.5"/>
        <rFont val="Calibri"/>
        <family val="2"/>
      </rPr>
      <t>46,90</t>
    </r>
  </si>
  <si>
    <r>
      <rPr>
        <sz val="8.5"/>
        <rFont val="Calibri"/>
        <family val="2"/>
      </rPr>
      <t>Reparos, conservacoes e complementos - GRUPO 32</t>
    </r>
  </si>
  <si>
    <r>
      <rPr>
        <sz val="8.5"/>
        <rFont val="Calibri"/>
        <family val="2"/>
      </rPr>
      <t>32.20.010</t>
    </r>
  </si>
  <si>
    <r>
      <rPr>
        <sz val="8.5"/>
        <rFont val="Calibri"/>
        <family val="2"/>
      </rPr>
      <t>Recolocação de argila expandida</t>
    </r>
  </si>
  <si>
    <r>
      <rPr>
        <sz val="8.5"/>
        <rFont val="Calibri"/>
        <family val="2"/>
      </rPr>
      <t>32.20.020</t>
    </r>
  </si>
  <si>
    <r>
      <rPr>
        <sz val="8.5"/>
        <rFont val="Calibri"/>
        <family val="2"/>
      </rPr>
      <t>Aplicação de papel Kraft</t>
    </r>
  </si>
  <si>
    <r>
      <rPr>
        <sz val="8.5"/>
        <rFont val="Calibri"/>
        <family val="2"/>
      </rPr>
      <t>5,00</t>
    </r>
  </si>
  <si>
    <r>
      <rPr>
        <sz val="8.5"/>
        <rFont val="Calibri"/>
        <family val="2"/>
      </rPr>
      <t>7,90</t>
    </r>
  </si>
  <si>
    <r>
      <rPr>
        <sz val="8.5"/>
        <rFont val="Calibri"/>
        <family val="2"/>
      </rPr>
      <t>32.20.050</t>
    </r>
  </si>
  <si>
    <r>
      <rPr>
        <sz val="8.5"/>
        <rFont val="Calibri"/>
        <family val="2"/>
      </rPr>
      <t xml:space="preserve">Tela em polietileno, malha hexagonal de 1/2´, para armadura de
</t>
    </r>
    <r>
      <rPr>
        <sz val="8.5"/>
        <rFont val="Calibri"/>
        <family val="2"/>
      </rPr>
      <t>argamassa</t>
    </r>
  </si>
  <si>
    <r>
      <rPr>
        <sz val="8.5"/>
        <rFont val="Calibri"/>
        <family val="2"/>
      </rPr>
      <t>5,03</t>
    </r>
  </si>
  <si>
    <r>
      <rPr>
        <sz val="8.5"/>
        <rFont val="Calibri"/>
        <family val="2"/>
      </rPr>
      <t>32.20.060</t>
    </r>
  </si>
  <si>
    <r>
      <rPr>
        <sz val="8.5"/>
        <rFont val="Calibri"/>
        <family val="2"/>
      </rPr>
      <t xml:space="preserve">Tela galvanizada fio 24 BWG, malha hexagonal de 1/2´, para armadura
</t>
    </r>
    <r>
      <rPr>
        <sz val="8.5"/>
        <rFont val="Calibri"/>
        <family val="2"/>
      </rPr>
      <t>de argamassa</t>
    </r>
  </si>
  <si>
    <r>
      <rPr>
        <sz val="8.5"/>
        <rFont val="Calibri"/>
        <family val="2"/>
      </rPr>
      <t>12,61</t>
    </r>
  </si>
  <si>
    <r>
      <rPr>
        <sz val="8.5"/>
        <rFont val="Calibri"/>
        <family val="2"/>
      </rPr>
      <t>15,51</t>
    </r>
  </si>
  <si>
    <r>
      <rPr>
        <sz val="8.5"/>
        <rFont val="Calibri"/>
        <family val="2"/>
      </rPr>
      <t>PINTURA</t>
    </r>
  </si>
  <si>
    <r>
      <rPr>
        <sz val="8.5"/>
        <rFont val="Calibri"/>
        <family val="2"/>
      </rPr>
      <t>Preparo de base</t>
    </r>
  </si>
  <si>
    <r>
      <rPr>
        <sz val="8.5"/>
        <rFont val="Calibri"/>
        <family val="2"/>
      </rPr>
      <t>33.01.040</t>
    </r>
  </si>
  <si>
    <r>
      <rPr>
        <sz val="8.5"/>
        <rFont val="Calibri"/>
        <family val="2"/>
      </rPr>
      <t>Estucamento e lixamento de concreto deteriorado</t>
    </r>
  </si>
  <si>
    <r>
      <rPr>
        <sz val="8.5"/>
        <rFont val="Calibri"/>
        <family val="2"/>
      </rPr>
      <t>24,90</t>
    </r>
  </si>
  <si>
    <r>
      <rPr>
        <sz val="8.5"/>
        <rFont val="Calibri"/>
        <family val="2"/>
      </rPr>
      <t>33.01.050</t>
    </r>
  </si>
  <si>
    <r>
      <rPr>
        <sz val="8.5"/>
        <rFont val="Calibri"/>
        <family val="2"/>
      </rPr>
      <t>Estucamento e lixamento de concreto</t>
    </r>
  </si>
  <si>
    <r>
      <rPr>
        <sz val="8.5"/>
        <rFont val="Calibri"/>
        <family val="2"/>
      </rPr>
      <t>3,73</t>
    </r>
  </si>
  <si>
    <r>
      <rPr>
        <sz val="8.5"/>
        <rFont val="Calibri"/>
        <family val="2"/>
      </rPr>
      <t>28,63</t>
    </r>
  </si>
  <si>
    <r>
      <rPr>
        <sz val="8.5"/>
        <rFont val="Calibri"/>
        <family val="2"/>
      </rPr>
      <t>33.01.060</t>
    </r>
  </si>
  <si>
    <r>
      <rPr>
        <sz val="8.5"/>
        <rFont val="Calibri"/>
        <family val="2"/>
      </rPr>
      <t>Imunizante para madeira</t>
    </r>
  </si>
  <si>
    <r>
      <rPr>
        <sz val="8.5"/>
        <rFont val="Calibri"/>
        <family val="2"/>
      </rPr>
      <t>5,19</t>
    </r>
  </si>
  <si>
    <r>
      <rPr>
        <sz val="8.5"/>
        <rFont val="Calibri"/>
        <family val="2"/>
      </rPr>
      <t>11,53</t>
    </r>
  </si>
  <si>
    <r>
      <rPr>
        <sz val="8.5"/>
        <rFont val="Calibri"/>
        <family val="2"/>
      </rPr>
      <t>33.01.280</t>
    </r>
  </si>
  <si>
    <r>
      <rPr>
        <sz val="8.5"/>
        <rFont val="Calibri"/>
        <family val="2"/>
      </rPr>
      <t>Reparo de trincas rasas até 5 mm de largura, na massa</t>
    </r>
  </si>
  <si>
    <r>
      <rPr>
        <sz val="8.5"/>
        <rFont val="Calibri"/>
        <family val="2"/>
      </rPr>
      <t>21,51</t>
    </r>
  </si>
  <si>
    <r>
      <rPr>
        <sz val="8.5"/>
        <rFont val="Calibri"/>
        <family val="2"/>
      </rPr>
      <t>39,34</t>
    </r>
  </si>
  <si>
    <r>
      <rPr>
        <sz val="8.5"/>
        <rFont val="Calibri"/>
        <family val="2"/>
      </rPr>
      <t>33.01.350</t>
    </r>
  </si>
  <si>
    <r>
      <rPr>
        <sz val="8.5"/>
        <rFont val="Calibri"/>
        <family val="2"/>
      </rPr>
      <t>Preparo de base para superfície metálica com fundo antioxidante</t>
    </r>
  </si>
  <si>
    <r>
      <rPr>
        <sz val="8.5"/>
        <rFont val="Calibri"/>
        <family val="2"/>
      </rPr>
      <t>6,15</t>
    </r>
  </si>
  <si>
    <r>
      <rPr>
        <sz val="8.5"/>
        <rFont val="Calibri"/>
        <family val="2"/>
      </rPr>
      <t>6,81</t>
    </r>
  </si>
  <si>
    <r>
      <rPr>
        <sz val="8.5"/>
        <rFont val="Calibri"/>
        <family val="2"/>
      </rPr>
      <t>12,96</t>
    </r>
  </si>
  <si>
    <r>
      <rPr>
        <sz val="8.5"/>
        <rFont val="Calibri"/>
        <family val="2"/>
      </rPr>
      <t>Massa corrida</t>
    </r>
  </si>
  <si>
    <r>
      <rPr>
        <sz val="8.5"/>
        <rFont val="Calibri"/>
        <family val="2"/>
      </rPr>
      <t>33.02.060</t>
    </r>
  </si>
  <si>
    <r>
      <rPr>
        <sz val="8.5"/>
        <rFont val="Calibri"/>
        <family val="2"/>
      </rPr>
      <t>Massa corrida a base de PVA</t>
    </r>
  </si>
  <si>
    <r>
      <rPr>
        <sz val="8.5"/>
        <rFont val="Calibri"/>
        <family val="2"/>
      </rPr>
      <t>8,59</t>
    </r>
  </si>
  <si>
    <r>
      <rPr>
        <sz val="8.5"/>
        <rFont val="Calibri"/>
        <family val="2"/>
      </rPr>
      <t>33.02.080</t>
    </r>
  </si>
  <si>
    <r>
      <rPr>
        <sz val="8.5"/>
        <rFont val="Calibri"/>
        <family val="2"/>
      </rPr>
      <t>Massa corrida à base de resina acrílica</t>
    </r>
  </si>
  <si>
    <r>
      <rPr>
        <sz val="8.5"/>
        <rFont val="Calibri"/>
        <family val="2"/>
      </rPr>
      <t>Pintura em superficies de concreto / massa / gesso / pedras</t>
    </r>
  </si>
  <si>
    <r>
      <rPr>
        <sz val="8.5"/>
        <rFont val="Calibri"/>
        <family val="2"/>
      </rPr>
      <t>33.03.220</t>
    </r>
  </si>
  <si>
    <r>
      <rPr>
        <sz val="8.5"/>
        <rFont val="Calibri"/>
        <family val="2"/>
      </rPr>
      <t>Tinta látex em elemento vazado</t>
    </r>
  </si>
  <si>
    <r>
      <rPr>
        <sz val="8.5"/>
        <rFont val="Calibri"/>
        <family val="2"/>
      </rPr>
      <t>4,56</t>
    </r>
  </si>
  <si>
    <r>
      <rPr>
        <sz val="8.5"/>
        <rFont val="Calibri"/>
        <family val="2"/>
      </rPr>
      <t>18,89</t>
    </r>
  </si>
  <si>
    <r>
      <rPr>
        <sz val="8.5"/>
        <rFont val="Calibri"/>
        <family val="2"/>
      </rPr>
      <t>23,45</t>
    </r>
  </si>
  <si>
    <r>
      <rPr>
        <sz val="8.5"/>
        <rFont val="Calibri"/>
        <family val="2"/>
      </rPr>
      <t>33.03.350</t>
    </r>
  </si>
  <si>
    <r>
      <rPr>
        <sz val="8.5"/>
        <rFont val="Calibri"/>
        <family val="2"/>
      </rPr>
      <t>Pintura especial em esmalte para lousa cor verde</t>
    </r>
  </si>
  <si>
    <r>
      <rPr>
        <sz val="8.5"/>
        <rFont val="Calibri"/>
        <family val="2"/>
      </rPr>
      <t>16,04</t>
    </r>
  </si>
  <si>
    <r>
      <rPr>
        <sz val="8.5"/>
        <rFont val="Calibri"/>
        <family val="2"/>
      </rPr>
      <t>22,38</t>
    </r>
  </si>
  <si>
    <r>
      <rPr>
        <sz val="8.5"/>
        <rFont val="Calibri"/>
        <family val="2"/>
      </rPr>
      <t>33.03.740</t>
    </r>
  </si>
  <si>
    <r>
      <rPr>
        <sz val="8.5"/>
        <rFont val="Calibri"/>
        <family val="2"/>
      </rPr>
      <t>Resina acrílica plastificante</t>
    </r>
  </si>
  <si>
    <r>
      <rPr>
        <sz val="8.5"/>
        <rFont val="Calibri"/>
        <family val="2"/>
      </rPr>
      <t>8,92</t>
    </r>
  </si>
  <si>
    <r>
      <rPr>
        <sz val="8.5"/>
        <rFont val="Calibri"/>
        <family val="2"/>
      </rPr>
      <t>21,84</t>
    </r>
  </si>
  <si>
    <r>
      <rPr>
        <sz val="8.5"/>
        <rFont val="Calibri"/>
        <family val="2"/>
      </rPr>
      <t>33.03.750</t>
    </r>
  </si>
  <si>
    <r>
      <rPr>
        <sz val="8.5"/>
        <rFont val="Calibri"/>
        <family val="2"/>
      </rPr>
      <t>Verniz acrílico</t>
    </r>
  </si>
  <si>
    <r>
      <rPr>
        <sz val="8.5"/>
        <rFont val="Calibri"/>
        <family val="2"/>
      </rPr>
      <t>13,15</t>
    </r>
  </si>
  <si>
    <r>
      <rPr>
        <sz val="8.5"/>
        <rFont val="Calibri"/>
        <family val="2"/>
      </rPr>
      <t>15,32</t>
    </r>
  </si>
  <si>
    <r>
      <rPr>
        <sz val="8.5"/>
        <rFont val="Calibri"/>
        <family val="2"/>
      </rPr>
      <t>28,47</t>
    </r>
  </si>
  <si>
    <r>
      <rPr>
        <sz val="8.5"/>
        <rFont val="Calibri"/>
        <family val="2"/>
      </rPr>
      <t>33.03.760</t>
    </r>
  </si>
  <si>
    <r>
      <rPr>
        <sz val="8.5"/>
        <rFont val="Calibri"/>
        <family val="2"/>
      </rPr>
      <t xml:space="preserve">Hidrorepelente incolor para fachada à base de silano-siloxano
</t>
    </r>
    <r>
      <rPr>
        <sz val="8.5"/>
        <rFont val="Calibri"/>
        <family val="2"/>
      </rPr>
      <t>oligomérico disperso em água</t>
    </r>
  </si>
  <si>
    <r>
      <rPr>
        <sz val="8.5"/>
        <rFont val="Calibri"/>
        <family val="2"/>
      </rPr>
      <t>6,72</t>
    </r>
  </si>
  <si>
    <r>
      <rPr>
        <sz val="8.5"/>
        <rFont val="Calibri"/>
        <family val="2"/>
      </rPr>
      <t>11,36</t>
    </r>
  </si>
  <si>
    <r>
      <rPr>
        <sz val="8.5"/>
        <rFont val="Calibri"/>
        <family val="2"/>
      </rPr>
      <t>18,08</t>
    </r>
  </si>
  <si>
    <r>
      <rPr>
        <sz val="8.5"/>
        <rFont val="Calibri"/>
        <family val="2"/>
      </rPr>
      <t>33.03.770</t>
    </r>
  </si>
  <si>
    <r>
      <rPr>
        <sz val="8.5"/>
        <rFont val="Calibri"/>
        <family val="2"/>
      </rPr>
      <t xml:space="preserve">Hidrorepelente incolor para fachada à base de silano-siloxano
</t>
    </r>
    <r>
      <rPr>
        <sz val="8.5"/>
        <rFont val="Calibri"/>
        <family val="2"/>
      </rPr>
      <t>oligomérico disperso em solvente</t>
    </r>
  </si>
  <si>
    <r>
      <rPr>
        <sz val="8.5"/>
        <rFont val="Calibri"/>
        <family val="2"/>
      </rPr>
      <t>30,56</t>
    </r>
  </si>
  <si>
    <r>
      <rPr>
        <sz val="8.5"/>
        <rFont val="Calibri"/>
        <family val="2"/>
      </rPr>
      <t>41,92</t>
    </r>
  </si>
  <si>
    <r>
      <rPr>
        <sz val="8.5"/>
        <rFont val="Calibri"/>
        <family val="2"/>
      </rPr>
      <t>33.03.780</t>
    </r>
  </si>
  <si>
    <r>
      <rPr>
        <sz val="8.5"/>
        <rFont val="Calibri"/>
        <family val="2"/>
      </rPr>
      <t>Verniz de proteção antipichação</t>
    </r>
  </si>
  <si>
    <r>
      <rPr>
        <sz val="8.5"/>
        <rFont val="Calibri"/>
        <family val="2"/>
      </rPr>
      <t>17,21</t>
    </r>
  </si>
  <si>
    <r>
      <rPr>
        <sz val="8.5"/>
        <rFont val="Calibri"/>
        <family val="2"/>
      </rPr>
      <t>32,53</t>
    </r>
  </si>
  <si>
    <r>
      <rPr>
        <sz val="8.5"/>
        <rFont val="Calibri"/>
        <family val="2"/>
      </rPr>
      <t>Pintura em superficies de madeira</t>
    </r>
  </si>
  <si>
    <r>
      <rPr>
        <sz val="8.5"/>
        <rFont val="Calibri"/>
        <family val="2"/>
      </rPr>
      <t>33.05.010</t>
    </r>
  </si>
  <si>
    <r>
      <rPr>
        <sz val="8.5"/>
        <rFont val="Calibri"/>
        <family val="2"/>
      </rPr>
      <t>Verniz fungicida para madeira</t>
    </r>
  </si>
  <si>
    <r>
      <rPr>
        <sz val="8.5"/>
        <rFont val="Calibri"/>
        <family val="2"/>
      </rPr>
      <t>5,98</t>
    </r>
  </si>
  <si>
    <r>
      <rPr>
        <sz val="8.5"/>
        <rFont val="Calibri"/>
        <family val="2"/>
      </rPr>
      <t>17,34</t>
    </r>
  </si>
  <si>
    <r>
      <rPr>
        <sz val="8.5"/>
        <rFont val="Calibri"/>
        <family val="2"/>
      </rPr>
      <t>33.05.120</t>
    </r>
  </si>
  <si>
    <r>
      <rPr>
        <sz val="8.5"/>
        <rFont val="Calibri"/>
        <family val="2"/>
      </rPr>
      <t>Esmalte em rodapés, baguetes ou molduras de madeira</t>
    </r>
  </si>
  <si>
    <r>
      <rPr>
        <sz val="8.5"/>
        <rFont val="Calibri"/>
        <family val="2"/>
      </rPr>
      <t>2,35</t>
    </r>
  </si>
  <si>
    <r>
      <rPr>
        <sz val="8.5"/>
        <rFont val="Calibri"/>
        <family val="2"/>
      </rPr>
      <t>2,11</t>
    </r>
  </si>
  <si>
    <r>
      <rPr>
        <sz val="8.5"/>
        <rFont val="Calibri"/>
        <family val="2"/>
      </rPr>
      <t>4,46</t>
    </r>
  </si>
  <si>
    <r>
      <rPr>
        <sz val="8.5"/>
        <rFont val="Calibri"/>
        <family val="2"/>
      </rPr>
      <t>33.05.330</t>
    </r>
  </si>
  <si>
    <r>
      <rPr>
        <sz val="8.5"/>
        <rFont val="Calibri"/>
        <family val="2"/>
      </rPr>
      <t>Verniz em superfície de madeira</t>
    </r>
  </si>
  <si>
    <r>
      <rPr>
        <sz val="8.5"/>
        <rFont val="Calibri"/>
        <family val="2"/>
      </rPr>
      <t>7,84</t>
    </r>
  </si>
  <si>
    <r>
      <rPr>
        <sz val="8.5"/>
        <rFont val="Calibri"/>
        <family val="2"/>
      </rPr>
      <t>12,82</t>
    </r>
  </si>
  <si>
    <r>
      <rPr>
        <sz val="8.5"/>
        <rFont val="Calibri"/>
        <family val="2"/>
      </rPr>
      <t>20,66</t>
    </r>
  </si>
  <si>
    <r>
      <rPr>
        <sz val="8.5"/>
        <rFont val="Calibri"/>
        <family val="2"/>
      </rPr>
      <t>33.05.360</t>
    </r>
  </si>
  <si>
    <r>
      <rPr>
        <sz val="8.5"/>
        <rFont val="Calibri"/>
        <family val="2"/>
      </rPr>
      <t>Verniz em rodapés, baguetes ou molduras de madeira</t>
    </r>
  </si>
  <si>
    <r>
      <rPr>
        <sz val="8.5"/>
        <rFont val="Calibri"/>
        <family val="2"/>
      </rPr>
      <t>2,07</t>
    </r>
  </si>
  <si>
    <r>
      <rPr>
        <sz val="8.5"/>
        <rFont val="Calibri"/>
        <family val="2"/>
      </rPr>
      <t>3,76</t>
    </r>
  </si>
  <si>
    <r>
      <rPr>
        <sz val="8.5"/>
        <rFont val="Calibri"/>
        <family val="2"/>
      </rPr>
      <t>Pintura em pisos</t>
    </r>
  </si>
  <si>
    <r>
      <rPr>
        <sz val="8.5"/>
        <rFont val="Calibri"/>
        <family val="2"/>
      </rPr>
      <t>33.06.020</t>
    </r>
  </si>
  <si>
    <r>
      <rPr>
        <sz val="8.5"/>
        <rFont val="Calibri"/>
        <family val="2"/>
      </rPr>
      <t>Acrílico para quadras e pisos cimentados</t>
    </r>
  </si>
  <si>
    <r>
      <rPr>
        <sz val="8.5"/>
        <rFont val="Calibri"/>
        <family val="2"/>
      </rPr>
      <t>3,25</t>
    </r>
  </si>
  <si>
    <r>
      <rPr>
        <sz val="8.5"/>
        <rFont val="Calibri"/>
        <family val="2"/>
      </rPr>
      <t>18,57</t>
    </r>
  </si>
  <si>
    <r>
      <rPr>
        <sz val="8.5"/>
        <rFont val="Calibri"/>
        <family val="2"/>
      </rPr>
      <t>Pintura em estruturas metalicas</t>
    </r>
  </si>
  <si>
    <r>
      <rPr>
        <sz val="8.5"/>
        <rFont val="Calibri"/>
        <family val="2"/>
      </rPr>
      <t>33.07.102</t>
    </r>
  </si>
  <si>
    <r>
      <rPr>
        <sz val="8.5"/>
        <rFont val="Calibri"/>
        <family val="2"/>
      </rPr>
      <t>Esmalte a base de água em estrutura metálica</t>
    </r>
  </si>
  <si>
    <r>
      <rPr>
        <sz val="8.5"/>
        <rFont val="Calibri"/>
        <family val="2"/>
      </rPr>
      <t>8,80</t>
    </r>
  </si>
  <si>
    <r>
      <rPr>
        <sz val="8.5"/>
        <rFont val="Calibri"/>
        <family val="2"/>
      </rPr>
      <t>28,53</t>
    </r>
  </si>
  <si>
    <r>
      <rPr>
        <sz val="8.5"/>
        <rFont val="Calibri"/>
        <family val="2"/>
      </rPr>
      <t>37,33</t>
    </r>
  </si>
  <si>
    <r>
      <rPr>
        <sz val="8.5"/>
        <rFont val="Calibri"/>
        <family val="2"/>
      </rPr>
      <t>33.07.130</t>
    </r>
  </si>
  <si>
    <r>
      <rPr>
        <sz val="8.5"/>
        <rFont val="Calibri"/>
        <family val="2"/>
      </rPr>
      <t>Pintura epóxi bicomponente em estruturas metálicas</t>
    </r>
  </si>
  <si>
    <r>
      <rPr>
        <sz val="8.5"/>
        <rFont val="Calibri"/>
        <family val="2"/>
      </rPr>
      <t>33.07.140</t>
    </r>
  </si>
  <si>
    <r>
      <rPr>
        <sz val="8.5"/>
        <rFont val="Calibri"/>
        <family val="2"/>
      </rPr>
      <t>Pintura com esmalte alquídico em estrutura metálica</t>
    </r>
  </si>
  <si>
    <r>
      <rPr>
        <sz val="8.5"/>
        <rFont val="Calibri"/>
        <family val="2"/>
      </rPr>
      <t>2,85</t>
    </r>
  </si>
  <si>
    <r>
      <rPr>
        <sz val="8.5"/>
        <rFont val="Calibri"/>
        <family val="2"/>
      </rPr>
      <t>33.07.303</t>
    </r>
  </si>
  <si>
    <r>
      <rPr>
        <sz val="8.5"/>
        <rFont val="Calibri"/>
        <family val="2"/>
      </rPr>
      <t xml:space="preserve">Proteção passiva contra incêndio com tinta intumescente, com tempo requerido de resistência ao fogo TRRF = 60 min - aplicação em estrutura
</t>
    </r>
    <r>
      <rPr>
        <sz val="8.5"/>
        <rFont val="Calibri"/>
        <family val="2"/>
      </rPr>
      <t>metálica</t>
    </r>
  </si>
  <si>
    <r>
      <rPr>
        <sz val="8.5"/>
        <rFont val="Calibri"/>
        <family val="2"/>
      </rPr>
      <t>71,50</t>
    </r>
  </si>
  <si>
    <r>
      <rPr>
        <sz val="8.5"/>
        <rFont val="Calibri"/>
        <family val="2"/>
      </rPr>
      <t>142,41</t>
    </r>
  </si>
  <si>
    <r>
      <rPr>
        <sz val="8.5"/>
        <rFont val="Calibri"/>
        <family val="2"/>
      </rPr>
      <t>213,91</t>
    </r>
  </si>
  <si>
    <r>
      <rPr>
        <sz val="8.5"/>
        <rFont val="Calibri"/>
        <family val="2"/>
      </rPr>
      <t>33.07.304</t>
    </r>
  </si>
  <si>
    <r>
      <rPr>
        <sz val="8.5"/>
        <rFont val="Calibri"/>
        <family val="2"/>
      </rPr>
      <t xml:space="preserve">Proteção passiva contra incêndio com tinta intumescente, com tempo requerido de resistência ao fogo TRRF = 120 min - aplicação em estrutura
</t>
    </r>
    <r>
      <rPr>
        <sz val="8.5"/>
        <rFont val="Calibri"/>
        <family val="2"/>
      </rPr>
      <t>metálica</t>
    </r>
  </si>
  <si>
    <r>
      <rPr>
        <sz val="8.5"/>
        <rFont val="Calibri"/>
        <family val="2"/>
      </rPr>
      <t>309,10</t>
    </r>
  </si>
  <si>
    <r>
      <rPr>
        <sz val="8.5"/>
        <rFont val="Calibri"/>
        <family val="2"/>
      </rPr>
      <t>165,00</t>
    </r>
  </si>
  <si>
    <r>
      <rPr>
        <sz val="8.5"/>
        <rFont val="Calibri"/>
        <family val="2"/>
      </rPr>
      <t>474,10</t>
    </r>
  </si>
  <si>
    <r>
      <rPr>
        <sz val="8.5"/>
        <rFont val="Calibri"/>
        <family val="2"/>
      </rPr>
      <t>Pintura de sinalizacao</t>
    </r>
  </si>
  <si>
    <r>
      <rPr>
        <sz val="8.5"/>
        <rFont val="Calibri"/>
        <family val="2"/>
      </rPr>
      <t>33.09.020</t>
    </r>
  </si>
  <si>
    <r>
      <rPr>
        <sz val="8.5"/>
        <rFont val="Calibri"/>
        <family val="2"/>
      </rPr>
      <t>Borracha clorada para faixas demarcatórias</t>
    </r>
  </si>
  <si>
    <r>
      <rPr>
        <sz val="8.5"/>
        <rFont val="Calibri"/>
        <family val="2"/>
      </rPr>
      <t>1,16</t>
    </r>
  </si>
  <si>
    <r>
      <rPr>
        <sz val="8.5"/>
        <rFont val="Calibri"/>
        <family val="2"/>
      </rPr>
      <t>33.09.021</t>
    </r>
  </si>
  <si>
    <r>
      <rPr>
        <sz val="8.5"/>
        <rFont val="Calibri"/>
        <family val="2"/>
      </rPr>
      <t>Tinta acrílica para faixas demarcatórias</t>
    </r>
  </si>
  <si>
    <r>
      <rPr>
        <sz val="8.5"/>
        <rFont val="Calibri"/>
        <family val="2"/>
      </rPr>
      <t>2,30</t>
    </r>
  </si>
  <si>
    <r>
      <rPr>
        <sz val="8.5"/>
        <rFont val="Calibri"/>
        <family val="2"/>
      </rPr>
      <t>3,09</t>
    </r>
  </si>
  <si>
    <r>
      <rPr>
        <sz val="8.5"/>
        <rFont val="Calibri"/>
        <family val="2"/>
      </rPr>
      <t>Pintura em superficie de concreto/massa/gesso/pedras, inclusive preparo</t>
    </r>
  </si>
  <si>
    <r>
      <rPr>
        <sz val="8.5"/>
        <rFont val="Calibri"/>
        <family val="2"/>
      </rPr>
      <t>33.10.010</t>
    </r>
  </si>
  <si>
    <r>
      <rPr>
        <sz val="8.5"/>
        <rFont val="Calibri"/>
        <family val="2"/>
      </rPr>
      <t>Tinta látex antimofo em massa, inclusive preparo</t>
    </r>
  </si>
  <si>
    <r>
      <rPr>
        <sz val="8.5"/>
        <rFont val="Calibri"/>
        <family val="2"/>
      </rPr>
      <t>5,78</t>
    </r>
  </si>
  <si>
    <r>
      <rPr>
        <sz val="8.5"/>
        <rFont val="Calibri"/>
        <family val="2"/>
      </rPr>
      <t>21,10</t>
    </r>
  </si>
  <si>
    <r>
      <rPr>
        <sz val="8.5"/>
        <rFont val="Calibri"/>
        <family val="2"/>
      </rPr>
      <t>33.10.020</t>
    </r>
  </si>
  <si>
    <r>
      <rPr>
        <sz val="8.5"/>
        <rFont val="Calibri"/>
        <family val="2"/>
      </rPr>
      <t>Tinta látex em massa, inclusive preparo</t>
    </r>
  </si>
  <si>
    <r>
      <rPr>
        <sz val="8.5"/>
        <rFont val="Calibri"/>
        <family val="2"/>
      </rPr>
      <t>22,40</t>
    </r>
  </si>
  <si>
    <r>
      <rPr>
        <sz val="8.5"/>
        <rFont val="Calibri"/>
        <family val="2"/>
      </rPr>
      <t>33.10.030</t>
    </r>
  </si>
  <si>
    <r>
      <rPr>
        <sz val="8.5"/>
        <rFont val="Calibri"/>
        <family val="2"/>
      </rPr>
      <t>Tinta acrílica antimofo em massa, inclusive preparo</t>
    </r>
  </si>
  <si>
    <r>
      <rPr>
        <sz val="8.5"/>
        <rFont val="Calibri"/>
        <family val="2"/>
      </rPr>
      <t>8,40</t>
    </r>
  </si>
  <si>
    <r>
      <rPr>
        <sz val="8.5"/>
        <rFont val="Calibri"/>
        <family val="2"/>
      </rPr>
      <t>23,72</t>
    </r>
  </si>
  <si>
    <r>
      <rPr>
        <sz val="8.5"/>
        <rFont val="Calibri"/>
        <family val="2"/>
      </rPr>
      <t>33.10.041</t>
    </r>
  </si>
  <si>
    <r>
      <rPr>
        <sz val="8.5"/>
        <rFont val="Calibri"/>
        <family val="2"/>
      </rPr>
      <t>Esmalte à base de água em massa, inclusive preparo</t>
    </r>
  </si>
  <si>
    <r>
      <rPr>
        <sz val="8.5"/>
        <rFont val="Calibri"/>
        <family val="2"/>
      </rPr>
      <t>10,57</t>
    </r>
  </si>
  <si>
    <r>
      <rPr>
        <sz val="8.5"/>
        <rFont val="Calibri"/>
        <family val="2"/>
      </rPr>
      <t>25,89</t>
    </r>
  </si>
  <si>
    <r>
      <rPr>
        <sz val="8.5"/>
        <rFont val="Calibri"/>
        <family val="2"/>
      </rPr>
      <t>33.10.050</t>
    </r>
  </si>
  <si>
    <r>
      <rPr>
        <sz val="8.5"/>
        <rFont val="Calibri"/>
        <family val="2"/>
      </rPr>
      <t>Tinta acrílica em massa, inclusive preparo</t>
    </r>
  </si>
  <si>
    <r>
      <rPr>
        <sz val="8.5"/>
        <rFont val="Calibri"/>
        <family val="2"/>
      </rPr>
      <t>23,77</t>
    </r>
  </si>
  <si>
    <r>
      <rPr>
        <sz val="8.5"/>
        <rFont val="Calibri"/>
        <family val="2"/>
      </rPr>
      <t>33.10.060</t>
    </r>
  </si>
  <si>
    <r>
      <rPr>
        <sz val="8.5"/>
        <rFont val="Calibri"/>
        <family val="2"/>
      </rPr>
      <t>Epóxi em massa, inclusive preparo</t>
    </r>
  </si>
  <si>
    <r>
      <rPr>
        <sz val="8.5"/>
        <rFont val="Calibri"/>
        <family val="2"/>
      </rPr>
      <t>49,78</t>
    </r>
  </si>
  <si>
    <r>
      <rPr>
        <sz val="8.5"/>
        <rFont val="Calibri"/>
        <family val="2"/>
      </rPr>
      <t>32,10</t>
    </r>
  </si>
  <si>
    <r>
      <rPr>
        <sz val="8.5"/>
        <rFont val="Calibri"/>
        <family val="2"/>
      </rPr>
      <t>81,88</t>
    </r>
  </si>
  <si>
    <r>
      <rPr>
        <sz val="8.5"/>
        <rFont val="Calibri"/>
        <family val="2"/>
      </rPr>
      <t>33.10.070</t>
    </r>
  </si>
  <si>
    <r>
      <rPr>
        <sz val="8.5"/>
        <rFont val="Calibri"/>
        <family val="2"/>
      </rPr>
      <t>Borracha clorada em massa, inclusive preparo</t>
    </r>
  </si>
  <si>
    <r>
      <rPr>
        <sz val="8.5"/>
        <rFont val="Calibri"/>
        <family val="2"/>
      </rPr>
      <t>14,48</t>
    </r>
  </si>
  <si>
    <r>
      <rPr>
        <sz val="8.5"/>
        <rFont val="Calibri"/>
        <family val="2"/>
      </rPr>
      <t>29,80</t>
    </r>
  </si>
  <si>
    <r>
      <rPr>
        <sz val="8.5"/>
        <rFont val="Calibri"/>
        <family val="2"/>
      </rPr>
      <t>33.10.100</t>
    </r>
  </si>
  <si>
    <r>
      <rPr>
        <sz val="8.5"/>
        <rFont val="Calibri"/>
        <family val="2"/>
      </rPr>
      <t>Textura acrílica para uso interno / externo, inclusive preparo</t>
    </r>
  </si>
  <si>
    <r>
      <rPr>
        <sz val="8.5"/>
        <rFont val="Calibri"/>
        <family val="2"/>
      </rPr>
      <t>11,39</t>
    </r>
  </si>
  <si>
    <r>
      <rPr>
        <sz val="8.5"/>
        <rFont val="Calibri"/>
        <family val="2"/>
      </rPr>
      <t>21,39</t>
    </r>
  </si>
  <si>
    <r>
      <rPr>
        <sz val="8.5"/>
        <rFont val="Calibri"/>
        <family val="2"/>
      </rPr>
      <t>32,78</t>
    </r>
  </si>
  <si>
    <r>
      <rPr>
        <sz val="8.5"/>
        <rFont val="Calibri"/>
        <family val="2"/>
      </rPr>
      <t>33.10.120</t>
    </r>
  </si>
  <si>
    <r>
      <rPr>
        <sz val="8.5"/>
        <rFont val="Calibri"/>
        <family val="2"/>
      </rPr>
      <t xml:space="preserve">Proteção passiva contra incêndio com tinta intumescente, tempo
</t>
    </r>
    <r>
      <rPr>
        <sz val="8.5"/>
        <rFont val="Calibri"/>
        <family val="2"/>
      </rPr>
      <t>requerido de resistência ao fogo TRRF = 60 minutos - aplicação em painéis de gesso acartonado</t>
    </r>
  </si>
  <si>
    <r>
      <rPr>
        <sz val="8.5"/>
        <rFont val="Calibri"/>
        <family val="2"/>
      </rPr>
      <t>203,00</t>
    </r>
  </si>
  <si>
    <r>
      <rPr>
        <sz val="8.5"/>
        <rFont val="Calibri"/>
        <family val="2"/>
      </rPr>
      <t>33.10.130</t>
    </r>
  </si>
  <si>
    <r>
      <rPr>
        <sz val="8.5"/>
        <rFont val="Calibri"/>
        <family val="2"/>
      </rPr>
      <t xml:space="preserve">Proteção passiva contra incêndio com tinta intumescente, tempo requerido de resistência ao fogo TRRF = 120 minutos - aplicação em
</t>
    </r>
    <r>
      <rPr>
        <sz val="8.5"/>
        <rFont val="Calibri"/>
        <family val="2"/>
      </rPr>
      <t>painéis de gesso acartonado</t>
    </r>
  </si>
  <si>
    <r>
      <rPr>
        <sz val="8.5"/>
        <rFont val="Calibri"/>
        <family val="2"/>
      </rPr>
      <t>402,50</t>
    </r>
  </si>
  <si>
    <r>
      <rPr>
        <sz val="8.5"/>
        <rFont val="Calibri"/>
        <family val="2"/>
      </rPr>
      <t>Pintura em superficie metalica, inclusive preparo</t>
    </r>
  </si>
  <si>
    <r>
      <rPr>
        <sz val="8.5"/>
        <rFont val="Calibri"/>
        <family val="2"/>
      </rPr>
      <t>33.11.050</t>
    </r>
  </si>
  <si>
    <r>
      <rPr>
        <sz val="8.5"/>
        <rFont val="Calibri"/>
        <family val="2"/>
      </rPr>
      <t>Esmalte à base água em superfície metálica, inclusive preparo</t>
    </r>
  </si>
  <si>
    <r>
      <rPr>
        <sz val="8.5"/>
        <rFont val="Calibri"/>
        <family val="2"/>
      </rPr>
      <t>13,41</t>
    </r>
  </si>
  <si>
    <r>
      <rPr>
        <sz val="8.5"/>
        <rFont val="Calibri"/>
        <family val="2"/>
      </rPr>
      <t>34,80</t>
    </r>
  </si>
  <si>
    <r>
      <rPr>
        <sz val="8.5"/>
        <rFont val="Calibri"/>
        <family val="2"/>
      </rPr>
      <t>Pintura em superficie de madeira, inclusive preparo</t>
    </r>
  </si>
  <si>
    <r>
      <rPr>
        <sz val="8.5"/>
        <rFont val="Calibri"/>
        <family val="2"/>
      </rPr>
      <t>33.12.011</t>
    </r>
  </si>
  <si>
    <r>
      <rPr>
        <sz val="8.5"/>
        <rFont val="Calibri"/>
        <family val="2"/>
      </rPr>
      <t>Esmalte à base de água em madeira, inclusive preparo</t>
    </r>
  </si>
  <si>
    <r>
      <rPr>
        <sz val="8.5"/>
        <rFont val="Calibri"/>
        <family val="2"/>
      </rPr>
      <t>35,13</t>
    </r>
  </si>
  <si>
    <r>
      <rPr>
        <sz val="8.5"/>
        <rFont val="Calibri"/>
        <family val="2"/>
      </rPr>
      <t>PAISAGISMO E FECHAMENTOS</t>
    </r>
  </si>
  <si>
    <r>
      <rPr>
        <sz val="8.5"/>
        <rFont val="Calibri"/>
        <family val="2"/>
      </rPr>
      <t>Preparacao de solo</t>
    </r>
  </si>
  <si>
    <r>
      <rPr>
        <sz val="8.5"/>
        <rFont val="Calibri"/>
        <family val="2"/>
      </rPr>
      <t>34.01.010</t>
    </r>
  </si>
  <si>
    <r>
      <rPr>
        <sz val="8.5"/>
        <rFont val="Calibri"/>
        <family val="2"/>
      </rPr>
      <t>Terra vegetal orgânica comum</t>
    </r>
  </si>
  <si>
    <r>
      <rPr>
        <sz val="8.5"/>
        <rFont val="Calibri"/>
        <family val="2"/>
      </rPr>
      <t>119,03</t>
    </r>
  </si>
  <si>
    <r>
      <rPr>
        <sz val="8.5"/>
        <rFont val="Calibri"/>
        <family val="2"/>
      </rPr>
      <t>155,33</t>
    </r>
  </si>
  <si>
    <r>
      <rPr>
        <sz val="8.5"/>
        <rFont val="Calibri"/>
        <family val="2"/>
      </rPr>
      <t>34.01.020</t>
    </r>
  </si>
  <si>
    <r>
      <rPr>
        <sz val="8.5"/>
        <rFont val="Calibri"/>
        <family val="2"/>
      </rPr>
      <t>Limpeza e regularização de áreas para ajardinamento (jardins e canteiros)</t>
    </r>
  </si>
  <si>
    <r>
      <rPr>
        <sz val="8.5"/>
        <rFont val="Calibri"/>
        <family val="2"/>
      </rPr>
      <t>Vegetacao rasteira</t>
    </r>
  </si>
  <si>
    <r>
      <rPr>
        <sz val="8.5"/>
        <rFont val="Calibri"/>
        <family val="2"/>
      </rPr>
      <t>34.02.020</t>
    </r>
  </si>
  <si>
    <r>
      <rPr>
        <sz val="8.5"/>
        <rFont val="Calibri"/>
        <family val="2"/>
      </rPr>
      <t>Plantio de grama batatais em placas (praças e áreas abertas)</t>
    </r>
  </si>
  <si>
    <r>
      <rPr>
        <sz val="8.5"/>
        <rFont val="Calibri"/>
        <family val="2"/>
      </rPr>
      <t>2,45</t>
    </r>
  </si>
  <si>
    <r>
      <rPr>
        <sz val="8.5"/>
        <rFont val="Calibri"/>
        <family val="2"/>
      </rPr>
      <t>34.02.040</t>
    </r>
  </si>
  <si>
    <r>
      <rPr>
        <sz val="8.5"/>
        <rFont val="Calibri"/>
        <family val="2"/>
      </rPr>
      <t>Plantio de grama batatais em placas (jardins e canteiros)</t>
    </r>
  </si>
  <si>
    <r>
      <rPr>
        <sz val="8.5"/>
        <rFont val="Calibri"/>
        <family val="2"/>
      </rPr>
      <t>3,67</t>
    </r>
  </si>
  <si>
    <r>
      <rPr>
        <sz val="8.5"/>
        <rFont val="Calibri"/>
        <family val="2"/>
      </rPr>
      <t>34.02.070</t>
    </r>
  </si>
  <si>
    <r>
      <rPr>
        <sz val="8.5"/>
        <rFont val="Calibri"/>
        <family val="2"/>
      </rPr>
      <t>Forração com Lírio Amarelo, mínimo 18 mudas / m² - h= 0,50 m</t>
    </r>
  </si>
  <si>
    <r>
      <rPr>
        <sz val="8.5"/>
        <rFont val="Calibri"/>
        <family val="2"/>
      </rPr>
      <t>42,40</t>
    </r>
  </si>
  <si>
    <r>
      <rPr>
        <sz val="8.5"/>
        <rFont val="Calibri"/>
        <family val="2"/>
      </rPr>
      <t>34.02.080</t>
    </r>
  </si>
  <si>
    <r>
      <rPr>
        <sz val="8.5"/>
        <rFont val="Calibri"/>
        <family val="2"/>
      </rPr>
      <t>Plantio de grama São Carlos em placas (jardins e canteiros)</t>
    </r>
  </si>
  <si>
    <r>
      <rPr>
        <sz val="8.5"/>
        <rFont val="Calibri"/>
        <family val="2"/>
      </rPr>
      <t>15,09</t>
    </r>
  </si>
  <si>
    <r>
      <rPr>
        <sz val="8.5"/>
        <rFont val="Calibri"/>
        <family val="2"/>
      </rPr>
      <t>34.02.090</t>
    </r>
  </si>
  <si>
    <r>
      <rPr>
        <sz val="8.5"/>
        <rFont val="Calibri"/>
        <family val="2"/>
      </rPr>
      <t>Forração com Hera Inglesa, mínimo 18 mudas / m² - h= 0,15 m</t>
    </r>
  </si>
  <si>
    <r>
      <rPr>
        <sz val="8.5"/>
        <rFont val="Calibri"/>
        <family val="2"/>
      </rPr>
      <t>38,60</t>
    </r>
  </si>
  <si>
    <r>
      <rPr>
        <sz val="8.5"/>
        <rFont val="Calibri"/>
        <family val="2"/>
      </rPr>
      <t>34.02.100</t>
    </r>
  </si>
  <si>
    <r>
      <rPr>
        <sz val="8.5"/>
        <rFont val="Calibri"/>
        <family val="2"/>
      </rPr>
      <t>Plantio de grama esmeralda em placas (jardins e canteiros)</t>
    </r>
  </si>
  <si>
    <r>
      <rPr>
        <sz val="8.5"/>
        <rFont val="Calibri"/>
        <family val="2"/>
      </rPr>
      <t>6,89</t>
    </r>
  </si>
  <si>
    <r>
      <rPr>
        <sz val="8.5"/>
        <rFont val="Calibri"/>
        <family val="2"/>
      </rPr>
      <t>34.02.110</t>
    </r>
  </si>
  <si>
    <r>
      <rPr>
        <sz val="8.5"/>
        <rFont val="Calibri"/>
        <family val="2"/>
      </rPr>
      <t>Forração com clorofito, mínimo de 20 mudas / m² - h= 0,15 m</t>
    </r>
  </si>
  <si>
    <r>
      <rPr>
        <sz val="8.5"/>
        <rFont val="Calibri"/>
        <family val="2"/>
      </rPr>
      <t>36,00</t>
    </r>
  </si>
  <si>
    <r>
      <rPr>
        <sz val="8.5"/>
        <rFont val="Calibri"/>
        <family val="2"/>
      </rPr>
      <t>34.02.400</t>
    </r>
  </si>
  <si>
    <r>
      <rPr>
        <sz val="8.5"/>
        <rFont val="Calibri"/>
        <family val="2"/>
      </rPr>
      <t>Plantio de grama pelo processo hidrossemeadura</t>
    </r>
  </si>
  <si>
    <r>
      <rPr>
        <sz val="8.5"/>
        <rFont val="Calibri"/>
        <family val="2"/>
      </rPr>
      <t>Vegetacao arbustiva</t>
    </r>
  </si>
  <si>
    <r>
      <rPr>
        <sz val="8.5"/>
        <rFont val="Calibri"/>
        <family val="2"/>
      </rPr>
      <t>34.03.020</t>
    </r>
  </si>
  <si>
    <r>
      <rPr>
        <sz val="8.5"/>
        <rFont val="Calibri"/>
        <family val="2"/>
      </rPr>
      <t>Arbusto Azaléa - h= 0,60 a 0,80 m</t>
    </r>
  </si>
  <si>
    <r>
      <rPr>
        <sz val="8.5"/>
        <rFont val="Calibri"/>
        <family val="2"/>
      </rPr>
      <t>36,58</t>
    </r>
  </si>
  <si>
    <r>
      <rPr>
        <sz val="8.5"/>
        <rFont val="Calibri"/>
        <family val="2"/>
      </rPr>
      <t>2,68</t>
    </r>
  </si>
  <si>
    <r>
      <rPr>
        <sz val="8.5"/>
        <rFont val="Calibri"/>
        <family val="2"/>
      </rPr>
      <t>39,26</t>
    </r>
  </si>
  <si>
    <r>
      <rPr>
        <sz val="8.5"/>
        <rFont val="Calibri"/>
        <family val="2"/>
      </rPr>
      <t>34.03.120</t>
    </r>
  </si>
  <si>
    <r>
      <rPr>
        <sz val="8.5"/>
        <rFont val="Calibri"/>
        <family val="2"/>
      </rPr>
      <t>Arbusto Moréia - h= 0,50 m</t>
    </r>
  </si>
  <si>
    <r>
      <rPr>
        <sz val="8.5"/>
        <rFont val="Calibri"/>
        <family val="2"/>
      </rPr>
      <t>26,60</t>
    </r>
  </si>
  <si>
    <r>
      <rPr>
        <sz val="8.5"/>
        <rFont val="Calibri"/>
        <family val="2"/>
      </rPr>
      <t>29,28</t>
    </r>
  </si>
  <si>
    <r>
      <rPr>
        <sz val="8.5"/>
        <rFont val="Calibri"/>
        <family val="2"/>
      </rPr>
      <t>34.03.130</t>
    </r>
  </si>
  <si>
    <r>
      <rPr>
        <sz val="8.5"/>
        <rFont val="Calibri"/>
        <family val="2"/>
      </rPr>
      <t>Arbusto Alamanda - h= 0,60 a 0,80 m</t>
    </r>
  </si>
  <si>
    <r>
      <rPr>
        <sz val="8.5"/>
        <rFont val="Calibri"/>
        <family val="2"/>
      </rPr>
      <t>26,37</t>
    </r>
  </si>
  <si>
    <r>
      <rPr>
        <sz val="8.5"/>
        <rFont val="Calibri"/>
        <family val="2"/>
      </rPr>
      <t>29,05</t>
    </r>
  </si>
  <si>
    <r>
      <rPr>
        <sz val="8.5"/>
        <rFont val="Calibri"/>
        <family val="2"/>
      </rPr>
      <t>34.03.150</t>
    </r>
  </si>
  <si>
    <r>
      <rPr>
        <sz val="8.5"/>
        <rFont val="Calibri"/>
        <family val="2"/>
      </rPr>
      <t>Arbusto Curcúligo - h= 0,60 a 0,80 m</t>
    </r>
  </si>
  <si>
    <r>
      <rPr>
        <sz val="8.5"/>
        <rFont val="Calibri"/>
        <family val="2"/>
      </rPr>
      <t>34,24</t>
    </r>
  </si>
  <si>
    <r>
      <rPr>
        <sz val="8.5"/>
        <rFont val="Calibri"/>
        <family val="2"/>
      </rPr>
      <t>36,92</t>
    </r>
  </si>
  <si>
    <r>
      <rPr>
        <sz val="8.5"/>
        <rFont val="Calibri"/>
        <family val="2"/>
      </rPr>
      <t>arvores</t>
    </r>
  </si>
  <si>
    <r>
      <rPr>
        <sz val="8.5"/>
        <rFont val="Calibri"/>
        <family val="2"/>
      </rPr>
      <t>34.04.050</t>
    </r>
  </si>
  <si>
    <r>
      <rPr>
        <sz val="8.5"/>
        <rFont val="Calibri"/>
        <family val="2"/>
      </rPr>
      <t>Árvore ornamental tipo Pata de Vaca - h= 2,00 m</t>
    </r>
  </si>
  <si>
    <r>
      <rPr>
        <sz val="8.5"/>
        <rFont val="Calibri"/>
        <family val="2"/>
      </rPr>
      <t>62,23</t>
    </r>
  </si>
  <si>
    <r>
      <rPr>
        <sz val="8.5"/>
        <rFont val="Calibri"/>
        <family val="2"/>
      </rPr>
      <t>85,57</t>
    </r>
  </si>
  <si>
    <r>
      <rPr>
        <sz val="8.5"/>
        <rFont val="Calibri"/>
        <family val="2"/>
      </rPr>
      <t>34.04.130</t>
    </r>
  </si>
  <si>
    <r>
      <rPr>
        <sz val="8.5"/>
        <rFont val="Calibri"/>
        <family val="2"/>
      </rPr>
      <t>Árvore ornamental tipo Ipê Amarelo - h= 2,00 m</t>
    </r>
  </si>
  <si>
    <r>
      <rPr>
        <sz val="8.5"/>
        <rFont val="Calibri"/>
        <family val="2"/>
      </rPr>
      <t>69,42</t>
    </r>
  </si>
  <si>
    <r>
      <rPr>
        <sz val="8.5"/>
        <rFont val="Calibri"/>
        <family val="2"/>
      </rPr>
      <t>92,76</t>
    </r>
  </si>
  <si>
    <r>
      <rPr>
        <sz val="8.5"/>
        <rFont val="Calibri"/>
        <family val="2"/>
      </rPr>
      <t>34.04.160</t>
    </r>
  </si>
  <si>
    <r>
      <rPr>
        <sz val="8.5"/>
        <rFont val="Calibri"/>
        <family val="2"/>
      </rPr>
      <t>Árvore ornamental tipo Areca Bambu - h= 2,00 m</t>
    </r>
  </si>
  <si>
    <r>
      <rPr>
        <sz val="8.5"/>
        <rFont val="Calibri"/>
        <family val="2"/>
      </rPr>
      <t>85,14</t>
    </r>
  </si>
  <si>
    <r>
      <rPr>
        <sz val="8.5"/>
        <rFont val="Calibri"/>
        <family val="2"/>
      </rPr>
      <t>108,48</t>
    </r>
  </si>
  <si>
    <r>
      <rPr>
        <sz val="8.5"/>
        <rFont val="Calibri"/>
        <family val="2"/>
      </rPr>
      <t>34.04.164</t>
    </r>
  </si>
  <si>
    <r>
      <rPr>
        <sz val="8.5"/>
        <rFont val="Calibri"/>
        <family val="2"/>
      </rPr>
      <t>Árvore ornamental tipo Falso barbatimão - h = 2,00 m</t>
    </r>
  </si>
  <si>
    <r>
      <rPr>
        <sz val="8.5"/>
        <rFont val="Calibri"/>
        <family val="2"/>
      </rPr>
      <t>164,03</t>
    </r>
  </si>
  <si>
    <r>
      <rPr>
        <sz val="8.5"/>
        <rFont val="Calibri"/>
        <family val="2"/>
      </rPr>
      <t>2,63</t>
    </r>
  </si>
  <si>
    <r>
      <rPr>
        <sz val="8.5"/>
        <rFont val="Calibri"/>
        <family val="2"/>
      </rPr>
      <t>166,66</t>
    </r>
  </si>
  <si>
    <r>
      <rPr>
        <sz val="8.5"/>
        <rFont val="Calibri"/>
        <family val="2"/>
      </rPr>
      <t>34.04.166</t>
    </r>
  </si>
  <si>
    <r>
      <rPr>
        <sz val="8.5"/>
        <rFont val="Calibri"/>
        <family val="2"/>
      </rPr>
      <t>Árvore ornamental tipo Aroeira salsa - h= 2,00 m</t>
    </r>
  </si>
  <si>
    <r>
      <rPr>
        <sz val="8.5"/>
        <rFont val="Calibri"/>
        <family val="2"/>
      </rPr>
      <t>84,67</t>
    </r>
  </si>
  <si>
    <r>
      <rPr>
        <sz val="8.5"/>
        <rFont val="Calibri"/>
        <family val="2"/>
      </rPr>
      <t>87,30</t>
    </r>
  </si>
  <si>
    <r>
      <rPr>
        <sz val="8.5"/>
        <rFont val="Calibri"/>
        <family val="2"/>
      </rPr>
      <t>34.04.280</t>
    </r>
  </si>
  <si>
    <r>
      <rPr>
        <sz val="8.5"/>
        <rFont val="Calibri"/>
        <family val="2"/>
      </rPr>
      <t>Árvore ornamental tipo Manacá-da-serra</t>
    </r>
  </si>
  <si>
    <r>
      <rPr>
        <sz val="8.5"/>
        <rFont val="Calibri"/>
        <family val="2"/>
      </rPr>
      <t>93,76</t>
    </r>
  </si>
  <si>
    <r>
      <rPr>
        <sz val="8.5"/>
        <rFont val="Calibri"/>
        <family val="2"/>
      </rPr>
      <t>117,10</t>
    </r>
  </si>
  <si>
    <r>
      <rPr>
        <sz val="8.5"/>
        <rFont val="Calibri"/>
        <family val="2"/>
      </rPr>
      <t>34.04.360</t>
    </r>
  </si>
  <si>
    <r>
      <rPr>
        <sz val="8.5"/>
        <rFont val="Calibri"/>
        <family val="2"/>
      </rPr>
      <t>Árvore ornamental tipo coqueiro Jerivá - h= 4,00 m</t>
    </r>
  </si>
  <si>
    <r>
      <rPr>
        <sz val="8.5"/>
        <rFont val="Calibri"/>
        <family val="2"/>
      </rPr>
      <t>226,41</t>
    </r>
  </si>
  <si>
    <r>
      <rPr>
        <sz val="8.5"/>
        <rFont val="Calibri"/>
        <family val="2"/>
      </rPr>
      <t>249,75</t>
    </r>
  </si>
  <si>
    <r>
      <rPr>
        <sz val="8.5"/>
        <rFont val="Calibri"/>
        <family val="2"/>
      </rPr>
      <t>34.04.370</t>
    </r>
  </si>
  <si>
    <r>
      <rPr>
        <sz val="8.5"/>
        <rFont val="Calibri"/>
        <family val="2"/>
      </rPr>
      <t xml:space="preserve">Árvore ornamental tipo Quaresmeira (Tibouchina granulosa) - h= 1,50 /
</t>
    </r>
    <r>
      <rPr>
        <sz val="8.5"/>
        <rFont val="Calibri"/>
        <family val="2"/>
      </rPr>
      <t>2,00 m</t>
    </r>
  </si>
  <si>
    <r>
      <rPr>
        <sz val="8.5"/>
        <rFont val="Calibri"/>
        <family val="2"/>
      </rPr>
      <t>42,67</t>
    </r>
  </si>
  <si>
    <r>
      <rPr>
        <sz val="8.5"/>
        <rFont val="Calibri"/>
        <family val="2"/>
      </rPr>
      <t>66,01</t>
    </r>
  </si>
  <si>
    <r>
      <rPr>
        <sz val="8.5"/>
        <rFont val="Calibri"/>
        <family val="2"/>
      </rPr>
      <t>Cercas e fechamentos</t>
    </r>
  </si>
  <si>
    <r>
      <rPr>
        <sz val="8.5"/>
        <rFont val="Calibri"/>
        <family val="2"/>
      </rPr>
      <t>34.05.020</t>
    </r>
  </si>
  <si>
    <r>
      <rPr>
        <sz val="8.5"/>
        <rFont val="Calibri"/>
        <family val="2"/>
      </rPr>
      <t>Cerca em arame farpado com mourões de concreto</t>
    </r>
  </si>
  <si>
    <r>
      <rPr>
        <sz val="8.5"/>
        <rFont val="Calibri"/>
        <family val="2"/>
      </rPr>
      <t>26,82</t>
    </r>
  </si>
  <si>
    <r>
      <rPr>
        <sz val="8.5"/>
        <rFont val="Calibri"/>
        <family val="2"/>
      </rPr>
      <t>50,16</t>
    </r>
  </si>
  <si>
    <r>
      <rPr>
        <sz val="8.5"/>
        <rFont val="Calibri"/>
        <family val="2"/>
      </rPr>
      <t>34.05.030</t>
    </r>
  </si>
  <si>
    <r>
      <rPr>
        <sz val="8.5"/>
        <rFont val="Calibri"/>
        <family val="2"/>
      </rPr>
      <t>Cerca em arame farpado com mourões de concreto, com ponta inclinada</t>
    </r>
  </si>
  <si>
    <r>
      <rPr>
        <sz val="8.5"/>
        <rFont val="Calibri"/>
        <family val="2"/>
      </rPr>
      <t>35,69</t>
    </r>
  </si>
  <si>
    <r>
      <rPr>
        <sz val="8.5"/>
        <rFont val="Calibri"/>
        <family val="2"/>
      </rPr>
      <t>59,03</t>
    </r>
  </si>
  <si>
    <r>
      <rPr>
        <sz val="8.5"/>
        <rFont val="Calibri"/>
        <family val="2"/>
      </rPr>
      <t>34.05.032</t>
    </r>
  </si>
  <si>
    <r>
      <rPr>
        <sz val="8.5"/>
        <rFont val="Calibri"/>
        <family val="2"/>
      </rPr>
      <t xml:space="preserve">Cerca em arame farpado com mourões de concreto, com ponta inclinada
</t>
    </r>
    <r>
      <rPr>
        <sz val="8.5"/>
        <rFont val="Calibri"/>
        <family val="2"/>
      </rPr>
      <t>- 12 fiadas</t>
    </r>
  </si>
  <si>
    <r>
      <rPr>
        <sz val="8.5"/>
        <rFont val="Calibri"/>
        <family val="2"/>
      </rPr>
      <t>40,85</t>
    </r>
  </si>
  <si>
    <r>
      <rPr>
        <sz val="8.5"/>
        <rFont val="Calibri"/>
        <family val="2"/>
      </rPr>
      <t>64,19</t>
    </r>
  </si>
  <si>
    <r>
      <rPr>
        <sz val="8.5"/>
        <rFont val="Calibri"/>
        <family val="2"/>
      </rPr>
      <t>34.05.050</t>
    </r>
  </si>
  <si>
    <r>
      <rPr>
        <sz val="8.5"/>
        <rFont val="Calibri"/>
        <family val="2"/>
      </rPr>
      <t xml:space="preserve">Cerca em tela de aço galvanizado de 2´, montantes em mourões de
</t>
    </r>
    <r>
      <rPr>
        <sz val="8.5"/>
        <rFont val="Calibri"/>
        <family val="2"/>
      </rPr>
      <t>concreto com ponta inclinada e arame farpado</t>
    </r>
  </si>
  <si>
    <r>
      <rPr>
        <sz val="8.5"/>
        <rFont val="Calibri"/>
        <family val="2"/>
      </rPr>
      <t>161,33</t>
    </r>
  </si>
  <si>
    <r>
      <rPr>
        <sz val="8.5"/>
        <rFont val="Calibri"/>
        <family val="2"/>
      </rPr>
      <t>37,66</t>
    </r>
  </si>
  <si>
    <r>
      <rPr>
        <sz val="8.5"/>
        <rFont val="Calibri"/>
        <family val="2"/>
      </rPr>
      <t>198,99</t>
    </r>
  </si>
  <si>
    <r>
      <rPr>
        <sz val="8.5"/>
        <rFont val="Calibri"/>
        <family val="2"/>
      </rPr>
      <t>34.05.080</t>
    </r>
  </si>
  <si>
    <r>
      <rPr>
        <sz val="8.5"/>
        <rFont val="Calibri"/>
        <family val="2"/>
      </rPr>
      <t xml:space="preserve">Alambrado em tela de aço galvanizado de 2´, montantes metálicos e
</t>
    </r>
    <r>
      <rPr>
        <sz val="8.5"/>
        <rFont val="Calibri"/>
        <family val="2"/>
      </rPr>
      <t>arame farpado, até 4,00 m de altura</t>
    </r>
  </si>
  <si>
    <r>
      <rPr>
        <sz val="8.5"/>
        <rFont val="Calibri"/>
        <family val="2"/>
      </rPr>
      <t>191,59</t>
    </r>
  </si>
  <si>
    <r>
      <rPr>
        <sz val="8.5"/>
        <rFont val="Calibri"/>
        <family val="2"/>
      </rPr>
      <t>34.05.110</t>
    </r>
  </si>
  <si>
    <r>
      <rPr>
        <sz val="8.5"/>
        <rFont val="Calibri"/>
        <family val="2"/>
      </rPr>
      <t xml:space="preserve">Alambrado em tela de aço galvanizado de 2´, montantes metálicos e
</t>
    </r>
    <r>
      <rPr>
        <sz val="8.5"/>
        <rFont val="Calibri"/>
        <family val="2"/>
      </rPr>
      <t>arame farpado, acima de 4,00 m de altura</t>
    </r>
  </si>
  <si>
    <r>
      <rPr>
        <sz val="8.5"/>
        <rFont val="Calibri"/>
        <family val="2"/>
      </rPr>
      <t>188,79</t>
    </r>
  </si>
  <si>
    <r>
      <rPr>
        <sz val="8.5"/>
        <rFont val="Calibri"/>
        <family val="2"/>
      </rPr>
      <t>34.05.120</t>
    </r>
  </si>
  <si>
    <r>
      <rPr>
        <sz val="8.5"/>
        <rFont val="Calibri"/>
        <family val="2"/>
      </rPr>
      <t xml:space="preserve">Alambrado em tela de aço galvanizado de 1´, montantes metálicos e
</t>
    </r>
    <r>
      <rPr>
        <sz val="8.5"/>
        <rFont val="Calibri"/>
        <family val="2"/>
      </rPr>
      <t>arame farpado</t>
    </r>
  </si>
  <si>
    <r>
      <rPr>
        <sz val="8.5"/>
        <rFont val="Calibri"/>
        <family val="2"/>
      </rPr>
      <t>179,23</t>
    </r>
  </si>
  <si>
    <r>
      <rPr>
        <sz val="8.5"/>
        <rFont val="Calibri"/>
        <family val="2"/>
      </rPr>
      <t>34.05.170</t>
    </r>
  </si>
  <si>
    <r>
      <rPr>
        <sz val="8.5"/>
        <rFont val="Calibri"/>
        <family val="2"/>
      </rPr>
      <t>Barreira de proteção perimetral em aço inoxidável AISI 430, dupla</t>
    </r>
  </si>
  <si>
    <r>
      <rPr>
        <sz val="8.5"/>
        <rFont val="Calibri"/>
        <family val="2"/>
      </rPr>
      <t>35,09</t>
    </r>
  </si>
  <si>
    <r>
      <rPr>
        <sz val="8.5"/>
        <rFont val="Calibri"/>
        <family val="2"/>
      </rPr>
      <t>34.05.210</t>
    </r>
  </si>
  <si>
    <r>
      <rPr>
        <sz val="8.5"/>
        <rFont val="Calibri"/>
        <family val="2"/>
      </rPr>
      <t>Alambrado em tela de aço galvanizado de 2´, montantes metálicos com extremo superior duplo e arame farpado, acima de 4,00 m de altura</t>
    </r>
  </si>
  <si>
    <r>
      <rPr>
        <sz val="8.5"/>
        <rFont val="Calibri"/>
        <family val="2"/>
      </rPr>
      <t>187,94</t>
    </r>
  </si>
  <si>
    <r>
      <rPr>
        <sz val="8.5"/>
        <rFont val="Calibri"/>
        <family val="2"/>
      </rPr>
      <t>34.05.260</t>
    </r>
  </si>
  <si>
    <r>
      <rPr>
        <sz val="8.5"/>
        <rFont val="Calibri"/>
        <family val="2"/>
      </rPr>
      <t xml:space="preserve">Gradil em aço galvanizado eletrofundido, malha 65 x 132 mm e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</si>
  <si>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375,95</t>
    </r>
  </si>
  <si>
    <r>
      <rPr>
        <sz val="8.5"/>
        <rFont val="Calibri"/>
        <family val="2"/>
      </rPr>
      <t>424,38</t>
    </r>
  </si>
  <si>
    <r>
      <rPr>
        <sz val="8.5"/>
        <rFont val="Calibri"/>
        <family val="2"/>
      </rPr>
      <t>34.05.270</t>
    </r>
  </si>
  <si>
    <r>
      <rPr>
        <sz val="8.5"/>
        <rFont val="Calibri"/>
        <family val="2"/>
      </rPr>
      <t>Alambrado em tela de aço galvanizado de 2´, montantes metálicos retos</t>
    </r>
  </si>
  <si>
    <r>
      <rPr>
        <sz val="8.5"/>
        <rFont val="Calibri"/>
        <family val="2"/>
      </rPr>
      <t>179,67</t>
    </r>
  </si>
  <si>
    <r>
      <rPr>
        <sz val="8.5"/>
        <rFont val="Calibri"/>
        <family val="2"/>
      </rPr>
      <t>34.05.290</t>
    </r>
  </si>
  <si>
    <r>
      <rPr>
        <sz val="8.5"/>
        <rFont val="Calibri"/>
        <family val="2"/>
      </rPr>
      <t xml:space="preserve">Portão de abrir em grade de aço galvanizado eletrofundida, malha 65 x
</t>
    </r>
    <r>
      <rPr>
        <sz val="8.5"/>
        <rFont val="Calibri"/>
        <family val="2"/>
      </rPr>
      <t>132 mm, e pintura eletrostática</t>
    </r>
  </si>
  <si>
    <r>
      <rPr>
        <sz val="8.5"/>
        <rFont val="Calibri"/>
        <family val="2"/>
      </rPr>
      <t>1.776,15</t>
    </r>
  </si>
  <si>
    <r>
      <rPr>
        <sz val="8.5"/>
        <rFont val="Calibri"/>
        <family val="2"/>
      </rPr>
      <t>72,29</t>
    </r>
  </si>
  <si>
    <r>
      <rPr>
        <sz val="8.5"/>
        <rFont val="Calibri"/>
        <family val="2"/>
      </rPr>
      <t>1.848,44</t>
    </r>
  </si>
  <si>
    <r>
      <rPr>
        <sz val="8.5"/>
        <rFont val="Calibri"/>
        <family val="2"/>
      </rPr>
      <t>34.05.300</t>
    </r>
  </si>
  <si>
    <r>
      <rPr>
        <sz val="8.5"/>
        <rFont val="Calibri"/>
        <family val="2"/>
      </rPr>
      <t xml:space="preserve">Portão de correr em grade de aço galvanizado eletrofundida, malha 65 x
</t>
    </r>
    <r>
      <rPr>
        <sz val="8.5"/>
        <rFont val="Calibri"/>
        <family val="2"/>
      </rPr>
      <t>132 mm, e pintura eletrostática</t>
    </r>
  </si>
  <si>
    <r>
      <rPr>
        <sz val="8.5"/>
        <rFont val="Calibri"/>
        <family val="2"/>
      </rPr>
      <t>1.265,40</t>
    </r>
  </si>
  <si>
    <r>
      <rPr>
        <sz val="8.5"/>
        <rFont val="Calibri"/>
        <family val="2"/>
      </rPr>
      <t>1.337,69</t>
    </r>
  </si>
  <si>
    <r>
      <rPr>
        <sz val="8.5"/>
        <rFont val="Calibri"/>
        <family val="2"/>
      </rPr>
      <t>34.05.310</t>
    </r>
  </si>
  <si>
    <r>
      <rPr>
        <sz val="8.5"/>
        <rFont val="Calibri"/>
        <family val="2"/>
      </rPr>
      <t>Gradil de ferro perfilado, tipo parque</t>
    </r>
  </si>
  <si>
    <r>
      <rPr>
        <sz val="8.5"/>
        <rFont val="Calibri"/>
        <family val="2"/>
      </rPr>
      <t>28,64</t>
    </r>
  </si>
  <si>
    <r>
      <rPr>
        <sz val="8.5"/>
        <rFont val="Calibri"/>
        <family val="2"/>
      </rPr>
      <t>495,04</t>
    </r>
  </si>
  <si>
    <r>
      <rPr>
        <sz val="8.5"/>
        <rFont val="Calibri"/>
        <family val="2"/>
      </rPr>
      <t>34.05.320</t>
    </r>
  </si>
  <si>
    <r>
      <rPr>
        <sz val="8.5"/>
        <rFont val="Calibri"/>
        <family val="2"/>
      </rPr>
      <t>Portão de ferro perfilado, tipo parque</t>
    </r>
  </si>
  <si>
    <r>
      <rPr>
        <sz val="8.5"/>
        <rFont val="Calibri"/>
        <family val="2"/>
      </rPr>
      <t>648,62</t>
    </r>
  </si>
  <si>
    <r>
      <rPr>
        <sz val="8.5"/>
        <rFont val="Calibri"/>
        <family val="2"/>
      </rPr>
      <t>673,12</t>
    </r>
  </si>
  <si>
    <r>
      <rPr>
        <sz val="8.5"/>
        <rFont val="Calibri"/>
        <family val="2"/>
      </rPr>
      <t>34.05.350</t>
    </r>
  </si>
  <si>
    <r>
      <rPr>
        <sz val="8.5"/>
        <rFont val="Calibri"/>
        <family val="2"/>
      </rPr>
      <t>Portão de abrir em gradil eletrofundido, malha 5 x 15 cm</t>
    </r>
  </si>
  <si>
    <r>
      <rPr>
        <sz val="8.5"/>
        <rFont val="Calibri"/>
        <family val="2"/>
      </rPr>
      <t>1.784,42</t>
    </r>
  </si>
  <si>
    <r>
      <rPr>
        <sz val="8.5"/>
        <rFont val="Calibri"/>
        <family val="2"/>
      </rPr>
      <t>58,25</t>
    </r>
  </si>
  <si>
    <r>
      <rPr>
        <sz val="8.5"/>
        <rFont val="Calibri"/>
        <family val="2"/>
      </rPr>
      <t>1.842,67</t>
    </r>
  </si>
  <si>
    <r>
      <rPr>
        <sz val="8.5"/>
        <rFont val="Calibri"/>
        <family val="2"/>
      </rPr>
      <t>34.05.360</t>
    </r>
  </si>
  <si>
    <r>
      <rPr>
        <sz val="8.5"/>
        <rFont val="Calibri"/>
        <family val="2"/>
      </rPr>
      <t>Gradil tela eletrosoldado, malha de 5 x 15cm, galvanizado</t>
    </r>
  </si>
  <si>
    <r>
      <rPr>
        <sz val="8.5"/>
        <rFont val="Calibri"/>
        <family val="2"/>
      </rPr>
      <t>71,59</t>
    </r>
  </si>
  <si>
    <r>
      <rPr>
        <sz val="8.5"/>
        <rFont val="Calibri"/>
        <family val="2"/>
      </rPr>
      <t>72,14</t>
    </r>
  </si>
  <si>
    <r>
      <rPr>
        <sz val="8.5"/>
        <rFont val="Calibri"/>
        <family val="2"/>
      </rPr>
      <t>143,73</t>
    </r>
  </si>
  <si>
    <r>
      <rPr>
        <sz val="8.5"/>
        <rFont val="Calibri"/>
        <family val="2"/>
      </rPr>
      <t>34.05.370</t>
    </r>
  </si>
  <si>
    <r>
      <rPr>
        <sz val="8.5"/>
        <rFont val="Calibri"/>
        <family val="2"/>
      </rPr>
      <t>Fechamento de divisa - mourão com placas pré moldadas</t>
    </r>
  </si>
  <si>
    <r>
      <rPr>
        <sz val="8.5"/>
        <rFont val="Calibri"/>
        <family val="2"/>
      </rPr>
      <t>127,69</t>
    </r>
  </si>
  <si>
    <r>
      <rPr>
        <sz val="8.5"/>
        <rFont val="Calibri"/>
        <family val="2"/>
      </rPr>
      <t>37,71</t>
    </r>
  </si>
  <si>
    <r>
      <rPr>
        <sz val="8.5"/>
        <rFont val="Calibri"/>
        <family val="2"/>
      </rPr>
      <t>165,40</t>
    </r>
  </si>
  <si>
    <r>
      <rPr>
        <sz val="8.5"/>
        <rFont val="Calibri"/>
        <family val="2"/>
      </rPr>
      <t>Corte, recorte e remocao</t>
    </r>
  </si>
  <si>
    <r>
      <rPr>
        <sz val="8.5"/>
        <rFont val="Calibri"/>
        <family val="2"/>
      </rPr>
      <t>34.13.011</t>
    </r>
  </si>
  <si>
    <r>
      <rPr>
        <sz val="8.5"/>
        <rFont val="Calibri"/>
        <family val="2"/>
      </rPr>
      <t xml:space="preserve">Corte, recorte e remoção de árvore  inclusive as raízes - diâmetro
</t>
    </r>
    <r>
      <rPr>
        <sz val="8.5"/>
        <rFont val="Calibri"/>
        <family val="2"/>
      </rPr>
      <t>(DAP)&gt;5cm&lt;15cm</t>
    </r>
  </si>
  <si>
    <r>
      <rPr>
        <sz val="8.5"/>
        <rFont val="Calibri"/>
        <family val="2"/>
      </rPr>
      <t>121,19</t>
    </r>
  </si>
  <si>
    <r>
      <rPr>
        <sz val="8.5"/>
        <rFont val="Calibri"/>
        <family val="2"/>
      </rPr>
      <t>115,16</t>
    </r>
  </si>
  <si>
    <r>
      <rPr>
        <sz val="8.5"/>
        <rFont val="Calibri"/>
        <family val="2"/>
      </rPr>
      <t>236,35</t>
    </r>
  </si>
  <si>
    <r>
      <rPr>
        <sz val="8.5"/>
        <rFont val="Calibri"/>
        <family val="2"/>
      </rPr>
      <t>34.13.021</t>
    </r>
  </si>
  <si>
    <r>
      <rPr>
        <sz val="8.5"/>
        <rFont val="Calibri"/>
        <family val="2"/>
      </rPr>
      <t xml:space="preserve">Corte, recorte e remoção de árvore inclusive as raízes - diâmetro
</t>
    </r>
    <r>
      <rPr>
        <sz val="8.5"/>
        <rFont val="Calibri"/>
        <family val="2"/>
      </rPr>
      <t>(DAP)&gt;15cm&lt;30cm</t>
    </r>
  </si>
  <si>
    <r>
      <rPr>
        <sz val="8.5"/>
        <rFont val="Calibri"/>
        <family val="2"/>
      </rPr>
      <t>494,87</t>
    </r>
  </si>
  <si>
    <r>
      <rPr>
        <sz val="8.5"/>
        <rFont val="Calibri"/>
        <family val="2"/>
      </rPr>
      <t>143,20</t>
    </r>
  </si>
  <si>
    <r>
      <rPr>
        <sz val="8.5"/>
        <rFont val="Calibri"/>
        <family val="2"/>
      </rPr>
      <t>638,07</t>
    </r>
  </si>
  <si>
    <r>
      <rPr>
        <sz val="8.5"/>
        <rFont val="Calibri"/>
        <family val="2"/>
      </rPr>
      <t>34.13.031</t>
    </r>
  </si>
  <si>
    <r>
      <rPr>
        <sz val="8.5"/>
        <rFont val="Calibri"/>
        <family val="2"/>
      </rPr>
      <t xml:space="preserve">Corte, recorte e remoção de árvore inclusive as raízes - diâmetro
</t>
    </r>
    <r>
      <rPr>
        <sz val="8.5"/>
        <rFont val="Calibri"/>
        <family val="2"/>
      </rPr>
      <t>(DAP)&gt;30cm&lt;45cm</t>
    </r>
  </si>
  <si>
    <r>
      <rPr>
        <sz val="8.5"/>
        <rFont val="Calibri"/>
        <family val="2"/>
      </rPr>
      <t>1.488,08</t>
    </r>
  </si>
  <si>
    <r>
      <rPr>
        <sz val="8.5"/>
        <rFont val="Calibri"/>
        <family val="2"/>
      </rPr>
      <t>258,36</t>
    </r>
  </si>
  <si>
    <r>
      <rPr>
        <sz val="8.5"/>
        <rFont val="Calibri"/>
        <family val="2"/>
      </rPr>
      <t>1.746,44</t>
    </r>
  </si>
  <si>
    <r>
      <rPr>
        <sz val="8.5"/>
        <rFont val="Calibri"/>
        <family val="2"/>
      </rPr>
      <t>34.13.041</t>
    </r>
  </si>
  <si>
    <r>
      <rPr>
        <sz val="8.5"/>
        <rFont val="Calibri"/>
        <family val="2"/>
      </rPr>
      <t xml:space="preserve">Corte, recorte e remoção de árvore inclusive as raízes - diâmetro
</t>
    </r>
    <r>
      <rPr>
        <sz val="8.5"/>
        <rFont val="Calibri"/>
        <family val="2"/>
      </rPr>
      <t>(DAP)&gt;45cm&lt;60cm</t>
    </r>
  </si>
  <si>
    <r>
      <rPr>
        <sz val="8.5"/>
        <rFont val="Calibri"/>
        <family val="2"/>
      </rPr>
      <t>2.068,07</t>
    </r>
  </si>
  <si>
    <r>
      <rPr>
        <sz val="8.5"/>
        <rFont val="Calibri"/>
        <family val="2"/>
      </rPr>
      <t>692,96</t>
    </r>
  </si>
  <si>
    <r>
      <rPr>
        <sz val="8.5"/>
        <rFont val="Calibri"/>
        <family val="2"/>
      </rPr>
      <t>2.761,03</t>
    </r>
  </si>
  <si>
    <r>
      <rPr>
        <sz val="8.5"/>
        <rFont val="Calibri"/>
        <family val="2"/>
      </rPr>
      <t>34.13.051</t>
    </r>
  </si>
  <si>
    <r>
      <rPr>
        <sz val="8.5"/>
        <rFont val="Calibri"/>
        <family val="2"/>
      </rPr>
      <t xml:space="preserve">Corte, recorte e remoção de árvore inclusive as raízes - diâmetro
</t>
    </r>
    <r>
      <rPr>
        <sz val="8.5"/>
        <rFont val="Calibri"/>
        <family val="2"/>
      </rPr>
      <t>(DAP)&gt;60cm&lt;100cm</t>
    </r>
  </si>
  <si>
    <r>
      <rPr>
        <sz val="8.5"/>
        <rFont val="Calibri"/>
        <family val="2"/>
      </rPr>
      <t>4.030,92</t>
    </r>
  </si>
  <si>
    <r>
      <rPr>
        <sz val="8.5"/>
        <rFont val="Calibri"/>
        <family val="2"/>
      </rPr>
      <t>1.385,92</t>
    </r>
  </si>
  <si>
    <r>
      <rPr>
        <sz val="8.5"/>
        <rFont val="Calibri"/>
        <family val="2"/>
      </rPr>
      <t>5.416,84</t>
    </r>
  </si>
  <si>
    <r>
      <rPr>
        <sz val="8.5"/>
        <rFont val="Calibri"/>
        <family val="2"/>
      </rPr>
      <t>34.13.060</t>
    </r>
  </si>
  <si>
    <r>
      <rPr>
        <sz val="8.5"/>
        <rFont val="Calibri"/>
        <family val="2"/>
      </rPr>
      <t xml:space="preserve">Corte, recorte e remoção de árvore inclusive as raízes - diâmetro (DAP)
</t>
    </r>
    <r>
      <rPr>
        <sz val="8.5"/>
        <rFont val="Calibri"/>
        <family val="2"/>
      </rPr>
      <t>acima de 100 cm</t>
    </r>
  </si>
  <si>
    <r>
      <rPr>
        <sz val="8.5"/>
        <rFont val="Calibri"/>
        <family val="2"/>
      </rPr>
      <t>5.936,09</t>
    </r>
  </si>
  <si>
    <r>
      <rPr>
        <sz val="8.5"/>
        <rFont val="Calibri"/>
        <family val="2"/>
      </rPr>
      <t>1.614,24</t>
    </r>
  </si>
  <si>
    <r>
      <rPr>
        <sz val="8.5"/>
        <rFont val="Calibri"/>
        <family val="2"/>
      </rPr>
      <t>7.550,33</t>
    </r>
  </si>
  <si>
    <r>
      <rPr>
        <sz val="8.5"/>
        <rFont val="Calibri"/>
        <family val="2"/>
      </rPr>
      <t>Reparos, conservacoes e complementos - GRUPO 34</t>
    </r>
  </si>
  <si>
    <r>
      <rPr>
        <sz val="8.5"/>
        <rFont val="Calibri"/>
        <family val="2"/>
      </rPr>
      <t>34.20.050</t>
    </r>
  </si>
  <si>
    <r>
      <rPr>
        <sz val="8.5"/>
        <rFont val="Calibri"/>
        <family val="2"/>
      </rPr>
      <t>Tela de arame galvanizado fio nº 22 BWG, malha de 2´, tipo galinheiro</t>
    </r>
  </si>
  <si>
    <r>
      <rPr>
        <sz val="8.5"/>
        <rFont val="Calibri"/>
        <family val="2"/>
      </rPr>
      <t>8,43</t>
    </r>
  </si>
  <si>
    <r>
      <rPr>
        <sz val="8.5"/>
        <rFont val="Calibri"/>
        <family val="2"/>
      </rPr>
      <t>14,21</t>
    </r>
  </si>
  <si>
    <r>
      <rPr>
        <sz val="8.5"/>
        <rFont val="Calibri"/>
        <family val="2"/>
      </rPr>
      <t>34.20.080</t>
    </r>
  </si>
  <si>
    <r>
      <rPr>
        <sz val="8.5"/>
        <rFont val="Calibri"/>
        <family val="2"/>
      </rPr>
      <t xml:space="preserve">Tela de aço galvanizado fio nº 10 BWG, malha de 2´, tipo alambrado de
</t>
    </r>
    <r>
      <rPr>
        <sz val="8.5"/>
        <rFont val="Calibri"/>
        <family val="2"/>
      </rPr>
      <t>segurança</t>
    </r>
  </si>
  <si>
    <r>
      <rPr>
        <sz val="8.5"/>
        <rFont val="Calibri"/>
        <family val="2"/>
      </rPr>
      <t>73,22</t>
    </r>
  </si>
  <si>
    <r>
      <rPr>
        <sz val="8.5"/>
        <rFont val="Calibri"/>
        <family val="2"/>
      </rPr>
      <t>7,96</t>
    </r>
  </si>
  <si>
    <r>
      <rPr>
        <sz val="8.5"/>
        <rFont val="Calibri"/>
        <family val="2"/>
      </rPr>
      <t>81,18</t>
    </r>
  </si>
  <si>
    <r>
      <rPr>
        <sz val="8.5"/>
        <rFont val="Calibri"/>
        <family val="2"/>
      </rPr>
      <t>34.20.110</t>
    </r>
  </si>
  <si>
    <r>
      <rPr>
        <sz val="8.5"/>
        <rFont val="Calibri"/>
        <family val="2"/>
      </rPr>
      <t>Recolocação de barreira de proteção perimetral, simples ou dupla</t>
    </r>
  </si>
  <si>
    <r>
      <rPr>
        <sz val="8.5"/>
        <rFont val="Calibri"/>
        <family val="2"/>
      </rPr>
      <t>13,53</t>
    </r>
  </si>
  <si>
    <r>
      <rPr>
        <sz val="8.5"/>
        <rFont val="Calibri"/>
        <family val="2"/>
      </rPr>
      <t>34.20.160</t>
    </r>
  </si>
  <si>
    <r>
      <rPr>
        <sz val="8.5"/>
        <rFont val="Calibri"/>
        <family val="2"/>
      </rPr>
      <t>Recolocação de alambrado, com altura até 4,50 m</t>
    </r>
  </si>
  <si>
    <r>
      <rPr>
        <sz val="8.5"/>
        <rFont val="Calibri"/>
        <family val="2"/>
      </rPr>
      <t>12,06</t>
    </r>
  </si>
  <si>
    <r>
      <rPr>
        <sz val="8.5"/>
        <rFont val="Calibri"/>
        <family val="2"/>
      </rPr>
      <t>14,24</t>
    </r>
  </si>
  <si>
    <r>
      <rPr>
        <sz val="8.5"/>
        <rFont val="Calibri"/>
        <family val="2"/>
      </rPr>
      <t>34.20.170</t>
    </r>
  </si>
  <si>
    <r>
      <rPr>
        <sz val="8.5"/>
        <rFont val="Calibri"/>
        <family val="2"/>
      </rPr>
      <t>Recolocação de alambrado, com altura acima de 4,50 m</t>
    </r>
  </si>
  <si>
    <r>
      <rPr>
        <sz val="8.5"/>
        <rFont val="Calibri"/>
        <family val="2"/>
      </rPr>
      <t>2,24</t>
    </r>
  </si>
  <si>
    <r>
      <rPr>
        <sz val="8.5"/>
        <rFont val="Calibri"/>
        <family val="2"/>
      </rPr>
      <t>16,16</t>
    </r>
  </si>
  <si>
    <r>
      <rPr>
        <sz val="8.5"/>
        <rFont val="Calibri"/>
        <family val="2"/>
      </rPr>
      <t>18,40</t>
    </r>
  </si>
  <si>
    <r>
      <rPr>
        <sz val="8.5"/>
        <rFont val="Calibri"/>
        <family val="2"/>
      </rPr>
      <t>34.20.380</t>
    </r>
  </si>
  <si>
    <r>
      <rPr>
        <sz val="8.5"/>
        <rFont val="Calibri"/>
        <family val="2"/>
      </rPr>
      <t xml:space="preserve">Suporte para apoio de bicicletas em tubo de aço galvanizado, diâmetro
</t>
    </r>
    <r>
      <rPr>
        <sz val="8.5"/>
        <rFont val="Calibri"/>
        <family val="2"/>
      </rPr>
      <t>de 2 1/2´</t>
    </r>
  </si>
  <si>
    <r>
      <rPr>
        <sz val="8.5"/>
        <rFont val="Calibri"/>
        <family val="2"/>
      </rPr>
      <t>543,54</t>
    </r>
  </si>
  <si>
    <r>
      <rPr>
        <sz val="8.5"/>
        <rFont val="Calibri"/>
        <family val="2"/>
      </rPr>
      <t>131,61</t>
    </r>
  </si>
  <si>
    <r>
      <rPr>
        <sz val="8.5"/>
        <rFont val="Calibri"/>
        <family val="2"/>
      </rPr>
      <t>675,15</t>
    </r>
  </si>
  <si>
    <r>
      <rPr>
        <sz val="8.5"/>
        <rFont val="Calibri"/>
        <family val="2"/>
      </rPr>
      <t>34.20.390</t>
    </r>
  </si>
  <si>
    <r>
      <rPr>
        <sz val="8.5"/>
        <rFont val="Calibri"/>
        <family val="2"/>
      </rPr>
      <t>Grelha arvoreira em ferro fundido</t>
    </r>
  </si>
  <si>
    <r>
      <rPr>
        <sz val="8.5"/>
        <rFont val="Calibri"/>
        <family val="2"/>
      </rPr>
      <t>779,16</t>
    </r>
  </si>
  <si>
    <r>
      <rPr>
        <sz val="8.5"/>
        <rFont val="Calibri"/>
        <family val="2"/>
      </rPr>
      <t>795,24</t>
    </r>
  </si>
  <si>
    <r>
      <rPr>
        <sz val="8.5"/>
        <rFont val="Calibri"/>
        <family val="2"/>
      </rPr>
      <t>PLAYGROUND E EQUIPAMENTO RECREATIVO</t>
    </r>
  </si>
  <si>
    <r>
      <rPr>
        <sz val="8.5"/>
        <rFont val="Calibri"/>
        <family val="2"/>
      </rPr>
      <t>Quadra e equipamento de esportes</t>
    </r>
  </si>
  <si>
    <r>
      <rPr>
        <sz val="8.5"/>
        <rFont val="Calibri"/>
        <family val="2"/>
      </rPr>
      <t>35.01.070</t>
    </r>
  </si>
  <si>
    <r>
      <rPr>
        <sz val="8.5"/>
        <rFont val="Calibri"/>
        <family val="2"/>
      </rPr>
      <t>Tela de arame galvanizado fio nº 12 BWG, malha de 2´</t>
    </r>
  </si>
  <si>
    <r>
      <rPr>
        <sz val="8.5"/>
        <rFont val="Calibri"/>
        <family val="2"/>
      </rPr>
      <t>51,80</t>
    </r>
  </si>
  <si>
    <r>
      <rPr>
        <sz val="8.5"/>
        <rFont val="Calibri"/>
        <family val="2"/>
      </rPr>
      <t>35.01.150</t>
    </r>
  </si>
  <si>
    <r>
      <rPr>
        <sz val="8.5"/>
        <rFont val="Calibri"/>
        <family val="2"/>
      </rPr>
      <t>Trave oficial completa com rede para futebol de salão</t>
    </r>
  </si>
  <si>
    <r>
      <rPr>
        <sz val="8.5"/>
        <rFont val="Calibri"/>
        <family val="2"/>
      </rPr>
      <t>1.217,97</t>
    </r>
  </si>
  <si>
    <r>
      <rPr>
        <sz val="8.5"/>
        <rFont val="Calibri"/>
        <family val="2"/>
      </rPr>
      <t>115,77</t>
    </r>
  </si>
  <si>
    <r>
      <rPr>
        <sz val="8.5"/>
        <rFont val="Calibri"/>
        <family val="2"/>
      </rPr>
      <t>1.333,74</t>
    </r>
  </si>
  <si>
    <r>
      <rPr>
        <sz val="8.5"/>
        <rFont val="Calibri"/>
        <family val="2"/>
      </rPr>
      <t>35.01.160</t>
    </r>
  </si>
  <si>
    <r>
      <rPr>
        <sz val="8.5"/>
        <rFont val="Calibri"/>
        <family val="2"/>
      </rPr>
      <t>Tabela completa com suporte e rede para basquete</t>
    </r>
  </si>
  <si>
    <r>
      <rPr>
        <sz val="8.5"/>
        <rFont val="Calibri"/>
        <family val="2"/>
      </rPr>
      <t>2.079,33</t>
    </r>
  </si>
  <si>
    <r>
      <rPr>
        <sz val="8.5"/>
        <rFont val="Calibri"/>
        <family val="2"/>
      </rPr>
      <t>1.458,37</t>
    </r>
  </si>
  <si>
    <r>
      <rPr>
        <sz val="8.5"/>
        <rFont val="Calibri"/>
        <family val="2"/>
      </rPr>
      <t>3.537,70</t>
    </r>
  </si>
  <si>
    <r>
      <rPr>
        <sz val="8.5"/>
        <rFont val="Calibri"/>
        <family val="2"/>
      </rPr>
      <t>35.01.170</t>
    </r>
  </si>
  <si>
    <r>
      <rPr>
        <sz val="8.5"/>
        <rFont val="Calibri"/>
        <family val="2"/>
      </rPr>
      <t>Poste oficial completo com rede para voleibol</t>
    </r>
  </si>
  <si>
    <r>
      <rPr>
        <sz val="8.5"/>
        <rFont val="Calibri"/>
        <family val="2"/>
      </rPr>
      <t>1.162,71</t>
    </r>
  </si>
  <si>
    <r>
      <rPr>
        <sz val="8.5"/>
        <rFont val="Calibri"/>
        <family val="2"/>
      </rPr>
      <t>1.278,48</t>
    </r>
  </si>
  <si>
    <r>
      <rPr>
        <sz val="8.5"/>
        <rFont val="Calibri"/>
        <family val="2"/>
      </rPr>
      <t>35.01.550</t>
    </r>
  </si>
  <si>
    <r>
      <rPr>
        <sz val="8.5"/>
        <rFont val="Calibri"/>
        <family val="2"/>
      </rPr>
      <t xml:space="preserve">Piso em fibra de polipropileno corrugado para quadra de esportes,
</t>
    </r>
    <r>
      <rPr>
        <sz val="8.5"/>
        <rFont val="Calibri"/>
        <family val="2"/>
      </rPr>
      <t>inclusive pintura</t>
    </r>
  </si>
  <si>
    <r>
      <rPr>
        <sz val="8.5"/>
        <rFont val="Calibri"/>
        <family val="2"/>
      </rPr>
      <t>114,16</t>
    </r>
  </si>
  <si>
    <r>
      <rPr>
        <sz val="8.5"/>
        <rFont val="Calibri"/>
        <family val="2"/>
      </rPr>
      <t>23,85</t>
    </r>
  </si>
  <si>
    <r>
      <rPr>
        <sz val="8.5"/>
        <rFont val="Calibri"/>
        <family val="2"/>
      </rPr>
      <t>138,01</t>
    </r>
  </si>
  <si>
    <r>
      <rPr>
        <sz val="8.5"/>
        <rFont val="Calibri"/>
        <family val="2"/>
      </rPr>
      <t>Abrigo, guarita e quiosque</t>
    </r>
  </si>
  <si>
    <r>
      <rPr>
        <sz val="8.5"/>
        <rFont val="Calibri"/>
        <family val="2"/>
      </rPr>
      <t>35.03.030</t>
    </r>
  </si>
  <si>
    <r>
      <rPr>
        <sz val="8.5"/>
        <rFont val="Calibri"/>
        <family val="2"/>
      </rPr>
      <t>Cancela automática metálica com barreira de alumínio de 3,50 até 4,00 m</t>
    </r>
  </si>
  <si>
    <r>
      <rPr>
        <sz val="8.5"/>
        <rFont val="Calibri"/>
        <family val="2"/>
      </rPr>
      <t>3.344,33</t>
    </r>
  </si>
  <si>
    <r>
      <rPr>
        <sz val="8.5"/>
        <rFont val="Calibri"/>
        <family val="2"/>
      </rPr>
      <t>70,19</t>
    </r>
  </si>
  <si>
    <r>
      <rPr>
        <sz val="8.5"/>
        <rFont val="Calibri"/>
        <family val="2"/>
      </rPr>
      <t>3.414,52</t>
    </r>
  </si>
  <si>
    <r>
      <rPr>
        <sz val="8.5"/>
        <rFont val="Calibri"/>
        <family val="2"/>
      </rPr>
      <t>Bancos</t>
    </r>
  </si>
  <si>
    <r>
      <rPr>
        <sz val="8.5"/>
        <rFont val="Calibri"/>
        <family val="2"/>
      </rPr>
      <t>35.04.020</t>
    </r>
  </si>
  <si>
    <r>
      <rPr>
        <sz val="8.5"/>
        <rFont val="Calibri"/>
        <family val="2"/>
      </rPr>
      <t>Banco contínuo em concreto vazado</t>
    </r>
  </si>
  <si>
    <r>
      <rPr>
        <sz val="8.5"/>
        <rFont val="Calibri"/>
        <family val="2"/>
      </rPr>
      <t>139,38</t>
    </r>
  </si>
  <si>
    <r>
      <rPr>
        <sz val="8.5"/>
        <rFont val="Calibri"/>
        <family val="2"/>
      </rPr>
      <t>69,82</t>
    </r>
  </si>
  <si>
    <r>
      <rPr>
        <sz val="8.5"/>
        <rFont val="Calibri"/>
        <family val="2"/>
      </rPr>
      <t>209,20</t>
    </r>
  </si>
  <si>
    <r>
      <rPr>
        <sz val="8.5"/>
        <rFont val="Calibri"/>
        <family val="2"/>
      </rPr>
      <t>35.04.120</t>
    </r>
  </si>
  <si>
    <r>
      <rPr>
        <sz val="8.5"/>
        <rFont val="Calibri"/>
        <family val="2"/>
      </rPr>
      <t>Banco em concreto pré-moldado, comprimento 150 cm</t>
    </r>
  </si>
  <si>
    <r>
      <rPr>
        <sz val="8.5"/>
        <rFont val="Calibri"/>
        <family val="2"/>
      </rPr>
      <t>413,24</t>
    </r>
  </si>
  <si>
    <r>
      <rPr>
        <sz val="8.5"/>
        <rFont val="Calibri"/>
        <family val="2"/>
      </rPr>
      <t>428,80</t>
    </r>
  </si>
  <si>
    <r>
      <rPr>
        <sz val="8.5"/>
        <rFont val="Calibri"/>
        <family val="2"/>
      </rPr>
      <t>35.04.130</t>
    </r>
  </si>
  <si>
    <r>
      <rPr>
        <sz val="8.5"/>
        <rFont val="Calibri"/>
        <family val="2"/>
      </rPr>
      <t>Banco de madeira sobre alvenaria</t>
    </r>
  </si>
  <si>
    <r>
      <rPr>
        <sz val="8.5"/>
        <rFont val="Calibri"/>
        <family val="2"/>
      </rPr>
      <t>156,09</t>
    </r>
  </si>
  <si>
    <r>
      <rPr>
        <sz val="8.5"/>
        <rFont val="Calibri"/>
        <family val="2"/>
      </rPr>
      <t>43,52</t>
    </r>
  </si>
  <si>
    <r>
      <rPr>
        <sz val="8.5"/>
        <rFont val="Calibri"/>
        <family val="2"/>
      </rPr>
      <t>199,61</t>
    </r>
  </si>
  <si>
    <r>
      <rPr>
        <sz val="8.5"/>
        <rFont val="Calibri"/>
        <family val="2"/>
      </rPr>
      <t>35.04.140</t>
    </r>
  </si>
  <si>
    <r>
      <rPr>
        <sz val="8.5"/>
        <rFont val="Calibri"/>
        <family val="2"/>
      </rPr>
      <t>Banco em concreto pré-moldado com pés vazados, comprimento 200 cm</t>
    </r>
  </si>
  <si>
    <r>
      <rPr>
        <sz val="8.5"/>
        <rFont val="Calibri"/>
        <family val="2"/>
      </rPr>
      <t>465,12</t>
    </r>
  </si>
  <si>
    <r>
      <rPr>
        <sz val="8.5"/>
        <rFont val="Calibri"/>
        <family val="2"/>
      </rPr>
      <t>486,99</t>
    </r>
  </si>
  <si>
    <r>
      <rPr>
        <sz val="8.5"/>
        <rFont val="Calibri"/>
        <family val="2"/>
      </rPr>
      <t>35.04.150</t>
    </r>
  </si>
  <si>
    <r>
      <rPr>
        <sz val="8.5"/>
        <rFont val="Calibri"/>
        <family val="2"/>
      </rPr>
      <t>Banco em concreto pré-moldado com 3 pés, comprimento 300 cm</t>
    </r>
  </si>
  <si>
    <r>
      <rPr>
        <sz val="8.5"/>
        <rFont val="Calibri"/>
        <family val="2"/>
      </rPr>
      <t>752,18</t>
    </r>
  </si>
  <si>
    <r>
      <rPr>
        <sz val="8.5"/>
        <rFont val="Calibri"/>
        <family val="2"/>
      </rPr>
      <t>784,99</t>
    </r>
  </si>
  <si>
    <r>
      <rPr>
        <sz val="8.5"/>
        <rFont val="Calibri"/>
        <family val="2"/>
      </rPr>
      <t>Equipamento recreativo</t>
    </r>
  </si>
  <si>
    <r>
      <rPr>
        <sz val="8.5"/>
        <rFont val="Calibri"/>
        <family val="2"/>
      </rPr>
      <t>35.05.200</t>
    </r>
  </si>
  <si>
    <r>
      <rPr>
        <sz val="8.5"/>
        <rFont val="Calibri"/>
        <family val="2"/>
      </rPr>
      <t>Centro de atividades em madeira rústica</t>
    </r>
  </si>
  <si>
    <r>
      <rPr>
        <sz val="8.5"/>
        <rFont val="Calibri"/>
        <family val="2"/>
      </rPr>
      <t>4.133,44</t>
    </r>
  </si>
  <si>
    <r>
      <rPr>
        <sz val="8.5"/>
        <rFont val="Calibri"/>
        <family val="2"/>
      </rPr>
      <t>154,37</t>
    </r>
  </si>
  <si>
    <r>
      <rPr>
        <sz val="8.5"/>
        <rFont val="Calibri"/>
        <family val="2"/>
      </rPr>
      <t>4.287,81</t>
    </r>
  </si>
  <si>
    <r>
      <rPr>
        <sz val="8.5"/>
        <rFont val="Calibri"/>
        <family val="2"/>
      </rPr>
      <t>35.05.210</t>
    </r>
  </si>
  <si>
    <r>
      <rPr>
        <sz val="8.5"/>
        <rFont val="Calibri"/>
        <family val="2"/>
      </rPr>
      <t>Balanço duplo em madeira rústica</t>
    </r>
  </si>
  <si>
    <r>
      <rPr>
        <sz val="8.5"/>
        <rFont val="Calibri"/>
        <family val="2"/>
      </rPr>
      <t>1.302,50</t>
    </r>
  </si>
  <si>
    <r>
      <rPr>
        <sz val="8.5"/>
        <rFont val="Calibri"/>
        <family val="2"/>
      </rPr>
      <t>1.456,87</t>
    </r>
  </si>
  <si>
    <r>
      <rPr>
        <sz val="8.5"/>
        <rFont val="Calibri"/>
        <family val="2"/>
      </rPr>
      <t>35.05.220</t>
    </r>
  </si>
  <si>
    <r>
      <rPr>
        <sz val="8.5"/>
        <rFont val="Calibri"/>
        <family val="2"/>
      </rPr>
      <t>Gangorra dupla em madeira rústica</t>
    </r>
  </si>
  <si>
    <r>
      <rPr>
        <sz val="8.5"/>
        <rFont val="Calibri"/>
        <family val="2"/>
      </rPr>
      <t>908,74</t>
    </r>
  </si>
  <si>
    <r>
      <rPr>
        <sz val="8.5"/>
        <rFont val="Calibri"/>
        <family val="2"/>
      </rPr>
      <t>1.063,11</t>
    </r>
  </si>
  <si>
    <r>
      <rPr>
        <sz val="8.5"/>
        <rFont val="Calibri"/>
        <family val="2"/>
      </rPr>
      <t>35.05.240</t>
    </r>
  </si>
  <si>
    <r>
      <rPr>
        <sz val="8.5"/>
        <rFont val="Calibri"/>
        <family val="2"/>
      </rPr>
      <t>Gira-gira em ferro com assento de madeira (8 lugares)</t>
    </r>
  </si>
  <si>
    <r>
      <rPr>
        <sz val="8.5"/>
        <rFont val="Calibri"/>
        <family val="2"/>
      </rPr>
      <t>1.155,50</t>
    </r>
  </si>
  <si>
    <r>
      <rPr>
        <sz val="8.5"/>
        <rFont val="Calibri"/>
        <family val="2"/>
      </rPr>
      <t>1.309,87</t>
    </r>
  </si>
  <si>
    <r>
      <rPr>
        <sz val="8.5"/>
        <rFont val="Calibri"/>
        <family val="2"/>
      </rPr>
      <t>Mastro para bandeiras</t>
    </r>
  </si>
  <si>
    <r>
      <rPr>
        <sz val="8.5"/>
        <rFont val="Calibri"/>
        <family val="2"/>
      </rPr>
      <t>35.07.020</t>
    </r>
  </si>
  <si>
    <r>
      <rPr>
        <sz val="8.5"/>
        <rFont val="Calibri"/>
        <family val="2"/>
      </rPr>
      <t>Plataforma com 3 mastros galvanizados, h= 7,00 m</t>
    </r>
  </si>
  <si>
    <r>
      <rPr>
        <sz val="8.5"/>
        <rFont val="Calibri"/>
        <family val="2"/>
      </rPr>
      <t>4.373,29</t>
    </r>
  </si>
  <si>
    <r>
      <rPr>
        <sz val="8.5"/>
        <rFont val="Calibri"/>
        <family val="2"/>
      </rPr>
      <t>245,49</t>
    </r>
  </si>
  <si>
    <r>
      <rPr>
        <sz val="8.5"/>
        <rFont val="Calibri"/>
        <family val="2"/>
      </rPr>
      <t>4.618,78</t>
    </r>
  </si>
  <si>
    <r>
      <rPr>
        <sz val="8.5"/>
        <rFont val="Calibri"/>
        <family val="2"/>
      </rPr>
      <t>35.07.030</t>
    </r>
  </si>
  <si>
    <r>
      <rPr>
        <sz val="8.5"/>
        <rFont val="Calibri"/>
        <family val="2"/>
      </rPr>
      <t>Plataforma com 3 mastros galvanizados, h= 9,00 m</t>
    </r>
  </si>
  <si>
    <r>
      <rPr>
        <sz val="8.5"/>
        <rFont val="Calibri"/>
        <family val="2"/>
      </rPr>
      <t>6.336,73</t>
    </r>
  </si>
  <si>
    <r>
      <rPr>
        <sz val="8.5"/>
        <rFont val="Calibri"/>
        <family val="2"/>
      </rPr>
      <t>6.582,22</t>
    </r>
  </si>
  <si>
    <r>
      <rPr>
        <sz val="8.5"/>
        <rFont val="Calibri"/>
        <family val="2"/>
      </rPr>
      <t>35.07.060</t>
    </r>
  </si>
  <si>
    <r>
      <rPr>
        <sz val="8.5"/>
        <rFont val="Calibri"/>
        <family val="2"/>
      </rPr>
      <t>Mastro para bandeira galvanizado, h= 9,00 m</t>
    </r>
  </si>
  <si>
    <r>
      <rPr>
        <sz val="8.5"/>
        <rFont val="Calibri"/>
        <family val="2"/>
      </rPr>
      <t>2.088,98</t>
    </r>
  </si>
  <si>
    <r>
      <rPr>
        <sz val="8.5"/>
        <rFont val="Calibri"/>
        <family val="2"/>
      </rPr>
      <t>36,26</t>
    </r>
  </si>
  <si>
    <r>
      <rPr>
        <sz val="8.5"/>
        <rFont val="Calibri"/>
        <family val="2"/>
      </rPr>
      <t>2.125,24</t>
    </r>
  </si>
  <si>
    <r>
      <rPr>
        <sz val="8.5"/>
        <rFont val="Calibri"/>
        <family val="2"/>
      </rPr>
      <t>35.07.070</t>
    </r>
  </si>
  <si>
    <r>
      <rPr>
        <sz val="8.5"/>
        <rFont val="Calibri"/>
        <family val="2"/>
      </rPr>
      <t>Mastro para bandeira galvanizado, h= 7,00 m</t>
    </r>
  </si>
  <si>
    <r>
      <rPr>
        <sz val="8.5"/>
        <rFont val="Calibri"/>
        <family val="2"/>
      </rPr>
      <t>1.434,54</t>
    </r>
  </si>
  <si>
    <r>
      <rPr>
        <sz val="8.5"/>
        <rFont val="Calibri"/>
        <family val="2"/>
      </rPr>
      <t>1.470,80</t>
    </r>
  </si>
  <si>
    <r>
      <rPr>
        <sz val="8.5"/>
        <rFont val="Calibri"/>
        <family val="2"/>
      </rPr>
      <t>Reparos, conservacoes e complementos - GRUPO 35</t>
    </r>
  </si>
  <si>
    <r>
      <rPr>
        <sz val="8.5"/>
        <rFont val="Calibri"/>
        <family val="2"/>
      </rPr>
      <t>35.20.010</t>
    </r>
  </si>
  <si>
    <r>
      <rPr>
        <sz val="8.5"/>
        <rFont val="Calibri"/>
        <family val="2"/>
      </rPr>
      <t>Tela em polietileno, malha 10 x 10 cm, fio 2 mm</t>
    </r>
  </si>
  <si>
    <r>
      <rPr>
        <sz val="8.5"/>
        <rFont val="Calibri"/>
        <family val="2"/>
      </rPr>
      <t>10,48</t>
    </r>
  </si>
  <si>
    <r>
      <rPr>
        <sz val="8.5"/>
        <rFont val="Calibri"/>
        <family val="2"/>
      </rPr>
      <t>35.20.050</t>
    </r>
  </si>
  <si>
    <r>
      <rPr>
        <sz val="8.5"/>
        <rFont val="Calibri"/>
        <family val="2"/>
      </rPr>
      <t xml:space="preserve">Conjunto de 4 lixeiras para coleta seletiva, com tampa basculante,
</t>
    </r>
    <r>
      <rPr>
        <sz val="8.5"/>
        <rFont val="Calibri"/>
        <family val="2"/>
      </rPr>
      <t>capacidade 50 litros</t>
    </r>
  </si>
  <si>
    <r>
      <rPr>
        <sz val="8.5"/>
        <rFont val="Calibri"/>
        <family val="2"/>
      </rPr>
      <t>973,22</t>
    </r>
  </si>
  <si>
    <r>
      <rPr>
        <sz val="8.5"/>
        <rFont val="Calibri"/>
        <family val="2"/>
      </rPr>
      <t>24,12</t>
    </r>
  </si>
  <si>
    <r>
      <rPr>
        <sz val="8.5"/>
        <rFont val="Calibri"/>
        <family val="2"/>
      </rPr>
      <t>997,34</t>
    </r>
  </si>
  <si>
    <r>
      <rPr>
        <sz val="8.5"/>
        <rFont val="Calibri"/>
        <family val="2"/>
      </rPr>
      <t>ENTRADA DE ENERGIA ELETRICA E TELEFONIA</t>
    </r>
  </si>
  <si>
    <r>
      <rPr>
        <sz val="8.5"/>
        <rFont val="Calibri"/>
        <family val="2"/>
      </rPr>
      <t>Entrada de energia - componentes</t>
    </r>
  </si>
  <si>
    <r>
      <rPr>
        <sz val="8.5"/>
        <rFont val="Calibri"/>
        <family val="2"/>
      </rPr>
      <t>36.01.242</t>
    </r>
  </si>
  <si>
    <r>
      <rPr>
        <sz val="8.5"/>
        <rFont val="Calibri"/>
        <family val="2"/>
      </rPr>
      <t>Cubículo de média tensão, para uso ao tempo, classe 24 kV</t>
    </r>
  </si>
  <si>
    <r>
      <rPr>
        <sz val="8.5"/>
        <rFont val="Calibri"/>
        <family val="2"/>
      </rPr>
      <t>125.229,64</t>
    </r>
  </si>
  <si>
    <r>
      <rPr>
        <sz val="8.5"/>
        <rFont val="Calibri"/>
        <family val="2"/>
      </rPr>
      <t>193,60</t>
    </r>
  </si>
  <si>
    <r>
      <rPr>
        <sz val="8.5"/>
        <rFont val="Calibri"/>
        <family val="2"/>
      </rPr>
      <t>125.423,24</t>
    </r>
  </si>
  <si>
    <r>
      <rPr>
        <sz val="8.5"/>
        <rFont val="Calibri"/>
        <family val="2"/>
      </rPr>
      <t>36.01.252</t>
    </r>
  </si>
  <si>
    <r>
      <rPr>
        <sz val="8.5"/>
        <rFont val="Calibri"/>
        <family val="2"/>
      </rPr>
      <t>Cubículo de média tensão, para uso ao tempo, classe 17,5 kV</t>
    </r>
  </si>
  <si>
    <r>
      <rPr>
        <sz val="8.5"/>
        <rFont val="Calibri"/>
        <family val="2"/>
      </rPr>
      <t>99.706,78</t>
    </r>
  </si>
  <si>
    <r>
      <rPr>
        <sz val="8.5"/>
        <rFont val="Calibri"/>
        <family val="2"/>
      </rPr>
      <t>99.900,38</t>
    </r>
  </si>
  <si>
    <r>
      <rPr>
        <sz val="8.5"/>
        <rFont val="Calibri"/>
        <family val="2"/>
      </rPr>
      <t>36.01.260</t>
    </r>
  </si>
  <si>
    <r>
      <rPr>
        <sz val="8.5"/>
        <rFont val="Calibri"/>
        <family val="2"/>
      </rPr>
      <t>Cubículo de entrada e medição para uso abrigado, classe 15 kV</t>
    </r>
  </si>
  <si>
    <r>
      <rPr>
        <sz val="8.5"/>
        <rFont val="Calibri"/>
        <family val="2"/>
      </rPr>
      <t>106.237,09</t>
    </r>
  </si>
  <si>
    <r>
      <rPr>
        <sz val="8.5"/>
        <rFont val="Calibri"/>
        <family val="2"/>
      </rPr>
      <t>387,20</t>
    </r>
  </si>
  <si>
    <r>
      <rPr>
        <sz val="8.5"/>
        <rFont val="Calibri"/>
        <family val="2"/>
      </rPr>
      <t>106.624,29</t>
    </r>
  </si>
  <si>
    <r>
      <rPr>
        <sz val="8.5"/>
        <rFont val="Calibri"/>
        <family val="2"/>
      </rPr>
      <t>Caixas de entrada / medicao</t>
    </r>
  </si>
  <si>
    <r>
      <rPr>
        <sz val="8.5"/>
        <rFont val="Calibri"/>
        <family val="2"/>
      </rPr>
      <t>36.03.010</t>
    </r>
  </si>
  <si>
    <r>
      <rPr>
        <sz val="8.5"/>
        <rFont val="Calibri"/>
        <family val="2"/>
      </rPr>
      <t>Caixa de medição tipo II (300 x 560 x 200) mm, padrão concessionárias</t>
    </r>
  </si>
  <si>
    <r>
      <rPr>
        <sz val="8.5"/>
        <rFont val="Calibri"/>
        <family val="2"/>
      </rPr>
      <t>156,49</t>
    </r>
  </si>
  <si>
    <r>
      <rPr>
        <sz val="8.5"/>
        <rFont val="Calibri"/>
        <family val="2"/>
      </rPr>
      <t>125,84</t>
    </r>
  </si>
  <si>
    <r>
      <rPr>
        <sz val="8.5"/>
        <rFont val="Calibri"/>
        <family val="2"/>
      </rPr>
      <t>282,33</t>
    </r>
  </si>
  <si>
    <r>
      <rPr>
        <sz val="8.5"/>
        <rFont val="Calibri"/>
        <family val="2"/>
      </rPr>
      <t>36.03.020</t>
    </r>
  </si>
  <si>
    <r>
      <rPr>
        <sz val="8.5"/>
        <rFont val="Calibri"/>
        <family val="2"/>
      </rPr>
      <t xml:space="preserve">Caixa de medição polifásica (500 x 600 x 200)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</si>
  <si>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286,84</t>
    </r>
  </si>
  <si>
    <r>
      <rPr>
        <sz val="8.5"/>
        <rFont val="Calibri"/>
        <family val="2"/>
      </rPr>
      <t>412,68</t>
    </r>
  </si>
  <si>
    <r>
      <rPr>
        <sz val="8.5"/>
        <rFont val="Calibri"/>
        <family val="2"/>
      </rPr>
      <t>36.03.030</t>
    </r>
  </si>
  <si>
    <r>
      <rPr>
        <sz val="8.5"/>
        <rFont val="Calibri"/>
        <family val="2"/>
      </rPr>
      <t xml:space="preserve">Caixa de medição externa tipo ´L´ (900 x 600 x 270)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</si>
  <si>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903,18</t>
    </r>
  </si>
  <si>
    <r>
      <rPr>
        <sz val="8.5"/>
        <rFont val="Calibri"/>
        <family val="2"/>
      </rPr>
      <t>1.048,74</t>
    </r>
  </si>
  <si>
    <r>
      <rPr>
        <sz val="8.5"/>
        <rFont val="Calibri"/>
        <family val="2"/>
      </rPr>
      <t>36.03.050</t>
    </r>
  </si>
  <si>
    <r>
      <rPr>
        <sz val="8.5"/>
        <rFont val="Calibri"/>
        <family val="2"/>
      </rPr>
      <t xml:space="preserve">Caixa de medição externa tipo ´N´ (1300 x 1200 x 270)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</si>
  <si>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2.173,02</t>
    </r>
  </si>
  <si>
    <r>
      <rPr>
        <sz val="8.5"/>
        <rFont val="Calibri"/>
        <family val="2"/>
      </rPr>
      <t>2.318,58</t>
    </r>
  </si>
  <si>
    <r>
      <rPr>
        <sz val="8.5"/>
        <rFont val="Calibri"/>
        <family val="2"/>
      </rPr>
      <t>36.03.060</t>
    </r>
  </si>
  <si>
    <r>
      <rPr>
        <sz val="8.5"/>
        <rFont val="Calibri"/>
        <family val="2"/>
      </rPr>
      <t xml:space="preserve">Caixa de medição externa tipo ´M´ (900 x 1200 x 270)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</si>
  <si>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1.587,18</t>
    </r>
  </si>
  <si>
    <r>
      <rPr>
        <sz val="8.5"/>
        <rFont val="Calibri"/>
        <family val="2"/>
      </rPr>
      <t>1.732,74</t>
    </r>
  </si>
  <si>
    <r>
      <rPr>
        <sz val="8.5"/>
        <rFont val="Calibri"/>
        <family val="2"/>
      </rPr>
      <t>36.03.080</t>
    </r>
  </si>
  <si>
    <r>
      <rPr>
        <sz val="8.5"/>
        <rFont val="Calibri"/>
        <family val="2"/>
      </rPr>
      <t xml:space="preserve">Caixa para seccionadora tipo ´T´ (900 x 600 x 250)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</si>
  <si>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554,30</t>
    </r>
  </si>
  <si>
    <r>
      <rPr>
        <sz val="8.5"/>
        <rFont val="Calibri"/>
        <family val="2"/>
      </rPr>
      <t>663,47</t>
    </r>
  </si>
  <si>
    <r>
      <rPr>
        <sz val="8.5"/>
        <rFont val="Calibri"/>
        <family val="2"/>
      </rPr>
      <t>36.03.090</t>
    </r>
  </si>
  <si>
    <r>
      <rPr>
        <sz val="8.5"/>
        <rFont val="Calibri"/>
        <family val="2"/>
      </rPr>
      <t xml:space="preserve">Caixa de medição interna tipo ´A1´ (1000 x 1000 x 300)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</si>
  <si>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2.641,43</t>
    </r>
  </si>
  <si>
    <r>
      <rPr>
        <sz val="8.5"/>
        <rFont val="Calibri"/>
        <family val="2"/>
      </rPr>
      <t>151,30</t>
    </r>
  </si>
  <si>
    <r>
      <rPr>
        <sz val="8.5"/>
        <rFont val="Calibri"/>
        <family val="2"/>
      </rPr>
      <t>2.792,73</t>
    </r>
  </si>
  <si>
    <r>
      <rPr>
        <sz val="8.5"/>
        <rFont val="Calibri"/>
        <family val="2"/>
      </rPr>
      <t>36.03.120</t>
    </r>
  </si>
  <si>
    <r>
      <rPr>
        <sz val="8.5"/>
        <rFont val="Calibri"/>
        <family val="2"/>
      </rPr>
      <t xml:space="preserve">Caixa de proteção para transformador de corrente, (1000 x 750 x 300)
</t>
    </r>
    <r>
      <rPr>
        <sz val="8.5"/>
        <rFont val="Calibri"/>
        <family val="2"/>
      </rPr>
      <t>mm, padrão Concessionárias</t>
    </r>
  </si>
  <si>
    <r>
      <rPr>
        <sz val="8.5"/>
        <rFont val="Calibri"/>
        <family val="2"/>
      </rPr>
      <t>820,64</t>
    </r>
  </si>
  <si>
    <r>
      <rPr>
        <sz val="8.5"/>
        <rFont val="Calibri"/>
        <family val="2"/>
      </rPr>
      <t>966,20</t>
    </r>
  </si>
  <si>
    <r>
      <rPr>
        <sz val="8.5"/>
        <rFont val="Calibri"/>
        <family val="2"/>
      </rPr>
      <t>36.03.130</t>
    </r>
  </si>
  <si>
    <r>
      <rPr>
        <sz val="8.5"/>
        <rFont val="Calibri"/>
        <family val="2"/>
      </rPr>
      <t xml:space="preserve">Caixa de proteção dos bornes do medidor, (300 x 250 x 90)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</si>
  <si>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103,86</t>
    </r>
  </si>
  <si>
    <r>
      <rPr>
        <sz val="8.5"/>
        <rFont val="Calibri"/>
        <family val="2"/>
      </rPr>
      <t>176,64</t>
    </r>
  </si>
  <si>
    <r>
      <rPr>
        <sz val="8.5"/>
        <rFont val="Calibri"/>
        <family val="2"/>
      </rPr>
      <t>36.03.150</t>
    </r>
  </si>
  <si>
    <r>
      <rPr>
        <sz val="8.5"/>
        <rFont val="Calibri"/>
        <family val="2"/>
      </rPr>
      <t>Caixa de entrada tipo ´E´ (560 x 350 x 210) mm - padrão Concessionárias</t>
    </r>
  </si>
  <si>
    <r>
      <rPr>
        <sz val="8.5"/>
        <rFont val="Calibri"/>
        <family val="2"/>
      </rPr>
      <t>198,61</t>
    </r>
  </si>
  <si>
    <r>
      <rPr>
        <sz val="8.5"/>
        <rFont val="Calibri"/>
        <family val="2"/>
      </rPr>
      <t>324,45</t>
    </r>
  </si>
  <si>
    <r>
      <rPr>
        <sz val="8.5"/>
        <rFont val="Calibri"/>
        <family val="2"/>
      </rPr>
      <t>36.03.160</t>
    </r>
  </si>
  <si>
    <r>
      <rPr>
        <sz val="8.5"/>
        <rFont val="Calibri"/>
        <family val="2"/>
      </rPr>
      <t>Caixa base lateral tipo ´N´ (1300 x 400 x 250) mm</t>
    </r>
  </si>
  <si>
    <r>
      <rPr>
        <sz val="8.5"/>
        <rFont val="Calibri"/>
        <family val="2"/>
      </rPr>
      <t>660,84</t>
    </r>
  </si>
  <si>
    <r>
      <rPr>
        <sz val="8.5"/>
        <rFont val="Calibri"/>
        <family val="2"/>
      </rPr>
      <t>806,40</t>
    </r>
  </si>
  <si>
    <r>
      <rPr>
        <sz val="8.5"/>
        <rFont val="Calibri"/>
        <family val="2"/>
      </rPr>
      <t>Suporte (Braquet)</t>
    </r>
  </si>
  <si>
    <r>
      <rPr>
        <sz val="8.5"/>
        <rFont val="Calibri"/>
        <family val="2"/>
      </rPr>
      <t>36.04.010</t>
    </r>
  </si>
  <si>
    <r>
      <rPr>
        <sz val="8.5"/>
        <rFont val="Calibri"/>
        <family val="2"/>
      </rPr>
      <t>Suporte para 1 isolador de baixa tensão</t>
    </r>
  </si>
  <si>
    <r>
      <rPr>
        <sz val="8.5"/>
        <rFont val="Calibri"/>
        <family val="2"/>
      </rPr>
      <t>31,13</t>
    </r>
  </si>
  <si>
    <r>
      <rPr>
        <sz val="8.5"/>
        <rFont val="Calibri"/>
        <family val="2"/>
      </rPr>
      <t>36.04.030</t>
    </r>
  </si>
  <si>
    <r>
      <rPr>
        <sz val="8.5"/>
        <rFont val="Calibri"/>
        <family val="2"/>
      </rPr>
      <t>Suporte para 2 isoladores de baixa tensão</t>
    </r>
  </si>
  <si>
    <r>
      <rPr>
        <sz val="8.5"/>
        <rFont val="Calibri"/>
        <family val="2"/>
      </rPr>
      <t>30,63</t>
    </r>
  </si>
  <si>
    <r>
      <rPr>
        <sz val="8.5"/>
        <rFont val="Calibri"/>
        <family val="2"/>
      </rPr>
      <t>41,55</t>
    </r>
  </si>
  <si>
    <r>
      <rPr>
        <sz val="8.5"/>
        <rFont val="Calibri"/>
        <family val="2"/>
      </rPr>
      <t>36.04.050</t>
    </r>
  </si>
  <si>
    <r>
      <rPr>
        <sz val="8.5"/>
        <rFont val="Calibri"/>
        <family val="2"/>
      </rPr>
      <t>Suporte para 3 isoladores de baixa tensão</t>
    </r>
  </si>
  <si>
    <r>
      <rPr>
        <sz val="8.5"/>
        <rFont val="Calibri"/>
        <family val="2"/>
      </rPr>
      <t>54,88</t>
    </r>
  </si>
  <si>
    <r>
      <rPr>
        <sz val="8.5"/>
        <rFont val="Calibri"/>
        <family val="2"/>
      </rPr>
      <t>65,80</t>
    </r>
  </si>
  <si>
    <r>
      <rPr>
        <sz val="8.5"/>
        <rFont val="Calibri"/>
        <family val="2"/>
      </rPr>
      <t>36.04.070</t>
    </r>
  </si>
  <si>
    <r>
      <rPr>
        <sz val="8.5"/>
        <rFont val="Calibri"/>
        <family val="2"/>
      </rPr>
      <t>Suporte para 4 isoladores de baixa tensão</t>
    </r>
  </si>
  <si>
    <r>
      <rPr>
        <sz val="8.5"/>
        <rFont val="Calibri"/>
        <family val="2"/>
      </rPr>
      <t>76,45</t>
    </r>
  </si>
  <si>
    <r>
      <rPr>
        <sz val="8.5"/>
        <rFont val="Calibri"/>
        <family val="2"/>
      </rPr>
      <t>87,37</t>
    </r>
  </si>
  <si>
    <r>
      <rPr>
        <sz val="8.5"/>
        <rFont val="Calibri"/>
        <family val="2"/>
      </rPr>
      <t>Isoladores</t>
    </r>
  </si>
  <si>
    <r>
      <rPr>
        <sz val="8.5"/>
        <rFont val="Calibri"/>
        <family val="2"/>
      </rPr>
      <t>36.05.010</t>
    </r>
  </si>
  <si>
    <r>
      <rPr>
        <sz val="8.5"/>
        <rFont val="Calibri"/>
        <family val="2"/>
      </rPr>
      <t>Isolador tipo roldana para baixa tensão de 76 x 79 mm</t>
    </r>
  </si>
  <si>
    <r>
      <rPr>
        <sz val="8.5"/>
        <rFont val="Calibri"/>
        <family val="2"/>
      </rPr>
      <t>27,55</t>
    </r>
  </si>
  <si>
    <r>
      <rPr>
        <sz val="8.5"/>
        <rFont val="Calibri"/>
        <family val="2"/>
      </rPr>
      <t>34,82</t>
    </r>
  </si>
  <si>
    <r>
      <rPr>
        <sz val="8.5"/>
        <rFont val="Calibri"/>
        <family val="2"/>
      </rPr>
      <t>36.05.020</t>
    </r>
  </si>
  <si>
    <r>
      <rPr>
        <sz val="8.5"/>
        <rFont val="Calibri"/>
        <family val="2"/>
      </rPr>
      <t>Isolador tipo castanha incluindo grampo de sustentação</t>
    </r>
  </si>
  <si>
    <r>
      <rPr>
        <sz val="8.5"/>
        <rFont val="Calibri"/>
        <family val="2"/>
      </rPr>
      <t>20,34</t>
    </r>
  </si>
  <si>
    <r>
      <rPr>
        <sz val="8.5"/>
        <rFont val="Calibri"/>
        <family val="2"/>
      </rPr>
      <t>27,61</t>
    </r>
  </si>
  <si>
    <r>
      <rPr>
        <sz val="8.5"/>
        <rFont val="Calibri"/>
        <family val="2"/>
      </rPr>
      <t>36.05.040</t>
    </r>
  </si>
  <si>
    <r>
      <rPr>
        <sz val="8.5"/>
        <rFont val="Calibri"/>
        <family val="2"/>
      </rPr>
      <t>Isolador tipo disco para 15 kV de 6´ - 150 mm</t>
    </r>
  </si>
  <si>
    <r>
      <rPr>
        <sz val="8.5"/>
        <rFont val="Calibri"/>
        <family val="2"/>
      </rPr>
      <t>68,92</t>
    </r>
  </si>
  <si>
    <r>
      <rPr>
        <sz val="8.5"/>
        <rFont val="Calibri"/>
        <family val="2"/>
      </rPr>
      <t>76,19</t>
    </r>
  </si>
  <si>
    <r>
      <rPr>
        <sz val="8.5"/>
        <rFont val="Calibri"/>
        <family val="2"/>
      </rPr>
      <t>36.05.080</t>
    </r>
  </si>
  <si>
    <r>
      <rPr>
        <sz val="8.5"/>
        <rFont val="Calibri"/>
        <family val="2"/>
      </rPr>
      <t>Isolador tipo pino para 15 kV, inclusive pino (poste)</t>
    </r>
  </si>
  <si>
    <r>
      <rPr>
        <sz val="8.5"/>
        <rFont val="Calibri"/>
        <family val="2"/>
      </rPr>
      <t>47,26</t>
    </r>
  </si>
  <si>
    <r>
      <rPr>
        <sz val="8.5"/>
        <rFont val="Calibri"/>
        <family val="2"/>
      </rPr>
      <t>74,55</t>
    </r>
  </si>
  <si>
    <r>
      <rPr>
        <sz val="8.5"/>
        <rFont val="Calibri"/>
        <family val="2"/>
      </rPr>
      <t>36.05.100</t>
    </r>
  </si>
  <si>
    <r>
      <rPr>
        <sz val="8.5"/>
        <rFont val="Calibri"/>
        <family val="2"/>
      </rPr>
      <t>Isolador pedestal para 15 kV</t>
    </r>
  </si>
  <si>
    <r>
      <rPr>
        <sz val="8.5"/>
        <rFont val="Calibri"/>
        <family val="2"/>
      </rPr>
      <t>100,65</t>
    </r>
  </si>
  <si>
    <r>
      <rPr>
        <sz val="8.5"/>
        <rFont val="Calibri"/>
        <family val="2"/>
      </rPr>
      <t>107,92</t>
    </r>
  </si>
  <si>
    <r>
      <rPr>
        <sz val="8.5"/>
        <rFont val="Calibri"/>
        <family val="2"/>
      </rPr>
      <t>36.05.110</t>
    </r>
  </si>
  <si>
    <r>
      <rPr>
        <sz val="8.5"/>
        <rFont val="Calibri"/>
        <family val="2"/>
      </rPr>
      <t>Isolador pedestal para 25 kV</t>
    </r>
  </si>
  <si>
    <r>
      <rPr>
        <sz val="8.5"/>
        <rFont val="Calibri"/>
        <family val="2"/>
      </rPr>
      <t>155,34</t>
    </r>
  </si>
  <si>
    <r>
      <rPr>
        <sz val="8.5"/>
        <rFont val="Calibri"/>
        <family val="2"/>
      </rPr>
      <t>162,61</t>
    </r>
  </si>
  <si>
    <r>
      <rPr>
        <sz val="8.5"/>
        <rFont val="Calibri"/>
        <family val="2"/>
      </rPr>
      <t>Muflas e terminais</t>
    </r>
  </si>
  <si>
    <r>
      <rPr>
        <sz val="8.5"/>
        <rFont val="Calibri"/>
        <family val="2"/>
      </rPr>
      <t>36.06.060</t>
    </r>
  </si>
  <si>
    <r>
      <rPr>
        <sz val="8.5"/>
        <rFont val="Calibri"/>
        <family val="2"/>
      </rPr>
      <t>Terminal modular (mufla) unipolar externo para cabo até 70 mm²/15 kV</t>
    </r>
  </si>
  <si>
    <r>
      <rPr>
        <sz val="8.5"/>
        <rFont val="Calibri"/>
        <family val="2"/>
      </rPr>
      <t>476,19</t>
    </r>
  </si>
  <si>
    <r>
      <rPr>
        <sz val="8.5"/>
        <rFont val="Calibri"/>
        <family val="2"/>
      </rPr>
      <t>494,39</t>
    </r>
  </si>
  <si>
    <r>
      <rPr>
        <sz val="8.5"/>
        <rFont val="Calibri"/>
        <family val="2"/>
      </rPr>
      <t>36.06.080</t>
    </r>
  </si>
  <si>
    <r>
      <rPr>
        <sz val="8.5"/>
        <rFont val="Calibri"/>
        <family val="2"/>
      </rPr>
      <t>Terminal modular (mufla) unipolar interno para cabo até 70 mm²/15 kV</t>
    </r>
  </si>
  <si>
    <r>
      <rPr>
        <sz val="8.5"/>
        <rFont val="Calibri"/>
        <family val="2"/>
      </rPr>
      <t>424,78</t>
    </r>
  </si>
  <si>
    <r>
      <rPr>
        <sz val="8.5"/>
        <rFont val="Calibri"/>
        <family val="2"/>
      </rPr>
      <t>442,98</t>
    </r>
  </si>
  <si>
    <r>
      <rPr>
        <sz val="8.5"/>
        <rFont val="Calibri"/>
        <family val="2"/>
      </rPr>
      <t>Para-raios de media tensao</t>
    </r>
  </si>
  <si>
    <r>
      <rPr>
        <sz val="8.5"/>
        <rFont val="Calibri"/>
        <family val="2"/>
      </rPr>
      <t>36.07.010</t>
    </r>
  </si>
  <si>
    <r>
      <rPr>
        <sz val="8.5"/>
        <rFont val="Calibri"/>
        <family val="2"/>
      </rPr>
      <t xml:space="preserve">Para-raios de distribuição, classe 12 kV/5 kA, completo, encapsulado
</t>
    </r>
    <r>
      <rPr>
        <sz val="8.5"/>
        <rFont val="Calibri"/>
        <family val="2"/>
      </rPr>
      <t>com polímero</t>
    </r>
  </si>
  <si>
    <r>
      <rPr>
        <sz val="8.5"/>
        <rFont val="Calibri"/>
        <family val="2"/>
      </rPr>
      <t>179,54</t>
    </r>
  </si>
  <si>
    <r>
      <rPr>
        <sz val="8.5"/>
        <rFont val="Calibri"/>
        <family val="2"/>
      </rPr>
      <t>16,97</t>
    </r>
  </si>
  <si>
    <r>
      <rPr>
        <sz val="8.5"/>
        <rFont val="Calibri"/>
        <family val="2"/>
      </rPr>
      <t>196,51</t>
    </r>
  </si>
  <si>
    <r>
      <rPr>
        <sz val="8.5"/>
        <rFont val="Calibri"/>
        <family val="2"/>
      </rPr>
      <t>36.07.030</t>
    </r>
  </si>
  <si>
    <r>
      <rPr>
        <sz val="8.5"/>
        <rFont val="Calibri"/>
        <family val="2"/>
      </rPr>
      <t xml:space="preserve">Para-raios de distribuição, classe 12 kV/10 kA, completo, encapsulado
</t>
    </r>
    <r>
      <rPr>
        <sz val="8.5"/>
        <rFont val="Calibri"/>
        <family val="2"/>
      </rPr>
      <t>com polímero</t>
    </r>
  </si>
  <si>
    <r>
      <rPr>
        <sz val="8.5"/>
        <rFont val="Calibri"/>
        <family val="2"/>
      </rPr>
      <t>186,03</t>
    </r>
  </si>
  <si>
    <r>
      <rPr>
        <sz val="8.5"/>
        <rFont val="Calibri"/>
        <family val="2"/>
      </rPr>
      <t>36.07.050</t>
    </r>
  </si>
  <si>
    <r>
      <rPr>
        <sz val="8.5"/>
        <rFont val="Calibri"/>
        <family val="2"/>
      </rPr>
      <t xml:space="preserve">Para-raios de distribuição, classe 15 kV/5 kA, completo, encapsulado
</t>
    </r>
    <r>
      <rPr>
        <sz val="8.5"/>
        <rFont val="Calibri"/>
        <family val="2"/>
      </rPr>
      <t>com polímero</t>
    </r>
  </si>
  <si>
    <r>
      <rPr>
        <sz val="8.5"/>
        <rFont val="Calibri"/>
        <family val="2"/>
      </rPr>
      <t>217,49</t>
    </r>
  </si>
  <si>
    <r>
      <rPr>
        <sz val="8.5"/>
        <rFont val="Calibri"/>
        <family val="2"/>
      </rPr>
      <t>234,46</t>
    </r>
  </si>
  <si>
    <r>
      <rPr>
        <sz val="8.5"/>
        <rFont val="Calibri"/>
        <family val="2"/>
      </rPr>
      <t>36.07.060</t>
    </r>
  </si>
  <si>
    <r>
      <rPr>
        <sz val="8.5"/>
        <rFont val="Calibri"/>
        <family val="2"/>
      </rPr>
      <t xml:space="preserve">Para-raios de distribuição, classe 15 kV/10 kA, completo, encapsulado
</t>
    </r>
    <r>
      <rPr>
        <sz val="8.5"/>
        <rFont val="Calibri"/>
        <family val="2"/>
      </rPr>
      <t>com polímero</t>
    </r>
  </si>
  <si>
    <r>
      <rPr>
        <sz val="8.5"/>
        <rFont val="Calibri"/>
        <family val="2"/>
      </rPr>
      <t>173,23</t>
    </r>
  </si>
  <si>
    <r>
      <rPr>
        <sz val="8.5"/>
        <rFont val="Calibri"/>
        <family val="2"/>
      </rPr>
      <t>190,20</t>
    </r>
  </si>
  <si>
    <r>
      <rPr>
        <sz val="8.5"/>
        <rFont val="Calibri"/>
        <family val="2"/>
      </rPr>
      <t>Gerador e grupo gerador</t>
    </r>
  </si>
  <si>
    <r>
      <rPr>
        <sz val="8.5"/>
        <rFont val="Calibri"/>
        <family val="2"/>
      </rPr>
      <t>36.08.030</t>
    </r>
  </si>
  <si>
    <r>
      <rPr>
        <sz val="8.5"/>
        <rFont val="Calibri"/>
        <family val="2"/>
      </rPr>
      <t xml:space="preserve">Grupo gerador com potência de 250/228 kVA, variação de + ou - 5%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</si>
  <si>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162.948,13</t>
    </r>
  </si>
  <si>
    <r>
      <rPr>
        <sz val="8.5"/>
        <rFont val="Calibri"/>
        <family val="2"/>
      </rPr>
      <t>1.402,52</t>
    </r>
  </si>
  <si>
    <r>
      <rPr>
        <sz val="8.5"/>
        <rFont val="Calibri"/>
        <family val="2"/>
      </rPr>
      <t>164.350,65</t>
    </r>
  </si>
  <si>
    <r>
      <rPr>
        <sz val="8.5"/>
        <rFont val="Calibri"/>
        <family val="2"/>
      </rPr>
      <t>36.08.040</t>
    </r>
  </si>
  <si>
    <r>
      <rPr>
        <sz val="8.5"/>
        <rFont val="Calibri"/>
        <family val="2"/>
      </rPr>
      <t xml:space="preserve">Grupo gerador com potência de 350/320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</si>
  <si>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260.974,84</t>
    </r>
  </si>
  <si>
    <r>
      <rPr>
        <sz val="8.5"/>
        <rFont val="Calibri"/>
        <family val="2"/>
      </rPr>
      <t>262.377,36</t>
    </r>
  </si>
  <si>
    <r>
      <rPr>
        <sz val="8.5"/>
        <rFont val="Calibri"/>
        <family val="2"/>
      </rPr>
      <t>36.08.050</t>
    </r>
  </si>
  <si>
    <r>
      <rPr>
        <sz val="8.5"/>
        <rFont val="Calibri"/>
        <family val="2"/>
      </rPr>
      <t xml:space="preserve">Grupo gerador com potência de 88/80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</si>
  <si>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80.497,41</t>
    </r>
  </si>
  <si>
    <r>
      <rPr>
        <sz val="8.5"/>
        <rFont val="Calibri"/>
        <family val="2"/>
      </rPr>
      <t>81.899,93</t>
    </r>
  </si>
  <si>
    <r>
      <rPr>
        <sz val="8.5"/>
        <rFont val="Calibri"/>
        <family val="2"/>
      </rPr>
      <t>36.08.060</t>
    </r>
  </si>
  <si>
    <r>
      <rPr>
        <sz val="8.5"/>
        <rFont val="Calibri"/>
        <family val="2"/>
      </rPr>
      <t xml:space="preserve">Grupo gerador com potência de 165/150 kVA, variação de + ou - 5%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</si>
  <si>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114.128,80</t>
    </r>
  </si>
  <si>
    <r>
      <rPr>
        <sz val="8.5"/>
        <rFont val="Calibri"/>
        <family val="2"/>
      </rPr>
      <t>115.531,32</t>
    </r>
  </si>
  <si>
    <r>
      <rPr>
        <sz val="8.5"/>
        <rFont val="Calibri"/>
        <family val="2"/>
      </rPr>
      <t>36.08.100</t>
    </r>
  </si>
  <si>
    <r>
      <rPr>
        <sz val="8.5"/>
        <rFont val="Calibri"/>
        <family val="2"/>
      </rPr>
      <t xml:space="preserve">Grupo gerador com potência de 55/50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</si>
  <si>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89.815,91</t>
    </r>
  </si>
  <si>
    <r>
      <rPr>
        <sz val="8.5"/>
        <rFont val="Calibri"/>
        <family val="2"/>
      </rPr>
      <t>749,30</t>
    </r>
  </si>
  <si>
    <r>
      <rPr>
        <sz val="8.5"/>
        <rFont val="Calibri"/>
        <family val="2"/>
      </rPr>
      <t>90.565,21</t>
    </r>
  </si>
  <si>
    <r>
      <rPr>
        <sz val="8.5"/>
        <rFont val="Calibri"/>
        <family val="2"/>
      </rPr>
      <t>36.08.110</t>
    </r>
  </si>
  <si>
    <r>
      <rPr>
        <sz val="8.5"/>
        <rFont val="Calibri"/>
        <family val="2"/>
      </rPr>
      <t xml:space="preserve">Grupo gerador com potência de 180/168 kVA, variação de + ou - 5%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</si>
  <si>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154.753,03</t>
    </r>
  </si>
  <si>
    <r>
      <rPr>
        <sz val="8.5"/>
        <rFont val="Calibri"/>
        <family val="2"/>
      </rPr>
      <t>156.155,55</t>
    </r>
  </si>
  <si>
    <r>
      <rPr>
        <sz val="8.5"/>
        <rFont val="Calibri"/>
        <family val="2"/>
      </rPr>
      <t>36.08.290</t>
    </r>
  </si>
  <si>
    <r>
      <rPr>
        <sz val="8.5"/>
        <rFont val="Calibri"/>
        <family val="2"/>
      </rPr>
      <t xml:space="preserve">Grupo gerador com potência de 563/513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</si>
  <si>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311.219,50</t>
    </r>
  </si>
  <si>
    <r>
      <rPr>
        <sz val="8.5"/>
        <rFont val="Calibri"/>
        <family val="2"/>
      </rPr>
      <t>1.552,38</t>
    </r>
  </si>
  <si>
    <r>
      <rPr>
        <sz val="8.5"/>
        <rFont val="Calibri"/>
        <family val="2"/>
      </rPr>
      <t>312.771,88</t>
    </r>
  </si>
  <si>
    <r>
      <rPr>
        <sz val="8.5"/>
        <rFont val="Calibri"/>
        <family val="2"/>
      </rPr>
      <t>36.08.350</t>
    </r>
  </si>
  <si>
    <r>
      <rPr>
        <sz val="8.5"/>
        <rFont val="Calibri"/>
        <family val="2"/>
      </rPr>
      <t xml:space="preserve">Grupo gerador carenado com potência de 150/136 kVA, variação de + ou
</t>
    </r>
    <r>
      <rPr>
        <sz val="8.5"/>
        <rFont val="Calibri"/>
        <family val="2"/>
      </rPr>
      <t>- 5% - completo</t>
    </r>
  </si>
  <si>
    <r>
      <rPr>
        <sz val="8.5"/>
        <rFont val="Calibri"/>
        <family val="2"/>
      </rPr>
      <t>128.435,00</t>
    </r>
  </si>
  <si>
    <r>
      <rPr>
        <sz val="8.5"/>
        <rFont val="Calibri"/>
        <family val="2"/>
      </rPr>
      <t>129.837,52</t>
    </r>
  </si>
  <si>
    <r>
      <rPr>
        <sz val="8.5"/>
        <rFont val="Calibri"/>
        <family val="2"/>
      </rPr>
      <t>36.08.360</t>
    </r>
  </si>
  <si>
    <r>
      <rPr>
        <sz val="8.5"/>
        <rFont val="Calibri"/>
        <family val="2"/>
      </rPr>
      <t xml:space="preserve">Grupo gerador carenado com potência de 460/434 kVA, variação de + ou
</t>
    </r>
    <r>
      <rPr>
        <sz val="8.5"/>
        <rFont val="Calibri"/>
        <family val="2"/>
      </rPr>
      <t>- 10% - completo</t>
    </r>
  </si>
  <si>
    <r>
      <rPr>
        <sz val="8.5"/>
        <rFont val="Calibri"/>
        <family val="2"/>
      </rPr>
      <t>318.816,25</t>
    </r>
  </si>
  <si>
    <r>
      <rPr>
        <sz val="8.5"/>
        <rFont val="Calibri"/>
        <family val="2"/>
      </rPr>
      <t>1.549,52</t>
    </r>
  </si>
  <si>
    <r>
      <rPr>
        <sz val="8.5"/>
        <rFont val="Calibri"/>
        <family val="2"/>
      </rPr>
      <t>320.365,77</t>
    </r>
  </si>
  <si>
    <r>
      <rPr>
        <sz val="8.5"/>
        <rFont val="Calibri"/>
        <family val="2"/>
      </rPr>
      <t>36.08.540</t>
    </r>
  </si>
  <si>
    <r>
      <rPr>
        <sz val="8.5"/>
        <rFont val="Calibri"/>
        <family val="2"/>
      </rPr>
      <t xml:space="preserve">Grupo gerador com potência de 460/434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</si>
  <si>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250.258,69</t>
    </r>
  </si>
  <si>
    <r>
      <rPr>
        <sz val="8.5"/>
        <rFont val="Calibri"/>
        <family val="2"/>
      </rPr>
      <t>251.811,07</t>
    </r>
  </si>
  <si>
    <r>
      <rPr>
        <sz val="8.5"/>
        <rFont val="Calibri"/>
        <family val="2"/>
      </rPr>
      <t>Transformador de entrada</t>
    </r>
  </si>
  <si>
    <r>
      <rPr>
        <sz val="8.5"/>
        <rFont val="Calibri"/>
        <family val="2"/>
      </rPr>
      <t>36.09.020</t>
    </r>
  </si>
  <si>
    <r>
      <rPr>
        <sz val="8.5"/>
        <rFont val="Calibri"/>
        <family val="2"/>
      </rPr>
      <t>Transformador de potência trifásico de 225 kVA, classe 15 kV, a óleo</t>
    </r>
  </si>
  <si>
    <r>
      <rPr>
        <sz val="8.5"/>
        <rFont val="Calibri"/>
        <family val="2"/>
      </rPr>
      <t>22.910,44</t>
    </r>
  </si>
  <si>
    <r>
      <rPr>
        <sz val="8.5"/>
        <rFont val="Calibri"/>
        <family val="2"/>
      </rPr>
      <t>23.659,74</t>
    </r>
  </si>
  <si>
    <r>
      <rPr>
        <sz val="8.5"/>
        <rFont val="Calibri"/>
        <family val="2"/>
      </rPr>
      <t>36.09.050</t>
    </r>
  </si>
  <si>
    <r>
      <rPr>
        <sz val="8.5"/>
        <rFont val="Calibri"/>
        <family val="2"/>
      </rPr>
      <t>Transformador de potência trifásico de 150 kVA, classe 15 kV, a óleo</t>
    </r>
  </si>
  <si>
    <r>
      <rPr>
        <sz val="8.5"/>
        <rFont val="Calibri"/>
        <family val="2"/>
      </rPr>
      <t>16.650,27</t>
    </r>
  </si>
  <si>
    <r>
      <rPr>
        <sz val="8.5"/>
        <rFont val="Calibri"/>
        <family val="2"/>
      </rPr>
      <t>17.399,57</t>
    </r>
  </si>
  <si>
    <r>
      <rPr>
        <sz val="8.5"/>
        <rFont val="Calibri"/>
        <family val="2"/>
      </rPr>
      <t>36.09.060</t>
    </r>
  </si>
  <si>
    <r>
      <rPr>
        <sz val="8.5"/>
        <rFont val="Calibri"/>
        <family val="2"/>
      </rPr>
      <t>Transformador de potência trifásico de 500 kVA, classe 15 kV, a seco</t>
    </r>
  </si>
  <si>
    <r>
      <rPr>
        <sz val="8.5"/>
        <rFont val="Calibri"/>
        <family val="2"/>
      </rPr>
      <t>45.711,76</t>
    </r>
  </si>
  <si>
    <r>
      <rPr>
        <sz val="8.5"/>
        <rFont val="Calibri"/>
        <family val="2"/>
      </rPr>
      <t>1.198,88</t>
    </r>
  </si>
  <si>
    <r>
      <rPr>
        <sz val="8.5"/>
        <rFont val="Calibri"/>
        <family val="2"/>
      </rPr>
      <t>46.910,64</t>
    </r>
  </si>
  <si>
    <r>
      <rPr>
        <sz val="8.5"/>
        <rFont val="Calibri"/>
        <family val="2"/>
      </rPr>
      <t>36.09.070</t>
    </r>
  </si>
  <si>
    <r>
      <rPr>
        <sz val="8.5"/>
        <rFont val="Calibri"/>
        <family val="2"/>
      </rPr>
      <t xml:space="preserve">Transformador de potência trifásico de 1000 kVA, classe 15 kV, a seco
</t>
    </r>
    <r>
      <rPr>
        <sz val="8.5"/>
        <rFont val="Calibri"/>
        <family val="2"/>
      </rPr>
      <t>com cabine</t>
    </r>
  </si>
  <si>
    <r>
      <rPr>
        <sz val="8.5"/>
        <rFont val="Calibri"/>
        <family val="2"/>
      </rPr>
      <t>90.433,00</t>
    </r>
  </si>
  <si>
    <r>
      <rPr>
        <sz val="8.5"/>
        <rFont val="Calibri"/>
        <family val="2"/>
      </rPr>
      <t>91.631,88</t>
    </r>
  </si>
  <si>
    <r>
      <rPr>
        <sz val="8.5"/>
        <rFont val="Calibri"/>
        <family val="2"/>
      </rPr>
      <t>36.09.100</t>
    </r>
  </si>
  <si>
    <r>
      <rPr>
        <sz val="8.5"/>
        <rFont val="Calibri"/>
        <family val="2"/>
      </rPr>
      <t xml:space="preserve">Transformador de potência trifásico de 5 kVA, classe 0,6 kV, a seco com
</t>
    </r>
    <r>
      <rPr>
        <sz val="8.5"/>
        <rFont val="Calibri"/>
        <family val="2"/>
      </rPr>
      <t>cabine</t>
    </r>
  </si>
  <si>
    <r>
      <rPr>
        <sz val="8.5"/>
        <rFont val="Calibri"/>
        <family val="2"/>
      </rPr>
      <t>3.883,26</t>
    </r>
  </si>
  <si>
    <r>
      <rPr>
        <sz val="8.5"/>
        <rFont val="Calibri"/>
        <family val="2"/>
      </rPr>
      <t>299,72</t>
    </r>
  </si>
  <si>
    <r>
      <rPr>
        <sz val="8.5"/>
        <rFont val="Calibri"/>
        <family val="2"/>
      </rPr>
      <t>4.182,98</t>
    </r>
  </si>
  <si>
    <r>
      <rPr>
        <sz val="8.5"/>
        <rFont val="Calibri"/>
        <family val="2"/>
      </rPr>
      <t>36.09.110</t>
    </r>
  </si>
  <si>
    <r>
      <rPr>
        <sz val="8.5"/>
        <rFont val="Calibri"/>
        <family val="2"/>
      </rPr>
      <t xml:space="preserve">Transformador de potência trifásico de 7,5 kVA, classe 0,6 kV, a seco
</t>
    </r>
    <r>
      <rPr>
        <sz val="8.5"/>
        <rFont val="Calibri"/>
        <family val="2"/>
      </rPr>
      <t>com cabine</t>
    </r>
  </si>
  <si>
    <r>
      <rPr>
        <sz val="8.5"/>
        <rFont val="Calibri"/>
        <family val="2"/>
      </rPr>
      <t>4.285,03</t>
    </r>
  </si>
  <si>
    <r>
      <rPr>
        <sz val="8.5"/>
        <rFont val="Calibri"/>
        <family val="2"/>
      </rPr>
      <t>4.584,75</t>
    </r>
  </si>
  <si>
    <r>
      <rPr>
        <sz val="8.5"/>
        <rFont val="Calibri"/>
        <family val="2"/>
      </rPr>
      <t>36.09.150</t>
    </r>
  </si>
  <si>
    <r>
      <rPr>
        <sz val="8.5"/>
        <rFont val="Calibri"/>
        <family val="2"/>
      </rPr>
      <t>Transformador de potência trifásico de 75 kVA, classe 15 kV, a óleo</t>
    </r>
  </si>
  <si>
    <r>
      <rPr>
        <sz val="8.5"/>
        <rFont val="Calibri"/>
        <family val="2"/>
      </rPr>
      <t>14.120,81</t>
    </r>
  </si>
  <si>
    <r>
      <rPr>
        <sz val="8.5"/>
        <rFont val="Calibri"/>
        <family val="2"/>
      </rPr>
      <t>14.870,11</t>
    </r>
  </si>
  <si>
    <r>
      <rPr>
        <sz val="8.5"/>
        <rFont val="Calibri"/>
        <family val="2"/>
      </rPr>
      <t>36.09.170</t>
    </r>
  </si>
  <si>
    <r>
      <rPr>
        <sz val="8.5"/>
        <rFont val="Calibri"/>
        <family val="2"/>
      </rPr>
      <t>Transformador de potência trifásico de 300 kVA, classe 15 kV, a óleo</t>
    </r>
  </si>
  <si>
    <r>
      <rPr>
        <sz val="8.5"/>
        <rFont val="Calibri"/>
        <family val="2"/>
      </rPr>
      <t>25.577,68</t>
    </r>
  </si>
  <si>
    <r>
      <rPr>
        <sz val="8.5"/>
        <rFont val="Calibri"/>
        <family val="2"/>
      </rPr>
      <t>26.326,98</t>
    </r>
  </si>
  <si>
    <r>
      <rPr>
        <sz val="8.5"/>
        <rFont val="Calibri"/>
        <family val="2"/>
      </rPr>
      <t>36.09.180</t>
    </r>
  </si>
  <si>
    <r>
      <rPr>
        <sz val="8.5"/>
        <rFont val="Calibri"/>
        <family val="2"/>
      </rPr>
      <t>Transformador de potência trifásico de 112,5 kVA, classe 15 kV, a óleo</t>
    </r>
  </si>
  <si>
    <r>
      <rPr>
        <sz val="8.5"/>
        <rFont val="Calibri"/>
        <family val="2"/>
      </rPr>
      <t>13.130,77</t>
    </r>
  </si>
  <si>
    <r>
      <rPr>
        <sz val="8.5"/>
        <rFont val="Calibri"/>
        <family val="2"/>
      </rPr>
      <t>13.880,07</t>
    </r>
  </si>
  <si>
    <r>
      <rPr>
        <sz val="8.5"/>
        <rFont val="Calibri"/>
        <family val="2"/>
      </rPr>
      <t>36.09.220</t>
    </r>
  </si>
  <si>
    <r>
      <rPr>
        <sz val="8.5"/>
        <rFont val="Calibri"/>
        <family val="2"/>
      </rPr>
      <t xml:space="preserve">Transformador de potência trifásico de 500 kVA, classe 15 kV, a seco
</t>
    </r>
    <r>
      <rPr>
        <sz val="8.5"/>
        <rFont val="Calibri"/>
        <family val="2"/>
      </rPr>
      <t>com cabine</t>
    </r>
  </si>
  <si>
    <r>
      <rPr>
        <sz val="8.5"/>
        <rFont val="Calibri"/>
        <family val="2"/>
      </rPr>
      <t>69.195,40</t>
    </r>
  </si>
  <si>
    <r>
      <rPr>
        <sz val="8.5"/>
        <rFont val="Calibri"/>
        <family val="2"/>
      </rPr>
      <t>70.394,28</t>
    </r>
  </si>
  <si>
    <r>
      <rPr>
        <sz val="8.5"/>
        <rFont val="Calibri"/>
        <family val="2"/>
      </rPr>
      <t>36.09.230</t>
    </r>
  </si>
  <si>
    <r>
      <rPr>
        <sz val="8.5"/>
        <rFont val="Calibri"/>
        <family val="2"/>
      </rPr>
      <t xml:space="preserve">Transformador de potência trifásico de 30 kVA, classe 1,2 KV, a seco com
</t>
    </r>
    <r>
      <rPr>
        <sz val="8.5"/>
        <rFont val="Calibri"/>
        <family val="2"/>
      </rPr>
      <t>cabine</t>
    </r>
  </si>
  <si>
    <r>
      <rPr>
        <sz val="8.5"/>
        <rFont val="Calibri"/>
        <family val="2"/>
      </rPr>
      <t>14.007,50</t>
    </r>
  </si>
  <si>
    <r>
      <rPr>
        <sz val="8.5"/>
        <rFont val="Calibri"/>
        <family val="2"/>
      </rPr>
      <t>14.307,22</t>
    </r>
  </si>
  <si>
    <r>
      <rPr>
        <sz val="8.5"/>
        <rFont val="Calibri"/>
        <family val="2"/>
      </rPr>
      <t>36.09.250</t>
    </r>
  </si>
  <si>
    <r>
      <rPr>
        <sz val="8.5"/>
        <rFont val="Calibri"/>
        <family val="2"/>
      </rPr>
      <t>Transformador de potência trifásico de 500 kVA, classe 15 kV, a óleo</t>
    </r>
  </si>
  <si>
    <r>
      <rPr>
        <sz val="8.5"/>
        <rFont val="Calibri"/>
        <family val="2"/>
      </rPr>
      <t>45.862,99</t>
    </r>
  </si>
  <si>
    <r>
      <rPr>
        <sz val="8.5"/>
        <rFont val="Calibri"/>
        <family val="2"/>
      </rPr>
      <t>47.061,87</t>
    </r>
  </si>
  <si>
    <r>
      <rPr>
        <sz val="8.5"/>
        <rFont val="Calibri"/>
        <family val="2"/>
      </rPr>
      <t>36.09.300</t>
    </r>
  </si>
  <si>
    <r>
      <rPr>
        <sz val="8.5"/>
        <rFont val="Calibri"/>
        <family val="2"/>
      </rPr>
      <t>Transformador de potência trifásico de 750 kVA, classe 15 kV, a óleo</t>
    </r>
  </si>
  <si>
    <r>
      <rPr>
        <sz val="8.5"/>
        <rFont val="Calibri"/>
        <family val="2"/>
      </rPr>
      <t>58.686,64</t>
    </r>
  </si>
  <si>
    <r>
      <rPr>
        <sz val="8.5"/>
        <rFont val="Calibri"/>
        <family val="2"/>
      </rPr>
      <t>59.885,52</t>
    </r>
  </si>
  <si>
    <r>
      <rPr>
        <sz val="8.5"/>
        <rFont val="Calibri"/>
        <family val="2"/>
      </rPr>
      <t>36.09.360</t>
    </r>
  </si>
  <si>
    <r>
      <rPr>
        <sz val="8.5"/>
        <rFont val="Calibri"/>
        <family val="2"/>
      </rPr>
      <t>Transformador de potência trifásico de 750 kVA, classe 15 kV, a seco</t>
    </r>
  </si>
  <si>
    <r>
      <rPr>
        <sz val="8.5"/>
        <rFont val="Calibri"/>
        <family val="2"/>
      </rPr>
      <t>91.153,67</t>
    </r>
  </si>
  <si>
    <r>
      <rPr>
        <sz val="8.5"/>
        <rFont val="Calibri"/>
        <family val="2"/>
      </rPr>
      <t>92.352,55</t>
    </r>
  </si>
  <si>
    <r>
      <rPr>
        <sz val="8.5"/>
        <rFont val="Calibri"/>
        <family val="2"/>
      </rPr>
      <t>36.09.370</t>
    </r>
  </si>
  <si>
    <r>
      <rPr>
        <sz val="8.5"/>
        <rFont val="Calibri"/>
        <family val="2"/>
      </rPr>
      <t>Transformador de potência trifásico de 300 kVA, classe 15 kV, a seco</t>
    </r>
  </si>
  <si>
    <r>
      <rPr>
        <sz val="8.5"/>
        <rFont val="Calibri"/>
        <family val="2"/>
      </rPr>
      <t>54.272,70</t>
    </r>
  </si>
  <si>
    <r>
      <rPr>
        <sz val="8.5"/>
        <rFont val="Calibri"/>
        <family val="2"/>
      </rPr>
      <t>55.022,00</t>
    </r>
  </si>
  <si>
    <r>
      <rPr>
        <sz val="8.5"/>
        <rFont val="Calibri"/>
        <family val="2"/>
      </rPr>
      <t>36.09.410</t>
    </r>
  </si>
  <si>
    <r>
      <rPr>
        <sz val="8.5"/>
        <rFont val="Calibri"/>
        <family val="2"/>
      </rPr>
      <t>Transformador de potência trifásico de 45 kVA, classe 15 kV, a seco</t>
    </r>
  </si>
  <si>
    <r>
      <rPr>
        <sz val="8.5"/>
        <rFont val="Calibri"/>
        <family val="2"/>
      </rPr>
      <t>20.476,79</t>
    </r>
  </si>
  <si>
    <r>
      <rPr>
        <sz val="8.5"/>
        <rFont val="Calibri"/>
        <family val="2"/>
      </rPr>
      <t>21.226,09</t>
    </r>
  </si>
  <si>
    <r>
      <rPr>
        <sz val="8.5"/>
        <rFont val="Calibri"/>
        <family val="2"/>
      </rPr>
      <t>36.09.440</t>
    </r>
  </si>
  <si>
    <r>
      <rPr>
        <sz val="8.5"/>
        <rFont val="Calibri"/>
        <family val="2"/>
      </rPr>
      <t xml:space="preserve">Transformador de potência trifásico de 500 kVA, classe 15 kV, a óleo -
</t>
    </r>
    <r>
      <rPr>
        <sz val="8.5"/>
        <rFont val="Calibri"/>
        <family val="2"/>
      </rPr>
      <t>tipo pedestal</t>
    </r>
  </si>
  <si>
    <r>
      <rPr>
        <sz val="8.5"/>
        <rFont val="Calibri"/>
        <family val="2"/>
      </rPr>
      <t>94.010,26</t>
    </r>
  </si>
  <si>
    <r>
      <rPr>
        <sz val="8.5"/>
        <rFont val="Calibri"/>
        <family val="2"/>
      </rPr>
      <t>95.209,14</t>
    </r>
  </si>
  <si>
    <r>
      <rPr>
        <sz val="8.5"/>
        <rFont val="Calibri"/>
        <family val="2"/>
      </rPr>
      <t>36.09.480</t>
    </r>
  </si>
  <si>
    <r>
      <rPr>
        <sz val="8.5"/>
        <rFont val="Calibri"/>
        <family val="2"/>
      </rPr>
      <t xml:space="preserve">Transformador trifásico a seco de 112,5 kVA, encapsulado em resina
</t>
    </r>
    <r>
      <rPr>
        <sz val="8.5"/>
        <rFont val="Calibri"/>
        <family val="2"/>
      </rPr>
      <t>epóxi sob vácuo</t>
    </r>
  </si>
  <si>
    <r>
      <rPr>
        <sz val="8.5"/>
        <rFont val="Calibri"/>
        <family val="2"/>
      </rPr>
      <t>25.664,13</t>
    </r>
  </si>
  <si>
    <r>
      <rPr>
        <sz val="8.5"/>
        <rFont val="Calibri"/>
        <family val="2"/>
      </rPr>
      <t>26.413,43</t>
    </r>
  </si>
  <si>
    <r>
      <rPr>
        <sz val="8.5"/>
        <rFont val="Calibri"/>
        <family val="2"/>
      </rPr>
      <t>36.09.490</t>
    </r>
  </si>
  <si>
    <r>
      <rPr>
        <sz val="8.5"/>
        <rFont val="Calibri"/>
        <family val="2"/>
      </rPr>
      <t xml:space="preserve">Transformador trifásico a seco de 150 kVA, encapsulado em resina epóxi
</t>
    </r>
    <r>
      <rPr>
        <sz val="8.5"/>
        <rFont val="Calibri"/>
        <family val="2"/>
      </rPr>
      <t>sob vácuo</t>
    </r>
  </si>
  <si>
    <r>
      <rPr>
        <sz val="8.5"/>
        <rFont val="Calibri"/>
        <family val="2"/>
      </rPr>
      <t>31.461,80</t>
    </r>
  </si>
  <si>
    <r>
      <rPr>
        <sz val="8.5"/>
        <rFont val="Calibri"/>
        <family val="2"/>
      </rPr>
      <t>32.211,10</t>
    </r>
  </si>
  <si>
    <r>
      <rPr>
        <sz val="8.5"/>
        <rFont val="Calibri"/>
        <family val="2"/>
      </rPr>
      <t>Reparos, conservacoes e complementos - GRUPO 36</t>
    </r>
  </si>
  <si>
    <r>
      <rPr>
        <sz val="8.5"/>
        <rFont val="Calibri"/>
        <family val="2"/>
      </rPr>
      <t>36.20.010</t>
    </r>
  </si>
  <si>
    <r>
      <rPr>
        <sz val="8.5"/>
        <rFont val="Calibri"/>
        <family val="2"/>
      </rPr>
      <t>Vergalhão de cobre eletrolítico, diâmetro de 3/8´</t>
    </r>
  </si>
  <si>
    <r>
      <rPr>
        <sz val="8.5"/>
        <rFont val="Calibri"/>
        <family val="2"/>
      </rPr>
      <t>59,74</t>
    </r>
  </si>
  <si>
    <r>
      <rPr>
        <sz val="8.5"/>
        <rFont val="Calibri"/>
        <family val="2"/>
      </rPr>
      <t>74,30</t>
    </r>
  </si>
  <si>
    <r>
      <rPr>
        <sz val="8.5"/>
        <rFont val="Calibri"/>
        <family val="2"/>
      </rPr>
      <t>36.20.030</t>
    </r>
  </si>
  <si>
    <r>
      <rPr>
        <sz val="8.5"/>
        <rFont val="Calibri"/>
        <family val="2"/>
      </rPr>
      <t>União angular para vergalhão, diâmetro de 3/8´</t>
    </r>
  </si>
  <si>
    <r>
      <rPr>
        <sz val="8.5"/>
        <rFont val="Calibri"/>
        <family val="2"/>
      </rPr>
      <t>49,04</t>
    </r>
  </si>
  <si>
    <r>
      <rPr>
        <sz val="8.5"/>
        <rFont val="Calibri"/>
        <family val="2"/>
      </rPr>
      <t>56,31</t>
    </r>
  </si>
  <si>
    <r>
      <rPr>
        <sz val="8.5"/>
        <rFont val="Calibri"/>
        <family val="2"/>
      </rPr>
      <t>36.20.040</t>
    </r>
  </si>
  <si>
    <r>
      <rPr>
        <sz val="8.5"/>
        <rFont val="Calibri"/>
        <family val="2"/>
      </rPr>
      <t>Bobina mínima para disjuntor (a óleo)</t>
    </r>
  </si>
  <si>
    <r>
      <rPr>
        <sz val="8.5"/>
        <rFont val="Calibri"/>
        <family val="2"/>
      </rPr>
      <t>1.170,13</t>
    </r>
  </si>
  <si>
    <r>
      <rPr>
        <sz val="8.5"/>
        <rFont val="Calibri"/>
        <family val="2"/>
      </rPr>
      <t>48,04</t>
    </r>
  </si>
  <si>
    <r>
      <rPr>
        <sz val="8.5"/>
        <rFont val="Calibri"/>
        <family val="2"/>
      </rPr>
      <t>1.218,17</t>
    </r>
  </si>
  <si>
    <r>
      <rPr>
        <sz val="8.5"/>
        <rFont val="Calibri"/>
        <family val="2"/>
      </rPr>
      <t>36.20.050</t>
    </r>
  </si>
  <si>
    <r>
      <rPr>
        <sz val="8.5"/>
        <rFont val="Calibri"/>
        <family val="2"/>
      </rPr>
      <t>Terminal para vergalhão, diâmetro de 3/8´</t>
    </r>
  </si>
  <si>
    <r>
      <rPr>
        <sz val="8.5"/>
        <rFont val="Calibri"/>
        <family val="2"/>
      </rPr>
      <t>21,45</t>
    </r>
  </si>
  <si>
    <r>
      <rPr>
        <sz val="8.5"/>
        <rFont val="Calibri"/>
        <family val="2"/>
      </rPr>
      <t>28,72</t>
    </r>
  </si>
  <si>
    <r>
      <rPr>
        <sz val="8.5"/>
        <rFont val="Calibri"/>
        <family val="2"/>
      </rPr>
      <t>36.20.060</t>
    </r>
  </si>
  <si>
    <r>
      <rPr>
        <sz val="8.5"/>
        <rFont val="Calibri"/>
        <family val="2"/>
      </rPr>
      <t>Braçadeira para fixação de eletroduto, até 4´</t>
    </r>
  </si>
  <si>
    <r>
      <rPr>
        <sz val="8.5"/>
        <rFont val="Calibri"/>
        <family val="2"/>
      </rPr>
      <t>36.20.070</t>
    </r>
  </si>
  <si>
    <r>
      <rPr>
        <sz val="8.5"/>
        <rFont val="Calibri"/>
        <family val="2"/>
      </rPr>
      <t>Prensa vergalhão ´T´, diâmetro de 3/8´</t>
    </r>
  </si>
  <si>
    <r>
      <rPr>
        <sz val="8.5"/>
        <rFont val="Calibri"/>
        <family val="2"/>
      </rPr>
      <t>19,59</t>
    </r>
  </si>
  <si>
    <r>
      <rPr>
        <sz val="8.5"/>
        <rFont val="Calibri"/>
        <family val="2"/>
      </rPr>
      <t>26,86</t>
    </r>
  </si>
  <si>
    <r>
      <rPr>
        <sz val="8.5"/>
        <rFont val="Calibri"/>
        <family val="2"/>
      </rPr>
      <t>36.20.090</t>
    </r>
  </si>
  <si>
    <r>
      <rPr>
        <sz val="8.5"/>
        <rFont val="Calibri"/>
        <family val="2"/>
      </rPr>
      <t>Vara para manobra em cabine em fibra de vidro, para tensão até 36 kV</t>
    </r>
  </si>
  <si>
    <r>
      <rPr>
        <sz val="8.5"/>
        <rFont val="Calibri"/>
        <family val="2"/>
      </rPr>
      <t>524,96</t>
    </r>
  </si>
  <si>
    <r>
      <rPr>
        <sz val="8.5"/>
        <rFont val="Calibri"/>
        <family val="2"/>
      </rPr>
      <t>525,69</t>
    </r>
  </si>
  <si>
    <r>
      <rPr>
        <sz val="8.5"/>
        <rFont val="Calibri"/>
        <family val="2"/>
      </rPr>
      <t>36.20.100</t>
    </r>
  </si>
  <si>
    <r>
      <rPr>
        <sz val="8.5"/>
        <rFont val="Calibri"/>
        <family val="2"/>
      </rPr>
      <t>Bucha para passagem interna/externa com isolação para 15 kV</t>
    </r>
  </si>
  <si>
    <r>
      <rPr>
        <sz val="8.5"/>
        <rFont val="Calibri"/>
        <family val="2"/>
      </rPr>
      <t>390,75</t>
    </r>
  </si>
  <si>
    <r>
      <rPr>
        <sz val="8.5"/>
        <rFont val="Calibri"/>
        <family val="2"/>
      </rPr>
      <t>408,95</t>
    </r>
  </si>
  <si>
    <r>
      <rPr>
        <sz val="8.5"/>
        <rFont val="Calibri"/>
        <family val="2"/>
      </rPr>
      <t>36.20.120</t>
    </r>
  </si>
  <si>
    <r>
      <rPr>
        <sz val="8.5"/>
        <rFont val="Calibri"/>
        <family val="2"/>
      </rPr>
      <t>Chapa de ferro de 1,50 x 0,50 m para bucha de passagem</t>
    </r>
  </si>
  <si>
    <r>
      <rPr>
        <sz val="8.5"/>
        <rFont val="Calibri"/>
        <family val="2"/>
      </rPr>
      <t>294,90</t>
    </r>
  </si>
  <si>
    <r>
      <rPr>
        <sz val="8.5"/>
        <rFont val="Calibri"/>
        <family val="2"/>
      </rPr>
      <t>313,10</t>
    </r>
  </si>
  <si>
    <r>
      <rPr>
        <sz val="8.5"/>
        <rFont val="Calibri"/>
        <family val="2"/>
      </rPr>
      <t>36.20.140</t>
    </r>
  </si>
  <si>
    <r>
      <rPr>
        <sz val="8.5"/>
        <rFont val="Calibri"/>
        <family val="2"/>
      </rPr>
      <t>Cruzeta de madeira de 2400 mm</t>
    </r>
  </si>
  <si>
    <r>
      <rPr>
        <sz val="8.5"/>
        <rFont val="Calibri"/>
        <family val="2"/>
      </rPr>
      <t>221,75</t>
    </r>
  </si>
  <si>
    <r>
      <rPr>
        <sz val="8.5"/>
        <rFont val="Calibri"/>
        <family val="2"/>
      </rPr>
      <t>323,57</t>
    </r>
  </si>
  <si>
    <r>
      <rPr>
        <sz val="8.5"/>
        <rFont val="Calibri"/>
        <family val="2"/>
      </rPr>
      <t>36.20.180</t>
    </r>
  </si>
  <si>
    <r>
      <rPr>
        <sz val="8.5"/>
        <rFont val="Calibri"/>
        <family val="2"/>
      </rPr>
      <t>Luva isolante de borracha, acima de 10 até 20 kV</t>
    </r>
  </si>
  <si>
    <r>
      <rPr>
        <sz val="8.5"/>
        <rFont val="Calibri"/>
        <family val="2"/>
      </rPr>
      <t>PAR</t>
    </r>
  </si>
  <si>
    <r>
      <rPr>
        <sz val="8.5"/>
        <rFont val="Calibri"/>
        <family val="2"/>
      </rPr>
      <t>569,89</t>
    </r>
  </si>
  <si>
    <r>
      <rPr>
        <sz val="8.5"/>
        <rFont val="Calibri"/>
        <family val="2"/>
      </rPr>
      <t>570,62</t>
    </r>
  </si>
  <si>
    <r>
      <rPr>
        <sz val="8.5"/>
        <rFont val="Calibri"/>
        <family val="2"/>
      </rPr>
      <t>36.20.200</t>
    </r>
  </si>
  <si>
    <r>
      <rPr>
        <sz val="8.5"/>
        <rFont val="Calibri"/>
        <family val="2"/>
      </rPr>
      <t>Mão francesa de 700 mm</t>
    </r>
  </si>
  <si>
    <r>
      <rPr>
        <sz val="8.5"/>
        <rFont val="Calibri"/>
        <family val="2"/>
      </rPr>
      <t>21,03</t>
    </r>
  </si>
  <si>
    <r>
      <rPr>
        <sz val="8.5"/>
        <rFont val="Calibri"/>
        <family val="2"/>
      </rPr>
      <t>57,42</t>
    </r>
  </si>
  <si>
    <r>
      <rPr>
        <sz val="8.5"/>
        <rFont val="Calibri"/>
        <family val="2"/>
      </rPr>
      <t>36.20.210</t>
    </r>
  </si>
  <si>
    <r>
      <rPr>
        <sz val="8.5"/>
        <rFont val="Calibri"/>
        <family val="2"/>
      </rPr>
      <t>Luva isolante de borracha, até 10 kV</t>
    </r>
  </si>
  <si>
    <r>
      <rPr>
        <sz val="8.5"/>
        <rFont val="Calibri"/>
        <family val="2"/>
      </rPr>
      <t>428,14</t>
    </r>
  </si>
  <si>
    <r>
      <rPr>
        <sz val="8.5"/>
        <rFont val="Calibri"/>
        <family val="2"/>
      </rPr>
      <t>428,87</t>
    </r>
  </si>
  <si>
    <r>
      <rPr>
        <sz val="8.5"/>
        <rFont val="Calibri"/>
        <family val="2"/>
      </rPr>
      <t>36.20.220</t>
    </r>
  </si>
  <si>
    <r>
      <rPr>
        <sz val="8.5"/>
        <rFont val="Calibri"/>
        <family val="2"/>
      </rPr>
      <t>Mudança de tap do transformador</t>
    </r>
  </si>
  <si>
    <r>
      <rPr>
        <sz val="8.5"/>
        <rFont val="Calibri"/>
        <family val="2"/>
      </rPr>
      <t>203,64</t>
    </r>
  </si>
  <si>
    <r>
      <rPr>
        <sz val="8.5"/>
        <rFont val="Calibri"/>
        <family val="2"/>
      </rPr>
      <t>36.20.240</t>
    </r>
  </si>
  <si>
    <r>
      <rPr>
        <sz val="8.5"/>
        <rFont val="Calibri"/>
        <family val="2"/>
      </rPr>
      <t>Óleo para disjuntor</t>
    </r>
  </si>
  <si>
    <r>
      <rPr>
        <sz val="8.5"/>
        <rFont val="Calibri"/>
        <family val="2"/>
      </rPr>
      <t>15,30</t>
    </r>
  </si>
  <si>
    <r>
      <rPr>
        <sz val="8.5"/>
        <rFont val="Calibri"/>
        <family val="2"/>
      </rPr>
      <t>36.20.260</t>
    </r>
  </si>
  <si>
    <r>
      <rPr>
        <sz val="8.5"/>
        <rFont val="Calibri"/>
        <family val="2"/>
      </rPr>
      <t>Óleo para transformador</t>
    </r>
  </si>
  <si>
    <r>
      <rPr>
        <sz val="8.5"/>
        <rFont val="Calibri"/>
        <family val="2"/>
      </rPr>
      <t>0,87</t>
    </r>
  </si>
  <si>
    <r>
      <rPr>
        <sz val="8.5"/>
        <rFont val="Calibri"/>
        <family val="2"/>
      </rPr>
      <t>16,17</t>
    </r>
  </si>
  <si>
    <r>
      <rPr>
        <sz val="8.5"/>
        <rFont val="Calibri"/>
        <family val="2"/>
      </rPr>
      <t>36.20.282</t>
    </r>
  </si>
  <si>
    <r>
      <rPr>
        <sz val="8.5"/>
        <rFont val="Calibri"/>
        <family val="2"/>
      </rPr>
      <t xml:space="preserve">Placa de advertência em chapa de aço, com pintura refletiva "Perigo Alta
</t>
    </r>
    <r>
      <rPr>
        <sz val="8.5"/>
        <rFont val="Calibri"/>
        <family val="2"/>
      </rPr>
      <t>Tensão"</t>
    </r>
  </si>
  <si>
    <r>
      <rPr>
        <sz val="8.5"/>
        <rFont val="Calibri"/>
        <family val="2"/>
      </rPr>
      <t>519,75</t>
    </r>
  </si>
  <si>
    <r>
      <rPr>
        <sz val="8.5"/>
        <rFont val="Calibri"/>
        <family val="2"/>
      </rPr>
      <t>527,01</t>
    </r>
  </si>
  <si>
    <r>
      <rPr>
        <sz val="8.5"/>
        <rFont val="Calibri"/>
        <family val="2"/>
      </rPr>
      <t>36.20.284</t>
    </r>
  </si>
  <si>
    <r>
      <rPr>
        <sz val="8.5"/>
        <rFont val="Calibri"/>
        <family val="2"/>
      </rPr>
      <t xml:space="preserve">Placa de advertência em chapa de alumínio, com pintura refletiva
</t>
    </r>
    <r>
      <rPr>
        <sz val="8.5"/>
        <rFont val="Calibri"/>
        <family val="2"/>
      </rPr>
      <t>"Perigo Alta Tensão"</t>
    </r>
  </si>
  <si>
    <r>
      <rPr>
        <sz val="8.5"/>
        <rFont val="Calibri"/>
        <family val="2"/>
      </rPr>
      <t>648,00</t>
    </r>
  </si>
  <si>
    <r>
      <rPr>
        <sz val="8.5"/>
        <rFont val="Calibri"/>
        <family val="2"/>
      </rPr>
      <t>655,26</t>
    </r>
  </si>
  <si>
    <r>
      <rPr>
        <sz val="8.5"/>
        <rFont val="Calibri"/>
        <family val="2"/>
      </rPr>
      <t>36.20.330</t>
    </r>
  </si>
  <si>
    <r>
      <rPr>
        <sz val="8.5"/>
        <rFont val="Calibri"/>
        <family val="2"/>
      </rPr>
      <t>Luva de couro para proteção de luva isolante</t>
    </r>
  </si>
  <si>
    <r>
      <rPr>
        <sz val="8.5"/>
        <rFont val="Calibri"/>
        <family val="2"/>
      </rPr>
      <t>36,08</t>
    </r>
  </si>
  <si>
    <r>
      <rPr>
        <sz val="8.5"/>
        <rFont val="Calibri"/>
        <family val="2"/>
      </rPr>
      <t>36,81</t>
    </r>
  </si>
  <si>
    <r>
      <rPr>
        <sz val="8.5"/>
        <rFont val="Calibri"/>
        <family val="2"/>
      </rPr>
      <t>36.20.340</t>
    </r>
  </si>
  <si>
    <r>
      <rPr>
        <sz val="8.5"/>
        <rFont val="Calibri"/>
        <family val="2"/>
      </rPr>
      <t>Sela para cruzeta de madeira</t>
    </r>
  </si>
  <si>
    <r>
      <rPr>
        <sz val="8.5"/>
        <rFont val="Calibri"/>
        <family val="2"/>
      </rPr>
      <t>13,43</t>
    </r>
  </si>
  <si>
    <r>
      <rPr>
        <sz val="8.5"/>
        <rFont val="Calibri"/>
        <family val="2"/>
      </rPr>
      <t>64,34</t>
    </r>
  </si>
  <si>
    <r>
      <rPr>
        <sz val="8.5"/>
        <rFont val="Calibri"/>
        <family val="2"/>
      </rPr>
      <t>36.20.350</t>
    </r>
  </si>
  <si>
    <r>
      <rPr>
        <sz val="8.5"/>
        <rFont val="Calibri"/>
        <family val="2"/>
      </rPr>
      <t>Caixa porta luvas em madeira, com tampa</t>
    </r>
  </si>
  <si>
    <r>
      <rPr>
        <sz val="8.5"/>
        <rFont val="Calibri"/>
        <family val="2"/>
      </rPr>
      <t>58,51</t>
    </r>
  </si>
  <si>
    <r>
      <rPr>
        <sz val="8.5"/>
        <rFont val="Calibri"/>
        <family val="2"/>
      </rPr>
      <t>59,24</t>
    </r>
  </si>
  <si>
    <r>
      <rPr>
        <sz val="8.5"/>
        <rFont val="Calibri"/>
        <family val="2"/>
      </rPr>
      <t>36.20.360</t>
    </r>
  </si>
  <si>
    <r>
      <rPr>
        <sz val="8.5"/>
        <rFont val="Calibri"/>
        <family val="2"/>
      </rPr>
      <t>Suporte de transformador em poste ou estaleiro</t>
    </r>
  </si>
  <si>
    <r>
      <rPr>
        <sz val="8.5"/>
        <rFont val="Calibri"/>
        <family val="2"/>
      </rPr>
      <t>119,22</t>
    </r>
  </si>
  <si>
    <r>
      <rPr>
        <sz val="8.5"/>
        <rFont val="Calibri"/>
        <family val="2"/>
      </rPr>
      <t>221,04</t>
    </r>
  </si>
  <si>
    <r>
      <rPr>
        <sz val="8.5"/>
        <rFont val="Calibri"/>
        <family val="2"/>
      </rPr>
      <t>36.20.380</t>
    </r>
  </si>
  <si>
    <r>
      <rPr>
        <sz val="8.5"/>
        <rFont val="Calibri"/>
        <family val="2"/>
      </rPr>
      <t>Tapete de borracha isolante elétrico de 1000 x 1000 mm</t>
    </r>
  </si>
  <si>
    <r>
      <rPr>
        <sz val="8.5"/>
        <rFont val="Calibri"/>
        <family val="2"/>
      </rPr>
      <t>303,30</t>
    </r>
  </si>
  <si>
    <r>
      <rPr>
        <sz val="8.5"/>
        <rFont val="Calibri"/>
        <family val="2"/>
      </rPr>
      <t>304,03</t>
    </r>
  </si>
  <si>
    <r>
      <rPr>
        <sz val="8.5"/>
        <rFont val="Calibri"/>
        <family val="2"/>
      </rPr>
      <t>36.20.540</t>
    </r>
  </si>
  <si>
    <r>
      <rPr>
        <sz val="8.5"/>
        <rFont val="Calibri"/>
        <family val="2"/>
      </rPr>
      <t>Cruzeta metálica de 2400 mm, para fixação de mufla ou para-raios</t>
    </r>
  </si>
  <si>
    <r>
      <rPr>
        <sz val="8.5"/>
        <rFont val="Calibri"/>
        <family val="2"/>
      </rPr>
      <t>489,16</t>
    </r>
  </si>
  <si>
    <r>
      <rPr>
        <sz val="8.5"/>
        <rFont val="Calibri"/>
        <family val="2"/>
      </rPr>
      <t>590,98</t>
    </r>
  </si>
  <si>
    <r>
      <rPr>
        <sz val="8.5"/>
        <rFont val="Calibri"/>
        <family val="2"/>
      </rPr>
      <t>36.20.560</t>
    </r>
  </si>
  <si>
    <r>
      <rPr>
        <sz val="8.5"/>
        <rFont val="Calibri"/>
        <family val="2"/>
      </rPr>
      <t>Dispositivo Soft Starter para motor 15 cv, trifásico 220 V</t>
    </r>
  </si>
  <si>
    <r>
      <rPr>
        <sz val="8.5"/>
        <rFont val="Calibri"/>
        <family val="2"/>
      </rPr>
      <t>2.185,53</t>
    </r>
  </si>
  <si>
    <r>
      <rPr>
        <sz val="8.5"/>
        <rFont val="Calibri"/>
        <family val="2"/>
      </rPr>
      <t>2.221,92</t>
    </r>
  </si>
  <si>
    <r>
      <rPr>
        <sz val="8.5"/>
        <rFont val="Calibri"/>
        <family val="2"/>
      </rPr>
      <t>36.20.570</t>
    </r>
  </si>
  <si>
    <r>
      <rPr>
        <sz val="8.5"/>
        <rFont val="Calibri"/>
        <family val="2"/>
      </rPr>
      <t>Dispositivo Soft Starter para motor 25 cv, trifásico 220 V</t>
    </r>
  </si>
  <si>
    <r>
      <rPr>
        <sz val="8.5"/>
        <rFont val="Calibri"/>
        <family val="2"/>
      </rPr>
      <t>3.283,47</t>
    </r>
  </si>
  <si>
    <r>
      <rPr>
        <sz val="8.5"/>
        <rFont val="Calibri"/>
        <family val="2"/>
      </rPr>
      <t>3.319,86</t>
    </r>
  </si>
  <si>
    <r>
      <rPr>
        <sz val="8.5"/>
        <rFont val="Calibri"/>
        <family val="2"/>
      </rPr>
      <t>36.20.580</t>
    </r>
  </si>
  <si>
    <r>
      <rPr>
        <sz val="8.5"/>
        <rFont val="Calibri"/>
        <family val="2"/>
      </rPr>
      <t>Dispositivo Soft Starter para motor 50 cv, trifásico 220 V</t>
    </r>
  </si>
  <si>
    <r>
      <rPr>
        <sz val="8.5"/>
        <rFont val="Calibri"/>
        <family val="2"/>
      </rPr>
      <t>4.248,76</t>
    </r>
  </si>
  <si>
    <r>
      <rPr>
        <sz val="8.5"/>
        <rFont val="Calibri"/>
        <family val="2"/>
      </rPr>
      <t>4.285,15</t>
    </r>
  </si>
  <si>
    <r>
      <rPr>
        <sz val="8.5"/>
        <rFont val="Calibri"/>
        <family val="2"/>
      </rPr>
      <t>QUADRO E PAINEL PARA ENERGIA ELETRICA E TELEFONIA</t>
    </r>
  </si>
  <si>
    <r>
      <rPr>
        <sz val="8.5"/>
        <rFont val="Calibri"/>
        <family val="2"/>
      </rPr>
      <t>Quadro para telefonia embutir, protecao IP40 chapa nº 16msg</t>
    </r>
  </si>
  <si>
    <r>
      <rPr>
        <sz val="8.5"/>
        <rFont val="Calibri"/>
        <family val="2"/>
      </rPr>
      <t>37.01.020</t>
    </r>
  </si>
  <si>
    <r>
      <rPr>
        <sz val="8.5"/>
        <rFont val="Calibri"/>
        <family val="2"/>
      </rPr>
      <t>Quadro Telebrás de embutir de 200 x 200 x 120 mm</t>
    </r>
  </si>
  <si>
    <r>
      <rPr>
        <sz val="8.5"/>
        <rFont val="Calibri"/>
        <family val="2"/>
      </rPr>
      <t>39,59</t>
    </r>
  </si>
  <si>
    <r>
      <rPr>
        <sz val="8.5"/>
        <rFont val="Calibri"/>
        <family val="2"/>
      </rPr>
      <t>62,12</t>
    </r>
  </si>
  <si>
    <r>
      <rPr>
        <sz val="8.5"/>
        <rFont val="Calibri"/>
        <family val="2"/>
      </rPr>
      <t>101,71</t>
    </r>
  </si>
  <si>
    <r>
      <rPr>
        <sz val="8.5"/>
        <rFont val="Calibri"/>
        <family val="2"/>
      </rPr>
      <t>37.01.080</t>
    </r>
  </si>
  <si>
    <r>
      <rPr>
        <sz val="8.5"/>
        <rFont val="Calibri"/>
        <family val="2"/>
      </rPr>
      <t>Quadro Telebrás de embutir de 400 x 400 x 120 mm</t>
    </r>
  </si>
  <si>
    <r>
      <rPr>
        <sz val="8.5"/>
        <rFont val="Calibri"/>
        <family val="2"/>
      </rPr>
      <t>81,13</t>
    </r>
  </si>
  <si>
    <r>
      <rPr>
        <sz val="8.5"/>
        <rFont val="Calibri"/>
        <family val="2"/>
      </rPr>
      <t>86,75</t>
    </r>
  </si>
  <si>
    <r>
      <rPr>
        <sz val="8.5"/>
        <rFont val="Calibri"/>
        <family val="2"/>
      </rPr>
      <t>167,88</t>
    </r>
  </si>
  <si>
    <r>
      <rPr>
        <sz val="8.5"/>
        <rFont val="Calibri"/>
        <family val="2"/>
      </rPr>
      <t>37.01.120</t>
    </r>
  </si>
  <si>
    <r>
      <rPr>
        <sz val="8.5"/>
        <rFont val="Calibri"/>
        <family val="2"/>
      </rPr>
      <t>Quadro Telebrás de embutir de 600 x 600 x 120 mm</t>
    </r>
  </si>
  <si>
    <r>
      <rPr>
        <sz val="8.5"/>
        <rFont val="Calibri"/>
        <family val="2"/>
      </rPr>
      <t>143,86</t>
    </r>
  </si>
  <si>
    <r>
      <rPr>
        <sz val="8.5"/>
        <rFont val="Calibri"/>
        <family val="2"/>
      </rPr>
      <t>111,37</t>
    </r>
  </si>
  <si>
    <r>
      <rPr>
        <sz val="8.5"/>
        <rFont val="Calibri"/>
        <family val="2"/>
      </rPr>
      <t>255,23</t>
    </r>
  </si>
  <si>
    <r>
      <rPr>
        <sz val="8.5"/>
        <rFont val="Calibri"/>
        <family val="2"/>
      </rPr>
      <t>37.01.160</t>
    </r>
  </si>
  <si>
    <r>
      <rPr>
        <sz val="8.5"/>
        <rFont val="Calibri"/>
        <family val="2"/>
      </rPr>
      <t>Quadro Telebrás de embutir de 800 x 800 x 120 mm</t>
    </r>
  </si>
  <si>
    <r>
      <rPr>
        <sz val="8.5"/>
        <rFont val="Calibri"/>
        <family val="2"/>
      </rPr>
      <t>347,56</t>
    </r>
  </si>
  <si>
    <r>
      <rPr>
        <sz val="8.5"/>
        <rFont val="Calibri"/>
        <family val="2"/>
      </rPr>
      <t>138,19</t>
    </r>
  </si>
  <si>
    <r>
      <rPr>
        <sz val="8.5"/>
        <rFont val="Calibri"/>
        <family val="2"/>
      </rPr>
      <t>485,75</t>
    </r>
  </si>
  <si>
    <r>
      <rPr>
        <sz val="8.5"/>
        <rFont val="Calibri"/>
        <family val="2"/>
      </rPr>
      <t>37.01.220</t>
    </r>
  </si>
  <si>
    <r>
      <rPr>
        <sz val="8.5"/>
        <rFont val="Calibri"/>
        <family val="2"/>
      </rPr>
      <t>Quadro Telebrás de embutir de 1200 x 1200 x 120 mm</t>
    </r>
  </si>
  <si>
    <r>
      <rPr>
        <sz val="8.5"/>
        <rFont val="Calibri"/>
        <family val="2"/>
      </rPr>
      <t>694,12</t>
    </r>
  </si>
  <si>
    <r>
      <rPr>
        <sz val="8.5"/>
        <rFont val="Calibri"/>
        <family val="2"/>
      </rPr>
      <t>185,26</t>
    </r>
  </si>
  <si>
    <r>
      <rPr>
        <sz val="8.5"/>
        <rFont val="Calibri"/>
        <family val="2"/>
      </rPr>
      <t>879,38</t>
    </r>
  </si>
  <si>
    <r>
      <rPr>
        <sz val="8.5"/>
        <rFont val="Calibri"/>
        <family val="2"/>
      </rPr>
      <t>Quadro para telefonia de sobrepor, protecao IP40 chapa nº 16msg</t>
    </r>
  </si>
  <si>
    <r>
      <rPr>
        <sz val="8.5"/>
        <rFont val="Calibri"/>
        <family val="2"/>
      </rPr>
      <t>37.02.020</t>
    </r>
  </si>
  <si>
    <r>
      <rPr>
        <sz val="8.5"/>
        <rFont val="Calibri"/>
        <family val="2"/>
      </rPr>
      <t>Quadro Telebrás de sobrepor de 200 x 200 x 120 mm</t>
    </r>
  </si>
  <si>
    <r>
      <rPr>
        <sz val="8.5"/>
        <rFont val="Calibri"/>
        <family val="2"/>
      </rPr>
      <t>67,04</t>
    </r>
  </si>
  <si>
    <r>
      <rPr>
        <sz val="8.5"/>
        <rFont val="Calibri"/>
        <family val="2"/>
      </rPr>
      <t>121,63</t>
    </r>
  </si>
  <si>
    <r>
      <rPr>
        <sz val="8.5"/>
        <rFont val="Calibri"/>
        <family val="2"/>
      </rPr>
      <t>37.02.060</t>
    </r>
  </si>
  <si>
    <r>
      <rPr>
        <sz val="8.5"/>
        <rFont val="Calibri"/>
        <family val="2"/>
      </rPr>
      <t>Quadro Telebrás de sobrepor de 400 x 400 x 120 mm</t>
    </r>
  </si>
  <si>
    <r>
      <rPr>
        <sz val="8.5"/>
        <rFont val="Calibri"/>
        <family val="2"/>
      </rPr>
      <t>152,95</t>
    </r>
  </si>
  <si>
    <r>
      <rPr>
        <sz val="8.5"/>
        <rFont val="Calibri"/>
        <family val="2"/>
      </rPr>
      <t>225,73</t>
    </r>
  </si>
  <si>
    <r>
      <rPr>
        <sz val="8.5"/>
        <rFont val="Calibri"/>
        <family val="2"/>
      </rPr>
      <t>37.02.100</t>
    </r>
  </si>
  <si>
    <r>
      <rPr>
        <sz val="8.5"/>
        <rFont val="Calibri"/>
        <family val="2"/>
      </rPr>
      <t>Quadro Telebrás de sobrepor de 600 x 600 x 120 mm</t>
    </r>
  </si>
  <si>
    <r>
      <rPr>
        <sz val="8.5"/>
        <rFont val="Calibri"/>
        <family val="2"/>
      </rPr>
      <t>218,35</t>
    </r>
  </si>
  <si>
    <r>
      <rPr>
        <sz val="8.5"/>
        <rFont val="Calibri"/>
        <family val="2"/>
      </rPr>
      <t>90,98</t>
    </r>
  </si>
  <si>
    <r>
      <rPr>
        <sz val="8.5"/>
        <rFont val="Calibri"/>
        <family val="2"/>
      </rPr>
      <t>309,33</t>
    </r>
  </si>
  <si>
    <r>
      <rPr>
        <sz val="8.5"/>
        <rFont val="Calibri"/>
        <family val="2"/>
      </rPr>
      <t>37.02.140</t>
    </r>
  </si>
  <si>
    <r>
      <rPr>
        <sz val="8.5"/>
        <rFont val="Calibri"/>
        <family val="2"/>
      </rPr>
      <t>Quadro Telebrás de sobrepor de 800 x 800 x 120 mm</t>
    </r>
  </si>
  <si>
    <r>
      <rPr>
        <sz val="8.5"/>
        <rFont val="Calibri"/>
        <family val="2"/>
      </rPr>
      <t>350,91</t>
    </r>
  </si>
  <si>
    <r>
      <rPr>
        <sz val="8.5"/>
        <rFont val="Calibri"/>
        <family val="2"/>
      </rPr>
      <t>460,08</t>
    </r>
  </si>
  <si>
    <r>
      <rPr>
        <sz val="8.5"/>
        <rFont val="Calibri"/>
        <family val="2"/>
      </rPr>
      <t>Quadro distribuicao de luz e forca de embutir universal</t>
    </r>
  </si>
  <si>
    <r>
      <rPr>
        <sz val="8.5"/>
        <rFont val="Calibri"/>
        <family val="2"/>
      </rPr>
      <t>37.03.200</t>
    </r>
  </si>
  <si>
    <r>
      <rPr>
        <sz val="8.5"/>
        <rFont val="Calibri"/>
        <family val="2"/>
      </rPr>
      <t xml:space="preserve">Quadro de distribuição universal de embutir, para disjuntores 16 DIN /
</t>
    </r>
    <r>
      <rPr>
        <sz val="8.5"/>
        <rFont val="Calibri"/>
        <family val="2"/>
      </rPr>
      <t>12 Bolt-on - 150 A - sem componentes</t>
    </r>
  </si>
  <si>
    <r>
      <rPr>
        <sz val="8.5"/>
        <rFont val="Calibri"/>
        <family val="2"/>
      </rPr>
      <t>433,31</t>
    </r>
  </si>
  <si>
    <r>
      <rPr>
        <sz val="8.5"/>
        <rFont val="Calibri"/>
        <family val="2"/>
      </rPr>
      <t>108,06</t>
    </r>
  </si>
  <si>
    <r>
      <rPr>
        <sz val="8.5"/>
        <rFont val="Calibri"/>
        <family val="2"/>
      </rPr>
      <t>541,37</t>
    </r>
  </si>
  <si>
    <r>
      <rPr>
        <sz val="8.5"/>
        <rFont val="Calibri"/>
        <family val="2"/>
      </rPr>
      <t>37.03.210</t>
    </r>
  </si>
  <si>
    <r>
      <rPr>
        <sz val="8.5"/>
        <rFont val="Calibri"/>
        <family val="2"/>
      </rPr>
      <t xml:space="preserve">Quadro de distribuição universal de embutir, para disjuntores 24 DIN /
</t>
    </r>
    <r>
      <rPr>
        <sz val="8.5"/>
        <rFont val="Calibri"/>
        <family val="2"/>
      </rPr>
      <t>18 Bolt-on - 150 A - sem componentes</t>
    </r>
  </si>
  <si>
    <r>
      <rPr>
        <sz val="8.5"/>
        <rFont val="Calibri"/>
        <family val="2"/>
      </rPr>
      <t>477,16</t>
    </r>
  </si>
  <si>
    <r>
      <rPr>
        <sz val="8.5"/>
        <rFont val="Calibri"/>
        <family val="2"/>
      </rPr>
      <t>585,22</t>
    </r>
  </si>
  <si>
    <r>
      <rPr>
        <sz val="8.5"/>
        <rFont val="Calibri"/>
        <family val="2"/>
      </rPr>
      <t>37.03.220</t>
    </r>
  </si>
  <si>
    <r>
      <rPr>
        <sz val="8.5"/>
        <rFont val="Calibri"/>
        <family val="2"/>
      </rPr>
      <t xml:space="preserve">Quadro de distribuição universal de embutir, para disjuntores 34 DIN /
</t>
    </r>
    <r>
      <rPr>
        <sz val="8.5"/>
        <rFont val="Calibri"/>
        <family val="2"/>
      </rPr>
      <t>24 Bolt-on - 150 A - sem componentes</t>
    </r>
  </si>
  <si>
    <r>
      <rPr>
        <sz val="8.5"/>
        <rFont val="Calibri"/>
        <family val="2"/>
      </rPr>
      <t>550,73</t>
    </r>
  </si>
  <si>
    <r>
      <rPr>
        <sz val="8.5"/>
        <rFont val="Calibri"/>
        <family val="2"/>
      </rPr>
      <t>135,08</t>
    </r>
  </si>
  <si>
    <r>
      <rPr>
        <sz val="8.5"/>
        <rFont val="Calibri"/>
        <family val="2"/>
      </rPr>
      <t>685,81</t>
    </r>
  </si>
  <si>
    <r>
      <rPr>
        <sz val="8.5"/>
        <rFont val="Calibri"/>
        <family val="2"/>
      </rPr>
      <t>37.03.230</t>
    </r>
  </si>
  <si>
    <r>
      <rPr>
        <sz val="8.5"/>
        <rFont val="Calibri"/>
        <family val="2"/>
      </rPr>
      <t xml:space="preserve">Quadro de distribuição universal de embutir, para disjuntores 44 DIN /
</t>
    </r>
    <r>
      <rPr>
        <sz val="8.5"/>
        <rFont val="Calibri"/>
        <family val="2"/>
      </rPr>
      <t>32 Bolt-on - 150 A - sem componentes</t>
    </r>
  </si>
  <si>
    <r>
      <rPr>
        <sz val="8.5"/>
        <rFont val="Calibri"/>
        <family val="2"/>
      </rPr>
      <t>617,77</t>
    </r>
  </si>
  <si>
    <r>
      <rPr>
        <sz val="8.5"/>
        <rFont val="Calibri"/>
        <family val="2"/>
      </rPr>
      <t>752,85</t>
    </r>
  </si>
  <si>
    <r>
      <rPr>
        <sz val="8.5"/>
        <rFont val="Calibri"/>
        <family val="2"/>
      </rPr>
      <t>37.03.240</t>
    </r>
  </si>
  <si>
    <r>
      <rPr>
        <sz val="8.5"/>
        <rFont val="Calibri"/>
        <family val="2"/>
      </rPr>
      <t xml:space="preserve">Quadro de distribuição universal de embutir, para disjuntores 56 DIN /
</t>
    </r>
    <r>
      <rPr>
        <sz val="8.5"/>
        <rFont val="Calibri"/>
        <family val="2"/>
      </rPr>
      <t>40 Bolt-on - 225 A - sem componentes</t>
    </r>
  </si>
  <si>
    <r>
      <rPr>
        <sz val="8.5"/>
        <rFont val="Calibri"/>
        <family val="2"/>
      </rPr>
      <t>988,67</t>
    </r>
  </si>
  <si>
    <r>
      <rPr>
        <sz val="8.5"/>
        <rFont val="Calibri"/>
        <family val="2"/>
      </rPr>
      <t>162,09</t>
    </r>
  </si>
  <si>
    <r>
      <rPr>
        <sz val="8.5"/>
        <rFont val="Calibri"/>
        <family val="2"/>
      </rPr>
      <t>1.150,76</t>
    </r>
  </si>
  <si>
    <r>
      <rPr>
        <sz val="8.5"/>
        <rFont val="Calibri"/>
        <family val="2"/>
      </rPr>
      <t>37.03.250</t>
    </r>
  </si>
  <si>
    <r>
      <rPr>
        <sz val="8.5"/>
        <rFont val="Calibri"/>
        <family val="2"/>
      </rPr>
      <t xml:space="preserve">Quadro de distribuição universal de embutir, para disjuntores 70 DIN /
</t>
    </r>
    <r>
      <rPr>
        <sz val="8.5"/>
        <rFont val="Calibri"/>
        <family val="2"/>
      </rPr>
      <t>50 Bolt-on - 225 A - sem componentes</t>
    </r>
  </si>
  <si>
    <r>
      <rPr>
        <sz val="8.5"/>
        <rFont val="Calibri"/>
        <family val="2"/>
      </rPr>
      <t>1.296,54</t>
    </r>
  </si>
  <si>
    <r>
      <rPr>
        <sz val="8.5"/>
        <rFont val="Calibri"/>
        <family val="2"/>
      </rPr>
      <t>1.458,63</t>
    </r>
  </si>
  <si>
    <r>
      <rPr>
        <sz val="8.5"/>
        <rFont val="Calibri"/>
        <family val="2"/>
      </rPr>
      <t>Quadro distribuicao de luz e forca de sobrepor universal</t>
    </r>
  </si>
  <si>
    <r>
      <rPr>
        <sz val="8.5"/>
        <rFont val="Calibri"/>
        <family val="2"/>
      </rPr>
      <t>37.04.250</t>
    </r>
  </si>
  <si>
    <r>
      <rPr>
        <sz val="8.5"/>
        <rFont val="Calibri"/>
        <family val="2"/>
      </rPr>
      <t xml:space="preserve">Quadro de distribuição universal de sobrepor, para disjuntores 16 DIN /
</t>
    </r>
    <r>
      <rPr>
        <sz val="8.5"/>
        <rFont val="Calibri"/>
        <family val="2"/>
      </rPr>
      <t>12 Bolt-on - 150 A - sem componentes</t>
    </r>
  </si>
  <si>
    <r>
      <rPr>
        <sz val="8.5"/>
        <rFont val="Calibri"/>
        <family val="2"/>
      </rPr>
      <t>516,76</t>
    </r>
  </si>
  <si>
    <r>
      <rPr>
        <sz val="8.5"/>
        <rFont val="Calibri"/>
        <family val="2"/>
      </rPr>
      <t>81,05</t>
    </r>
  </si>
  <si>
    <r>
      <rPr>
        <sz val="8.5"/>
        <rFont val="Calibri"/>
        <family val="2"/>
      </rPr>
      <t>597,81</t>
    </r>
  </si>
  <si>
    <r>
      <rPr>
        <sz val="8.5"/>
        <rFont val="Calibri"/>
        <family val="2"/>
      </rPr>
      <t>37.04.260</t>
    </r>
  </si>
  <si>
    <r>
      <rPr>
        <sz val="8.5"/>
        <rFont val="Calibri"/>
        <family val="2"/>
      </rPr>
      <t xml:space="preserve">Quadro de distribuição universal de sobrepor, para disjuntores 24 DIN /
</t>
    </r>
    <r>
      <rPr>
        <sz val="8.5"/>
        <rFont val="Calibri"/>
        <family val="2"/>
      </rPr>
      <t>18 Bolt-on - 150 A - sem componentes</t>
    </r>
  </si>
  <si>
    <r>
      <rPr>
        <sz val="8.5"/>
        <rFont val="Calibri"/>
        <family val="2"/>
      </rPr>
      <t>604,70</t>
    </r>
  </si>
  <si>
    <r>
      <rPr>
        <sz val="8.5"/>
        <rFont val="Calibri"/>
        <family val="2"/>
      </rPr>
      <t>685,75</t>
    </r>
  </si>
  <si>
    <r>
      <rPr>
        <sz val="8.5"/>
        <rFont val="Calibri"/>
        <family val="2"/>
      </rPr>
      <t>37.04.270</t>
    </r>
  </si>
  <si>
    <r>
      <rPr>
        <sz val="8.5"/>
        <rFont val="Calibri"/>
        <family val="2"/>
      </rPr>
      <t xml:space="preserve">Quadro de distribuição universal de sobrepor, para disjuntores 34 DIN /
</t>
    </r>
    <r>
      <rPr>
        <sz val="8.5"/>
        <rFont val="Calibri"/>
        <family val="2"/>
      </rPr>
      <t>24 Bolt-on - 150 A - sem componentes</t>
    </r>
  </si>
  <si>
    <r>
      <rPr>
        <sz val="8.5"/>
        <rFont val="Calibri"/>
        <family val="2"/>
      </rPr>
      <t>696,50</t>
    </r>
  </si>
  <si>
    <r>
      <rPr>
        <sz val="8.5"/>
        <rFont val="Calibri"/>
        <family val="2"/>
      </rPr>
      <t>804,56</t>
    </r>
  </si>
  <si>
    <r>
      <rPr>
        <sz val="8.5"/>
        <rFont val="Calibri"/>
        <family val="2"/>
      </rPr>
      <t>37.04.280</t>
    </r>
  </si>
  <si>
    <r>
      <rPr>
        <sz val="8.5"/>
        <rFont val="Calibri"/>
        <family val="2"/>
      </rPr>
      <t xml:space="preserve">Quadro de distribuição universal de sobrepor, para disjuntores 44 DIN /
</t>
    </r>
    <r>
      <rPr>
        <sz val="8.5"/>
        <rFont val="Calibri"/>
        <family val="2"/>
      </rPr>
      <t>32 Bolt-on - 150 A - sem componentes</t>
    </r>
  </si>
  <si>
    <r>
      <rPr>
        <sz val="8.5"/>
        <rFont val="Calibri"/>
        <family val="2"/>
      </rPr>
      <t>809,72</t>
    </r>
  </si>
  <si>
    <r>
      <rPr>
        <sz val="8.5"/>
        <rFont val="Calibri"/>
        <family val="2"/>
      </rPr>
      <t>917,78</t>
    </r>
  </si>
  <si>
    <r>
      <rPr>
        <sz val="8.5"/>
        <rFont val="Calibri"/>
        <family val="2"/>
      </rPr>
      <t>37.04.290</t>
    </r>
  </si>
  <si>
    <r>
      <rPr>
        <sz val="8.5"/>
        <rFont val="Calibri"/>
        <family val="2"/>
      </rPr>
      <t xml:space="preserve">Quadro de distribuição universal de sobrepor, para disjuntores 56 DIN /
</t>
    </r>
    <r>
      <rPr>
        <sz val="8.5"/>
        <rFont val="Calibri"/>
        <family val="2"/>
      </rPr>
      <t>40 Bolt-on - 225 A - sem componentes</t>
    </r>
  </si>
  <si>
    <r>
      <rPr>
        <sz val="8.5"/>
        <rFont val="Calibri"/>
        <family val="2"/>
      </rPr>
      <t>1.055,74</t>
    </r>
  </si>
  <si>
    <r>
      <rPr>
        <sz val="8.5"/>
        <rFont val="Calibri"/>
        <family val="2"/>
      </rPr>
      <t>1.190,82</t>
    </r>
  </si>
  <si>
    <r>
      <rPr>
        <sz val="8.5"/>
        <rFont val="Calibri"/>
        <family val="2"/>
      </rPr>
      <t>37.04.300</t>
    </r>
  </si>
  <si>
    <r>
      <rPr>
        <sz val="8.5"/>
        <rFont val="Calibri"/>
        <family val="2"/>
      </rPr>
      <t xml:space="preserve">Quadro de distribuição universal de sobrepor, para disjuntores 70 DIN /
</t>
    </r>
    <r>
      <rPr>
        <sz val="8.5"/>
        <rFont val="Calibri"/>
        <family val="2"/>
      </rPr>
      <t>50 Bolt-on - 225 A - sem componentes</t>
    </r>
  </si>
  <si>
    <r>
      <rPr>
        <sz val="8.5"/>
        <rFont val="Calibri"/>
        <family val="2"/>
      </rPr>
      <t>1.503,80</t>
    </r>
  </si>
  <si>
    <r>
      <rPr>
        <sz val="8.5"/>
        <rFont val="Calibri"/>
        <family val="2"/>
      </rPr>
      <t>1.638,88</t>
    </r>
  </si>
  <si>
    <r>
      <rPr>
        <sz val="8.5"/>
        <rFont val="Calibri"/>
        <family val="2"/>
      </rPr>
      <t>Painel autoportante</t>
    </r>
  </si>
  <si>
    <r>
      <rPr>
        <sz val="8.5"/>
        <rFont val="Calibri"/>
        <family val="2"/>
      </rPr>
      <t>37.06.014</t>
    </r>
  </si>
  <si>
    <r>
      <rPr>
        <sz val="8.5"/>
        <rFont val="Calibri"/>
        <family val="2"/>
      </rPr>
      <t xml:space="preserve">Painel autoportante em chapa de aço, com proteção mínima IP 54 - sem
</t>
    </r>
    <r>
      <rPr>
        <sz val="8.5"/>
        <rFont val="Calibri"/>
        <family val="2"/>
      </rPr>
      <t>componentes</t>
    </r>
  </si>
  <si>
    <r>
      <rPr>
        <sz val="8.5"/>
        <rFont val="Calibri"/>
        <family val="2"/>
      </rPr>
      <t>2.307,79</t>
    </r>
  </si>
  <si>
    <r>
      <rPr>
        <sz val="8.5"/>
        <rFont val="Calibri"/>
        <family val="2"/>
      </rPr>
      <t>96,80</t>
    </r>
  </si>
  <si>
    <r>
      <rPr>
        <sz val="8.5"/>
        <rFont val="Calibri"/>
        <family val="2"/>
      </rPr>
      <t>2.404,59</t>
    </r>
  </si>
  <si>
    <r>
      <rPr>
        <sz val="8.5"/>
        <rFont val="Calibri"/>
        <family val="2"/>
      </rPr>
      <t>Barramentos</t>
    </r>
  </si>
  <si>
    <r>
      <rPr>
        <sz val="8.5"/>
        <rFont val="Calibri"/>
        <family val="2"/>
      </rPr>
      <t>37.10.010</t>
    </r>
  </si>
  <si>
    <r>
      <rPr>
        <sz val="8.5"/>
        <rFont val="Calibri"/>
        <family val="2"/>
      </rPr>
      <t>Barramento de cobre nu</t>
    </r>
  </si>
  <si>
    <r>
      <rPr>
        <sz val="8.5"/>
        <rFont val="Calibri"/>
        <family val="2"/>
      </rPr>
      <t>110,72</t>
    </r>
  </si>
  <si>
    <r>
      <rPr>
        <sz val="8.5"/>
        <rFont val="Calibri"/>
        <family val="2"/>
      </rPr>
      <t>117,28</t>
    </r>
  </si>
  <si>
    <r>
      <rPr>
        <sz val="8.5"/>
        <rFont val="Calibri"/>
        <family val="2"/>
      </rPr>
      <t>Bases</t>
    </r>
  </si>
  <si>
    <r>
      <rPr>
        <sz val="8.5"/>
        <rFont val="Calibri"/>
        <family val="2"/>
      </rPr>
      <t>37.11.020</t>
    </r>
  </si>
  <si>
    <r>
      <rPr>
        <sz val="8.5"/>
        <rFont val="Calibri"/>
        <family val="2"/>
      </rPr>
      <t>Base de fusível Diazed completa para 25 A</t>
    </r>
  </si>
  <si>
    <r>
      <rPr>
        <sz val="8.5"/>
        <rFont val="Calibri"/>
        <family val="2"/>
      </rPr>
      <t>26,80</t>
    </r>
  </si>
  <si>
    <r>
      <rPr>
        <sz val="8.5"/>
        <rFont val="Calibri"/>
        <family val="2"/>
      </rPr>
      <t>37,72</t>
    </r>
  </si>
  <si>
    <r>
      <rPr>
        <sz val="8.5"/>
        <rFont val="Calibri"/>
        <family val="2"/>
      </rPr>
      <t>37.11.040</t>
    </r>
  </si>
  <si>
    <r>
      <rPr>
        <sz val="8.5"/>
        <rFont val="Calibri"/>
        <family val="2"/>
      </rPr>
      <t>Base de fusível Diazed completa para 63 A</t>
    </r>
  </si>
  <si>
    <r>
      <rPr>
        <sz val="8.5"/>
        <rFont val="Calibri"/>
        <family val="2"/>
      </rPr>
      <t>58,92</t>
    </r>
  </si>
  <si>
    <r>
      <rPr>
        <sz val="8.5"/>
        <rFont val="Calibri"/>
        <family val="2"/>
      </rPr>
      <t>37.11.060</t>
    </r>
  </si>
  <si>
    <r>
      <rPr>
        <sz val="8.5"/>
        <rFont val="Calibri"/>
        <family val="2"/>
      </rPr>
      <t>Base de fusível NH até 125 A, com fusível</t>
    </r>
  </si>
  <si>
    <r>
      <rPr>
        <sz val="8.5"/>
        <rFont val="Calibri"/>
        <family val="2"/>
      </rPr>
      <t>46,95</t>
    </r>
  </si>
  <si>
    <r>
      <rPr>
        <sz val="8.5"/>
        <rFont val="Calibri"/>
        <family val="2"/>
      </rPr>
      <t>83,34</t>
    </r>
  </si>
  <si>
    <r>
      <rPr>
        <sz val="8.5"/>
        <rFont val="Calibri"/>
        <family val="2"/>
      </rPr>
      <t>37.11.080</t>
    </r>
  </si>
  <si>
    <r>
      <rPr>
        <sz val="8.5"/>
        <rFont val="Calibri"/>
        <family val="2"/>
      </rPr>
      <t>Base de fusível NH até 250 A, com fusível</t>
    </r>
  </si>
  <si>
    <r>
      <rPr>
        <sz val="8.5"/>
        <rFont val="Calibri"/>
        <family val="2"/>
      </rPr>
      <t>129,66</t>
    </r>
  </si>
  <si>
    <r>
      <rPr>
        <sz val="8.5"/>
        <rFont val="Calibri"/>
        <family val="2"/>
      </rPr>
      <t>166,05</t>
    </r>
  </si>
  <si>
    <r>
      <rPr>
        <sz val="8.5"/>
        <rFont val="Calibri"/>
        <family val="2"/>
      </rPr>
      <t>37.11.100</t>
    </r>
  </si>
  <si>
    <r>
      <rPr>
        <sz val="8.5"/>
        <rFont val="Calibri"/>
        <family val="2"/>
      </rPr>
      <t>Base de fusível NH até 400 A, com fusível</t>
    </r>
  </si>
  <si>
    <r>
      <rPr>
        <sz val="8.5"/>
        <rFont val="Calibri"/>
        <family val="2"/>
      </rPr>
      <t>203,52</t>
    </r>
  </si>
  <si>
    <r>
      <rPr>
        <sz val="8.5"/>
        <rFont val="Calibri"/>
        <family val="2"/>
      </rPr>
      <t>239,91</t>
    </r>
  </si>
  <si>
    <r>
      <rPr>
        <sz val="8.5"/>
        <rFont val="Calibri"/>
        <family val="2"/>
      </rPr>
      <t>37.11.120</t>
    </r>
  </si>
  <si>
    <r>
      <rPr>
        <sz val="8.5"/>
        <rFont val="Calibri"/>
        <family val="2"/>
      </rPr>
      <t>Base de fusível tripolar de 15 kV</t>
    </r>
  </si>
  <si>
    <r>
      <rPr>
        <sz val="8.5"/>
        <rFont val="Calibri"/>
        <family val="2"/>
      </rPr>
      <t>816,07</t>
    </r>
  </si>
  <si>
    <r>
      <rPr>
        <sz val="8.5"/>
        <rFont val="Calibri"/>
        <family val="2"/>
      </rPr>
      <t>43,66</t>
    </r>
  </si>
  <si>
    <r>
      <rPr>
        <sz val="8.5"/>
        <rFont val="Calibri"/>
        <family val="2"/>
      </rPr>
      <t>859,73</t>
    </r>
  </si>
  <si>
    <r>
      <rPr>
        <sz val="8.5"/>
        <rFont val="Calibri"/>
        <family val="2"/>
      </rPr>
      <t>37.11.140</t>
    </r>
  </si>
  <si>
    <r>
      <rPr>
        <sz val="8.5"/>
        <rFont val="Calibri"/>
        <family val="2"/>
      </rPr>
      <t>Base de fusível unipolar de 15 kV</t>
    </r>
  </si>
  <si>
    <r>
      <rPr>
        <sz val="8.5"/>
        <rFont val="Calibri"/>
        <family val="2"/>
      </rPr>
      <t>299,85</t>
    </r>
  </si>
  <si>
    <r>
      <rPr>
        <sz val="8.5"/>
        <rFont val="Calibri"/>
        <family val="2"/>
      </rPr>
      <t>343,51</t>
    </r>
  </si>
  <si>
    <r>
      <rPr>
        <sz val="8.5"/>
        <rFont val="Calibri"/>
        <family val="2"/>
      </rPr>
      <t>Fusiveis</t>
    </r>
  </si>
  <si>
    <r>
      <rPr>
        <sz val="8.5"/>
        <rFont val="Calibri"/>
        <family val="2"/>
      </rPr>
      <t>37.12.020</t>
    </r>
  </si>
  <si>
    <r>
      <rPr>
        <sz val="8.5"/>
        <rFont val="Calibri"/>
        <family val="2"/>
      </rPr>
      <t>Fusível tipo NH 00 de 6 A até 160 A</t>
    </r>
  </si>
  <si>
    <r>
      <rPr>
        <sz val="8.5"/>
        <rFont val="Calibri"/>
        <family val="2"/>
      </rPr>
      <t>21,06</t>
    </r>
  </si>
  <si>
    <r>
      <rPr>
        <sz val="8.5"/>
        <rFont val="Calibri"/>
        <family val="2"/>
      </rPr>
      <t>28,33</t>
    </r>
  </si>
  <si>
    <r>
      <rPr>
        <sz val="8.5"/>
        <rFont val="Calibri"/>
        <family val="2"/>
      </rPr>
      <t>37.12.040</t>
    </r>
  </si>
  <si>
    <r>
      <rPr>
        <sz val="8.5"/>
        <rFont val="Calibri"/>
        <family val="2"/>
      </rPr>
      <t>Fusível tipo NH 1 de 36 A até 250 A</t>
    </r>
  </si>
  <si>
    <r>
      <rPr>
        <sz val="8.5"/>
        <rFont val="Calibri"/>
        <family val="2"/>
      </rPr>
      <t>32,92</t>
    </r>
  </si>
  <si>
    <r>
      <rPr>
        <sz val="8.5"/>
        <rFont val="Calibri"/>
        <family val="2"/>
      </rPr>
      <t>40,19</t>
    </r>
  </si>
  <si>
    <r>
      <rPr>
        <sz val="8.5"/>
        <rFont val="Calibri"/>
        <family val="2"/>
      </rPr>
      <t>37.12.060</t>
    </r>
  </si>
  <si>
    <r>
      <rPr>
        <sz val="8.5"/>
        <rFont val="Calibri"/>
        <family val="2"/>
      </rPr>
      <t>Fusível tipo NH 2 de 224 A até 400 A</t>
    </r>
  </si>
  <si>
    <r>
      <rPr>
        <sz val="8.5"/>
        <rFont val="Calibri"/>
        <family val="2"/>
      </rPr>
      <t>70,01</t>
    </r>
  </si>
  <si>
    <r>
      <rPr>
        <sz val="8.5"/>
        <rFont val="Calibri"/>
        <family val="2"/>
      </rPr>
      <t>77,28</t>
    </r>
  </si>
  <si>
    <r>
      <rPr>
        <sz val="8.5"/>
        <rFont val="Calibri"/>
        <family val="2"/>
      </rPr>
      <t>37.12.080</t>
    </r>
  </si>
  <si>
    <r>
      <rPr>
        <sz val="8.5"/>
        <rFont val="Calibri"/>
        <family val="2"/>
      </rPr>
      <t>Fusível tipo NH 3 de 400 A até 630 A</t>
    </r>
  </si>
  <si>
    <r>
      <rPr>
        <sz val="8.5"/>
        <rFont val="Calibri"/>
        <family val="2"/>
      </rPr>
      <t>102,99</t>
    </r>
  </si>
  <si>
    <r>
      <rPr>
        <sz val="8.5"/>
        <rFont val="Calibri"/>
        <family val="2"/>
      </rPr>
      <t>110,26</t>
    </r>
  </si>
  <si>
    <r>
      <rPr>
        <sz val="8.5"/>
        <rFont val="Calibri"/>
        <family val="2"/>
      </rPr>
      <t>37.12.120</t>
    </r>
  </si>
  <si>
    <r>
      <rPr>
        <sz val="8.5"/>
        <rFont val="Calibri"/>
        <family val="2"/>
      </rPr>
      <t>Fusível tipo HH para 15 kV de 2,5 A até 50 A</t>
    </r>
  </si>
  <si>
    <r>
      <rPr>
        <sz val="8.5"/>
        <rFont val="Calibri"/>
        <family val="2"/>
      </rPr>
      <t>146,57</t>
    </r>
  </si>
  <si>
    <r>
      <rPr>
        <sz val="8.5"/>
        <rFont val="Calibri"/>
        <family val="2"/>
      </rPr>
      <t>153,84</t>
    </r>
  </si>
  <si>
    <r>
      <rPr>
        <sz val="8.5"/>
        <rFont val="Calibri"/>
        <family val="2"/>
      </rPr>
      <t>37.12.140</t>
    </r>
  </si>
  <si>
    <r>
      <rPr>
        <sz val="8.5"/>
        <rFont val="Calibri"/>
        <family val="2"/>
      </rPr>
      <t>Fusível tipo HH para 15 kV de 60 A até 100 A</t>
    </r>
  </si>
  <si>
    <r>
      <rPr>
        <sz val="8.5"/>
        <rFont val="Calibri"/>
        <family val="2"/>
      </rPr>
      <t>307,15</t>
    </r>
  </si>
  <si>
    <r>
      <rPr>
        <sz val="8.5"/>
        <rFont val="Calibri"/>
        <family val="2"/>
      </rPr>
      <t>314,42</t>
    </r>
  </si>
  <si>
    <r>
      <rPr>
        <sz val="8.5"/>
        <rFont val="Calibri"/>
        <family val="2"/>
      </rPr>
      <t>37.12.200</t>
    </r>
  </si>
  <si>
    <r>
      <rPr>
        <sz val="8.5"/>
        <rFont val="Calibri"/>
        <family val="2"/>
      </rPr>
      <t>Fusível Diazed retardado de 2 A até 25 A</t>
    </r>
  </si>
  <si>
    <r>
      <rPr>
        <sz val="8.5"/>
        <rFont val="Calibri"/>
        <family val="2"/>
      </rPr>
      <t>6,29</t>
    </r>
  </si>
  <si>
    <r>
      <rPr>
        <sz val="8.5"/>
        <rFont val="Calibri"/>
        <family val="2"/>
      </rPr>
      <t>13,56</t>
    </r>
  </si>
  <si>
    <r>
      <rPr>
        <sz val="8.5"/>
        <rFont val="Calibri"/>
        <family val="2"/>
      </rPr>
      <t>37.12.220</t>
    </r>
  </si>
  <si>
    <r>
      <rPr>
        <sz val="8.5"/>
        <rFont val="Calibri"/>
        <family val="2"/>
      </rPr>
      <t>Fusível Diazed retardado de 35 A até 63 A</t>
    </r>
  </si>
  <si>
    <r>
      <rPr>
        <sz val="8.5"/>
        <rFont val="Calibri"/>
        <family val="2"/>
      </rPr>
      <t>7,46</t>
    </r>
  </si>
  <si>
    <r>
      <rPr>
        <sz val="8.5"/>
        <rFont val="Calibri"/>
        <family val="2"/>
      </rPr>
      <t>14,73</t>
    </r>
  </si>
  <si>
    <r>
      <rPr>
        <sz val="8.5"/>
        <rFont val="Calibri"/>
        <family val="2"/>
      </rPr>
      <t>37.12.300</t>
    </r>
  </si>
  <si>
    <r>
      <rPr>
        <sz val="8.5"/>
        <rFont val="Calibri"/>
        <family val="2"/>
      </rPr>
      <t>Fusível em vidro para ´TP´ de 0,5 A</t>
    </r>
  </si>
  <si>
    <r>
      <rPr>
        <sz val="8.5"/>
        <rFont val="Calibri"/>
        <family val="2"/>
      </rPr>
      <t>33,82</t>
    </r>
  </si>
  <si>
    <r>
      <rPr>
        <sz val="8.5"/>
        <rFont val="Calibri"/>
        <family val="2"/>
      </rPr>
      <t>35,64</t>
    </r>
  </si>
  <si>
    <r>
      <rPr>
        <sz val="8.5"/>
        <rFont val="Calibri"/>
        <family val="2"/>
      </rPr>
      <t>Disjuntores</t>
    </r>
  </si>
  <si>
    <r>
      <rPr>
        <sz val="8.5"/>
        <rFont val="Calibri"/>
        <family val="2"/>
      </rPr>
      <t>37.13.510</t>
    </r>
  </si>
  <si>
    <r>
      <rPr>
        <sz val="8.5"/>
        <rFont val="Calibri"/>
        <family val="2"/>
      </rPr>
      <t xml:space="preserve">Disjuntor fixo PVO trifásico, 17,5 kV, 630 A x 350 MVA, 50/60 Hz,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</si>
  <si>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17.375,56</t>
    </r>
  </si>
  <si>
    <r>
      <rPr>
        <sz val="8.5"/>
        <rFont val="Calibri"/>
        <family val="2"/>
      </rPr>
      <t>227,66</t>
    </r>
  </si>
  <si>
    <r>
      <rPr>
        <sz val="8.5"/>
        <rFont val="Calibri"/>
        <family val="2"/>
      </rPr>
      <t>17.603,22</t>
    </r>
  </si>
  <si>
    <r>
      <rPr>
        <sz val="8.5"/>
        <rFont val="Calibri"/>
        <family val="2"/>
      </rPr>
      <t>37.13.520</t>
    </r>
  </si>
  <si>
    <r>
      <rPr>
        <sz val="8.5"/>
        <rFont val="Calibri"/>
        <family val="2"/>
      </rPr>
      <t xml:space="preserve">Disjuntor a seco aberto trifásico, 600 V de 800 A, 50/60 Hz,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</si>
  <si>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28.374,83</t>
    </r>
  </si>
  <si>
    <r>
      <rPr>
        <sz val="8.5"/>
        <rFont val="Calibri"/>
        <family val="2"/>
      </rPr>
      <t>28.578,47</t>
    </r>
  </si>
  <si>
    <r>
      <rPr>
        <sz val="8.5"/>
        <rFont val="Calibri"/>
        <family val="2"/>
      </rPr>
      <t>37.13.530</t>
    </r>
  </si>
  <si>
    <r>
      <rPr>
        <sz val="8.5"/>
        <rFont val="Calibri"/>
        <family val="2"/>
      </rPr>
      <t xml:space="preserve">Disjuntor fixo PVO trifásico, 15 kV, 630 A x 350 MVA, com relé de
</t>
    </r>
    <r>
      <rPr>
        <sz val="8.5"/>
        <rFont val="Calibri"/>
        <family val="2"/>
      </rPr>
      <t>proteção de sobrecorrente e transformadores de corrente</t>
    </r>
  </si>
  <si>
    <r>
      <rPr>
        <sz val="8.5"/>
        <rFont val="Calibri"/>
        <family val="2"/>
      </rPr>
      <t>31.102,78</t>
    </r>
  </si>
  <si>
    <r>
      <rPr>
        <sz val="8.5"/>
        <rFont val="Calibri"/>
        <family val="2"/>
      </rPr>
      <t>300,99</t>
    </r>
  </si>
  <si>
    <r>
      <rPr>
        <sz val="8.5"/>
        <rFont val="Calibri"/>
        <family val="2"/>
      </rPr>
      <t>31.403,77</t>
    </r>
  </si>
  <si>
    <r>
      <rPr>
        <sz val="8.5"/>
        <rFont val="Calibri"/>
        <family val="2"/>
      </rPr>
      <t>37.13.550</t>
    </r>
  </si>
  <si>
    <r>
      <rPr>
        <sz val="8.5"/>
        <rFont val="Calibri"/>
        <family val="2"/>
      </rPr>
      <t xml:space="preserve">Disjuntor em caixa aberta tripolar extraível, 500V de 3200A,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</si>
  <si>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63.365,89</t>
    </r>
  </si>
  <si>
    <r>
      <rPr>
        <sz val="8.5"/>
        <rFont val="Calibri"/>
        <family val="2"/>
      </rPr>
      <t>63.402,28</t>
    </r>
  </si>
  <si>
    <r>
      <rPr>
        <sz val="8.5"/>
        <rFont val="Calibri"/>
        <family val="2"/>
      </rPr>
      <t>37.13.570</t>
    </r>
  </si>
  <si>
    <r>
      <rPr>
        <sz val="8.5"/>
        <rFont val="Calibri"/>
        <family val="2"/>
      </rPr>
      <t xml:space="preserve">Disjuntor em caixa aberta tripolar extraível, 500V de 4000A,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</si>
  <si>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111.523,89</t>
    </r>
  </si>
  <si>
    <r>
      <rPr>
        <sz val="8.5"/>
        <rFont val="Calibri"/>
        <family val="2"/>
      </rPr>
      <t>111.560,28</t>
    </r>
  </si>
  <si>
    <r>
      <rPr>
        <sz val="8.5"/>
        <rFont val="Calibri"/>
        <family val="2"/>
      </rPr>
      <t>37.13.600</t>
    </r>
  </si>
  <si>
    <r>
      <rPr>
        <sz val="8.5"/>
        <rFont val="Calibri"/>
        <family val="2"/>
      </rPr>
      <t>Disjuntor termomagnético, unipolar 127/220 V, corrente de 10 A até 30 A</t>
    </r>
  </si>
  <si>
    <r>
      <rPr>
        <sz val="8.5"/>
        <rFont val="Calibri"/>
        <family val="2"/>
      </rPr>
      <t>28,61</t>
    </r>
  </si>
  <si>
    <r>
      <rPr>
        <sz val="8.5"/>
        <rFont val="Calibri"/>
        <family val="2"/>
      </rPr>
      <t>37.13.610</t>
    </r>
  </si>
  <si>
    <r>
      <rPr>
        <sz val="8.5"/>
        <rFont val="Calibri"/>
        <family val="2"/>
      </rPr>
      <t>Disjuntor termomagnético, unipolar 127/220 V, corrente de 35 A até 50 A</t>
    </r>
  </si>
  <si>
    <r>
      <rPr>
        <sz val="8.5"/>
        <rFont val="Calibri"/>
        <family val="2"/>
      </rPr>
      <t>27,15</t>
    </r>
  </si>
  <si>
    <r>
      <rPr>
        <sz val="8.5"/>
        <rFont val="Calibri"/>
        <family val="2"/>
      </rPr>
      <t>38,07</t>
    </r>
  </si>
  <si>
    <r>
      <rPr>
        <sz val="8.5"/>
        <rFont val="Calibri"/>
        <family val="2"/>
      </rPr>
      <t>37.13.630</t>
    </r>
  </si>
  <si>
    <r>
      <rPr>
        <sz val="8.5"/>
        <rFont val="Calibri"/>
        <family val="2"/>
      </rPr>
      <t>Disjuntor termomagnético, bipolar 220/380 V, corrente de 10 A até 50 A</t>
    </r>
  </si>
  <si>
    <r>
      <rPr>
        <sz val="8.5"/>
        <rFont val="Calibri"/>
        <family val="2"/>
      </rPr>
      <t>92,25</t>
    </r>
  </si>
  <si>
    <r>
      <rPr>
        <sz val="8.5"/>
        <rFont val="Calibri"/>
        <family val="2"/>
      </rPr>
      <t>114,08</t>
    </r>
  </si>
  <si>
    <r>
      <rPr>
        <sz val="8.5"/>
        <rFont val="Calibri"/>
        <family val="2"/>
      </rPr>
      <t>37.13.640</t>
    </r>
  </si>
  <si>
    <r>
      <rPr>
        <sz val="8.5"/>
        <rFont val="Calibri"/>
        <family val="2"/>
      </rPr>
      <t>Disjuntor termomagnético, bipolar 220/380 V, corrente de 60 A até 100 A</t>
    </r>
  </si>
  <si>
    <r>
      <rPr>
        <sz val="8.5"/>
        <rFont val="Calibri"/>
        <family val="2"/>
      </rPr>
      <t>132,98</t>
    </r>
  </si>
  <si>
    <r>
      <rPr>
        <sz val="8.5"/>
        <rFont val="Calibri"/>
        <family val="2"/>
      </rPr>
      <t>154,81</t>
    </r>
  </si>
  <si>
    <r>
      <rPr>
        <sz val="8.5"/>
        <rFont val="Calibri"/>
        <family val="2"/>
      </rPr>
      <t>37.13.650</t>
    </r>
  </si>
  <si>
    <r>
      <rPr>
        <sz val="8.5"/>
        <rFont val="Calibri"/>
        <family val="2"/>
      </rPr>
      <t>Disjuntor termomagnético, tripolar 220/380 V, corrente de 10 A até 50 A</t>
    </r>
  </si>
  <si>
    <r>
      <rPr>
        <sz val="8.5"/>
        <rFont val="Calibri"/>
        <family val="2"/>
      </rPr>
      <t>105,77</t>
    </r>
  </si>
  <si>
    <r>
      <rPr>
        <sz val="8.5"/>
        <rFont val="Calibri"/>
        <family val="2"/>
      </rPr>
      <t>32,75</t>
    </r>
  </si>
  <si>
    <r>
      <rPr>
        <sz val="8.5"/>
        <rFont val="Calibri"/>
        <family val="2"/>
      </rPr>
      <t>138,52</t>
    </r>
  </si>
  <si>
    <r>
      <rPr>
        <sz val="8.5"/>
        <rFont val="Calibri"/>
        <family val="2"/>
      </rPr>
      <t>37.13.660</t>
    </r>
  </si>
  <si>
    <r>
      <rPr>
        <sz val="8.5"/>
        <rFont val="Calibri"/>
        <family val="2"/>
      </rPr>
      <t>Disjuntor termomagnético, tripolar 220/380 V, corrente de 60 A até 100 A</t>
    </r>
  </si>
  <si>
    <r>
      <rPr>
        <sz val="8.5"/>
        <rFont val="Calibri"/>
        <family val="2"/>
      </rPr>
      <t>121,81</t>
    </r>
  </si>
  <si>
    <r>
      <rPr>
        <sz val="8.5"/>
        <rFont val="Calibri"/>
        <family val="2"/>
      </rPr>
      <t>154,56</t>
    </r>
  </si>
  <si>
    <r>
      <rPr>
        <sz val="8.5"/>
        <rFont val="Calibri"/>
        <family val="2"/>
      </rPr>
      <t>37.13.690</t>
    </r>
  </si>
  <si>
    <r>
      <rPr>
        <sz val="8.5"/>
        <rFont val="Calibri"/>
        <family val="2"/>
      </rPr>
      <t xml:space="preserve">Disjuntor série universal, em caixa moldada, térmico e magnético fixos,
</t>
    </r>
    <r>
      <rPr>
        <sz val="8.5"/>
        <rFont val="Calibri"/>
        <family val="2"/>
      </rPr>
      <t>bipolar 480 V, corrente de 60 A até 100 A</t>
    </r>
  </si>
  <si>
    <r>
      <rPr>
        <sz val="8.5"/>
        <rFont val="Calibri"/>
        <family val="2"/>
      </rPr>
      <t>412,63</t>
    </r>
  </si>
  <si>
    <r>
      <rPr>
        <sz val="8.5"/>
        <rFont val="Calibri"/>
        <family val="2"/>
      </rPr>
      <t>449,02</t>
    </r>
  </si>
  <si>
    <r>
      <rPr>
        <sz val="8.5"/>
        <rFont val="Calibri"/>
        <family val="2"/>
      </rPr>
      <t>37.13.700</t>
    </r>
  </si>
  <si>
    <r>
      <rPr>
        <sz val="8.5"/>
        <rFont val="Calibri"/>
        <family val="2"/>
      </rPr>
      <t xml:space="preserve">Disjuntor série universal, em caixa moldada, térmico e magnético fixos,
</t>
    </r>
    <r>
      <rPr>
        <sz val="8.5"/>
        <rFont val="Calibri"/>
        <family val="2"/>
      </rPr>
      <t>bipolar 480/600 V, corrente de 125 A</t>
    </r>
  </si>
  <si>
    <r>
      <rPr>
        <sz val="8.5"/>
        <rFont val="Calibri"/>
        <family val="2"/>
      </rPr>
      <t>630,64</t>
    </r>
  </si>
  <si>
    <r>
      <rPr>
        <sz val="8.5"/>
        <rFont val="Calibri"/>
        <family val="2"/>
      </rPr>
      <t>667,03</t>
    </r>
  </si>
  <si>
    <r>
      <rPr>
        <sz val="8.5"/>
        <rFont val="Calibri"/>
        <family val="2"/>
      </rPr>
      <t>37.13.720</t>
    </r>
  </si>
  <si>
    <r>
      <rPr>
        <sz val="8.5"/>
        <rFont val="Calibri"/>
        <family val="2"/>
      </rPr>
      <t xml:space="preserve">Disjuntor série universal, em caixa moldada, térmico fixo e magnético
</t>
    </r>
    <r>
      <rPr>
        <sz val="8.5"/>
        <rFont val="Calibri"/>
        <family val="2"/>
      </rPr>
      <t>ajustável, tripolar 600 V, corrente de 300 A até 400 A</t>
    </r>
  </si>
  <si>
    <r>
      <rPr>
        <sz val="8.5"/>
        <rFont val="Calibri"/>
        <family val="2"/>
      </rPr>
      <t>1.960,42</t>
    </r>
  </si>
  <si>
    <r>
      <rPr>
        <sz val="8.5"/>
        <rFont val="Calibri"/>
        <family val="2"/>
      </rPr>
      <t>2.033,20</t>
    </r>
  </si>
  <si>
    <r>
      <rPr>
        <sz val="8.5"/>
        <rFont val="Calibri"/>
        <family val="2"/>
      </rPr>
      <t>37.13.730</t>
    </r>
  </si>
  <si>
    <r>
      <rPr>
        <sz val="8.5"/>
        <rFont val="Calibri"/>
        <family val="2"/>
      </rPr>
      <t xml:space="preserve">Disjuntor série universal, em caixa moldada, térmico fixo e magnético
</t>
    </r>
    <r>
      <rPr>
        <sz val="8.5"/>
        <rFont val="Calibri"/>
        <family val="2"/>
      </rPr>
      <t>ajustável, tripolar 600 V, corrente de 500 A até 630 A</t>
    </r>
  </si>
  <si>
    <r>
      <rPr>
        <sz val="8.5"/>
        <rFont val="Calibri"/>
        <family val="2"/>
      </rPr>
      <t>2.637,62</t>
    </r>
  </si>
  <si>
    <r>
      <rPr>
        <sz val="8.5"/>
        <rFont val="Calibri"/>
        <family val="2"/>
      </rPr>
      <t>2.710,40</t>
    </r>
  </si>
  <si>
    <r>
      <rPr>
        <sz val="8.5"/>
        <rFont val="Calibri"/>
        <family val="2"/>
      </rPr>
      <t>37.13.740</t>
    </r>
  </si>
  <si>
    <r>
      <rPr>
        <sz val="8.5"/>
        <rFont val="Calibri"/>
        <family val="2"/>
      </rPr>
      <t xml:space="preserve">Disjuntor série universal, em caixa moldada, térmico fixo e magnético
</t>
    </r>
    <r>
      <rPr>
        <sz val="8.5"/>
        <rFont val="Calibri"/>
        <family val="2"/>
      </rPr>
      <t>ajustável, tripolar 600 V, corrente de 700 A até 800 A</t>
    </r>
  </si>
  <si>
    <r>
      <rPr>
        <sz val="8.5"/>
        <rFont val="Calibri"/>
        <family val="2"/>
      </rPr>
      <t>6.693,20</t>
    </r>
  </si>
  <si>
    <r>
      <rPr>
        <sz val="8.5"/>
        <rFont val="Calibri"/>
        <family val="2"/>
      </rPr>
      <t>6.765,98</t>
    </r>
  </si>
  <si>
    <r>
      <rPr>
        <sz val="8.5"/>
        <rFont val="Calibri"/>
        <family val="2"/>
      </rPr>
      <t>37.13.760</t>
    </r>
  </si>
  <si>
    <r>
      <rPr>
        <sz val="8.5"/>
        <rFont val="Calibri"/>
        <family val="2"/>
      </rPr>
      <t xml:space="preserve">Disjuntor em caixa moldada, térmico e magnético ajustáveis, tripolar
</t>
    </r>
    <r>
      <rPr>
        <sz val="8.5"/>
        <rFont val="Calibri"/>
        <family val="2"/>
      </rPr>
      <t>630/690 V, faixa de ajuste de 440 até 630 A</t>
    </r>
  </si>
  <si>
    <r>
      <rPr>
        <sz val="8.5"/>
        <rFont val="Calibri"/>
        <family val="2"/>
      </rPr>
      <t>9.709,04</t>
    </r>
  </si>
  <si>
    <r>
      <rPr>
        <sz val="8.5"/>
        <rFont val="Calibri"/>
        <family val="2"/>
      </rPr>
      <t>9.781,82</t>
    </r>
  </si>
  <si>
    <r>
      <rPr>
        <sz val="8.5"/>
        <rFont val="Calibri"/>
        <family val="2"/>
      </rPr>
      <t>37.13.770</t>
    </r>
  </si>
  <si>
    <r>
      <rPr>
        <sz val="8.5"/>
        <rFont val="Calibri"/>
        <family val="2"/>
      </rPr>
      <t xml:space="preserve">Disjuntor em caixa moldada, térmico e magnético ajustáveis, tripolar
</t>
    </r>
    <r>
      <rPr>
        <sz val="8.5"/>
        <rFont val="Calibri"/>
        <family val="2"/>
      </rPr>
      <t>1250/690 V, faixa de ajuste de 800 até 1250 A</t>
    </r>
  </si>
  <si>
    <r>
      <rPr>
        <sz val="8.5"/>
        <rFont val="Calibri"/>
        <family val="2"/>
      </rPr>
      <t>11.135,27</t>
    </r>
  </si>
  <si>
    <r>
      <rPr>
        <sz val="8.5"/>
        <rFont val="Calibri"/>
        <family val="2"/>
      </rPr>
      <t>11.208,05</t>
    </r>
  </si>
  <si>
    <r>
      <rPr>
        <sz val="8.5"/>
        <rFont val="Calibri"/>
        <family val="2"/>
      </rPr>
      <t>37.13.780</t>
    </r>
  </si>
  <si>
    <r>
      <rPr>
        <sz val="8.5"/>
        <rFont val="Calibri"/>
        <family val="2"/>
      </rPr>
      <t xml:space="preserve">Disjuntor em caixa moldada, térmico e magnético ajustáveis, tripolar
</t>
    </r>
    <r>
      <rPr>
        <sz val="8.5"/>
        <rFont val="Calibri"/>
        <family val="2"/>
      </rPr>
      <t>1600/690 V, faixa de ajuste de 1000 até 1600 A</t>
    </r>
  </si>
  <si>
    <r>
      <rPr>
        <sz val="8.5"/>
        <rFont val="Calibri"/>
        <family val="2"/>
      </rPr>
      <t>15.130,19</t>
    </r>
  </si>
  <si>
    <r>
      <rPr>
        <sz val="8.5"/>
        <rFont val="Calibri"/>
        <family val="2"/>
      </rPr>
      <t>15.202,97</t>
    </r>
  </si>
  <si>
    <r>
      <rPr>
        <sz val="8.5"/>
        <rFont val="Calibri"/>
        <family val="2"/>
      </rPr>
      <t>37.13.791</t>
    </r>
  </si>
  <si>
    <r>
      <rPr>
        <sz val="8.5"/>
        <rFont val="Calibri"/>
        <family val="2"/>
      </rPr>
      <t xml:space="preserve">Disjuntor em caixa aberta, com corrente nominal de 1600 A, tensão
</t>
    </r>
    <r>
      <rPr>
        <sz val="8.5"/>
        <rFont val="Calibri"/>
        <family val="2"/>
      </rPr>
      <t>nominal de 500 V</t>
    </r>
  </si>
  <si>
    <r>
      <rPr>
        <sz val="8.5"/>
        <rFont val="Calibri"/>
        <family val="2"/>
      </rPr>
      <t>23.999,01</t>
    </r>
  </si>
  <si>
    <r>
      <rPr>
        <sz val="8.5"/>
        <rFont val="Calibri"/>
        <family val="2"/>
      </rPr>
      <t>24.071,79</t>
    </r>
  </si>
  <si>
    <r>
      <rPr>
        <sz val="8.5"/>
        <rFont val="Calibri"/>
        <family val="2"/>
      </rPr>
      <t>37.13.800</t>
    </r>
  </si>
  <si>
    <r>
      <rPr>
        <sz val="8.5"/>
        <rFont val="Calibri"/>
        <family val="2"/>
      </rPr>
      <t xml:space="preserve">Mini-disjuntor termomagnético, unipolar 127/220 V, corrente de 10 A
</t>
    </r>
    <r>
      <rPr>
        <sz val="8.5"/>
        <rFont val="Calibri"/>
        <family val="2"/>
      </rPr>
      <t>até 32 A</t>
    </r>
  </si>
  <si>
    <r>
      <rPr>
        <sz val="8.5"/>
        <rFont val="Calibri"/>
        <family val="2"/>
      </rPr>
      <t>11,02</t>
    </r>
  </si>
  <si>
    <r>
      <rPr>
        <sz val="8.5"/>
        <rFont val="Calibri"/>
        <family val="2"/>
      </rPr>
      <t>18,29</t>
    </r>
  </si>
  <si>
    <r>
      <rPr>
        <sz val="8.5"/>
        <rFont val="Calibri"/>
        <family val="2"/>
      </rPr>
      <t>37.13.810</t>
    </r>
  </si>
  <si>
    <r>
      <rPr>
        <sz val="8.5"/>
        <rFont val="Calibri"/>
        <family val="2"/>
      </rPr>
      <t xml:space="preserve">Mini-disjuntor termomagnético, unipolar 127/220 V, corrente de 40 A
</t>
    </r>
    <r>
      <rPr>
        <sz val="8.5"/>
        <rFont val="Calibri"/>
        <family val="2"/>
      </rPr>
      <t>até 50 A</t>
    </r>
  </si>
  <si>
    <r>
      <rPr>
        <sz val="8.5"/>
        <rFont val="Calibri"/>
        <family val="2"/>
      </rPr>
      <t>13,96</t>
    </r>
  </si>
  <si>
    <r>
      <rPr>
        <sz val="8.5"/>
        <rFont val="Calibri"/>
        <family val="2"/>
      </rPr>
      <t>21,23</t>
    </r>
  </si>
  <si>
    <r>
      <rPr>
        <sz val="8.5"/>
        <rFont val="Calibri"/>
        <family val="2"/>
      </rPr>
      <t>37.13.840</t>
    </r>
  </si>
  <si>
    <r>
      <rPr>
        <sz val="8.5"/>
        <rFont val="Calibri"/>
        <family val="2"/>
      </rPr>
      <t xml:space="preserve">Mini-disjuntor termomagnético, bipolar 220/380 V, corrente de 10 A até
</t>
    </r>
    <r>
      <rPr>
        <sz val="8.5"/>
        <rFont val="Calibri"/>
        <family val="2"/>
      </rPr>
      <t>32 A</t>
    </r>
  </si>
  <si>
    <r>
      <rPr>
        <sz val="8.5"/>
        <rFont val="Calibri"/>
        <family val="2"/>
      </rPr>
      <t>42,03</t>
    </r>
  </si>
  <si>
    <r>
      <rPr>
        <sz val="8.5"/>
        <rFont val="Calibri"/>
        <family val="2"/>
      </rPr>
      <t>49,30</t>
    </r>
  </si>
  <si>
    <r>
      <rPr>
        <sz val="8.5"/>
        <rFont val="Calibri"/>
        <family val="2"/>
      </rPr>
      <t>37.13.850</t>
    </r>
  </si>
  <si>
    <r>
      <rPr>
        <sz val="8.5"/>
        <rFont val="Calibri"/>
        <family val="2"/>
      </rPr>
      <t xml:space="preserve">Mini-disjuntor termomagnético, bipolar 220/380 V, corrente de 40 A até
</t>
    </r>
    <r>
      <rPr>
        <sz val="8.5"/>
        <rFont val="Calibri"/>
        <family val="2"/>
      </rPr>
      <t>50 A</t>
    </r>
  </si>
  <si>
    <r>
      <rPr>
        <sz val="8.5"/>
        <rFont val="Calibri"/>
        <family val="2"/>
      </rPr>
      <t>45,53</t>
    </r>
  </si>
  <si>
    <r>
      <rPr>
        <sz val="8.5"/>
        <rFont val="Calibri"/>
        <family val="2"/>
      </rPr>
      <t>52,80</t>
    </r>
  </si>
  <si>
    <r>
      <rPr>
        <sz val="8.5"/>
        <rFont val="Calibri"/>
        <family val="2"/>
      </rPr>
      <t>37.13.860</t>
    </r>
  </si>
  <si>
    <r>
      <rPr>
        <sz val="8.5"/>
        <rFont val="Calibri"/>
        <family val="2"/>
      </rPr>
      <t>Mini-disjuntor termomagnético, bipolar 220/380 V, corrente de 63 A</t>
    </r>
  </si>
  <si>
    <r>
      <rPr>
        <sz val="8.5"/>
        <rFont val="Calibri"/>
        <family val="2"/>
      </rPr>
      <t>55,36</t>
    </r>
  </si>
  <si>
    <r>
      <rPr>
        <sz val="8.5"/>
        <rFont val="Calibri"/>
        <family val="2"/>
      </rPr>
      <t>37.13.870</t>
    </r>
  </si>
  <si>
    <r>
      <rPr>
        <sz val="8.5"/>
        <rFont val="Calibri"/>
        <family val="2"/>
      </rPr>
      <t>Mini-disjuntor termomagnético, bipolar 400 V, corrente de 80 A até 100 A</t>
    </r>
  </si>
  <si>
    <r>
      <rPr>
        <sz val="8.5"/>
        <rFont val="Calibri"/>
        <family val="2"/>
      </rPr>
      <t>141,47</t>
    </r>
  </si>
  <si>
    <r>
      <rPr>
        <sz val="8.5"/>
        <rFont val="Calibri"/>
        <family val="2"/>
      </rPr>
      <t>148,74</t>
    </r>
  </si>
  <si>
    <r>
      <rPr>
        <sz val="8.5"/>
        <rFont val="Calibri"/>
        <family val="2"/>
      </rPr>
      <t>37.13.880</t>
    </r>
  </si>
  <si>
    <r>
      <rPr>
        <sz val="8.5"/>
        <rFont val="Calibri"/>
        <family val="2"/>
      </rPr>
      <t xml:space="preserve">Mini-disjuntor termomagnético, tripolar 220/380 V, corrente de 10 A até
</t>
    </r>
    <r>
      <rPr>
        <sz val="8.5"/>
        <rFont val="Calibri"/>
        <family val="2"/>
      </rPr>
      <t>32 A</t>
    </r>
  </si>
  <si>
    <r>
      <rPr>
        <sz val="8.5"/>
        <rFont val="Calibri"/>
        <family val="2"/>
      </rPr>
      <t>60,18</t>
    </r>
  </si>
  <si>
    <r>
      <rPr>
        <sz val="8.5"/>
        <rFont val="Calibri"/>
        <family val="2"/>
      </rPr>
      <t>67,45</t>
    </r>
  </si>
  <si>
    <r>
      <rPr>
        <sz val="8.5"/>
        <rFont val="Calibri"/>
        <family val="2"/>
      </rPr>
      <t>37.13.890</t>
    </r>
  </si>
  <si>
    <r>
      <rPr>
        <sz val="8.5"/>
        <rFont val="Calibri"/>
        <family val="2"/>
      </rPr>
      <t xml:space="preserve">Mini-disjuntor termomagnético, tripolar 220/380 V, corrente de 40 A até
</t>
    </r>
    <r>
      <rPr>
        <sz val="8.5"/>
        <rFont val="Calibri"/>
        <family val="2"/>
      </rPr>
      <t>50 A</t>
    </r>
  </si>
  <si>
    <r>
      <rPr>
        <sz val="8.5"/>
        <rFont val="Calibri"/>
        <family val="2"/>
      </rPr>
      <t>70,45</t>
    </r>
  </si>
  <si>
    <r>
      <rPr>
        <sz val="8.5"/>
        <rFont val="Calibri"/>
        <family val="2"/>
      </rPr>
      <t>37.13.900</t>
    </r>
  </si>
  <si>
    <r>
      <rPr>
        <sz val="8.5"/>
        <rFont val="Calibri"/>
        <family val="2"/>
      </rPr>
      <t>Mini-disjuntor termomagnético, tripolar 220/380 V, corrente de 63 A</t>
    </r>
  </si>
  <si>
    <r>
      <rPr>
        <sz val="8.5"/>
        <rFont val="Calibri"/>
        <family val="2"/>
      </rPr>
      <t>70,17</t>
    </r>
  </si>
  <si>
    <r>
      <rPr>
        <sz val="8.5"/>
        <rFont val="Calibri"/>
        <family val="2"/>
      </rPr>
      <t>77,44</t>
    </r>
  </si>
  <si>
    <r>
      <rPr>
        <sz val="8.5"/>
        <rFont val="Calibri"/>
        <family val="2"/>
      </rPr>
      <t>37.13.910</t>
    </r>
  </si>
  <si>
    <r>
      <rPr>
        <sz val="8.5"/>
        <rFont val="Calibri"/>
        <family val="2"/>
      </rPr>
      <t xml:space="preserve">Mini-disjuntor termomagnético, tripolar 400 V, corrente de 80 A até 125
</t>
    </r>
    <r>
      <rPr>
        <sz val="8.5"/>
        <rFont val="Calibri"/>
        <family val="2"/>
      </rPr>
      <t>A</t>
    </r>
  </si>
  <si>
    <r>
      <rPr>
        <sz val="8.5"/>
        <rFont val="Calibri"/>
        <family val="2"/>
      </rPr>
      <t>1.445,19</t>
    </r>
  </si>
  <si>
    <r>
      <rPr>
        <sz val="8.5"/>
        <rFont val="Calibri"/>
        <family val="2"/>
      </rPr>
      <t>1.452,46</t>
    </r>
  </si>
  <si>
    <r>
      <rPr>
        <sz val="8.5"/>
        <rFont val="Calibri"/>
        <family val="2"/>
      </rPr>
      <t>37.13.920</t>
    </r>
  </si>
  <si>
    <r>
      <rPr>
        <sz val="8.5"/>
        <rFont val="Calibri"/>
        <family val="2"/>
      </rPr>
      <t xml:space="preserve">Disjuntor em caixa moldada, térmico ajustável e magnético fixo, tripolar
</t>
    </r>
    <r>
      <rPr>
        <sz val="8.5"/>
        <rFont val="Calibri"/>
        <family val="2"/>
      </rPr>
      <t>2000/1200 V, faixa de ajuste de 1600 até 2000 A</t>
    </r>
  </si>
  <si>
    <r>
      <rPr>
        <sz val="8.5"/>
        <rFont val="Calibri"/>
        <family val="2"/>
      </rPr>
      <t>34.112,56</t>
    </r>
  </si>
  <si>
    <r>
      <rPr>
        <sz val="8.5"/>
        <rFont val="Calibri"/>
        <family val="2"/>
      </rPr>
      <t>34.185,34</t>
    </r>
  </si>
  <si>
    <r>
      <rPr>
        <sz val="8.5"/>
        <rFont val="Calibri"/>
        <family val="2"/>
      </rPr>
      <t>37.13.930</t>
    </r>
  </si>
  <si>
    <r>
      <rPr>
        <sz val="8.5"/>
        <rFont val="Calibri"/>
        <family val="2"/>
      </rPr>
      <t xml:space="preserve">Disjuntor em caixa moldada, térmico ajustável e magnético fixo, tripolar
</t>
    </r>
    <r>
      <rPr>
        <sz val="8.5"/>
        <rFont val="Calibri"/>
        <family val="2"/>
      </rPr>
      <t>2500/1200 V, faixa de ajuste de 2000 até 2500 A</t>
    </r>
  </si>
  <si>
    <r>
      <rPr>
        <sz val="8.5"/>
        <rFont val="Calibri"/>
        <family val="2"/>
      </rPr>
      <t>51.760,30</t>
    </r>
  </si>
  <si>
    <r>
      <rPr>
        <sz val="8.5"/>
        <rFont val="Calibri"/>
        <family val="2"/>
      </rPr>
      <t>51.833,08</t>
    </r>
  </si>
  <si>
    <r>
      <rPr>
        <sz val="8.5"/>
        <rFont val="Calibri"/>
        <family val="2"/>
      </rPr>
      <t>37.13.940</t>
    </r>
  </si>
  <si>
    <r>
      <rPr>
        <sz val="8.5"/>
        <rFont val="Calibri"/>
        <family val="2"/>
      </rPr>
      <t xml:space="preserve">Disjuntor em caixa aberta tripolar extraível, 500 V de 6300 A,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</si>
  <si>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350.576,81</t>
    </r>
  </si>
  <si>
    <r>
      <rPr>
        <sz val="8.5"/>
        <rFont val="Calibri"/>
        <family val="2"/>
      </rPr>
      <t>350.613,20</t>
    </r>
  </si>
  <si>
    <r>
      <rPr>
        <sz val="8.5"/>
        <rFont val="Calibri"/>
        <family val="2"/>
      </rPr>
      <t>Chave de baixa tensao</t>
    </r>
  </si>
  <si>
    <r>
      <rPr>
        <sz val="8.5"/>
        <rFont val="Calibri"/>
        <family val="2"/>
      </rPr>
      <t>37.14.050</t>
    </r>
  </si>
  <si>
    <r>
      <rPr>
        <sz val="8.5"/>
        <rFont val="Calibri"/>
        <family val="2"/>
      </rPr>
      <t xml:space="preserve">Chave comutadora, reversão sob carga, tetrapolar, sem porta fusível,
</t>
    </r>
    <r>
      <rPr>
        <sz val="8.5"/>
        <rFont val="Calibri"/>
        <family val="2"/>
      </rPr>
      <t>para 100 A</t>
    </r>
  </si>
  <si>
    <r>
      <rPr>
        <sz val="8.5"/>
        <rFont val="Calibri"/>
        <family val="2"/>
      </rPr>
      <t>2.698,69</t>
    </r>
  </si>
  <si>
    <r>
      <rPr>
        <sz val="8.5"/>
        <rFont val="Calibri"/>
        <family val="2"/>
      </rPr>
      <t>2.735,08</t>
    </r>
  </si>
  <si>
    <r>
      <rPr>
        <sz val="8.5"/>
        <rFont val="Calibri"/>
        <family val="2"/>
      </rPr>
      <t>37.14.300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</si>
  <si>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160 A</t>
    </r>
  </si>
  <si>
    <r>
      <rPr>
        <sz val="8.5"/>
        <rFont val="Calibri"/>
        <family val="2"/>
      </rPr>
      <t>1.527,70</t>
    </r>
  </si>
  <si>
    <r>
      <rPr>
        <sz val="8.5"/>
        <rFont val="Calibri"/>
        <family val="2"/>
      </rPr>
      <t>29,12</t>
    </r>
  </si>
  <si>
    <r>
      <rPr>
        <sz val="8.5"/>
        <rFont val="Calibri"/>
        <family val="2"/>
      </rPr>
      <t>1.556,82</t>
    </r>
  </si>
  <si>
    <r>
      <rPr>
        <sz val="8.5"/>
        <rFont val="Calibri"/>
        <family val="2"/>
      </rPr>
      <t>37.14.310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</si>
  <si>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250 A</t>
    </r>
  </si>
  <si>
    <r>
      <rPr>
        <sz val="8.5"/>
        <rFont val="Calibri"/>
        <family val="2"/>
      </rPr>
      <t>1.324,72</t>
    </r>
  </si>
  <si>
    <r>
      <rPr>
        <sz val="8.5"/>
        <rFont val="Calibri"/>
        <family val="2"/>
      </rPr>
      <t>1.353,84</t>
    </r>
  </si>
  <si>
    <r>
      <rPr>
        <sz val="8.5"/>
        <rFont val="Calibri"/>
        <family val="2"/>
      </rPr>
      <t>37.14.320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</si>
  <si>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400 A</t>
    </r>
  </si>
  <si>
    <r>
      <rPr>
        <sz val="8.5"/>
        <rFont val="Calibri"/>
        <family val="2"/>
      </rPr>
      <t>1.857,78</t>
    </r>
  </si>
  <si>
    <r>
      <rPr>
        <sz val="8.5"/>
        <rFont val="Calibri"/>
        <family val="2"/>
      </rPr>
      <t>1.894,17</t>
    </r>
  </si>
  <si>
    <r>
      <rPr>
        <sz val="8.5"/>
        <rFont val="Calibri"/>
        <family val="2"/>
      </rPr>
      <t>37.14.330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</si>
  <si>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630 A</t>
    </r>
  </si>
  <si>
    <r>
      <rPr>
        <sz val="8.5"/>
        <rFont val="Calibri"/>
        <family val="2"/>
      </rPr>
      <t>2.018,30</t>
    </r>
  </si>
  <si>
    <r>
      <rPr>
        <sz val="8.5"/>
        <rFont val="Calibri"/>
        <family val="2"/>
      </rPr>
      <t>2.061,96</t>
    </r>
  </si>
  <si>
    <r>
      <rPr>
        <sz val="8.5"/>
        <rFont val="Calibri"/>
        <family val="2"/>
      </rPr>
      <t>37.14.340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</si>
  <si>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1000 A</t>
    </r>
  </si>
  <si>
    <r>
      <rPr>
        <sz val="8.5"/>
        <rFont val="Calibri"/>
        <family val="2"/>
      </rPr>
      <t>4.255,66</t>
    </r>
  </si>
  <si>
    <r>
      <rPr>
        <sz val="8.5"/>
        <rFont val="Calibri"/>
        <family val="2"/>
      </rPr>
      <t>4.310,25</t>
    </r>
  </si>
  <si>
    <r>
      <rPr>
        <sz val="8.5"/>
        <rFont val="Calibri"/>
        <family val="2"/>
      </rPr>
      <t>37.14.350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</si>
  <si>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1250 A</t>
    </r>
  </si>
  <si>
    <r>
      <rPr>
        <sz val="8.5"/>
        <rFont val="Calibri"/>
        <family val="2"/>
      </rPr>
      <t>8.404,40</t>
    </r>
  </si>
  <si>
    <r>
      <rPr>
        <sz val="8.5"/>
        <rFont val="Calibri"/>
        <family val="2"/>
      </rPr>
      <t>8.458,99</t>
    </r>
  </si>
  <si>
    <r>
      <rPr>
        <sz val="8.5"/>
        <rFont val="Calibri"/>
        <family val="2"/>
      </rPr>
      <t>37.14.410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</si>
  <si>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NH-00-125 A - sem fusíveis</t>
    </r>
  </si>
  <si>
    <r>
      <rPr>
        <sz val="8.5"/>
        <rFont val="Calibri"/>
        <family val="2"/>
      </rPr>
      <t>1.601,77</t>
    </r>
  </si>
  <si>
    <r>
      <rPr>
        <sz val="8.5"/>
        <rFont val="Calibri"/>
        <family val="2"/>
      </rPr>
      <t>1.630,89</t>
    </r>
  </si>
  <si>
    <r>
      <rPr>
        <sz val="8.5"/>
        <rFont val="Calibri"/>
        <family val="2"/>
      </rPr>
      <t>37.14.420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</si>
  <si>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NH-00-160 A - sem fusíveis</t>
    </r>
  </si>
  <si>
    <r>
      <rPr>
        <sz val="8.5"/>
        <rFont val="Calibri"/>
        <family val="2"/>
      </rPr>
      <t>1.698,69</t>
    </r>
  </si>
  <si>
    <r>
      <rPr>
        <sz val="8.5"/>
        <rFont val="Calibri"/>
        <family val="2"/>
      </rPr>
      <t>1.727,81</t>
    </r>
  </si>
  <si>
    <r>
      <rPr>
        <sz val="8.5"/>
        <rFont val="Calibri"/>
        <family val="2"/>
      </rPr>
      <t>37.14.430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</si>
  <si>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NH-1-250 A - sem fusíveis</t>
    </r>
  </si>
  <si>
    <r>
      <rPr>
        <sz val="8.5"/>
        <rFont val="Calibri"/>
        <family val="2"/>
      </rPr>
      <t>3.354,03</t>
    </r>
  </si>
  <si>
    <r>
      <rPr>
        <sz val="8.5"/>
        <rFont val="Calibri"/>
        <family val="2"/>
      </rPr>
      <t>3.383,15</t>
    </r>
  </si>
  <si>
    <r>
      <rPr>
        <sz val="8.5"/>
        <rFont val="Calibri"/>
        <family val="2"/>
      </rPr>
      <t>37.14.440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</si>
  <si>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NH-2-400 A - sem fusíveis</t>
    </r>
  </si>
  <si>
    <r>
      <rPr>
        <sz val="8.5"/>
        <rFont val="Calibri"/>
        <family val="2"/>
      </rPr>
      <t>3.899,83</t>
    </r>
  </si>
  <si>
    <r>
      <rPr>
        <sz val="8.5"/>
        <rFont val="Calibri"/>
        <family val="2"/>
      </rPr>
      <t>3.936,22</t>
    </r>
  </si>
  <si>
    <r>
      <rPr>
        <sz val="8.5"/>
        <rFont val="Calibri"/>
        <family val="2"/>
      </rPr>
      <t>37.14.450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</si>
  <si>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NH-3-630 A - sem fusíveis</t>
    </r>
  </si>
  <si>
    <r>
      <rPr>
        <sz val="8.5"/>
        <rFont val="Calibri"/>
        <family val="2"/>
      </rPr>
      <t>8.131,71</t>
    </r>
  </si>
  <si>
    <r>
      <rPr>
        <sz val="8.5"/>
        <rFont val="Calibri"/>
        <family val="2"/>
      </rPr>
      <t>8.175,37</t>
    </r>
  </si>
  <si>
    <r>
      <rPr>
        <sz val="8.5"/>
        <rFont val="Calibri"/>
        <family val="2"/>
      </rPr>
      <t>37.14.500</t>
    </r>
  </si>
  <si>
    <r>
      <rPr>
        <sz val="8.5"/>
        <rFont val="Calibri"/>
        <family val="2"/>
      </rPr>
      <t xml:space="preserve">Chave seccionadora sob carga, tripolar, acionamento tipo punho, com
</t>
    </r>
    <r>
      <rPr>
        <sz val="8.5"/>
        <rFont val="Calibri"/>
        <family val="2"/>
      </rPr>
      <t>porta-fusível até NH-00-160 A - sem fusíveis</t>
    </r>
  </si>
  <si>
    <r>
      <rPr>
        <sz val="8.5"/>
        <rFont val="Calibri"/>
        <family val="2"/>
      </rPr>
      <t>311,89</t>
    </r>
  </si>
  <si>
    <r>
      <rPr>
        <sz val="8.5"/>
        <rFont val="Calibri"/>
        <family val="2"/>
      </rPr>
      <t>341,01</t>
    </r>
  </si>
  <si>
    <r>
      <rPr>
        <sz val="8.5"/>
        <rFont val="Calibri"/>
        <family val="2"/>
      </rPr>
      <t>37.14.510</t>
    </r>
  </si>
  <si>
    <r>
      <rPr>
        <sz val="8.5"/>
        <rFont val="Calibri"/>
        <family val="2"/>
      </rPr>
      <t xml:space="preserve">Chave seccionadora sob carga, tripolar, acionamento tipo punho, com
</t>
    </r>
    <r>
      <rPr>
        <sz val="8.5"/>
        <rFont val="Calibri"/>
        <family val="2"/>
      </rPr>
      <t>porta-fusível até NH-1-250 A - sem fusíveis</t>
    </r>
  </si>
  <si>
    <r>
      <rPr>
        <sz val="8.5"/>
        <rFont val="Calibri"/>
        <family val="2"/>
      </rPr>
      <t>515,53</t>
    </r>
  </si>
  <si>
    <r>
      <rPr>
        <sz val="8.5"/>
        <rFont val="Calibri"/>
        <family val="2"/>
      </rPr>
      <t>544,65</t>
    </r>
  </si>
  <si>
    <r>
      <rPr>
        <sz val="8.5"/>
        <rFont val="Calibri"/>
        <family val="2"/>
      </rPr>
      <t>37.14.520</t>
    </r>
  </si>
  <si>
    <r>
      <rPr>
        <sz val="8.5"/>
        <rFont val="Calibri"/>
        <family val="2"/>
      </rPr>
      <t xml:space="preserve">Chave seccionadora sob carga, tripolar, acionamento tipo punho, com
</t>
    </r>
    <r>
      <rPr>
        <sz val="8.5"/>
        <rFont val="Calibri"/>
        <family val="2"/>
      </rPr>
      <t>porta-fusível até NH-2-400 A - sem fusíveis</t>
    </r>
  </si>
  <si>
    <r>
      <rPr>
        <sz val="8.5"/>
        <rFont val="Calibri"/>
        <family val="2"/>
      </rPr>
      <t>784,22</t>
    </r>
  </si>
  <si>
    <r>
      <rPr>
        <sz val="8.5"/>
        <rFont val="Calibri"/>
        <family val="2"/>
      </rPr>
      <t>820,61</t>
    </r>
  </si>
  <si>
    <r>
      <rPr>
        <sz val="8.5"/>
        <rFont val="Calibri"/>
        <family val="2"/>
      </rPr>
      <t>37.14.530</t>
    </r>
  </si>
  <si>
    <r>
      <rPr>
        <sz val="8.5"/>
        <rFont val="Calibri"/>
        <family val="2"/>
      </rPr>
      <t xml:space="preserve">Chave seccionadora sob carga, tripolar, acionamento tipo punho, com
</t>
    </r>
    <r>
      <rPr>
        <sz val="8.5"/>
        <rFont val="Calibri"/>
        <family val="2"/>
      </rPr>
      <t>porta-fusível até NH-3-630 A - sem fusíveis</t>
    </r>
  </si>
  <si>
    <r>
      <rPr>
        <sz val="8.5"/>
        <rFont val="Calibri"/>
        <family val="2"/>
      </rPr>
      <t>1.596,83</t>
    </r>
  </si>
  <si>
    <r>
      <rPr>
        <sz val="8.5"/>
        <rFont val="Calibri"/>
        <family val="2"/>
      </rPr>
      <t>1.640,49</t>
    </r>
  </si>
  <si>
    <r>
      <rPr>
        <sz val="8.5"/>
        <rFont val="Calibri"/>
        <family val="2"/>
      </rPr>
      <t>37.14.600</t>
    </r>
  </si>
  <si>
    <r>
      <rPr>
        <sz val="8.5"/>
        <rFont val="Calibri"/>
        <family val="2"/>
      </rPr>
      <t xml:space="preserve">Chave comutadora, reversão sob carga, tripolar, sem porta fusível, para
</t>
    </r>
    <r>
      <rPr>
        <sz val="8.5"/>
        <rFont val="Calibri"/>
        <family val="2"/>
      </rPr>
      <t>400 A</t>
    </r>
  </si>
  <si>
    <r>
      <rPr>
        <sz val="8.5"/>
        <rFont val="Calibri"/>
        <family val="2"/>
      </rPr>
      <t>4.902,51</t>
    </r>
  </si>
  <si>
    <r>
      <rPr>
        <sz val="8.5"/>
        <rFont val="Calibri"/>
        <family val="2"/>
      </rPr>
      <t>4.946,17</t>
    </r>
  </si>
  <si>
    <r>
      <rPr>
        <sz val="8.5"/>
        <rFont val="Calibri"/>
        <family val="2"/>
      </rPr>
      <t>37.14.610</t>
    </r>
  </si>
  <si>
    <r>
      <rPr>
        <sz val="8.5"/>
        <rFont val="Calibri"/>
        <family val="2"/>
      </rPr>
      <t xml:space="preserve">Chave comutadora, reversão sob carga, tripolar, sem porta fusível, para
</t>
    </r>
    <r>
      <rPr>
        <sz val="8.5"/>
        <rFont val="Calibri"/>
        <family val="2"/>
      </rPr>
      <t>600/630 A</t>
    </r>
  </si>
  <si>
    <r>
      <rPr>
        <sz val="8.5"/>
        <rFont val="Calibri"/>
        <family val="2"/>
      </rPr>
      <t>6.636,22</t>
    </r>
  </si>
  <si>
    <r>
      <rPr>
        <sz val="8.5"/>
        <rFont val="Calibri"/>
        <family val="2"/>
      </rPr>
      <t>6.690,81</t>
    </r>
  </si>
  <si>
    <r>
      <rPr>
        <sz val="8.5"/>
        <rFont val="Calibri"/>
        <family val="2"/>
      </rPr>
      <t>37.14.620</t>
    </r>
  </si>
  <si>
    <r>
      <rPr>
        <sz val="8.5"/>
        <rFont val="Calibri"/>
        <family val="2"/>
      </rPr>
      <t xml:space="preserve">Chave comutadora, reversão sob carga, tripolar, sem porta fusível, para
</t>
    </r>
    <r>
      <rPr>
        <sz val="8.5"/>
        <rFont val="Calibri"/>
        <family val="2"/>
      </rPr>
      <t>1000 A</t>
    </r>
  </si>
  <si>
    <r>
      <rPr>
        <sz val="8.5"/>
        <rFont val="Calibri"/>
        <family val="2"/>
      </rPr>
      <t>10.288,50</t>
    </r>
  </si>
  <si>
    <r>
      <rPr>
        <sz val="8.5"/>
        <rFont val="Calibri"/>
        <family val="2"/>
      </rPr>
      <t>65,51</t>
    </r>
  </si>
  <si>
    <r>
      <rPr>
        <sz val="8.5"/>
        <rFont val="Calibri"/>
        <family val="2"/>
      </rPr>
      <t>10.354,01</t>
    </r>
  </si>
  <si>
    <r>
      <rPr>
        <sz val="8.5"/>
        <rFont val="Calibri"/>
        <family val="2"/>
      </rPr>
      <t>37.14.640</t>
    </r>
  </si>
  <si>
    <r>
      <rPr>
        <sz val="8.5"/>
        <rFont val="Calibri"/>
        <family val="2"/>
      </rPr>
      <t xml:space="preserve">Chave comutadora, reversão sob carga, tetrapolar, sem porta fusível,
</t>
    </r>
    <r>
      <rPr>
        <sz val="8.5"/>
        <rFont val="Calibri"/>
        <family val="2"/>
      </rPr>
      <t>para 630 A / 690 V</t>
    </r>
  </si>
  <si>
    <r>
      <rPr>
        <sz val="8.5"/>
        <rFont val="Calibri"/>
        <family val="2"/>
      </rPr>
      <t>9.009,67</t>
    </r>
  </si>
  <si>
    <r>
      <rPr>
        <sz val="8.5"/>
        <rFont val="Calibri"/>
        <family val="2"/>
      </rPr>
      <t>84,43</t>
    </r>
  </si>
  <si>
    <r>
      <rPr>
        <sz val="8.5"/>
        <rFont val="Calibri"/>
        <family val="2"/>
      </rPr>
      <t>9.094,10</t>
    </r>
  </si>
  <si>
    <r>
      <rPr>
        <sz val="8.5"/>
        <rFont val="Calibri"/>
        <family val="2"/>
      </rPr>
      <t>37.14.830</t>
    </r>
  </si>
  <si>
    <r>
      <rPr>
        <sz val="8.5"/>
        <rFont val="Calibri"/>
        <family val="2"/>
      </rPr>
      <t>Barra de contato para chave seccionadora tipo NH3-630 A</t>
    </r>
  </si>
  <si>
    <r>
      <rPr>
        <sz val="8.5"/>
        <rFont val="Calibri"/>
        <family val="2"/>
      </rPr>
      <t>56,88</t>
    </r>
  </si>
  <si>
    <r>
      <rPr>
        <sz val="8.5"/>
        <rFont val="Calibri"/>
        <family val="2"/>
      </rPr>
      <t>64,15</t>
    </r>
  </si>
  <si>
    <r>
      <rPr>
        <sz val="8.5"/>
        <rFont val="Calibri"/>
        <family val="2"/>
      </rPr>
      <t>37.14.912</t>
    </r>
  </si>
  <si>
    <r>
      <rPr>
        <sz val="8.5"/>
        <rFont val="Calibri"/>
        <family val="2"/>
      </rPr>
      <t>Chave seccionadora tripolar, abertura sob carga seca até 160 A / 690 V</t>
    </r>
  </si>
  <si>
    <r>
      <rPr>
        <sz val="8.5"/>
        <rFont val="Calibri"/>
        <family val="2"/>
      </rPr>
      <t>711,72</t>
    </r>
  </si>
  <si>
    <r>
      <rPr>
        <sz val="8.5"/>
        <rFont val="Calibri"/>
        <family val="2"/>
      </rPr>
      <t>740,84</t>
    </r>
  </si>
  <si>
    <r>
      <rPr>
        <sz val="8.5"/>
        <rFont val="Calibri"/>
        <family val="2"/>
      </rPr>
      <t>Chave de media tensao</t>
    </r>
  </si>
  <si>
    <r>
      <rPr>
        <sz val="8.5"/>
        <rFont val="Calibri"/>
        <family val="2"/>
      </rPr>
      <t>37.15.110</t>
    </r>
  </si>
  <si>
    <r>
      <rPr>
        <sz val="8.5"/>
        <rFont val="Calibri"/>
        <family val="2"/>
      </rPr>
      <t xml:space="preserve">Chave seccionadora tripolar sob carga para 400 A - 25 kV - com
</t>
    </r>
    <r>
      <rPr>
        <sz val="8.5"/>
        <rFont val="Calibri"/>
        <family val="2"/>
      </rPr>
      <t>prolongador</t>
    </r>
  </si>
  <si>
    <r>
      <rPr>
        <sz val="8.5"/>
        <rFont val="Calibri"/>
        <family val="2"/>
      </rPr>
      <t>2.058,92</t>
    </r>
  </si>
  <si>
    <r>
      <rPr>
        <sz val="8.5"/>
        <rFont val="Calibri"/>
        <family val="2"/>
      </rPr>
      <t>176,75</t>
    </r>
  </si>
  <si>
    <r>
      <rPr>
        <sz val="8.5"/>
        <rFont val="Calibri"/>
        <family val="2"/>
      </rPr>
      <t>2.235,67</t>
    </r>
  </si>
  <si>
    <r>
      <rPr>
        <sz val="8.5"/>
        <rFont val="Calibri"/>
        <family val="2"/>
      </rPr>
      <t>37.15.120</t>
    </r>
  </si>
  <si>
    <r>
      <rPr>
        <sz val="8.5"/>
        <rFont val="Calibri"/>
        <family val="2"/>
      </rPr>
      <t xml:space="preserve">Chave seccionadora tripolar sob carga para 400 A - 15 kV - com
</t>
    </r>
    <r>
      <rPr>
        <sz val="8.5"/>
        <rFont val="Calibri"/>
        <family val="2"/>
      </rPr>
      <t>prolongador</t>
    </r>
  </si>
  <si>
    <r>
      <rPr>
        <sz val="8.5"/>
        <rFont val="Calibri"/>
        <family val="2"/>
      </rPr>
      <t>1.534,22</t>
    </r>
  </si>
  <si>
    <r>
      <rPr>
        <sz val="8.5"/>
        <rFont val="Calibri"/>
        <family val="2"/>
      </rPr>
      <t>1.710,97</t>
    </r>
  </si>
  <si>
    <r>
      <rPr>
        <sz val="8.5"/>
        <rFont val="Calibri"/>
        <family val="2"/>
      </rPr>
      <t>37.15.150</t>
    </r>
  </si>
  <si>
    <r>
      <rPr>
        <sz val="8.5"/>
        <rFont val="Calibri"/>
        <family val="2"/>
      </rPr>
      <t xml:space="preserve">Chave fusível base ´C´ para 15 kV/100 A, com capacidade de ruptura até
</t>
    </r>
    <r>
      <rPr>
        <sz val="8.5"/>
        <rFont val="Calibri"/>
        <family val="2"/>
      </rPr>
      <t>10 kA - com fusível</t>
    </r>
  </si>
  <si>
    <r>
      <rPr>
        <sz val="8.5"/>
        <rFont val="Calibri"/>
        <family val="2"/>
      </rPr>
      <t>254,80</t>
    </r>
  </si>
  <si>
    <r>
      <rPr>
        <sz val="8.5"/>
        <rFont val="Calibri"/>
        <family val="2"/>
      </rPr>
      <t>65,32</t>
    </r>
  </si>
  <si>
    <r>
      <rPr>
        <sz val="8.5"/>
        <rFont val="Calibri"/>
        <family val="2"/>
      </rPr>
      <t>320,12</t>
    </r>
  </si>
  <si>
    <r>
      <rPr>
        <sz val="8.5"/>
        <rFont val="Calibri"/>
        <family val="2"/>
      </rPr>
      <t>37.15.160</t>
    </r>
  </si>
  <si>
    <r>
      <rPr>
        <sz val="8.5"/>
        <rFont val="Calibri"/>
        <family val="2"/>
      </rPr>
      <t xml:space="preserve">Chave fusível base ''C''  para 15 kV/200 A, com capacidade de ruptura até
</t>
    </r>
    <r>
      <rPr>
        <sz val="8.5"/>
        <rFont val="Calibri"/>
        <family val="2"/>
      </rPr>
      <t>10 kA - com fusível</t>
    </r>
  </si>
  <si>
    <r>
      <rPr>
        <sz val="8.5"/>
        <rFont val="Calibri"/>
        <family val="2"/>
      </rPr>
      <t>444,99</t>
    </r>
  </si>
  <si>
    <r>
      <rPr>
        <sz val="8.5"/>
        <rFont val="Calibri"/>
        <family val="2"/>
      </rPr>
      <t>510,31</t>
    </r>
  </si>
  <si>
    <r>
      <rPr>
        <sz val="8.5"/>
        <rFont val="Calibri"/>
        <family val="2"/>
      </rPr>
      <t>37.15.170</t>
    </r>
  </si>
  <si>
    <r>
      <rPr>
        <sz val="8.5"/>
        <rFont val="Calibri"/>
        <family val="2"/>
      </rPr>
      <t xml:space="preserve">Chave fusível base ''C'' para 25 kV/100 A, com capacidade de ruptura até
</t>
    </r>
    <r>
      <rPr>
        <sz val="8.5"/>
        <rFont val="Calibri"/>
        <family val="2"/>
      </rPr>
      <t>6,3 kA - com fusível</t>
    </r>
  </si>
  <si>
    <r>
      <rPr>
        <sz val="8.5"/>
        <rFont val="Calibri"/>
        <family val="2"/>
      </rPr>
      <t>260,58</t>
    </r>
  </si>
  <si>
    <r>
      <rPr>
        <sz val="8.5"/>
        <rFont val="Calibri"/>
        <family val="2"/>
      </rPr>
      <t>325,90</t>
    </r>
  </si>
  <si>
    <r>
      <rPr>
        <sz val="8.5"/>
        <rFont val="Calibri"/>
        <family val="2"/>
      </rPr>
      <t>37.15.200</t>
    </r>
  </si>
  <si>
    <r>
      <rPr>
        <sz val="8.5"/>
        <rFont val="Calibri"/>
        <family val="2"/>
      </rPr>
      <t>Chave seccionadora tripolar seca para 400 A - 15 kV - com prolongador</t>
    </r>
  </si>
  <si>
    <r>
      <rPr>
        <sz val="8.5"/>
        <rFont val="Calibri"/>
        <family val="2"/>
      </rPr>
      <t>1.276,91</t>
    </r>
  </si>
  <si>
    <r>
      <rPr>
        <sz val="8.5"/>
        <rFont val="Calibri"/>
        <family val="2"/>
      </rPr>
      <t>1.453,66</t>
    </r>
  </si>
  <si>
    <r>
      <rPr>
        <sz val="8.5"/>
        <rFont val="Calibri"/>
        <family val="2"/>
      </rPr>
      <t>37.15.210</t>
    </r>
  </si>
  <si>
    <r>
      <rPr>
        <sz val="8.5"/>
        <rFont val="Calibri"/>
        <family val="2"/>
      </rPr>
      <t xml:space="preserve">Chave seccionadora tripolar seca para 600 / 630 A - 15 kV - com
</t>
    </r>
    <r>
      <rPr>
        <sz val="8.5"/>
        <rFont val="Calibri"/>
        <family val="2"/>
      </rPr>
      <t>prolongador</t>
    </r>
  </si>
  <si>
    <r>
      <rPr>
        <sz val="8.5"/>
        <rFont val="Calibri"/>
        <family val="2"/>
      </rPr>
      <t>1.503,66</t>
    </r>
  </si>
  <si>
    <r>
      <rPr>
        <sz val="8.5"/>
        <rFont val="Calibri"/>
        <family val="2"/>
      </rPr>
      <t>1.680,41</t>
    </r>
  </si>
  <si>
    <r>
      <rPr>
        <sz val="8.5"/>
        <rFont val="Calibri"/>
        <family val="2"/>
      </rPr>
      <t>Bus-way</t>
    </r>
  </si>
  <si>
    <r>
      <rPr>
        <sz val="8.5"/>
        <rFont val="Calibri"/>
        <family val="2"/>
      </rPr>
      <t>37.16.071</t>
    </r>
  </si>
  <si>
    <r>
      <rPr>
        <sz val="8.5"/>
        <rFont val="Calibri"/>
        <family val="2"/>
      </rPr>
      <t xml:space="preserve">Sistema de barramento blindado de 100 a 2500 A, trifásico, barra de
</t>
    </r>
    <r>
      <rPr>
        <sz val="8.5"/>
        <rFont val="Calibri"/>
        <family val="2"/>
      </rPr>
      <t>cobre</t>
    </r>
  </si>
  <si>
    <r>
      <rPr>
        <sz val="8.5"/>
        <rFont val="Calibri"/>
        <family val="2"/>
      </rPr>
      <t>Axm</t>
    </r>
  </si>
  <si>
    <r>
      <rPr>
        <sz val="8.5"/>
        <rFont val="Calibri"/>
        <family val="2"/>
      </rPr>
      <t>220,58</t>
    </r>
  </si>
  <si>
    <r>
      <rPr>
        <sz val="8.5"/>
        <rFont val="Calibri"/>
        <family val="2"/>
      </rPr>
      <t>221,03</t>
    </r>
  </si>
  <si>
    <r>
      <rPr>
        <sz val="8.5"/>
        <rFont val="Calibri"/>
        <family val="2"/>
      </rPr>
      <t>Dispositivo DR ou interruptor de corrente de fuga</t>
    </r>
  </si>
  <si>
    <r>
      <rPr>
        <sz val="8.5"/>
        <rFont val="Calibri"/>
        <family val="2"/>
      </rPr>
      <t>37.17.060</t>
    </r>
  </si>
  <si>
    <r>
      <rPr>
        <sz val="8.5"/>
        <rFont val="Calibri"/>
        <family val="2"/>
      </rPr>
      <t>Dispositivo diferencial residual de 25 A x 30 mA - 2 polos</t>
    </r>
  </si>
  <si>
    <r>
      <rPr>
        <sz val="8.5"/>
        <rFont val="Calibri"/>
        <family val="2"/>
      </rPr>
      <t>194,59</t>
    </r>
  </si>
  <si>
    <r>
      <rPr>
        <sz val="8.5"/>
        <rFont val="Calibri"/>
        <family val="2"/>
      </rPr>
      <t>203,69</t>
    </r>
  </si>
  <si>
    <r>
      <rPr>
        <sz val="8.5"/>
        <rFont val="Calibri"/>
        <family val="2"/>
      </rPr>
      <t>37.17.070</t>
    </r>
  </si>
  <si>
    <r>
      <rPr>
        <sz val="8.5"/>
        <rFont val="Calibri"/>
        <family val="2"/>
      </rPr>
      <t>Dispositivo diferencial residual de 40 A x 30 mA - 2 polos</t>
    </r>
  </si>
  <si>
    <r>
      <rPr>
        <sz val="8.5"/>
        <rFont val="Calibri"/>
        <family val="2"/>
      </rPr>
      <t>189,02</t>
    </r>
  </si>
  <si>
    <r>
      <rPr>
        <sz val="8.5"/>
        <rFont val="Calibri"/>
        <family val="2"/>
      </rPr>
      <t>198,12</t>
    </r>
  </si>
  <si>
    <r>
      <rPr>
        <sz val="8.5"/>
        <rFont val="Calibri"/>
        <family val="2"/>
      </rPr>
      <t>37.17.074</t>
    </r>
  </si>
  <si>
    <r>
      <rPr>
        <sz val="8.5"/>
        <rFont val="Calibri"/>
        <family val="2"/>
      </rPr>
      <t>Dispositivo diferencial residual de 25 A x 30 mA - 4 polos</t>
    </r>
  </si>
  <si>
    <r>
      <rPr>
        <sz val="8.5"/>
        <rFont val="Calibri"/>
        <family val="2"/>
      </rPr>
      <t>242,22</t>
    </r>
  </si>
  <si>
    <r>
      <rPr>
        <sz val="8.5"/>
        <rFont val="Calibri"/>
        <family val="2"/>
      </rPr>
      <t>251,32</t>
    </r>
  </si>
  <si>
    <r>
      <rPr>
        <sz val="8.5"/>
        <rFont val="Calibri"/>
        <family val="2"/>
      </rPr>
      <t>37.17.080</t>
    </r>
  </si>
  <si>
    <r>
      <rPr>
        <sz val="8.5"/>
        <rFont val="Calibri"/>
        <family val="2"/>
      </rPr>
      <t>Dispositivo diferencial residual de 40 A x 30 mA - 4 polos</t>
    </r>
  </si>
  <si>
    <r>
      <rPr>
        <sz val="8.5"/>
        <rFont val="Calibri"/>
        <family val="2"/>
      </rPr>
      <t>247,22</t>
    </r>
  </si>
  <si>
    <r>
      <rPr>
        <sz val="8.5"/>
        <rFont val="Calibri"/>
        <family val="2"/>
      </rPr>
      <t>256,32</t>
    </r>
  </si>
  <si>
    <r>
      <rPr>
        <sz val="8.5"/>
        <rFont val="Calibri"/>
        <family val="2"/>
      </rPr>
      <t>37.17.090</t>
    </r>
  </si>
  <si>
    <r>
      <rPr>
        <sz val="8.5"/>
        <rFont val="Calibri"/>
        <family val="2"/>
      </rPr>
      <t>Dispositivo diferencial residual de 63 A x 30 mA - 4 polos</t>
    </r>
  </si>
  <si>
    <r>
      <rPr>
        <sz val="8.5"/>
        <rFont val="Calibri"/>
        <family val="2"/>
      </rPr>
      <t>304,18</t>
    </r>
  </si>
  <si>
    <r>
      <rPr>
        <sz val="8.5"/>
        <rFont val="Calibri"/>
        <family val="2"/>
      </rPr>
      <t>313,28</t>
    </r>
  </si>
  <si>
    <r>
      <rPr>
        <sz val="8.5"/>
        <rFont val="Calibri"/>
        <family val="2"/>
      </rPr>
      <t>37.17.100</t>
    </r>
  </si>
  <si>
    <r>
      <rPr>
        <sz val="8.5"/>
        <rFont val="Calibri"/>
        <family val="2"/>
      </rPr>
      <t>Dispositivo diferencial residual de 80 A x 30 mA - 4 polos</t>
    </r>
  </si>
  <si>
    <r>
      <rPr>
        <sz val="8.5"/>
        <rFont val="Calibri"/>
        <family val="2"/>
      </rPr>
      <t>371,31</t>
    </r>
  </si>
  <si>
    <r>
      <rPr>
        <sz val="8.5"/>
        <rFont val="Calibri"/>
        <family val="2"/>
      </rPr>
      <t>380,41</t>
    </r>
  </si>
  <si>
    <r>
      <rPr>
        <sz val="8.5"/>
        <rFont val="Calibri"/>
        <family val="2"/>
      </rPr>
      <t>37.17.110</t>
    </r>
  </si>
  <si>
    <r>
      <rPr>
        <sz val="8.5"/>
        <rFont val="Calibri"/>
        <family val="2"/>
      </rPr>
      <t>Dispositivo diferencial residual de 100 A x 30 mA - 4 polos</t>
    </r>
  </si>
  <si>
    <r>
      <rPr>
        <sz val="8.5"/>
        <rFont val="Calibri"/>
        <family val="2"/>
      </rPr>
      <t>435,09</t>
    </r>
  </si>
  <si>
    <r>
      <rPr>
        <sz val="8.5"/>
        <rFont val="Calibri"/>
        <family val="2"/>
      </rPr>
      <t>444,19</t>
    </r>
  </si>
  <si>
    <r>
      <rPr>
        <sz val="8.5"/>
        <rFont val="Calibri"/>
        <family val="2"/>
      </rPr>
      <t>37.17.114</t>
    </r>
  </si>
  <si>
    <r>
      <rPr>
        <sz val="8.5"/>
        <rFont val="Calibri"/>
        <family val="2"/>
      </rPr>
      <t>Dispositivo diferencial residual de 125 A x 30 mA - 4 polos</t>
    </r>
  </si>
  <si>
    <r>
      <rPr>
        <sz val="8.5"/>
        <rFont val="Calibri"/>
        <family val="2"/>
      </rPr>
      <t>2.067,61</t>
    </r>
  </si>
  <si>
    <r>
      <rPr>
        <sz val="8.5"/>
        <rFont val="Calibri"/>
        <family val="2"/>
      </rPr>
      <t>2.076,71</t>
    </r>
  </si>
  <si>
    <r>
      <rPr>
        <sz val="8.5"/>
        <rFont val="Calibri"/>
        <family val="2"/>
      </rPr>
      <t>37.17.130</t>
    </r>
  </si>
  <si>
    <r>
      <rPr>
        <sz val="8.5"/>
        <rFont val="Calibri"/>
        <family val="2"/>
      </rPr>
      <t>Dispositivo diferencial residual de 25 A x 300 mA - 4 polos</t>
    </r>
  </si>
  <si>
    <r>
      <rPr>
        <sz val="8.5"/>
        <rFont val="Calibri"/>
        <family val="2"/>
      </rPr>
      <t>276,42</t>
    </r>
  </si>
  <si>
    <r>
      <rPr>
        <sz val="8.5"/>
        <rFont val="Calibri"/>
        <family val="2"/>
      </rPr>
      <t>285,52</t>
    </r>
  </si>
  <si>
    <r>
      <rPr>
        <sz val="8.5"/>
        <rFont val="Calibri"/>
        <family val="2"/>
      </rPr>
      <t>Transformador de Potencial</t>
    </r>
  </si>
  <si>
    <r>
      <rPr>
        <sz val="8.5"/>
        <rFont val="Calibri"/>
        <family val="2"/>
      </rPr>
      <t>37.18.010</t>
    </r>
  </si>
  <si>
    <r>
      <rPr>
        <sz val="8.5"/>
        <rFont val="Calibri"/>
        <family val="2"/>
      </rPr>
      <t xml:space="preserve">Transformador de potencial monofásico até 1000 VA classe 15 kV, a
</t>
    </r>
    <r>
      <rPr>
        <sz val="8.5"/>
        <rFont val="Calibri"/>
        <family val="2"/>
      </rPr>
      <t>seco, com fusíveis</t>
    </r>
  </si>
  <si>
    <r>
      <rPr>
        <sz val="8.5"/>
        <rFont val="Calibri"/>
        <family val="2"/>
      </rPr>
      <t>2.653,65</t>
    </r>
  </si>
  <si>
    <r>
      <rPr>
        <sz val="8.5"/>
        <rFont val="Calibri"/>
        <family val="2"/>
      </rPr>
      <t>55,14</t>
    </r>
  </si>
  <si>
    <r>
      <rPr>
        <sz val="8.5"/>
        <rFont val="Calibri"/>
        <family val="2"/>
      </rPr>
      <t>2.708,79</t>
    </r>
  </si>
  <si>
    <r>
      <rPr>
        <sz val="8.5"/>
        <rFont val="Calibri"/>
        <family val="2"/>
      </rPr>
      <t>37.18.020</t>
    </r>
  </si>
  <si>
    <r>
      <rPr>
        <sz val="8.5"/>
        <rFont val="Calibri"/>
        <family val="2"/>
      </rPr>
      <t xml:space="preserve">Transformador de potencial monofásico até 2000 VA classe 15 kV, a
</t>
    </r>
    <r>
      <rPr>
        <sz val="8.5"/>
        <rFont val="Calibri"/>
        <family val="2"/>
      </rPr>
      <t>seco, com fusíveis</t>
    </r>
  </si>
  <si>
    <r>
      <rPr>
        <sz val="8.5"/>
        <rFont val="Calibri"/>
        <family val="2"/>
      </rPr>
      <t>3.640,74</t>
    </r>
  </si>
  <si>
    <r>
      <rPr>
        <sz val="8.5"/>
        <rFont val="Calibri"/>
        <family val="2"/>
      </rPr>
      <t>3.695,88</t>
    </r>
  </si>
  <si>
    <r>
      <rPr>
        <sz val="8.5"/>
        <rFont val="Calibri"/>
        <family val="2"/>
      </rPr>
      <t>37.18.030</t>
    </r>
  </si>
  <si>
    <r>
      <rPr>
        <sz val="8.5"/>
        <rFont val="Calibri"/>
        <family val="2"/>
      </rPr>
      <t xml:space="preserve">Transformador de potencial monofásico até 500 VA classe 15 kV, a seco,
</t>
    </r>
    <r>
      <rPr>
        <sz val="8.5"/>
        <rFont val="Calibri"/>
        <family val="2"/>
      </rPr>
      <t>sem fusíveis</t>
    </r>
  </si>
  <si>
    <r>
      <rPr>
        <sz val="8.5"/>
        <rFont val="Calibri"/>
        <family val="2"/>
      </rPr>
      <t>1.886,20</t>
    </r>
  </si>
  <si>
    <r>
      <rPr>
        <sz val="8.5"/>
        <rFont val="Calibri"/>
        <family val="2"/>
      </rPr>
      <t>1.941,34</t>
    </r>
  </si>
  <si>
    <r>
      <rPr>
        <sz val="8.5"/>
        <rFont val="Calibri"/>
        <family val="2"/>
      </rPr>
      <t>Transformador de corrente</t>
    </r>
  </si>
  <si>
    <r>
      <rPr>
        <sz val="8.5"/>
        <rFont val="Calibri"/>
        <family val="2"/>
      </rPr>
      <t>37.19.010</t>
    </r>
  </si>
  <si>
    <r>
      <rPr>
        <sz val="8.5"/>
        <rFont val="Calibri"/>
        <family val="2"/>
      </rPr>
      <t>Transformador de corrente 800-5 A, janela</t>
    </r>
  </si>
  <si>
    <r>
      <rPr>
        <sz val="8.5"/>
        <rFont val="Calibri"/>
        <family val="2"/>
      </rPr>
      <t>261,12</t>
    </r>
  </si>
  <si>
    <r>
      <rPr>
        <sz val="8.5"/>
        <rFont val="Calibri"/>
        <family val="2"/>
      </rPr>
      <t>316,26</t>
    </r>
  </si>
  <si>
    <r>
      <rPr>
        <sz val="8.5"/>
        <rFont val="Calibri"/>
        <family val="2"/>
      </rPr>
      <t>37.19.020</t>
    </r>
  </si>
  <si>
    <r>
      <rPr>
        <sz val="8.5"/>
        <rFont val="Calibri"/>
        <family val="2"/>
      </rPr>
      <t>Transformador de corrente 200-5 A até 600-5 A, janela</t>
    </r>
  </si>
  <si>
    <r>
      <rPr>
        <sz val="8.5"/>
        <rFont val="Calibri"/>
        <family val="2"/>
      </rPr>
      <t>220,66</t>
    </r>
  </si>
  <si>
    <r>
      <rPr>
        <sz val="8.5"/>
        <rFont val="Calibri"/>
        <family val="2"/>
      </rPr>
      <t>275,80</t>
    </r>
  </si>
  <si>
    <r>
      <rPr>
        <sz val="8.5"/>
        <rFont val="Calibri"/>
        <family val="2"/>
      </rPr>
      <t>37.19.030</t>
    </r>
  </si>
  <si>
    <r>
      <rPr>
        <sz val="8.5"/>
        <rFont val="Calibri"/>
        <family val="2"/>
      </rPr>
      <t>Transformador de corrente 1000-5 A até 1500-5 A, janela</t>
    </r>
  </si>
  <si>
    <r>
      <rPr>
        <sz val="8.5"/>
        <rFont val="Calibri"/>
        <family val="2"/>
      </rPr>
      <t>482,76</t>
    </r>
  </si>
  <si>
    <r>
      <rPr>
        <sz val="8.5"/>
        <rFont val="Calibri"/>
        <family val="2"/>
      </rPr>
      <t>537,90</t>
    </r>
  </si>
  <si>
    <r>
      <rPr>
        <sz val="8.5"/>
        <rFont val="Calibri"/>
        <family val="2"/>
      </rPr>
      <t>37.19.060</t>
    </r>
  </si>
  <si>
    <r>
      <rPr>
        <sz val="8.5"/>
        <rFont val="Calibri"/>
        <family val="2"/>
      </rPr>
      <t>Transformador de corrente 50-5 A até 150-5 A, janela</t>
    </r>
  </si>
  <si>
    <r>
      <rPr>
        <sz val="8.5"/>
        <rFont val="Calibri"/>
        <family val="2"/>
      </rPr>
      <t>183,14</t>
    </r>
  </si>
  <si>
    <r>
      <rPr>
        <sz val="8.5"/>
        <rFont val="Calibri"/>
        <family val="2"/>
      </rPr>
      <t>238,28</t>
    </r>
  </si>
  <si>
    <r>
      <rPr>
        <sz val="8.5"/>
        <rFont val="Calibri"/>
        <family val="2"/>
      </rPr>
      <t>37.19.080</t>
    </r>
  </si>
  <si>
    <r>
      <rPr>
        <sz val="8.5"/>
        <rFont val="Calibri"/>
        <family val="2"/>
      </rPr>
      <t>Transformador de corrente 2000-5 A até 2500-5 A - janela</t>
    </r>
  </si>
  <si>
    <r>
      <rPr>
        <sz val="8.5"/>
        <rFont val="Calibri"/>
        <family val="2"/>
      </rPr>
      <t>927,45</t>
    </r>
  </si>
  <si>
    <r>
      <rPr>
        <sz val="8.5"/>
        <rFont val="Calibri"/>
        <family val="2"/>
      </rPr>
      <t>982,59</t>
    </r>
  </si>
  <si>
    <r>
      <rPr>
        <sz val="8.5"/>
        <rFont val="Calibri"/>
        <family val="2"/>
      </rPr>
      <t>Reparos, conservacoes e complementos - GRUPO 37</t>
    </r>
  </si>
  <si>
    <r>
      <rPr>
        <sz val="8.5"/>
        <rFont val="Calibri"/>
        <family val="2"/>
      </rPr>
      <t>37.20.010</t>
    </r>
  </si>
  <si>
    <r>
      <rPr>
        <sz val="8.5"/>
        <rFont val="Calibri"/>
        <family val="2"/>
      </rPr>
      <t>Isolador em epóxi de 1 kV para barramento</t>
    </r>
  </si>
  <si>
    <r>
      <rPr>
        <sz val="8.5"/>
        <rFont val="Calibri"/>
        <family val="2"/>
      </rPr>
      <t>24,86</t>
    </r>
  </si>
  <si>
    <r>
      <rPr>
        <sz val="8.5"/>
        <rFont val="Calibri"/>
        <family val="2"/>
      </rPr>
      <t>30,32</t>
    </r>
  </si>
  <si>
    <r>
      <rPr>
        <sz val="8.5"/>
        <rFont val="Calibri"/>
        <family val="2"/>
      </rPr>
      <t>37.20.030</t>
    </r>
  </si>
  <si>
    <r>
      <rPr>
        <sz val="8.5"/>
        <rFont val="Calibri"/>
        <family val="2"/>
      </rPr>
      <t>Régua de bornes para 9 polos de 600 V / 50 A</t>
    </r>
  </si>
  <si>
    <r>
      <rPr>
        <sz val="8.5"/>
        <rFont val="Calibri"/>
        <family val="2"/>
      </rPr>
      <t>27,57</t>
    </r>
  </si>
  <si>
    <r>
      <rPr>
        <sz val="8.5"/>
        <rFont val="Calibri"/>
        <family val="2"/>
      </rPr>
      <t>29,39</t>
    </r>
  </si>
  <si>
    <r>
      <rPr>
        <sz val="8.5"/>
        <rFont val="Calibri"/>
        <family val="2"/>
      </rPr>
      <t>37.20.080</t>
    </r>
  </si>
  <si>
    <r>
      <rPr>
        <sz val="8.5"/>
        <rFont val="Calibri"/>
        <family val="2"/>
      </rPr>
      <t>Barra de neutro e/ou terra</t>
    </r>
  </si>
  <si>
    <r>
      <rPr>
        <sz val="8.5"/>
        <rFont val="Calibri"/>
        <family val="2"/>
      </rPr>
      <t>17,38</t>
    </r>
  </si>
  <si>
    <r>
      <rPr>
        <sz val="8.5"/>
        <rFont val="Calibri"/>
        <family val="2"/>
      </rPr>
      <t>22,84</t>
    </r>
  </si>
  <si>
    <r>
      <rPr>
        <sz val="8.5"/>
        <rFont val="Calibri"/>
        <family val="2"/>
      </rPr>
      <t>37.20.090</t>
    </r>
  </si>
  <si>
    <r>
      <rPr>
        <sz val="8.5"/>
        <rFont val="Calibri"/>
        <family val="2"/>
      </rPr>
      <t xml:space="preserve">Recolocação de chave seccionadora tripolar de 125 A até 650 A, sem
</t>
    </r>
    <r>
      <rPr>
        <sz val="8.5"/>
        <rFont val="Calibri"/>
        <family val="2"/>
      </rPr>
      <t>base fusível</t>
    </r>
  </si>
  <si>
    <r>
      <rPr>
        <sz val="8.5"/>
        <rFont val="Calibri"/>
        <family val="2"/>
      </rPr>
      <t>37.20.100</t>
    </r>
  </si>
  <si>
    <r>
      <rPr>
        <sz val="8.5"/>
        <rFont val="Calibri"/>
        <family val="2"/>
      </rPr>
      <t>Recolocação de fundo de quadro de distribuição, sem componentes</t>
    </r>
  </si>
  <si>
    <r>
      <rPr>
        <sz val="8.5"/>
        <rFont val="Calibri"/>
        <family val="2"/>
      </rPr>
      <t>37.20.110</t>
    </r>
  </si>
  <si>
    <r>
      <rPr>
        <sz val="8.5"/>
        <rFont val="Calibri"/>
        <family val="2"/>
      </rPr>
      <t>Recolocação de quadro de distribuição de sobrepor, sem componentes</t>
    </r>
  </si>
  <si>
    <r>
      <rPr>
        <sz val="8.5"/>
        <rFont val="Calibri"/>
        <family val="2"/>
      </rPr>
      <t>37.20.130</t>
    </r>
  </si>
  <si>
    <r>
      <rPr>
        <sz val="8.5"/>
        <rFont val="Calibri"/>
        <family val="2"/>
      </rPr>
      <t xml:space="preserve">Banco de medição para transformadores TC/TP, padrão Eletropaulo e/ou
</t>
    </r>
    <r>
      <rPr>
        <sz val="8.5"/>
        <rFont val="Calibri"/>
        <family val="2"/>
      </rPr>
      <t>Cesp</t>
    </r>
  </si>
  <si>
    <r>
      <rPr>
        <sz val="8.5"/>
        <rFont val="Calibri"/>
        <family val="2"/>
      </rPr>
      <t>809,90</t>
    </r>
  </si>
  <si>
    <r>
      <rPr>
        <sz val="8.5"/>
        <rFont val="Calibri"/>
        <family val="2"/>
      </rPr>
      <t>811,35</t>
    </r>
  </si>
  <si>
    <r>
      <rPr>
        <sz val="8.5"/>
        <rFont val="Calibri"/>
        <family val="2"/>
      </rPr>
      <t>37.20.140</t>
    </r>
  </si>
  <si>
    <r>
      <rPr>
        <sz val="8.5"/>
        <rFont val="Calibri"/>
        <family val="2"/>
      </rPr>
      <t>Suporte fixo para transformadores de potencial</t>
    </r>
  </si>
  <si>
    <r>
      <rPr>
        <sz val="8.5"/>
        <rFont val="Calibri"/>
        <family val="2"/>
      </rPr>
      <t>163,22</t>
    </r>
  </si>
  <si>
    <r>
      <rPr>
        <sz val="8.5"/>
        <rFont val="Calibri"/>
        <family val="2"/>
      </rPr>
      <t>166,85</t>
    </r>
  </si>
  <si>
    <r>
      <rPr>
        <sz val="8.5"/>
        <rFont val="Calibri"/>
        <family val="2"/>
      </rPr>
      <t>37.20.156</t>
    </r>
  </si>
  <si>
    <r>
      <rPr>
        <sz val="8.5"/>
        <rFont val="Calibri"/>
        <family val="2"/>
      </rPr>
      <t>Placa de montagem para quadros em geral, em chapa de aço</t>
    </r>
  </si>
  <si>
    <r>
      <rPr>
        <sz val="8.5"/>
        <rFont val="Calibri"/>
        <family val="2"/>
      </rPr>
      <t>475,94</t>
    </r>
  </si>
  <si>
    <r>
      <rPr>
        <sz val="8.5"/>
        <rFont val="Calibri"/>
        <family val="2"/>
      </rPr>
      <t>501,40</t>
    </r>
  </si>
  <si>
    <r>
      <rPr>
        <sz val="8.5"/>
        <rFont val="Calibri"/>
        <family val="2"/>
      </rPr>
      <t>37.20.190</t>
    </r>
  </si>
  <si>
    <r>
      <rPr>
        <sz val="8.5"/>
        <rFont val="Calibri"/>
        <family val="2"/>
      </rPr>
      <t xml:space="preserve">Inversor de frequência para variação de velocidade em motores,
</t>
    </r>
    <r>
      <rPr>
        <sz val="8.5"/>
        <rFont val="Calibri"/>
        <family val="2"/>
      </rPr>
      <t>potência de 0,25 a 20 cv</t>
    </r>
  </si>
  <si>
    <r>
      <rPr>
        <sz val="8.5"/>
        <rFont val="Calibri"/>
        <family val="2"/>
      </rPr>
      <t>6.261,34</t>
    </r>
  </si>
  <si>
    <r>
      <rPr>
        <sz val="8.5"/>
        <rFont val="Calibri"/>
        <family val="2"/>
      </rPr>
      <t>40,73</t>
    </r>
  </si>
  <si>
    <r>
      <rPr>
        <sz val="8.5"/>
        <rFont val="Calibri"/>
        <family val="2"/>
      </rPr>
      <t>6.302,07</t>
    </r>
  </si>
  <si>
    <r>
      <rPr>
        <sz val="8.5"/>
        <rFont val="Calibri"/>
        <family val="2"/>
      </rPr>
      <t>37.20.191</t>
    </r>
  </si>
  <si>
    <r>
      <rPr>
        <sz val="8.5"/>
        <rFont val="Calibri"/>
        <family val="2"/>
      </rPr>
      <t xml:space="preserve">Inversor de frequência para variação de velocidade em motores,
</t>
    </r>
    <r>
      <rPr>
        <sz val="8.5"/>
        <rFont val="Calibri"/>
        <family val="2"/>
      </rPr>
      <t>potência de 25 a 30 CV</t>
    </r>
  </si>
  <si>
    <r>
      <rPr>
        <sz val="8.5"/>
        <rFont val="Calibri"/>
        <family val="2"/>
      </rPr>
      <t>13.545,56</t>
    </r>
  </si>
  <si>
    <r>
      <rPr>
        <sz val="8.5"/>
        <rFont val="Calibri"/>
        <family val="2"/>
      </rPr>
      <t>13.586,29</t>
    </r>
  </si>
  <si>
    <r>
      <rPr>
        <sz val="8.5"/>
        <rFont val="Calibri"/>
        <family val="2"/>
      </rPr>
      <t>37.20.193</t>
    </r>
  </si>
  <si>
    <r>
      <rPr>
        <sz val="8.5"/>
        <rFont val="Calibri"/>
        <family val="2"/>
      </rPr>
      <t xml:space="preserve">Inversor de frequência para variação de velocidade em motores,
</t>
    </r>
    <r>
      <rPr>
        <sz val="8.5"/>
        <rFont val="Calibri"/>
        <family val="2"/>
      </rPr>
      <t>potência de 50 cv</t>
    </r>
  </si>
  <si>
    <r>
      <rPr>
        <sz val="8.5"/>
        <rFont val="Calibri"/>
        <family val="2"/>
      </rPr>
      <t>24.438,20</t>
    </r>
  </si>
  <si>
    <r>
      <rPr>
        <sz val="8.5"/>
        <rFont val="Calibri"/>
        <family val="2"/>
      </rPr>
      <t>24.478,93</t>
    </r>
  </si>
  <si>
    <r>
      <rPr>
        <sz val="8.5"/>
        <rFont val="Calibri"/>
        <family val="2"/>
      </rPr>
      <t>37.20.210</t>
    </r>
  </si>
  <si>
    <r>
      <rPr>
        <sz val="8.5"/>
        <rFont val="Calibri"/>
        <family val="2"/>
      </rPr>
      <t>Punho de manobra com articulador de acionamento</t>
    </r>
  </si>
  <si>
    <r>
      <rPr>
        <sz val="8.5"/>
        <rFont val="Calibri"/>
        <family val="2"/>
      </rPr>
      <t>497,14</t>
    </r>
  </si>
  <si>
    <r>
      <rPr>
        <sz val="8.5"/>
        <rFont val="Calibri"/>
        <family val="2"/>
      </rPr>
      <t>515,34</t>
    </r>
  </si>
  <si>
    <r>
      <rPr>
        <sz val="8.5"/>
        <rFont val="Calibri"/>
        <family val="2"/>
      </rPr>
      <t>Capacitor de potencia</t>
    </r>
  </si>
  <si>
    <r>
      <rPr>
        <sz val="8.5"/>
        <rFont val="Calibri"/>
        <family val="2"/>
      </rPr>
      <t>37.21.010</t>
    </r>
  </si>
  <si>
    <r>
      <rPr>
        <sz val="8.5"/>
        <rFont val="Calibri"/>
        <family val="2"/>
      </rPr>
      <t xml:space="preserve">Capacitor de potência trifásico de 10 kVAr, 220 V/60 Hz, para correção
</t>
    </r>
    <r>
      <rPr>
        <sz val="8.5"/>
        <rFont val="Calibri"/>
        <family val="2"/>
      </rPr>
      <t>de fator de potência</t>
    </r>
  </si>
  <si>
    <r>
      <rPr>
        <sz val="8.5"/>
        <rFont val="Calibri"/>
        <family val="2"/>
      </rPr>
      <t>894,53</t>
    </r>
  </si>
  <si>
    <r>
      <rPr>
        <sz val="8.5"/>
        <rFont val="Calibri"/>
        <family val="2"/>
      </rPr>
      <t>912,73</t>
    </r>
  </si>
  <si>
    <r>
      <rPr>
        <sz val="8.5"/>
        <rFont val="Calibri"/>
        <family val="2"/>
      </rPr>
      <t>Transformador de comando</t>
    </r>
  </si>
  <si>
    <r>
      <rPr>
        <sz val="8.5"/>
        <rFont val="Calibri"/>
        <family val="2"/>
      </rPr>
      <t>37.22.010</t>
    </r>
  </si>
  <si>
    <r>
      <rPr>
        <sz val="8.5"/>
        <rFont val="Calibri"/>
        <family val="2"/>
      </rPr>
      <t>Transformador monofásico de comando de 200 VA classe 0,6 kV, a seco</t>
    </r>
  </si>
  <si>
    <r>
      <rPr>
        <sz val="8.5"/>
        <rFont val="Calibri"/>
        <family val="2"/>
      </rPr>
      <t>367,24</t>
    </r>
  </si>
  <si>
    <r>
      <rPr>
        <sz val="8.5"/>
        <rFont val="Calibri"/>
        <family val="2"/>
      </rPr>
      <t>422,38</t>
    </r>
  </si>
  <si>
    <r>
      <rPr>
        <sz val="8.5"/>
        <rFont val="Calibri"/>
        <family val="2"/>
      </rPr>
      <t>Supressor de surto</t>
    </r>
  </si>
  <si>
    <r>
      <rPr>
        <sz val="8.5"/>
        <rFont val="Calibri"/>
        <family val="2"/>
      </rPr>
      <t>37.24.031</t>
    </r>
  </si>
  <si>
    <r>
      <rPr>
        <sz val="8.5"/>
        <rFont val="Calibri"/>
        <family val="2"/>
      </rPr>
      <t xml:space="preserve">Supressor de surto monofásico, Fase-Terra, In 4 a 11 kA, Imax. de surto
</t>
    </r>
    <r>
      <rPr>
        <sz val="8.5"/>
        <rFont val="Calibri"/>
        <family val="2"/>
      </rPr>
      <t>de 12 até 15 kA</t>
    </r>
  </si>
  <si>
    <r>
      <rPr>
        <sz val="8.5"/>
        <rFont val="Calibri"/>
        <family val="2"/>
      </rPr>
      <t>50,22</t>
    </r>
  </si>
  <si>
    <r>
      <rPr>
        <sz val="8.5"/>
        <rFont val="Calibri"/>
        <family val="2"/>
      </rPr>
      <t>20,85</t>
    </r>
  </si>
  <si>
    <r>
      <rPr>
        <sz val="8.5"/>
        <rFont val="Calibri"/>
        <family val="2"/>
      </rPr>
      <t>71,07</t>
    </r>
  </si>
  <si>
    <r>
      <rPr>
        <sz val="8.5"/>
        <rFont val="Calibri"/>
        <family val="2"/>
      </rPr>
      <t>37.24.032</t>
    </r>
  </si>
  <si>
    <r>
      <rPr>
        <sz val="8.5"/>
        <rFont val="Calibri"/>
        <family val="2"/>
      </rPr>
      <t xml:space="preserve">Supressor de surto monofásico, Fase-Terra, In &gt; ou = 20 kA, Imax. de
</t>
    </r>
    <r>
      <rPr>
        <sz val="8.5"/>
        <rFont val="Calibri"/>
        <family val="2"/>
      </rPr>
      <t>surto de 50 até 80 kA</t>
    </r>
  </si>
  <si>
    <r>
      <rPr>
        <sz val="8.5"/>
        <rFont val="Calibri"/>
        <family val="2"/>
      </rPr>
      <t>172,50</t>
    </r>
  </si>
  <si>
    <r>
      <rPr>
        <sz val="8.5"/>
        <rFont val="Calibri"/>
        <family val="2"/>
      </rPr>
      <t>193,35</t>
    </r>
  </si>
  <si>
    <r>
      <rPr>
        <sz val="8.5"/>
        <rFont val="Calibri"/>
        <family val="2"/>
      </rPr>
      <t>37.24.040</t>
    </r>
  </si>
  <si>
    <r>
      <rPr>
        <sz val="8.5"/>
        <rFont val="Calibri"/>
        <family val="2"/>
      </rPr>
      <t xml:space="preserve">Supressor de surto monofásico, Neutro-Terra, In &gt; ou = 20 kA, Imax. de
</t>
    </r>
    <r>
      <rPr>
        <sz val="8.5"/>
        <rFont val="Calibri"/>
        <family val="2"/>
      </rPr>
      <t>surto de 65 até 80 kA</t>
    </r>
  </si>
  <si>
    <r>
      <rPr>
        <sz val="8.5"/>
        <rFont val="Calibri"/>
        <family val="2"/>
      </rPr>
      <t>175,82</t>
    </r>
  </si>
  <si>
    <r>
      <rPr>
        <sz val="8.5"/>
        <rFont val="Calibri"/>
        <family val="2"/>
      </rPr>
      <t>196,67</t>
    </r>
  </si>
  <si>
    <r>
      <rPr>
        <sz val="8.5"/>
        <rFont val="Calibri"/>
        <family val="2"/>
      </rPr>
      <t>37.24.042</t>
    </r>
  </si>
  <si>
    <r>
      <rPr>
        <sz val="8.5"/>
        <rFont val="Calibri"/>
        <family val="2"/>
      </rPr>
      <t>Dispositivo de proteção contra surto, 1 polo, suportabilidade &lt;= 4 kV, Un até 240V/415V, Iimp = 60 kA, curva de ensaio 10/350µs - classe 1</t>
    </r>
  </si>
  <si>
    <r>
      <rPr>
        <sz val="8.5"/>
        <rFont val="Calibri"/>
        <family val="2"/>
      </rPr>
      <t>616,48</t>
    </r>
  </si>
  <si>
    <r>
      <rPr>
        <sz val="8.5"/>
        <rFont val="Calibri"/>
        <family val="2"/>
      </rPr>
      <t>23,30</t>
    </r>
  </si>
  <si>
    <r>
      <rPr>
        <sz val="8.5"/>
        <rFont val="Calibri"/>
        <family val="2"/>
      </rPr>
      <t>639,78</t>
    </r>
  </si>
  <si>
    <r>
      <rPr>
        <sz val="8.5"/>
        <rFont val="Calibri"/>
        <family val="2"/>
      </rPr>
      <t>37.24.043</t>
    </r>
  </si>
  <si>
    <r>
      <rPr>
        <sz val="8.5"/>
        <rFont val="Calibri"/>
        <family val="2"/>
      </rPr>
      <t>Dispositivo de proteção contra surto, 4 polos, 3F+N, Un até 240/415V, Iimp= 75 kA (25 kA por fase), curva de ensaio 10/350 µs - classe 1</t>
    </r>
  </si>
  <si>
    <r>
      <rPr>
        <sz val="8.5"/>
        <rFont val="Calibri"/>
        <family val="2"/>
      </rPr>
      <t>6.834,62</t>
    </r>
  </si>
  <si>
    <r>
      <rPr>
        <sz val="8.5"/>
        <rFont val="Calibri"/>
        <family val="2"/>
      </rPr>
      <t>6.857,92</t>
    </r>
  </si>
  <si>
    <r>
      <rPr>
        <sz val="8.5"/>
        <rFont val="Calibri"/>
        <family val="2"/>
      </rPr>
      <t>37.24.044</t>
    </r>
  </si>
  <si>
    <r>
      <rPr>
        <sz val="8.5"/>
        <rFont val="Calibri"/>
        <family val="2"/>
      </rPr>
      <t>Dispositivo de proteção contra surto, 4 polos, suportabilidade &lt;= 2,5 kV, 3F+N, Un até 240/415V, curva de ensaio 8/20µs, In=20kA/40kA - classe 2</t>
    </r>
  </si>
  <si>
    <r>
      <rPr>
        <sz val="8.5"/>
        <rFont val="Calibri"/>
        <family val="2"/>
      </rPr>
      <t>2.433,41</t>
    </r>
  </si>
  <si>
    <r>
      <rPr>
        <sz val="8.5"/>
        <rFont val="Calibri"/>
        <family val="2"/>
      </rPr>
      <t>2.456,71</t>
    </r>
  </si>
  <si>
    <r>
      <rPr>
        <sz val="8.5"/>
        <rFont val="Calibri"/>
        <family val="2"/>
      </rPr>
      <t>37.24.045</t>
    </r>
  </si>
  <si>
    <r>
      <rPr>
        <sz val="8.5"/>
        <rFont val="Calibri"/>
        <family val="2"/>
      </rPr>
      <t xml:space="preserve">Dispositivo de proteção contra surto, 1 polo, monobloco, suportabilidade &lt;=1,5kV, F+N / F+F, Un até 230/264V, curva de ensaio
</t>
    </r>
    <r>
      <rPr>
        <sz val="8.5"/>
        <rFont val="Calibri"/>
        <family val="2"/>
      </rPr>
      <t>8/20µs - classe 3</t>
    </r>
  </si>
  <si>
    <r>
      <rPr>
        <sz val="8.5"/>
        <rFont val="Calibri"/>
        <family val="2"/>
      </rPr>
      <t>819,40</t>
    </r>
  </si>
  <si>
    <r>
      <rPr>
        <sz val="8.5"/>
        <rFont val="Calibri"/>
        <family val="2"/>
      </rPr>
      <t>842,70</t>
    </r>
  </si>
  <si>
    <r>
      <rPr>
        <sz val="8.5"/>
        <rFont val="Calibri"/>
        <family val="2"/>
      </rPr>
      <t>Disjuntores.</t>
    </r>
  </si>
  <si>
    <r>
      <rPr>
        <sz val="8.5"/>
        <rFont val="Calibri"/>
        <family val="2"/>
      </rPr>
      <t>37.25.090</t>
    </r>
  </si>
  <si>
    <r>
      <rPr>
        <sz val="8.5"/>
        <rFont val="Calibri"/>
        <family val="2"/>
      </rPr>
      <t xml:space="preserve">Disjuntor em caixa moldada tripolar, térmico e magnético fixos, tensão
</t>
    </r>
    <r>
      <rPr>
        <sz val="8.5"/>
        <rFont val="Calibri"/>
        <family val="2"/>
      </rPr>
      <t>de isolamento 480/690V, de 10A a 60A</t>
    </r>
  </si>
  <si>
    <r>
      <rPr>
        <sz val="8.5"/>
        <rFont val="Calibri"/>
        <family val="2"/>
      </rPr>
      <t>501,47</t>
    </r>
  </si>
  <si>
    <r>
      <rPr>
        <sz val="8.5"/>
        <rFont val="Calibri"/>
        <family val="2"/>
      </rPr>
      <t>60,41</t>
    </r>
  </si>
  <si>
    <r>
      <rPr>
        <sz val="8.5"/>
        <rFont val="Calibri"/>
        <family val="2"/>
      </rPr>
      <t>561,88</t>
    </r>
  </si>
  <si>
    <r>
      <rPr>
        <sz val="8.5"/>
        <rFont val="Calibri"/>
        <family val="2"/>
      </rPr>
      <t>37.25.100</t>
    </r>
  </si>
  <si>
    <r>
      <rPr>
        <sz val="8.5"/>
        <rFont val="Calibri"/>
        <family val="2"/>
      </rPr>
      <t xml:space="preserve">Disjuntor em caixa moldada tripolar, térmico e magnético fixos, tensão
</t>
    </r>
    <r>
      <rPr>
        <sz val="8.5"/>
        <rFont val="Calibri"/>
        <family val="2"/>
      </rPr>
      <t>de isolamento 480/690V, de 70A até 150A</t>
    </r>
  </si>
  <si>
    <r>
      <rPr>
        <sz val="8.5"/>
        <rFont val="Calibri"/>
        <family val="2"/>
      </rPr>
      <t>465,43</t>
    </r>
  </si>
  <si>
    <r>
      <rPr>
        <sz val="8.5"/>
        <rFont val="Calibri"/>
        <family val="2"/>
      </rPr>
      <t>525,84</t>
    </r>
  </si>
  <si>
    <r>
      <rPr>
        <sz val="8.5"/>
        <rFont val="Calibri"/>
        <family val="2"/>
      </rPr>
      <t>37.25.110</t>
    </r>
  </si>
  <si>
    <r>
      <rPr>
        <sz val="8.5"/>
        <rFont val="Calibri"/>
        <family val="2"/>
      </rPr>
      <t xml:space="preserve">Disjuntor em caixa moldada tripolar, térmico e magnético fixos, tensão
</t>
    </r>
    <r>
      <rPr>
        <sz val="8.5"/>
        <rFont val="Calibri"/>
        <family val="2"/>
      </rPr>
      <t>de isolamento 415/690V, de 175A a 250A</t>
    </r>
  </si>
  <si>
    <r>
      <rPr>
        <sz val="8.5"/>
        <rFont val="Calibri"/>
        <family val="2"/>
      </rPr>
      <t>468,93</t>
    </r>
  </si>
  <si>
    <r>
      <rPr>
        <sz val="8.5"/>
        <rFont val="Calibri"/>
        <family val="2"/>
      </rPr>
      <t>529,34</t>
    </r>
  </si>
  <si>
    <r>
      <rPr>
        <sz val="8.5"/>
        <rFont val="Calibri"/>
        <family val="2"/>
      </rPr>
      <t>37.25.200</t>
    </r>
  </si>
  <si>
    <r>
      <rPr>
        <sz val="8.5"/>
        <rFont val="Calibri"/>
        <family val="2"/>
      </rPr>
      <t>Disjuntor em caixa moldada bipolar, térmico e magnético fixos - 480 V, de 10 A a 50 A para 120/240 Vca - 25 KA e para 380/440 Vca - 18 KA</t>
    </r>
  </si>
  <si>
    <r>
      <rPr>
        <sz val="8.5"/>
        <rFont val="Calibri"/>
        <family val="2"/>
      </rPr>
      <t>404,30</t>
    </r>
  </si>
  <si>
    <r>
      <rPr>
        <sz val="8.5"/>
        <rFont val="Calibri"/>
        <family val="2"/>
      </rPr>
      <t>464,71</t>
    </r>
  </si>
  <si>
    <r>
      <rPr>
        <sz val="8.5"/>
        <rFont val="Calibri"/>
        <family val="2"/>
      </rPr>
      <t>37.25.210</t>
    </r>
  </si>
  <si>
    <r>
      <rPr>
        <sz val="8.5"/>
        <rFont val="Calibri"/>
        <family val="2"/>
      </rPr>
      <t>Disjuntor em caixa moldada bipolar, térmico e magnético fixos - 600 V, de 150 A para 120/240 Vca - 25 KA e para 380/440 Vca - 18 KA</t>
    </r>
  </si>
  <si>
    <r>
      <rPr>
        <sz val="8.5"/>
        <rFont val="Calibri"/>
        <family val="2"/>
      </rPr>
      <t>668,34</t>
    </r>
  </si>
  <si>
    <r>
      <rPr>
        <sz val="8.5"/>
        <rFont val="Calibri"/>
        <family val="2"/>
      </rPr>
      <t>728,75</t>
    </r>
  </si>
  <si>
    <r>
      <rPr>
        <sz val="8.5"/>
        <rFont val="Calibri"/>
        <family val="2"/>
      </rPr>
      <t>37.25.215</t>
    </r>
  </si>
  <si>
    <r>
      <rPr>
        <sz val="8.5"/>
        <rFont val="Calibri"/>
        <family val="2"/>
      </rPr>
      <t xml:space="preserve">Disjuntor fixo a vácuo de 15 a 17,5 kV, equipado com motorização de
</t>
    </r>
    <r>
      <rPr>
        <sz val="8.5"/>
        <rFont val="Calibri"/>
        <family val="2"/>
      </rPr>
      <t>fechamento, com relê de proteção</t>
    </r>
  </si>
  <si>
    <r>
      <rPr>
        <sz val="8.5"/>
        <rFont val="Calibri"/>
        <family val="2"/>
      </rPr>
      <t>29.725,48</t>
    </r>
  </si>
  <si>
    <r>
      <rPr>
        <sz val="8.5"/>
        <rFont val="Calibri"/>
        <family val="2"/>
      </rPr>
      <t>29.809,91</t>
    </r>
  </si>
  <si>
    <r>
      <rPr>
        <sz val="8.5"/>
        <rFont val="Calibri"/>
        <family val="2"/>
      </rPr>
      <t>TUBULACAO E CONDUTOR PARA ENERGIA ELETRICA E TELEFONIA BASICA</t>
    </r>
  </si>
  <si>
    <r>
      <rPr>
        <sz val="8.5"/>
        <rFont val="Calibri"/>
        <family val="2"/>
      </rPr>
      <t>Eletroduto em PVC rigido roscavel</t>
    </r>
  </si>
  <si>
    <r>
      <rPr>
        <sz val="8.5"/>
        <rFont val="Calibri"/>
        <family val="2"/>
      </rPr>
      <t>38.01.040</t>
    </r>
  </si>
  <si>
    <r>
      <rPr>
        <sz val="8.5"/>
        <rFont val="Calibri"/>
        <family val="2"/>
      </rPr>
      <t>Eletroduto de PVC rígido roscável de 3/4´ - com acessórios</t>
    </r>
  </si>
  <si>
    <r>
      <rPr>
        <sz val="8.5"/>
        <rFont val="Calibri"/>
        <family val="2"/>
      </rPr>
      <t>5,80</t>
    </r>
  </si>
  <si>
    <r>
      <rPr>
        <sz val="8.5"/>
        <rFont val="Calibri"/>
        <family val="2"/>
      </rPr>
      <t>24,00</t>
    </r>
  </si>
  <si>
    <r>
      <rPr>
        <sz val="8.5"/>
        <rFont val="Calibri"/>
        <family val="2"/>
      </rPr>
      <t>38.01.060</t>
    </r>
  </si>
  <si>
    <r>
      <rPr>
        <sz val="8.5"/>
        <rFont val="Calibri"/>
        <family val="2"/>
      </rPr>
      <t>Eletroduto de PVC rígido roscável de 1´ - com acessórios</t>
    </r>
  </si>
  <si>
    <r>
      <rPr>
        <sz val="8.5"/>
        <rFont val="Calibri"/>
        <family val="2"/>
      </rPr>
      <t>30,30</t>
    </r>
  </si>
  <si>
    <r>
      <rPr>
        <sz val="8.5"/>
        <rFont val="Calibri"/>
        <family val="2"/>
      </rPr>
      <t>38.01.080</t>
    </r>
  </si>
  <si>
    <r>
      <rPr>
        <sz val="8.5"/>
        <rFont val="Calibri"/>
        <family val="2"/>
      </rPr>
      <t>Eletroduto de PVC rígido roscável de 1 1/4´ - com acessórios</t>
    </r>
  </si>
  <si>
    <r>
      <rPr>
        <sz val="8.5"/>
        <rFont val="Calibri"/>
        <family val="2"/>
      </rPr>
      <t>12,45</t>
    </r>
  </si>
  <si>
    <r>
      <rPr>
        <sz val="8.5"/>
        <rFont val="Calibri"/>
        <family val="2"/>
      </rPr>
      <t>25,47</t>
    </r>
  </si>
  <si>
    <r>
      <rPr>
        <sz val="8.5"/>
        <rFont val="Calibri"/>
        <family val="2"/>
      </rPr>
      <t>37,92</t>
    </r>
  </si>
  <si>
    <r>
      <rPr>
        <sz val="8.5"/>
        <rFont val="Calibri"/>
        <family val="2"/>
      </rPr>
      <t>38.01.100</t>
    </r>
  </si>
  <si>
    <r>
      <rPr>
        <sz val="8.5"/>
        <rFont val="Calibri"/>
        <family val="2"/>
      </rPr>
      <t>Eletroduto de PVC rígido roscável de 1 1/2´ - com acessórios</t>
    </r>
  </si>
  <si>
    <r>
      <rPr>
        <sz val="8.5"/>
        <rFont val="Calibri"/>
        <family val="2"/>
      </rPr>
      <t>15,44</t>
    </r>
  </si>
  <si>
    <r>
      <rPr>
        <sz val="8.5"/>
        <rFont val="Calibri"/>
        <family val="2"/>
      </rPr>
      <t>44,56</t>
    </r>
  </si>
  <si>
    <r>
      <rPr>
        <sz val="8.5"/>
        <rFont val="Calibri"/>
        <family val="2"/>
      </rPr>
      <t>38.01.120</t>
    </r>
  </si>
  <si>
    <r>
      <rPr>
        <sz val="8.5"/>
        <rFont val="Calibri"/>
        <family val="2"/>
      </rPr>
      <t>Eletroduto de PVC rígido roscável de 2´ - com acessórios</t>
    </r>
  </si>
  <si>
    <r>
      <rPr>
        <sz val="8.5"/>
        <rFont val="Calibri"/>
        <family val="2"/>
      </rPr>
      <t>53,09</t>
    </r>
  </si>
  <si>
    <r>
      <rPr>
        <sz val="8.5"/>
        <rFont val="Calibri"/>
        <family val="2"/>
      </rPr>
      <t>38.01.140</t>
    </r>
  </si>
  <si>
    <r>
      <rPr>
        <sz val="8.5"/>
        <rFont val="Calibri"/>
        <family val="2"/>
      </rPr>
      <t>Eletroduto de PVC rígido roscável de 2 1/2´ - com acessórios</t>
    </r>
  </si>
  <si>
    <r>
      <rPr>
        <sz val="8.5"/>
        <rFont val="Calibri"/>
        <family val="2"/>
      </rPr>
      <t>69,14</t>
    </r>
  </si>
  <si>
    <r>
      <rPr>
        <sz val="8.5"/>
        <rFont val="Calibri"/>
        <family val="2"/>
      </rPr>
      <t>38.01.160</t>
    </r>
  </si>
  <si>
    <r>
      <rPr>
        <sz val="8.5"/>
        <rFont val="Calibri"/>
        <family val="2"/>
      </rPr>
      <t>Eletroduto de PVC rígido roscável de 3´ - com acessórios</t>
    </r>
  </si>
  <si>
    <r>
      <rPr>
        <sz val="8.5"/>
        <rFont val="Calibri"/>
        <family val="2"/>
      </rPr>
      <t>42,00</t>
    </r>
  </si>
  <si>
    <r>
      <rPr>
        <sz val="8.5"/>
        <rFont val="Calibri"/>
        <family val="2"/>
      </rPr>
      <t>82,03</t>
    </r>
  </si>
  <si>
    <r>
      <rPr>
        <sz val="8.5"/>
        <rFont val="Calibri"/>
        <family val="2"/>
      </rPr>
      <t>38.01.180</t>
    </r>
  </si>
  <si>
    <r>
      <rPr>
        <sz val="8.5"/>
        <rFont val="Calibri"/>
        <family val="2"/>
      </rPr>
      <t>Eletroduto de PVC rígido roscável de 4´ - com acessórios</t>
    </r>
  </si>
  <si>
    <r>
      <rPr>
        <sz val="8.5"/>
        <rFont val="Calibri"/>
        <family val="2"/>
      </rPr>
      <t>71,29</t>
    </r>
  </si>
  <si>
    <r>
      <rPr>
        <sz val="8.5"/>
        <rFont val="Calibri"/>
        <family val="2"/>
      </rPr>
      <t>118,60</t>
    </r>
  </si>
  <si>
    <r>
      <rPr>
        <sz val="8.5"/>
        <rFont val="Calibri"/>
        <family val="2"/>
      </rPr>
      <t xml:space="preserve">Eletroduto rígido em aço carbono galvanizado com acessórios - NBR
</t>
    </r>
    <r>
      <rPr>
        <sz val="8.5"/>
        <rFont val="Calibri"/>
        <family val="2"/>
      </rPr>
      <t>13057</t>
    </r>
  </si>
  <si>
    <r>
      <rPr>
        <sz val="8.5"/>
        <rFont val="Calibri"/>
        <family val="2"/>
      </rPr>
      <t>38.04.040</t>
    </r>
  </si>
  <si>
    <r>
      <rPr>
        <sz val="8.5"/>
        <rFont val="Calibri"/>
        <family val="2"/>
      </rPr>
      <t>Eletroduto galvanizado conforme NBR13057 -  3/4´ com acessórios</t>
    </r>
  </si>
  <si>
    <r>
      <rPr>
        <sz val="8.5"/>
        <rFont val="Calibri"/>
        <family val="2"/>
      </rPr>
      <t>31,23</t>
    </r>
  </si>
  <si>
    <r>
      <rPr>
        <sz val="8.5"/>
        <rFont val="Calibri"/>
        <family val="2"/>
      </rPr>
      <t>38.04.060</t>
    </r>
  </si>
  <si>
    <r>
      <rPr>
        <sz val="8.5"/>
        <rFont val="Calibri"/>
        <family val="2"/>
      </rPr>
      <t>Eletroduto galvanizado conforme NBR13057 -  1´ com acessórios</t>
    </r>
  </si>
  <si>
    <r>
      <rPr>
        <sz val="8.5"/>
        <rFont val="Calibri"/>
        <family val="2"/>
      </rPr>
      <t>37,14</t>
    </r>
  </si>
  <si>
    <r>
      <rPr>
        <sz val="8.5"/>
        <rFont val="Calibri"/>
        <family val="2"/>
      </rPr>
      <t>38.04.080</t>
    </r>
  </si>
  <si>
    <r>
      <rPr>
        <sz val="8.5"/>
        <rFont val="Calibri"/>
        <family val="2"/>
      </rPr>
      <t>Eletroduto galvanizado conforme NBR13057 -  1 1/4´ com acessórios</t>
    </r>
  </si>
  <si>
    <r>
      <rPr>
        <sz val="8.5"/>
        <rFont val="Calibri"/>
        <family val="2"/>
      </rPr>
      <t>18,85</t>
    </r>
  </si>
  <si>
    <r>
      <rPr>
        <sz val="8.5"/>
        <rFont val="Calibri"/>
        <family val="2"/>
      </rPr>
      <t>47,97</t>
    </r>
  </si>
  <si>
    <r>
      <rPr>
        <sz val="8.5"/>
        <rFont val="Calibri"/>
        <family val="2"/>
      </rPr>
      <t>38.04.100</t>
    </r>
  </si>
  <si>
    <r>
      <rPr>
        <sz val="8.5"/>
        <rFont val="Calibri"/>
        <family val="2"/>
      </rPr>
      <t>Eletroduto galvanizado conforme NBR13057 -  1 1/2´ com acessórios</t>
    </r>
  </si>
  <si>
    <r>
      <rPr>
        <sz val="8.5"/>
        <rFont val="Calibri"/>
        <family val="2"/>
      </rPr>
      <t>22,64</t>
    </r>
  </si>
  <si>
    <r>
      <rPr>
        <sz val="8.5"/>
        <rFont val="Calibri"/>
        <family val="2"/>
      </rPr>
      <t>55,39</t>
    </r>
  </si>
  <si>
    <r>
      <rPr>
        <sz val="8.5"/>
        <rFont val="Calibri"/>
        <family val="2"/>
      </rPr>
      <t>38.04.120</t>
    </r>
  </si>
  <si>
    <r>
      <rPr>
        <sz val="8.5"/>
        <rFont val="Calibri"/>
        <family val="2"/>
      </rPr>
      <t>Eletroduto galvanizado conforme NBR13057 -  2´ com acessórios</t>
    </r>
  </si>
  <si>
    <r>
      <rPr>
        <sz val="8.5"/>
        <rFont val="Calibri"/>
        <family val="2"/>
      </rPr>
      <t>25,71</t>
    </r>
  </si>
  <si>
    <r>
      <rPr>
        <sz val="8.5"/>
        <rFont val="Calibri"/>
        <family val="2"/>
      </rPr>
      <t>62,10</t>
    </r>
  </si>
  <si>
    <r>
      <rPr>
        <sz val="8.5"/>
        <rFont val="Calibri"/>
        <family val="2"/>
      </rPr>
      <t>38.04.140</t>
    </r>
  </si>
  <si>
    <r>
      <rPr>
        <sz val="8.5"/>
        <rFont val="Calibri"/>
        <family val="2"/>
      </rPr>
      <t>Eletroduto galvanizado conforme NBR13057 -  2 1/2´ com acessórios</t>
    </r>
  </si>
  <si>
    <r>
      <rPr>
        <sz val="8.5"/>
        <rFont val="Calibri"/>
        <family val="2"/>
      </rPr>
      <t>45,34</t>
    </r>
  </si>
  <si>
    <r>
      <rPr>
        <sz val="8.5"/>
        <rFont val="Calibri"/>
        <family val="2"/>
      </rPr>
      <t>89,00</t>
    </r>
  </si>
  <si>
    <r>
      <rPr>
        <sz val="8.5"/>
        <rFont val="Calibri"/>
        <family val="2"/>
      </rPr>
      <t>38.04.160</t>
    </r>
  </si>
  <si>
    <r>
      <rPr>
        <sz val="8.5"/>
        <rFont val="Calibri"/>
        <family val="2"/>
      </rPr>
      <t>Eletroduto galvanizado conforme NBR13057 -  3´ com acessórios</t>
    </r>
  </si>
  <si>
    <r>
      <rPr>
        <sz val="8.5"/>
        <rFont val="Calibri"/>
        <family val="2"/>
      </rPr>
      <t>59,19</t>
    </r>
  </si>
  <si>
    <r>
      <rPr>
        <sz val="8.5"/>
        <rFont val="Calibri"/>
        <family val="2"/>
      </rPr>
      <t>113,78</t>
    </r>
  </si>
  <si>
    <r>
      <rPr>
        <sz val="8.5"/>
        <rFont val="Calibri"/>
        <family val="2"/>
      </rPr>
      <t>38.04.180</t>
    </r>
  </si>
  <si>
    <r>
      <rPr>
        <sz val="8.5"/>
        <rFont val="Calibri"/>
        <family val="2"/>
      </rPr>
      <t>Eletroduto galvanizado conforme NBR13057 -  4´ com acessórios</t>
    </r>
  </si>
  <si>
    <r>
      <rPr>
        <sz val="8.5"/>
        <rFont val="Calibri"/>
        <family val="2"/>
      </rPr>
      <t>89,37</t>
    </r>
  </si>
  <si>
    <r>
      <rPr>
        <sz val="8.5"/>
        <rFont val="Calibri"/>
        <family val="2"/>
      </rPr>
      <t>154,88</t>
    </r>
  </si>
  <si>
    <r>
      <rPr>
        <sz val="8.5"/>
        <rFont val="Calibri"/>
        <family val="2"/>
      </rPr>
      <t>Eletroduto rígido em aço carbono galvanizado com acessórios - NBR 6323</t>
    </r>
  </si>
  <si>
    <r>
      <rPr>
        <sz val="8.5"/>
        <rFont val="Calibri"/>
        <family val="2"/>
      </rPr>
      <t>38.05.040</t>
    </r>
  </si>
  <si>
    <r>
      <rPr>
        <sz val="8.5"/>
        <rFont val="Calibri"/>
        <family val="2"/>
      </rPr>
      <t xml:space="preserve">Eletroduto galvanizado a quente conforme NBR6323 - 3/4´ -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</si>
  <si>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19,44</t>
    </r>
  </si>
  <si>
    <r>
      <rPr>
        <sz val="8.5"/>
        <rFont val="Calibri"/>
        <family val="2"/>
      </rPr>
      <t>41,27</t>
    </r>
  </si>
  <si>
    <r>
      <rPr>
        <sz val="8.5"/>
        <rFont val="Calibri"/>
        <family val="2"/>
      </rPr>
      <t>38.05.060</t>
    </r>
  </si>
  <si>
    <r>
      <rPr>
        <sz val="8.5"/>
        <rFont val="Calibri"/>
        <family val="2"/>
      </rPr>
      <t>Eletroduto galvanizado a quente conforme NBR6323 - 1´ - com acessórios</t>
    </r>
  </si>
  <si>
    <r>
      <rPr>
        <sz val="8.5"/>
        <rFont val="Calibri"/>
        <family val="2"/>
      </rPr>
      <t>20,17</t>
    </r>
  </si>
  <si>
    <r>
      <rPr>
        <sz val="8.5"/>
        <rFont val="Calibri"/>
        <family val="2"/>
      </rPr>
      <t>45,64</t>
    </r>
  </si>
  <si>
    <r>
      <rPr>
        <sz val="8.5"/>
        <rFont val="Calibri"/>
        <family val="2"/>
      </rPr>
      <t>38.05.090</t>
    </r>
  </si>
  <si>
    <r>
      <rPr>
        <sz val="8.5"/>
        <rFont val="Calibri"/>
        <family val="2"/>
      </rPr>
      <t xml:space="preserve">Eletroduto galvanizado a quente conforme NBR6323 - 1 1/4´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</si>
  <si>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34,79</t>
    </r>
  </si>
  <si>
    <r>
      <rPr>
        <sz val="8.5"/>
        <rFont val="Calibri"/>
        <family val="2"/>
      </rPr>
      <t>63,91</t>
    </r>
  </si>
  <si>
    <r>
      <rPr>
        <sz val="8.5"/>
        <rFont val="Calibri"/>
        <family val="2"/>
      </rPr>
      <t>38.05.100</t>
    </r>
  </si>
  <si>
    <r>
      <rPr>
        <sz val="8.5"/>
        <rFont val="Calibri"/>
        <family val="2"/>
      </rPr>
      <t xml:space="preserve">Eletroduto galvanizado a quente conforme NBR6323 - 1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</si>
  <si>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41,11</t>
    </r>
  </si>
  <si>
    <r>
      <rPr>
        <sz val="8.5"/>
        <rFont val="Calibri"/>
        <family val="2"/>
      </rPr>
      <t>73,86</t>
    </r>
  </si>
  <si>
    <r>
      <rPr>
        <sz val="8.5"/>
        <rFont val="Calibri"/>
        <family val="2"/>
      </rPr>
      <t>38.05.120</t>
    </r>
  </si>
  <si>
    <r>
      <rPr>
        <sz val="8.5"/>
        <rFont val="Calibri"/>
        <family val="2"/>
      </rPr>
      <t>Eletroduto galvanizado a quente conforme NBR6323 - 2´ com acessórios</t>
    </r>
  </si>
  <si>
    <r>
      <rPr>
        <sz val="8.5"/>
        <rFont val="Calibri"/>
        <family val="2"/>
      </rPr>
      <t>50,25</t>
    </r>
  </si>
  <si>
    <r>
      <rPr>
        <sz val="8.5"/>
        <rFont val="Calibri"/>
        <family val="2"/>
      </rPr>
      <t>86,64</t>
    </r>
  </si>
  <si>
    <r>
      <rPr>
        <sz val="8.5"/>
        <rFont val="Calibri"/>
        <family val="2"/>
      </rPr>
      <t>38.05.140</t>
    </r>
  </si>
  <si>
    <r>
      <rPr>
        <sz val="8.5"/>
        <rFont val="Calibri"/>
        <family val="2"/>
      </rPr>
      <t xml:space="preserve">Eletroduto galvanizado a quente conforme NBR6323 - 2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</si>
  <si>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75,59</t>
    </r>
  </si>
  <si>
    <r>
      <rPr>
        <sz val="8.5"/>
        <rFont val="Calibri"/>
        <family val="2"/>
      </rPr>
      <t>119,25</t>
    </r>
  </si>
  <si>
    <r>
      <rPr>
        <sz val="8.5"/>
        <rFont val="Calibri"/>
        <family val="2"/>
      </rPr>
      <t>38.05.160</t>
    </r>
  </si>
  <si>
    <r>
      <rPr>
        <sz val="8.5"/>
        <rFont val="Calibri"/>
        <family val="2"/>
      </rPr>
      <t>Eletroduto galvanizado a quente conforme NBR6323 - 3´ com acessórios</t>
    </r>
  </si>
  <si>
    <r>
      <rPr>
        <sz val="8.5"/>
        <rFont val="Calibri"/>
        <family val="2"/>
      </rPr>
      <t>85,89</t>
    </r>
  </si>
  <si>
    <r>
      <rPr>
        <sz val="8.5"/>
        <rFont val="Calibri"/>
        <family val="2"/>
      </rPr>
      <t>140,48</t>
    </r>
  </si>
  <si>
    <r>
      <rPr>
        <sz val="8.5"/>
        <rFont val="Calibri"/>
        <family val="2"/>
      </rPr>
      <t>38.05.180</t>
    </r>
  </si>
  <si>
    <r>
      <rPr>
        <sz val="8.5"/>
        <rFont val="Calibri"/>
        <family val="2"/>
      </rPr>
      <t>Eletroduto galvanizado a quente conforme NBR6323 - 4´ com acessórios</t>
    </r>
  </si>
  <si>
    <r>
      <rPr>
        <sz val="8.5"/>
        <rFont val="Calibri"/>
        <family val="2"/>
      </rPr>
      <t>123,13</t>
    </r>
  </si>
  <si>
    <r>
      <rPr>
        <sz val="8.5"/>
        <rFont val="Calibri"/>
        <family val="2"/>
      </rPr>
      <t>188,64</t>
    </r>
  </si>
  <si>
    <r>
      <rPr>
        <sz val="8.5"/>
        <rFont val="Calibri"/>
        <family val="2"/>
      </rPr>
      <t xml:space="preserve">Eletroduto rígido em aço carbono galvanizado por imersão a quente com
</t>
    </r>
    <r>
      <rPr>
        <sz val="8.5"/>
        <rFont val="Calibri"/>
        <family val="2"/>
      </rPr>
      <t>acessórios – NBR 5598</t>
    </r>
  </si>
  <si>
    <r>
      <rPr>
        <sz val="8.5"/>
        <rFont val="Calibri"/>
        <family val="2"/>
      </rPr>
      <t>38.06.020</t>
    </r>
  </si>
  <si>
    <r>
      <rPr>
        <sz val="8.5"/>
        <rFont val="Calibri"/>
        <family val="2"/>
      </rPr>
      <t xml:space="preserve">Eletroduto galvanizado a quente conforme NBR5598 - 1/2´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</si>
  <si>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38.06.040</t>
    </r>
  </si>
  <si>
    <r>
      <rPr>
        <sz val="8.5"/>
        <rFont val="Calibri"/>
        <family val="2"/>
      </rPr>
      <t xml:space="preserve">Eletroduto galvanizado a quente conforme NBR5598 - 3/4´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</si>
  <si>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17,31</t>
    </r>
  </si>
  <si>
    <r>
      <rPr>
        <sz val="8.5"/>
        <rFont val="Calibri"/>
        <family val="2"/>
      </rPr>
      <t>39,14</t>
    </r>
  </si>
  <si>
    <r>
      <rPr>
        <sz val="8.5"/>
        <rFont val="Calibri"/>
        <family val="2"/>
      </rPr>
      <t>38.06.060</t>
    </r>
  </si>
  <si>
    <r>
      <rPr>
        <sz val="8.5"/>
        <rFont val="Calibri"/>
        <family val="2"/>
      </rPr>
      <t>Eletroduto galvanizado a quente conforme NBR5598 - 1´ com acessórios</t>
    </r>
  </si>
  <si>
    <r>
      <rPr>
        <sz val="8.5"/>
        <rFont val="Calibri"/>
        <family val="2"/>
      </rPr>
      <t>47,29</t>
    </r>
  </si>
  <si>
    <r>
      <rPr>
        <sz val="8.5"/>
        <rFont val="Calibri"/>
        <family val="2"/>
      </rPr>
      <t>38.06.080</t>
    </r>
  </si>
  <si>
    <r>
      <rPr>
        <sz val="8.5"/>
        <rFont val="Calibri"/>
        <family val="2"/>
      </rPr>
      <t xml:space="preserve">Eletroduto galvanizado a quente conforme NBR5598 - 1 1/4´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</si>
  <si>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33,09</t>
    </r>
  </si>
  <si>
    <r>
      <rPr>
        <sz val="8.5"/>
        <rFont val="Calibri"/>
        <family val="2"/>
      </rPr>
      <t>38.06.100</t>
    </r>
  </si>
  <si>
    <r>
      <rPr>
        <sz val="8.5"/>
        <rFont val="Calibri"/>
        <family val="2"/>
      </rPr>
      <t xml:space="preserve">Eletroduto galvanizado a quente conforme NBR5598 - 1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</si>
  <si>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39,95</t>
    </r>
  </si>
  <si>
    <r>
      <rPr>
        <sz val="8.5"/>
        <rFont val="Calibri"/>
        <family val="2"/>
      </rPr>
      <t>72,70</t>
    </r>
  </si>
  <si>
    <r>
      <rPr>
        <sz val="8.5"/>
        <rFont val="Calibri"/>
        <family val="2"/>
      </rPr>
      <t>38.06.120</t>
    </r>
  </si>
  <si>
    <r>
      <rPr>
        <sz val="8.5"/>
        <rFont val="Calibri"/>
        <family val="2"/>
      </rPr>
      <t>Eletroduto galvanizado a quente conforme NBR5598 - 2´ com acessórios</t>
    </r>
  </si>
  <si>
    <r>
      <rPr>
        <sz val="8.5"/>
        <rFont val="Calibri"/>
        <family val="2"/>
      </rPr>
      <t>50,75</t>
    </r>
  </si>
  <si>
    <r>
      <rPr>
        <sz val="8.5"/>
        <rFont val="Calibri"/>
        <family val="2"/>
      </rPr>
      <t>87,14</t>
    </r>
  </si>
  <si>
    <r>
      <rPr>
        <sz val="8.5"/>
        <rFont val="Calibri"/>
        <family val="2"/>
      </rPr>
      <t>38.06.140</t>
    </r>
  </si>
  <si>
    <r>
      <rPr>
        <sz val="8.5"/>
        <rFont val="Calibri"/>
        <family val="2"/>
      </rPr>
      <t xml:space="preserve">Eletroduto galvanizado a quente conforme NBR5598 - 2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</si>
  <si>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113,85</t>
    </r>
  </si>
  <si>
    <r>
      <rPr>
        <sz val="8.5"/>
        <rFont val="Calibri"/>
        <family val="2"/>
      </rPr>
      <t>38.06.160</t>
    </r>
  </si>
  <si>
    <r>
      <rPr>
        <sz val="8.5"/>
        <rFont val="Calibri"/>
        <family val="2"/>
      </rPr>
      <t>Eletroduto galvanizado a quente conforme NBR5598 - 3´ com acessórios</t>
    </r>
  </si>
  <si>
    <r>
      <rPr>
        <sz val="8.5"/>
        <rFont val="Calibri"/>
        <family val="2"/>
      </rPr>
      <t>80,82</t>
    </r>
  </si>
  <si>
    <r>
      <rPr>
        <sz val="8.5"/>
        <rFont val="Calibri"/>
        <family val="2"/>
      </rPr>
      <t>135,41</t>
    </r>
  </si>
  <si>
    <r>
      <rPr>
        <sz val="8.5"/>
        <rFont val="Calibri"/>
        <family val="2"/>
      </rPr>
      <t>38.06.180</t>
    </r>
  </si>
  <si>
    <r>
      <rPr>
        <sz val="8.5"/>
        <rFont val="Calibri"/>
        <family val="2"/>
      </rPr>
      <t>Eletroduto galvanizado a quente conforme NBR5598 - 4´ com acessórios</t>
    </r>
  </si>
  <si>
    <r>
      <rPr>
        <sz val="8.5"/>
        <rFont val="Calibri"/>
        <family val="2"/>
      </rPr>
      <t>117,25</t>
    </r>
  </si>
  <si>
    <r>
      <rPr>
        <sz val="8.5"/>
        <rFont val="Calibri"/>
        <family val="2"/>
      </rPr>
      <t>182,76</t>
    </r>
  </si>
  <si>
    <r>
      <rPr>
        <sz val="8.5"/>
        <rFont val="Calibri"/>
        <family val="2"/>
      </rPr>
      <t>Canaleta, perfilado e acessorios</t>
    </r>
  </si>
  <si>
    <r>
      <rPr>
        <sz val="8.5"/>
        <rFont val="Calibri"/>
        <family val="2"/>
      </rPr>
      <t>38.07.030</t>
    </r>
  </si>
  <si>
    <r>
      <rPr>
        <sz val="8.5"/>
        <rFont val="Calibri"/>
        <family val="2"/>
      </rPr>
      <t>Grampo tipo ´C´ diâmetro 3/8`, com balancim tamanho grande</t>
    </r>
  </si>
  <si>
    <r>
      <rPr>
        <sz val="8.5"/>
        <rFont val="Calibri"/>
        <family val="2"/>
      </rPr>
      <t>16,56</t>
    </r>
  </si>
  <si>
    <r>
      <rPr>
        <sz val="8.5"/>
        <rFont val="Calibri"/>
        <family val="2"/>
      </rPr>
      <t>38.07.050</t>
    </r>
  </si>
  <si>
    <r>
      <rPr>
        <sz val="8.5"/>
        <rFont val="Calibri"/>
        <family val="2"/>
      </rPr>
      <t>Tampa de pressão para perfilado de 38 x 38 mm</t>
    </r>
  </si>
  <si>
    <r>
      <rPr>
        <sz val="8.5"/>
        <rFont val="Calibri"/>
        <family val="2"/>
      </rPr>
      <t>5,82</t>
    </r>
  </si>
  <si>
    <r>
      <rPr>
        <sz val="8.5"/>
        <rFont val="Calibri"/>
        <family val="2"/>
      </rPr>
      <t>38.07.120</t>
    </r>
  </si>
  <si>
    <r>
      <rPr>
        <sz val="8.5"/>
        <rFont val="Calibri"/>
        <family val="2"/>
      </rPr>
      <t>Saída final, diâmetro de 3/4´</t>
    </r>
  </si>
  <si>
    <r>
      <rPr>
        <sz val="8.5"/>
        <rFont val="Calibri"/>
        <family val="2"/>
      </rPr>
      <t>1,07</t>
    </r>
  </si>
  <si>
    <r>
      <rPr>
        <sz val="8.5"/>
        <rFont val="Calibri"/>
        <family val="2"/>
      </rPr>
      <t>38.07.130</t>
    </r>
  </si>
  <si>
    <r>
      <rPr>
        <sz val="8.5"/>
        <rFont val="Calibri"/>
        <family val="2"/>
      </rPr>
      <t>Saída lateral simples, diâmetro de 3/4´</t>
    </r>
  </si>
  <si>
    <r>
      <rPr>
        <sz val="8.5"/>
        <rFont val="Calibri"/>
        <family val="2"/>
      </rPr>
      <t>2,33</t>
    </r>
  </si>
  <si>
    <r>
      <rPr>
        <sz val="8.5"/>
        <rFont val="Calibri"/>
        <family val="2"/>
      </rPr>
      <t>8,88</t>
    </r>
  </si>
  <si>
    <r>
      <rPr>
        <sz val="8.5"/>
        <rFont val="Calibri"/>
        <family val="2"/>
      </rPr>
      <t>38.07.134</t>
    </r>
  </si>
  <si>
    <r>
      <rPr>
        <sz val="8.5"/>
        <rFont val="Calibri"/>
        <family val="2"/>
      </rPr>
      <t>Saída lateral simples, diâmetro de 1´</t>
    </r>
  </si>
  <si>
    <r>
      <rPr>
        <sz val="8.5"/>
        <rFont val="Calibri"/>
        <family val="2"/>
      </rPr>
      <t>8,62</t>
    </r>
  </si>
  <si>
    <r>
      <rPr>
        <sz val="8.5"/>
        <rFont val="Calibri"/>
        <family val="2"/>
      </rPr>
      <t>38.07.140</t>
    </r>
  </si>
  <si>
    <r>
      <rPr>
        <sz val="8.5"/>
        <rFont val="Calibri"/>
        <family val="2"/>
      </rPr>
      <t>Saída superior, diâmetro de 3/4´</t>
    </r>
  </si>
  <si>
    <r>
      <rPr>
        <sz val="8.5"/>
        <rFont val="Calibri"/>
        <family val="2"/>
      </rPr>
      <t>38.07.172</t>
    </r>
  </si>
  <si>
    <r>
      <rPr>
        <sz val="8.5"/>
        <rFont val="Calibri"/>
        <family val="2"/>
      </rPr>
      <t>Canaleta em PVC de 20 x 12 mm, inclusive acessórios</t>
    </r>
  </si>
  <si>
    <r>
      <rPr>
        <sz val="8.5"/>
        <rFont val="Calibri"/>
        <family val="2"/>
      </rPr>
      <t>15,58</t>
    </r>
  </si>
  <si>
    <r>
      <rPr>
        <sz val="8.5"/>
        <rFont val="Calibri"/>
        <family val="2"/>
      </rPr>
      <t>38.07.200</t>
    </r>
  </si>
  <si>
    <r>
      <rPr>
        <sz val="8.5"/>
        <rFont val="Calibri"/>
        <family val="2"/>
      </rPr>
      <t>Vergalhão com rosca, porca e arruela de diâmetro 3/8´ (tirante)</t>
    </r>
  </si>
  <si>
    <r>
      <rPr>
        <sz val="8.5"/>
        <rFont val="Calibri"/>
        <family val="2"/>
      </rPr>
      <t>5,09</t>
    </r>
  </si>
  <si>
    <r>
      <rPr>
        <sz val="8.5"/>
        <rFont val="Calibri"/>
        <family val="2"/>
      </rPr>
      <t>13,91</t>
    </r>
  </si>
  <si>
    <r>
      <rPr>
        <sz val="8.5"/>
        <rFont val="Calibri"/>
        <family val="2"/>
      </rPr>
      <t>38.07.210</t>
    </r>
  </si>
  <si>
    <r>
      <rPr>
        <sz val="8.5"/>
        <rFont val="Calibri"/>
        <family val="2"/>
      </rPr>
      <t>Vergalhão com rosca, porca e arruela de diâmetro 1/4´ (tirante)</t>
    </r>
  </si>
  <si>
    <r>
      <rPr>
        <sz val="8.5"/>
        <rFont val="Calibri"/>
        <family val="2"/>
      </rPr>
      <t>4,52</t>
    </r>
  </si>
  <si>
    <r>
      <rPr>
        <sz val="8.5"/>
        <rFont val="Calibri"/>
        <family val="2"/>
      </rPr>
      <t>9,61</t>
    </r>
  </si>
  <si>
    <r>
      <rPr>
        <sz val="8.5"/>
        <rFont val="Calibri"/>
        <family val="2"/>
      </rPr>
      <t>38.07.216</t>
    </r>
  </si>
  <si>
    <r>
      <rPr>
        <sz val="8.5"/>
        <rFont val="Calibri"/>
        <family val="2"/>
      </rPr>
      <t>Vergalhão com rosca, porca e arruela de diâmetro 5/16´ (tirante)</t>
    </r>
  </si>
  <si>
    <r>
      <rPr>
        <sz val="8.5"/>
        <rFont val="Calibri"/>
        <family val="2"/>
      </rPr>
      <t>6,69</t>
    </r>
  </si>
  <si>
    <r>
      <rPr>
        <sz val="8.5"/>
        <rFont val="Calibri"/>
        <family val="2"/>
      </rPr>
      <t>38.07.300</t>
    </r>
  </si>
  <si>
    <r>
      <rPr>
        <sz val="8.5"/>
        <rFont val="Calibri"/>
        <family val="2"/>
      </rPr>
      <t>Perfilado perfurado 38 x 38 mm em chapa 14 pré-zincada, com acessórios</t>
    </r>
  </si>
  <si>
    <r>
      <rPr>
        <sz val="8.5"/>
        <rFont val="Calibri"/>
        <family val="2"/>
      </rPr>
      <t>35,86</t>
    </r>
  </si>
  <si>
    <r>
      <rPr>
        <sz val="8.5"/>
        <rFont val="Calibri"/>
        <family val="2"/>
      </rPr>
      <t>44,96</t>
    </r>
  </si>
  <si>
    <r>
      <rPr>
        <sz val="8.5"/>
        <rFont val="Calibri"/>
        <family val="2"/>
      </rPr>
      <t>38.07.310</t>
    </r>
  </si>
  <si>
    <r>
      <rPr>
        <sz val="8.5"/>
        <rFont val="Calibri"/>
        <family val="2"/>
      </rPr>
      <t>Perfilado perfurado 38 x 76 mm em chapa 14 pré-zincada, com acessórios</t>
    </r>
  </si>
  <si>
    <r>
      <rPr>
        <sz val="8.5"/>
        <rFont val="Calibri"/>
        <family val="2"/>
      </rPr>
      <t>67,63</t>
    </r>
  </si>
  <si>
    <r>
      <rPr>
        <sz val="8.5"/>
        <rFont val="Calibri"/>
        <family val="2"/>
      </rPr>
      <t>76,73</t>
    </r>
  </si>
  <si>
    <r>
      <rPr>
        <sz val="8.5"/>
        <rFont val="Calibri"/>
        <family val="2"/>
      </rPr>
      <t>38.07.340</t>
    </r>
  </si>
  <si>
    <r>
      <rPr>
        <sz val="8.5"/>
        <rFont val="Calibri"/>
        <family val="2"/>
      </rPr>
      <t>Perfilado liso 38 x 38 mm - com acessórios</t>
    </r>
  </si>
  <si>
    <r>
      <rPr>
        <sz val="8.5"/>
        <rFont val="Calibri"/>
        <family val="2"/>
      </rPr>
      <t>36,18</t>
    </r>
  </si>
  <si>
    <r>
      <rPr>
        <sz val="8.5"/>
        <rFont val="Calibri"/>
        <family val="2"/>
      </rPr>
      <t>45,28</t>
    </r>
  </si>
  <si>
    <r>
      <rPr>
        <sz val="8.5"/>
        <rFont val="Calibri"/>
        <family val="2"/>
      </rPr>
      <t>38.07.700</t>
    </r>
  </si>
  <si>
    <r>
      <rPr>
        <sz val="8.5"/>
        <rFont val="Calibri"/>
        <family val="2"/>
      </rPr>
      <t xml:space="preserve">Canaleta aparente com tampa em PVC, autoextinguível, de 85 x 35 mm,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</si>
  <si>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65,34</t>
    </r>
  </si>
  <si>
    <r>
      <rPr>
        <sz val="8.5"/>
        <rFont val="Calibri"/>
        <family val="2"/>
      </rPr>
      <t>76,26</t>
    </r>
  </si>
  <si>
    <r>
      <rPr>
        <sz val="8.5"/>
        <rFont val="Calibri"/>
        <family val="2"/>
      </rPr>
      <t>38.07.710</t>
    </r>
  </si>
  <si>
    <r>
      <rPr>
        <sz val="8.5"/>
        <rFont val="Calibri"/>
        <family val="2"/>
      </rPr>
      <t xml:space="preserve">Canaleta aparente com duas tampas em PVC, autoextinguível, de 120 x
</t>
    </r>
    <r>
      <rPr>
        <sz val="8.5"/>
        <rFont val="Calibri"/>
        <family val="2"/>
      </rPr>
      <t>35 mm, com acessórios</t>
    </r>
  </si>
  <si>
    <r>
      <rPr>
        <sz val="8.5"/>
        <rFont val="Calibri"/>
        <family val="2"/>
      </rPr>
      <t>94,67</t>
    </r>
  </si>
  <si>
    <r>
      <rPr>
        <sz val="8.5"/>
        <rFont val="Calibri"/>
        <family val="2"/>
      </rPr>
      <t>107,40</t>
    </r>
  </si>
  <si>
    <r>
      <rPr>
        <sz val="8.5"/>
        <rFont val="Calibri"/>
        <family val="2"/>
      </rPr>
      <t>38.07.720</t>
    </r>
  </si>
  <si>
    <r>
      <rPr>
        <sz val="8.5"/>
        <rFont val="Calibri"/>
        <family val="2"/>
      </rPr>
      <t xml:space="preserve">Canaleta aparente com duas tampas em PVC, autoextinguível, de 120 x
</t>
    </r>
    <r>
      <rPr>
        <sz val="8.5"/>
        <rFont val="Calibri"/>
        <family val="2"/>
      </rPr>
      <t>60 mm, com acessórios</t>
    </r>
  </si>
  <si>
    <r>
      <rPr>
        <sz val="8.5"/>
        <rFont val="Calibri"/>
        <family val="2"/>
      </rPr>
      <t>119,60</t>
    </r>
  </si>
  <si>
    <r>
      <rPr>
        <sz val="8.5"/>
        <rFont val="Calibri"/>
        <family val="2"/>
      </rPr>
      <t>134,16</t>
    </r>
  </si>
  <si>
    <r>
      <rPr>
        <sz val="8.5"/>
        <rFont val="Calibri"/>
        <family val="2"/>
      </rPr>
      <t>38.07.730</t>
    </r>
  </si>
  <si>
    <r>
      <rPr>
        <sz val="8.5"/>
        <rFont val="Calibri"/>
        <family val="2"/>
      </rPr>
      <t xml:space="preserve">Suporte com furos de tomada em PVC de 60 x 35 x 150 mm, para
</t>
    </r>
    <r>
      <rPr>
        <sz val="8.5"/>
        <rFont val="Calibri"/>
        <family val="2"/>
      </rPr>
      <t>canaleta aparente</t>
    </r>
  </si>
  <si>
    <r>
      <rPr>
        <sz val="8.5"/>
        <rFont val="Calibri"/>
        <family val="2"/>
      </rPr>
      <t>9,84</t>
    </r>
  </si>
  <si>
    <r>
      <rPr>
        <sz val="8.5"/>
        <rFont val="Calibri"/>
        <family val="2"/>
      </rPr>
      <t>11,29</t>
    </r>
  </si>
  <si>
    <r>
      <rPr>
        <sz val="8.5"/>
        <rFont val="Calibri"/>
        <family val="2"/>
      </rPr>
      <t>38.07.740</t>
    </r>
  </si>
  <si>
    <r>
      <rPr>
        <sz val="8.5"/>
        <rFont val="Calibri"/>
        <family val="2"/>
      </rPr>
      <t xml:space="preserve">Suporte com furos de tomada em PVC de 85 x 35 x 150 mm, para
</t>
    </r>
    <r>
      <rPr>
        <sz val="8.5"/>
        <rFont val="Calibri"/>
        <family val="2"/>
      </rPr>
      <t>canaleta aparente</t>
    </r>
  </si>
  <si>
    <r>
      <rPr>
        <sz val="8.5"/>
        <rFont val="Calibri"/>
        <family val="2"/>
      </rPr>
      <t>10,96</t>
    </r>
  </si>
  <si>
    <r>
      <rPr>
        <sz val="8.5"/>
        <rFont val="Calibri"/>
        <family val="2"/>
      </rPr>
      <t>12,41</t>
    </r>
  </si>
  <si>
    <r>
      <rPr>
        <sz val="8.5"/>
        <rFont val="Calibri"/>
        <family val="2"/>
      </rPr>
      <t>38.07.750</t>
    </r>
  </si>
  <si>
    <r>
      <rPr>
        <sz val="8.5"/>
        <rFont val="Calibri"/>
        <family val="2"/>
      </rPr>
      <t xml:space="preserve">Suporte com furos de tomada em PVC de 60 x 60 x 150 mm, para
</t>
    </r>
    <r>
      <rPr>
        <sz val="8.5"/>
        <rFont val="Calibri"/>
        <family val="2"/>
      </rPr>
      <t>canaleta aparente</t>
    </r>
  </si>
  <si>
    <r>
      <rPr>
        <sz val="8.5"/>
        <rFont val="Calibri"/>
        <family val="2"/>
      </rPr>
      <t>10,89</t>
    </r>
  </si>
  <si>
    <r>
      <rPr>
        <sz val="8.5"/>
        <rFont val="Calibri"/>
        <family val="2"/>
      </rPr>
      <t>12,34</t>
    </r>
  </si>
  <si>
    <r>
      <rPr>
        <sz val="8.5"/>
        <rFont val="Calibri"/>
        <family val="2"/>
      </rPr>
      <t>Duto fechado de piso e acessorios</t>
    </r>
  </si>
  <si>
    <r>
      <rPr>
        <sz val="8.5"/>
        <rFont val="Calibri"/>
        <family val="2"/>
      </rPr>
      <t>38.10.010</t>
    </r>
  </si>
  <si>
    <r>
      <rPr>
        <sz val="8.5"/>
        <rFont val="Calibri"/>
        <family val="2"/>
      </rPr>
      <t>Duto de piso liso em aço, medindo 2 x 25 x 70 mm, com acessórios</t>
    </r>
  </si>
  <si>
    <r>
      <rPr>
        <sz val="8.5"/>
        <rFont val="Calibri"/>
        <family val="2"/>
      </rPr>
      <t>42,74</t>
    </r>
  </si>
  <si>
    <r>
      <rPr>
        <sz val="8.5"/>
        <rFont val="Calibri"/>
        <family val="2"/>
      </rPr>
      <t>53,66</t>
    </r>
  </si>
  <si>
    <r>
      <rPr>
        <sz val="8.5"/>
        <rFont val="Calibri"/>
        <family val="2"/>
      </rPr>
      <t>38.10.020</t>
    </r>
  </si>
  <si>
    <r>
      <rPr>
        <sz val="8.5"/>
        <rFont val="Calibri"/>
        <family val="2"/>
      </rPr>
      <t>Duto de piso liso em aço, medindo 3 x 25 x 70 mm, com acessórios</t>
    </r>
  </si>
  <si>
    <r>
      <rPr>
        <sz val="8.5"/>
        <rFont val="Calibri"/>
        <family val="2"/>
      </rPr>
      <t>39,30</t>
    </r>
  </si>
  <si>
    <r>
      <rPr>
        <sz val="8.5"/>
        <rFont val="Calibri"/>
        <family val="2"/>
      </rPr>
      <t>38.10.024</t>
    </r>
  </si>
  <si>
    <r>
      <rPr>
        <sz val="8.5"/>
        <rFont val="Calibri"/>
        <family val="2"/>
      </rPr>
      <t xml:space="preserve">Caixa de derivação ou passagem, para cruzamento de duto, medindo 4 x
</t>
    </r>
    <r>
      <rPr>
        <sz val="8.5"/>
        <rFont val="Calibri"/>
        <family val="2"/>
      </rPr>
      <t>25 x 70 mm, sem cruzadora</t>
    </r>
  </si>
  <si>
    <r>
      <rPr>
        <sz val="8.5"/>
        <rFont val="Calibri"/>
        <family val="2"/>
      </rPr>
      <t>40,88</t>
    </r>
  </si>
  <si>
    <r>
      <rPr>
        <sz val="8.5"/>
        <rFont val="Calibri"/>
        <family val="2"/>
      </rPr>
      <t>52,16</t>
    </r>
  </si>
  <si>
    <r>
      <rPr>
        <sz val="8.5"/>
        <rFont val="Calibri"/>
        <family val="2"/>
      </rPr>
      <t>38.10.026</t>
    </r>
  </si>
  <si>
    <r>
      <rPr>
        <sz val="8.5"/>
        <rFont val="Calibri"/>
        <family val="2"/>
      </rPr>
      <t xml:space="preserve">Caixa de derivação ou passagem, para cruzamento de duto, medindo 12
</t>
    </r>
    <r>
      <rPr>
        <sz val="8.5"/>
        <rFont val="Calibri"/>
        <family val="2"/>
      </rPr>
      <t>x 25 x 70 mm, com cruzadora</t>
    </r>
  </si>
  <si>
    <r>
      <rPr>
        <sz val="8.5"/>
        <rFont val="Calibri"/>
        <family val="2"/>
      </rPr>
      <t>115,34</t>
    </r>
  </si>
  <si>
    <r>
      <rPr>
        <sz val="8.5"/>
        <rFont val="Calibri"/>
        <family val="2"/>
      </rPr>
      <t>137,17</t>
    </r>
  </si>
  <si>
    <r>
      <rPr>
        <sz val="8.5"/>
        <rFont val="Calibri"/>
        <family val="2"/>
      </rPr>
      <t>38.10.030</t>
    </r>
  </si>
  <si>
    <r>
      <rPr>
        <sz val="8.5"/>
        <rFont val="Calibri"/>
        <family val="2"/>
      </rPr>
      <t xml:space="preserve">Caixa de derivação ou passagem, para cruzamento de duto, medindo 16
</t>
    </r>
    <r>
      <rPr>
        <sz val="8.5"/>
        <rFont val="Calibri"/>
        <family val="2"/>
      </rPr>
      <t>x 25 x 70 mm, com cruzadora</t>
    </r>
  </si>
  <si>
    <r>
      <rPr>
        <sz val="8.5"/>
        <rFont val="Calibri"/>
        <family val="2"/>
      </rPr>
      <t>210,51</t>
    </r>
  </si>
  <si>
    <r>
      <rPr>
        <sz val="8.5"/>
        <rFont val="Calibri"/>
        <family val="2"/>
      </rPr>
      <t>232,34</t>
    </r>
  </si>
  <si>
    <r>
      <rPr>
        <sz val="8.5"/>
        <rFont val="Calibri"/>
        <family val="2"/>
      </rPr>
      <t>38.10.060</t>
    </r>
  </si>
  <si>
    <r>
      <rPr>
        <sz val="8.5"/>
        <rFont val="Calibri"/>
        <family val="2"/>
      </rPr>
      <t>Caixa de tomada e tampa basculante com rebaixo de 2 x (25 x 70 mm)</t>
    </r>
  </si>
  <si>
    <r>
      <rPr>
        <sz val="8.5"/>
        <rFont val="Calibri"/>
        <family val="2"/>
      </rPr>
      <t>143,82</t>
    </r>
  </si>
  <si>
    <r>
      <rPr>
        <sz val="8.5"/>
        <rFont val="Calibri"/>
        <family val="2"/>
      </rPr>
      <t>6,91</t>
    </r>
  </si>
  <si>
    <r>
      <rPr>
        <sz val="8.5"/>
        <rFont val="Calibri"/>
        <family val="2"/>
      </rPr>
      <t>150,73</t>
    </r>
  </si>
  <si>
    <r>
      <rPr>
        <sz val="8.5"/>
        <rFont val="Calibri"/>
        <family val="2"/>
      </rPr>
      <t>38.10.070</t>
    </r>
  </si>
  <si>
    <r>
      <rPr>
        <sz val="8.5"/>
        <rFont val="Calibri"/>
        <family val="2"/>
      </rPr>
      <t>Caixa de tomada e tampa basculante com rebaixo de 3 x (25 x 70 mm)</t>
    </r>
  </si>
  <si>
    <r>
      <rPr>
        <sz val="8.5"/>
        <rFont val="Calibri"/>
        <family val="2"/>
      </rPr>
      <t>176,01</t>
    </r>
  </si>
  <si>
    <r>
      <rPr>
        <sz val="8.5"/>
        <rFont val="Calibri"/>
        <family val="2"/>
      </rPr>
      <t>182,92</t>
    </r>
  </si>
  <si>
    <r>
      <rPr>
        <sz val="8.5"/>
        <rFont val="Calibri"/>
        <family val="2"/>
      </rPr>
      <t>38.10.080</t>
    </r>
  </si>
  <si>
    <r>
      <rPr>
        <sz val="8.5"/>
        <rFont val="Calibri"/>
        <family val="2"/>
      </rPr>
      <t>Caixa de tomada e tampa basculante com rebaixo de 4 x (25 x 70 mm)</t>
    </r>
  </si>
  <si>
    <r>
      <rPr>
        <sz val="8.5"/>
        <rFont val="Calibri"/>
        <family val="2"/>
      </rPr>
      <t>344,36</t>
    </r>
  </si>
  <si>
    <r>
      <rPr>
        <sz val="8.5"/>
        <rFont val="Calibri"/>
        <family val="2"/>
      </rPr>
      <t>351,27</t>
    </r>
  </si>
  <si>
    <r>
      <rPr>
        <sz val="8.5"/>
        <rFont val="Calibri"/>
        <family val="2"/>
      </rPr>
      <t>38.10.090</t>
    </r>
  </si>
  <si>
    <r>
      <rPr>
        <sz val="8.5"/>
        <rFont val="Calibri"/>
        <family val="2"/>
      </rPr>
      <t>Suporte de tomada para caixas com 2, 3 ou 4 vias</t>
    </r>
  </si>
  <si>
    <r>
      <rPr>
        <sz val="8.5"/>
        <rFont val="Calibri"/>
        <family val="2"/>
      </rPr>
      <t>9,83</t>
    </r>
  </si>
  <si>
    <r>
      <rPr>
        <sz val="8.5"/>
        <rFont val="Calibri"/>
        <family val="2"/>
      </rPr>
      <t>Leitos e acessorios</t>
    </r>
  </si>
  <si>
    <r>
      <rPr>
        <sz val="8.5"/>
        <rFont val="Calibri"/>
        <family val="2"/>
      </rPr>
      <t>38.12.086</t>
    </r>
  </si>
  <si>
    <r>
      <rPr>
        <sz val="8.5"/>
        <rFont val="Calibri"/>
        <family val="2"/>
      </rPr>
      <t xml:space="preserve">Leito para cabos, tipo pesado, em aço galvanizado de 300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</si>
  <si>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197,05</t>
    </r>
  </si>
  <si>
    <r>
      <rPr>
        <sz val="8.5"/>
        <rFont val="Calibri"/>
        <family val="2"/>
      </rPr>
      <t>207,97</t>
    </r>
  </si>
  <si>
    <r>
      <rPr>
        <sz val="8.5"/>
        <rFont val="Calibri"/>
        <family val="2"/>
      </rPr>
      <t>38.12.090</t>
    </r>
  </si>
  <si>
    <r>
      <rPr>
        <sz val="8.5"/>
        <rFont val="Calibri"/>
        <family val="2"/>
      </rPr>
      <t xml:space="preserve">Leito para cabos, tipo pesado, em aço galvanizado de 400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</si>
  <si>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207,23</t>
    </r>
  </si>
  <si>
    <r>
      <rPr>
        <sz val="8.5"/>
        <rFont val="Calibri"/>
        <family val="2"/>
      </rPr>
      <t>218,15</t>
    </r>
  </si>
  <si>
    <r>
      <rPr>
        <sz val="8.5"/>
        <rFont val="Calibri"/>
        <family val="2"/>
      </rPr>
      <t>38.12.100</t>
    </r>
  </si>
  <si>
    <r>
      <rPr>
        <sz val="8.5"/>
        <rFont val="Calibri"/>
        <family val="2"/>
      </rPr>
      <t xml:space="preserve">Leito para cabos, tipo pesado, em aço galvanizado de 600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</si>
  <si>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243,43</t>
    </r>
  </si>
  <si>
    <r>
      <rPr>
        <sz val="8.5"/>
        <rFont val="Calibri"/>
        <family val="2"/>
      </rPr>
      <t>254,35</t>
    </r>
  </si>
  <si>
    <r>
      <rPr>
        <sz val="8.5"/>
        <rFont val="Calibri"/>
        <family val="2"/>
      </rPr>
      <t>38.12.120</t>
    </r>
  </si>
  <si>
    <r>
      <rPr>
        <sz val="8.5"/>
        <rFont val="Calibri"/>
        <family val="2"/>
      </rPr>
      <t xml:space="preserve">Leito para cabos, tipo pesado, em aço galvanizado de 500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</si>
  <si>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225,30</t>
    </r>
  </si>
  <si>
    <r>
      <rPr>
        <sz val="8.5"/>
        <rFont val="Calibri"/>
        <family val="2"/>
      </rPr>
      <t>236,22</t>
    </r>
  </si>
  <si>
    <r>
      <rPr>
        <sz val="8.5"/>
        <rFont val="Calibri"/>
        <family val="2"/>
      </rPr>
      <t>38.12.130</t>
    </r>
  </si>
  <si>
    <r>
      <rPr>
        <sz val="8.5"/>
        <rFont val="Calibri"/>
        <family val="2"/>
      </rPr>
      <t xml:space="preserve">Leito para cabos, tipo pesado, em aço galvanizado de 800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</si>
  <si>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279,64</t>
    </r>
  </si>
  <si>
    <r>
      <rPr>
        <sz val="8.5"/>
        <rFont val="Calibri"/>
        <family val="2"/>
      </rPr>
      <t>290,56</t>
    </r>
  </si>
  <si>
    <r>
      <rPr>
        <sz val="8.5"/>
        <rFont val="Calibri"/>
        <family val="2"/>
      </rPr>
      <t>Eletroduto em polietileno de alta densidade</t>
    </r>
  </si>
  <si>
    <r>
      <rPr>
        <sz val="8.5"/>
        <rFont val="Calibri"/>
        <family val="2"/>
      </rPr>
      <t>38.13.010</t>
    </r>
  </si>
  <si>
    <r>
      <rPr>
        <sz val="8.5"/>
        <rFont val="Calibri"/>
        <family val="2"/>
      </rPr>
      <t xml:space="preserve">Eletroduto corrugado em polietileno de alta densidade, DN= 30 mm,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</si>
  <si>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9,81</t>
    </r>
  </si>
  <si>
    <r>
      <rPr>
        <sz val="8.5"/>
        <rFont val="Calibri"/>
        <family val="2"/>
      </rPr>
      <t>38.13.016</t>
    </r>
  </si>
  <si>
    <r>
      <rPr>
        <sz val="8.5"/>
        <rFont val="Calibri"/>
        <family val="2"/>
      </rPr>
      <t xml:space="preserve">Eletroduto corrugado em polietileno de alta densidade, DN= 40 mm,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</si>
  <si>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10,39</t>
    </r>
  </si>
  <si>
    <r>
      <rPr>
        <sz val="8.5"/>
        <rFont val="Calibri"/>
        <family val="2"/>
      </rPr>
      <t>11,84</t>
    </r>
  </si>
  <si>
    <r>
      <rPr>
        <sz val="8.5"/>
        <rFont val="Calibri"/>
        <family val="2"/>
      </rPr>
      <t>38.13.020</t>
    </r>
  </si>
  <si>
    <r>
      <rPr>
        <sz val="8.5"/>
        <rFont val="Calibri"/>
        <family val="2"/>
      </rPr>
      <t xml:space="preserve">Eletroduto corrugado em polietileno de alta densidade, DN= 50 mm,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</si>
  <si>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12,68</t>
    </r>
  </si>
  <si>
    <r>
      <rPr>
        <sz val="8.5"/>
        <rFont val="Calibri"/>
        <family val="2"/>
      </rPr>
      <t>14,13</t>
    </r>
  </si>
  <si>
    <r>
      <rPr>
        <sz val="8.5"/>
        <rFont val="Calibri"/>
        <family val="2"/>
      </rPr>
      <t>38.13.030</t>
    </r>
  </si>
  <si>
    <r>
      <rPr>
        <sz val="8.5"/>
        <rFont val="Calibri"/>
        <family val="2"/>
      </rPr>
      <t xml:space="preserve">Eletroduto corrugado em polietileno de alta densidade, DN= 75 mm,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</si>
  <si>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18,99</t>
    </r>
  </si>
  <si>
    <r>
      <rPr>
        <sz val="8.5"/>
        <rFont val="Calibri"/>
        <family val="2"/>
      </rPr>
      <t>20,44</t>
    </r>
  </si>
  <si>
    <r>
      <rPr>
        <sz val="8.5"/>
        <rFont val="Calibri"/>
        <family val="2"/>
      </rPr>
      <t>38.13.040</t>
    </r>
  </si>
  <si>
    <r>
      <rPr>
        <sz val="8.5"/>
        <rFont val="Calibri"/>
        <family val="2"/>
      </rPr>
      <t xml:space="preserve">Eletroduto corrugado em polietileno de alta densidade, DN= 100 mm,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</si>
  <si>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28,89</t>
    </r>
  </si>
  <si>
    <r>
      <rPr>
        <sz val="8.5"/>
        <rFont val="Calibri"/>
        <family val="2"/>
      </rPr>
      <t>38.13.050</t>
    </r>
  </si>
  <si>
    <r>
      <rPr>
        <sz val="8.5"/>
        <rFont val="Calibri"/>
        <family val="2"/>
      </rPr>
      <t xml:space="preserve">Eletroduto corrugado em polietileno de alta densidade, DN= 125 mm,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</si>
  <si>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41,77</t>
    </r>
  </si>
  <si>
    <r>
      <rPr>
        <sz val="8.5"/>
        <rFont val="Calibri"/>
        <family val="2"/>
      </rPr>
      <t>43,22</t>
    </r>
  </si>
  <si>
    <r>
      <rPr>
        <sz val="8.5"/>
        <rFont val="Calibri"/>
        <family val="2"/>
      </rPr>
      <t>38.13.060</t>
    </r>
  </si>
  <si>
    <r>
      <rPr>
        <sz val="8.5"/>
        <rFont val="Calibri"/>
        <family val="2"/>
      </rPr>
      <t xml:space="preserve">Eletroduto corrugado em polietileno de alta densidade, DN= 150 mm,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</si>
  <si>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62,42</t>
    </r>
  </si>
  <si>
    <r>
      <rPr>
        <sz val="8.5"/>
        <rFont val="Calibri"/>
        <family val="2"/>
      </rPr>
      <t>63,87</t>
    </r>
  </si>
  <si>
    <r>
      <rPr>
        <sz val="8.5"/>
        <rFont val="Calibri"/>
        <family val="2"/>
      </rPr>
      <t>Eletroduto metalico flexivel</t>
    </r>
  </si>
  <si>
    <r>
      <rPr>
        <sz val="8.5"/>
        <rFont val="Calibri"/>
        <family val="2"/>
      </rPr>
      <t>38.15.010</t>
    </r>
  </si>
  <si>
    <r>
      <rPr>
        <sz val="8.5"/>
        <rFont val="Calibri"/>
        <family val="2"/>
      </rPr>
      <t>Eletroduto metálico flexível com capa em PVC de 3/4´</t>
    </r>
  </si>
  <si>
    <r>
      <rPr>
        <sz val="8.5"/>
        <rFont val="Calibri"/>
        <family val="2"/>
      </rPr>
      <t>9,21</t>
    </r>
  </si>
  <si>
    <r>
      <rPr>
        <sz val="8.5"/>
        <rFont val="Calibri"/>
        <family val="2"/>
      </rPr>
      <t>21,94</t>
    </r>
  </si>
  <si>
    <r>
      <rPr>
        <sz val="8.5"/>
        <rFont val="Calibri"/>
        <family val="2"/>
      </rPr>
      <t>38.15.020</t>
    </r>
  </si>
  <si>
    <r>
      <rPr>
        <sz val="8.5"/>
        <rFont val="Calibri"/>
        <family val="2"/>
      </rPr>
      <t>Eletroduto metálico flexível com capa em PVC de 1´</t>
    </r>
  </si>
  <si>
    <r>
      <rPr>
        <sz val="8.5"/>
        <rFont val="Calibri"/>
        <family val="2"/>
      </rPr>
      <t>26,94</t>
    </r>
  </si>
  <si>
    <r>
      <rPr>
        <sz val="8.5"/>
        <rFont val="Calibri"/>
        <family val="2"/>
      </rPr>
      <t>38.15.040</t>
    </r>
  </si>
  <si>
    <r>
      <rPr>
        <sz val="8.5"/>
        <rFont val="Calibri"/>
        <family val="2"/>
      </rPr>
      <t>Eletroduto metálico flexível com capa em PVC de 2´</t>
    </r>
  </si>
  <si>
    <r>
      <rPr>
        <sz val="8.5"/>
        <rFont val="Calibri"/>
        <family val="2"/>
      </rPr>
      <t>33,73</t>
    </r>
  </si>
  <si>
    <r>
      <rPr>
        <sz val="8.5"/>
        <rFont val="Calibri"/>
        <family val="2"/>
      </rPr>
      <t>46,46</t>
    </r>
  </si>
  <si>
    <r>
      <rPr>
        <sz val="8.5"/>
        <rFont val="Calibri"/>
        <family val="2"/>
      </rPr>
      <t>38.15.110</t>
    </r>
  </si>
  <si>
    <r>
      <rPr>
        <sz val="8.5"/>
        <rFont val="Calibri"/>
        <family val="2"/>
      </rPr>
      <t>Terminal macho fixo em latão zincado de 3/4´</t>
    </r>
  </si>
  <si>
    <r>
      <rPr>
        <sz val="8.5"/>
        <rFont val="Calibri"/>
        <family val="2"/>
      </rPr>
      <t>14,99</t>
    </r>
  </si>
  <si>
    <r>
      <rPr>
        <sz val="8.5"/>
        <rFont val="Calibri"/>
        <family val="2"/>
      </rPr>
      <t>2,42</t>
    </r>
  </si>
  <si>
    <r>
      <rPr>
        <sz val="8.5"/>
        <rFont val="Calibri"/>
        <family val="2"/>
      </rPr>
      <t>17,41</t>
    </r>
  </si>
  <si>
    <r>
      <rPr>
        <sz val="8.5"/>
        <rFont val="Calibri"/>
        <family val="2"/>
      </rPr>
      <t>38.15.120</t>
    </r>
  </si>
  <si>
    <r>
      <rPr>
        <sz val="8.5"/>
        <rFont val="Calibri"/>
        <family val="2"/>
      </rPr>
      <t>Terminal macho fixo em latão zincado de 1´</t>
    </r>
  </si>
  <si>
    <r>
      <rPr>
        <sz val="8.5"/>
        <rFont val="Calibri"/>
        <family val="2"/>
      </rPr>
      <t>23,52</t>
    </r>
  </si>
  <si>
    <r>
      <rPr>
        <sz val="8.5"/>
        <rFont val="Calibri"/>
        <family val="2"/>
      </rPr>
      <t>38.15.140</t>
    </r>
  </si>
  <si>
    <r>
      <rPr>
        <sz val="8.5"/>
        <rFont val="Calibri"/>
        <family val="2"/>
      </rPr>
      <t>Terminal macho fixo em latão zincado de 2´</t>
    </r>
  </si>
  <si>
    <r>
      <rPr>
        <sz val="8.5"/>
        <rFont val="Calibri"/>
        <family val="2"/>
      </rPr>
      <t>67,93</t>
    </r>
  </si>
  <si>
    <r>
      <rPr>
        <sz val="8.5"/>
        <rFont val="Calibri"/>
        <family val="2"/>
      </rPr>
      <t>38.15.310</t>
    </r>
  </si>
  <si>
    <r>
      <rPr>
        <sz val="8.5"/>
        <rFont val="Calibri"/>
        <family val="2"/>
      </rPr>
      <t>Terminal macho giratório em latão zincado de 3/4´</t>
    </r>
  </si>
  <si>
    <r>
      <rPr>
        <sz val="8.5"/>
        <rFont val="Calibri"/>
        <family val="2"/>
      </rPr>
      <t>16,73</t>
    </r>
  </si>
  <si>
    <r>
      <rPr>
        <sz val="8.5"/>
        <rFont val="Calibri"/>
        <family val="2"/>
      </rPr>
      <t>19,15</t>
    </r>
  </si>
  <si>
    <r>
      <rPr>
        <sz val="8.5"/>
        <rFont val="Calibri"/>
        <family val="2"/>
      </rPr>
      <t>38.15.320</t>
    </r>
  </si>
  <si>
    <r>
      <rPr>
        <sz val="8.5"/>
        <rFont val="Calibri"/>
        <family val="2"/>
      </rPr>
      <t>Terminal macho giratório em latão zincado de 1´</t>
    </r>
  </si>
  <si>
    <r>
      <rPr>
        <sz val="8.5"/>
        <rFont val="Calibri"/>
        <family val="2"/>
      </rPr>
      <t>26,33</t>
    </r>
  </si>
  <si>
    <r>
      <rPr>
        <sz val="8.5"/>
        <rFont val="Calibri"/>
        <family val="2"/>
      </rPr>
      <t>28,75</t>
    </r>
  </si>
  <si>
    <r>
      <rPr>
        <sz val="8.5"/>
        <rFont val="Calibri"/>
        <family val="2"/>
      </rPr>
      <t>38.15.340</t>
    </r>
  </si>
  <si>
    <r>
      <rPr>
        <sz val="8.5"/>
        <rFont val="Calibri"/>
        <family val="2"/>
      </rPr>
      <t>Terminal macho giratório em latão zincado de 2´</t>
    </r>
  </si>
  <si>
    <r>
      <rPr>
        <sz val="8.5"/>
        <rFont val="Calibri"/>
        <family val="2"/>
      </rPr>
      <t>72,67</t>
    </r>
  </si>
  <si>
    <r>
      <rPr>
        <sz val="8.5"/>
        <rFont val="Calibri"/>
        <family val="2"/>
      </rPr>
      <t>75,09</t>
    </r>
  </si>
  <si>
    <r>
      <rPr>
        <sz val="8.5"/>
        <rFont val="Calibri"/>
        <family val="2"/>
      </rPr>
      <t>Rodape tecnico e acessorios</t>
    </r>
  </si>
  <si>
    <r>
      <rPr>
        <sz val="8.5"/>
        <rFont val="Calibri"/>
        <family val="2"/>
      </rPr>
      <t>38.16.030</t>
    </r>
  </si>
  <si>
    <r>
      <rPr>
        <sz val="8.5"/>
        <rFont val="Calibri"/>
        <family val="2"/>
      </rPr>
      <t>Rodapé técnico triplo e tampa com pintura eletrostática</t>
    </r>
  </si>
  <si>
    <r>
      <rPr>
        <sz val="8.5"/>
        <rFont val="Calibri"/>
        <family val="2"/>
      </rPr>
      <t>50,97</t>
    </r>
  </si>
  <si>
    <r>
      <rPr>
        <sz val="8.5"/>
        <rFont val="Calibri"/>
        <family val="2"/>
      </rPr>
      <t>61,89</t>
    </r>
  </si>
  <si>
    <r>
      <rPr>
        <sz val="8.5"/>
        <rFont val="Calibri"/>
        <family val="2"/>
      </rPr>
      <t>38.16.060</t>
    </r>
  </si>
  <si>
    <r>
      <rPr>
        <sz val="8.5"/>
        <rFont val="Calibri"/>
        <family val="2"/>
      </rPr>
      <t xml:space="preserve">Curva horizontal tripla de 90°, interna ou externa e tampa com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</si>
  <si>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57,80</t>
    </r>
  </si>
  <si>
    <r>
      <rPr>
        <sz val="8.5"/>
        <rFont val="Calibri"/>
        <family val="2"/>
      </rPr>
      <t>76,00</t>
    </r>
  </si>
  <si>
    <r>
      <rPr>
        <sz val="8.5"/>
        <rFont val="Calibri"/>
        <family val="2"/>
      </rPr>
      <t>38.16.080</t>
    </r>
  </si>
  <si>
    <r>
      <rPr>
        <sz val="8.5"/>
        <rFont val="Calibri"/>
        <family val="2"/>
      </rPr>
      <t>Tê triplo de 90°, horizontal ou vertical e tampa com pintura eletrostática</t>
    </r>
  </si>
  <si>
    <r>
      <rPr>
        <sz val="8.5"/>
        <rFont val="Calibri"/>
        <family val="2"/>
      </rPr>
      <t>72,98</t>
    </r>
  </si>
  <si>
    <r>
      <rPr>
        <sz val="8.5"/>
        <rFont val="Calibri"/>
        <family val="2"/>
      </rPr>
      <t>91,18</t>
    </r>
  </si>
  <si>
    <r>
      <rPr>
        <sz val="8.5"/>
        <rFont val="Calibri"/>
        <family val="2"/>
      </rPr>
      <t>38.16.090</t>
    </r>
  </si>
  <si>
    <r>
      <rPr>
        <sz val="8.5"/>
        <rFont val="Calibri"/>
        <family val="2"/>
      </rPr>
      <t>Caixa para tomadas: de energia, RJ, sobressalente, interruptor ou espelho, com pintura eletrostática, para rodapé técnico triplo</t>
    </r>
  </si>
  <si>
    <r>
      <rPr>
        <sz val="8.5"/>
        <rFont val="Calibri"/>
        <family val="2"/>
      </rPr>
      <t>17,03</t>
    </r>
  </si>
  <si>
    <r>
      <rPr>
        <sz val="8.5"/>
        <rFont val="Calibri"/>
        <family val="2"/>
      </rPr>
      <t>23,94</t>
    </r>
  </si>
  <si>
    <r>
      <rPr>
        <sz val="8.5"/>
        <rFont val="Calibri"/>
        <family val="2"/>
      </rPr>
      <t>38.16.110</t>
    </r>
  </si>
  <si>
    <r>
      <rPr>
        <sz val="8.5"/>
        <rFont val="Calibri"/>
        <family val="2"/>
      </rPr>
      <t xml:space="preserve">Caixa de derivação embutida ou externa com pintura eletrostática, para
</t>
    </r>
    <r>
      <rPr>
        <sz val="8.5"/>
        <rFont val="Calibri"/>
        <family val="2"/>
      </rPr>
      <t>rodapé técnico triplo</t>
    </r>
  </si>
  <si>
    <r>
      <rPr>
        <sz val="8.5"/>
        <rFont val="Calibri"/>
        <family val="2"/>
      </rPr>
      <t>23,55</t>
    </r>
  </si>
  <si>
    <r>
      <rPr>
        <sz val="8.5"/>
        <rFont val="Calibri"/>
        <family val="2"/>
      </rPr>
      <t>41,75</t>
    </r>
  </si>
  <si>
    <r>
      <rPr>
        <sz val="8.5"/>
        <rFont val="Calibri"/>
        <family val="2"/>
      </rPr>
      <t>38.16.130</t>
    </r>
  </si>
  <si>
    <r>
      <rPr>
        <sz val="8.5"/>
        <rFont val="Calibri"/>
        <family val="2"/>
      </rPr>
      <t>Caixa para tomadas: de energia, RJ, sobressalente, interruptor ou espelho, com pintura eletrostática, para rodapé técnico duplo</t>
    </r>
  </si>
  <si>
    <r>
      <rPr>
        <sz val="8.5"/>
        <rFont val="Calibri"/>
        <family val="2"/>
      </rPr>
      <t>12,19</t>
    </r>
  </si>
  <si>
    <r>
      <rPr>
        <sz val="8.5"/>
        <rFont val="Calibri"/>
        <family val="2"/>
      </rPr>
      <t>38.16.140</t>
    </r>
  </si>
  <si>
    <r>
      <rPr>
        <sz val="8.5"/>
        <rFont val="Calibri"/>
        <family val="2"/>
      </rPr>
      <t xml:space="preserve">Terminal de fechamento ou mata junta com pintura eletrostática, para
</t>
    </r>
    <r>
      <rPr>
        <sz val="8.5"/>
        <rFont val="Calibri"/>
        <family val="2"/>
      </rPr>
      <t>rodapé técnico triplo</t>
    </r>
  </si>
  <si>
    <r>
      <rPr>
        <sz val="8.5"/>
        <rFont val="Calibri"/>
        <family val="2"/>
      </rPr>
      <t>8,35</t>
    </r>
  </si>
  <si>
    <r>
      <rPr>
        <sz val="8.5"/>
        <rFont val="Calibri"/>
        <family val="2"/>
      </rPr>
      <t>13,81</t>
    </r>
  </si>
  <si>
    <r>
      <rPr>
        <sz val="8.5"/>
        <rFont val="Calibri"/>
        <family val="2"/>
      </rPr>
      <t>38.16.150</t>
    </r>
  </si>
  <si>
    <r>
      <rPr>
        <sz val="8.5"/>
        <rFont val="Calibri"/>
        <family val="2"/>
      </rPr>
      <t>Rodapé técnico duplo e tampa com pintura eletrostática</t>
    </r>
  </si>
  <si>
    <r>
      <rPr>
        <sz val="8.5"/>
        <rFont val="Calibri"/>
        <family val="2"/>
      </rPr>
      <t>44,91</t>
    </r>
  </si>
  <si>
    <r>
      <rPr>
        <sz val="8.5"/>
        <rFont val="Calibri"/>
        <family val="2"/>
      </rPr>
      <t>55,83</t>
    </r>
  </si>
  <si>
    <r>
      <rPr>
        <sz val="8.5"/>
        <rFont val="Calibri"/>
        <family val="2"/>
      </rPr>
      <t>38.16.160</t>
    </r>
  </si>
  <si>
    <r>
      <rPr>
        <sz val="8.5"/>
        <rFont val="Calibri"/>
        <family val="2"/>
      </rPr>
      <t xml:space="preserve">Curva vertical dupla de 90°, interna ou externa e tampa com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</si>
  <si>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46,17</t>
    </r>
  </si>
  <si>
    <r>
      <rPr>
        <sz val="8.5"/>
        <rFont val="Calibri"/>
        <family val="2"/>
      </rPr>
      <t>64,37</t>
    </r>
  </si>
  <si>
    <r>
      <rPr>
        <sz val="8.5"/>
        <rFont val="Calibri"/>
        <family val="2"/>
      </rPr>
      <t>38.16.190</t>
    </r>
  </si>
  <si>
    <r>
      <rPr>
        <sz val="8.5"/>
        <rFont val="Calibri"/>
        <family val="2"/>
      </rPr>
      <t xml:space="preserve">Terminal de fechamento ou mata junta com pintura eletrostática, para
</t>
    </r>
    <r>
      <rPr>
        <sz val="8.5"/>
        <rFont val="Calibri"/>
        <family val="2"/>
      </rPr>
      <t>rodapé técnico duplo</t>
    </r>
  </si>
  <si>
    <r>
      <rPr>
        <sz val="8.5"/>
        <rFont val="Calibri"/>
        <family val="2"/>
      </rPr>
      <t>11,26</t>
    </r>
  </si>
  <si>
    <r>
      <rPr>
        <sz val="8.5"/>
        <rFont val="Calibri"/>
        <family val="2"/>
      </rPr>
      <t>38.16.200</t>
    </r>
  </si>
  <si>
    <r>
      <rPr>
        <sz val="8.5"/>
        <rFont val="Calibri"/>
        <family val="2"/>
      </rPr>
      <t xml:space="preserve">Curva horizontal dupla de 90°, interna ou externa e tampa com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</si>
  <si>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42,73</t>
    </r>
  </si>
  <si>
    <r>
      <rPr>
        <sz val="8.5"/>
        <rFont val="Calibri"/>
        <family val="2"/>
      </rPr>
      <t>60,93</t>
    </r>
  </si>
  <si>
    <r>
      <rPr>
        <sz val="8.5"/>
        <rFont val="Calibri"/>
        <family val="2"/>
      </rPr>
      <t>38.16.230</t>
    </r>
  </si>
  <si>
    <r>
      <rPr>
        <sz val="8.5"/>
        <rFont val="Calibri"/>
        <family val="2"/>
      </rPr>
      <t xml:space="preserve">Curva vertical tripla de 90°, interna ou externa e tampa com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</si>
  <si>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57,20</t>
    </r>
  </si>
  <si>
    <r>
      <rPr>
        <sz val="8.5"/>
        <rFont val="Calibri"/>
        <family val="2"/>
      </rPr>
      <t>75,40</t>
    </r>
  </si>
  <si>
    <r>
      <rPr>
        <sz val="8.5"/>
        <rFont val="Calibri"/>
        <family val="2"/>
      </rPr>
      <t>38.16.250</t>
    </r>
  </si>
  <si>
    <r>
      <rPr>
        <sz val="8.5"/>
        <rFont val="Calibri"/>
        <family val="2"/>
      </rPr>
      <t xml:space="preserve">Poste condutor metálico para distribuição, com suporte para tomadas
</t>
    </r>
    <r>
      <rPr>
        <sz val="8.5"/>
        <rFont val="Calibri"/>
        <family val="2"/>
      </rPr>
      <t>elétricas e RJ, com pintura eletrostática, altura de 3 m</t>
    </r>
  </si>
  <si>
    <r>
      <rPr>
        <sz val="8.5"/>
        <rFont val="Calibri"/>
        <family val="2"/>
      </rPr>
      <t>756,04</t>
    </r>
  </si>
  <si>
    <r>
      <rPr>
        <sz val="8.5"/>
        <rFont val="Calibri"/>
        <family val="2"/>
      </rPr>
      <t>24,36</t>
    </r>
  </si>
  <si>
    <r>
      <rPr>
        <sz val="8.5"/>
        <rFont val="Calibri"/>
        <family val="2"/>
      </rPr>
      <t>780,40</t>
    </r>
  </si>
  <si>
    <r>
      <rPr>
        <sz val="8.5"/>
        <rFont val="Calibri"/>
        <family val="2"/>
      </rPr>
      <t>38.16.270</t>
    </r>
  </si>
  <si>
    <r>
      <rPr>
        <sz val="8.5"/>
        <rFont val="Calibri"/>
        <family val="2"/>
      </rPr>
      <t>Caixa de derivação embutida ou externa para rodapé técnico duplo</t>
    </r>
  </si>
  <si>
    <r>
      <rPr>
        <sz val="8.5"/>
        <rFont val="Calibri"/>
        <family val="2"/>
      </rPr>
      <t>29,27</t>
    </r>
  </si>
  <si>
    <r>
      <rPr>
        <sz val="8.5"/>
        <rFont val="Calibri"/>
        <family val="2"/>
      </rPr>
      <t>47,47</t>
    </r>
  </si>
  <si>
    <r>
      <rPr>
        <sz val="8.5"/>
        <rFont val="Calibri"/>
        <family val="2"/>
      </rPr>
      <t>Eletroduto em PVC corrugado flexivel</t>
    </r>
  </si>
  <si>
    <r>
      <rPr>
        <sz val="8.5"/>
        <rFont val="Calibri"/>
        <family val="2"/>
      </rPr>
      <t>38.19.020</t>
    </r>
  </si>
  <si>
    <r>
      <rPr>
        <sz val="8.5"/>
        <rFont val="Calibri"/>
        <family val="2"/>
      </rPr>
      <t>Eletroduto de PVC corrugado flexível leve, diâmetro externo de 20 mm</t>
    </r>
  </si>
  <si>
    <r>
      <rPr>
        <sz val="8.5"/>
        <rFont val="Calibri"/>
        <family val="2"/>
      </rPr>
      <t>2,46</t>
    </r>
  </si>
  <si>
    <r>
      <rPr>
        <sz val="8.5"/>
        <rFont val="Calibri"/>
        <family val="2"/>
      </rPr>
      <t>13,38</t>
    </r>
  </si>
  <si>
    <r>
      <rPr>
        <sz val="8.5"/>
        <rFont val="Calibri"/>
        <family val="2"/>
      </rPr>
      <t>38.19.030</t>
    </r>
  </si>
  <si>
    <r>
      <rPr>
        <sz val="8.5"/>
        <rFont val="Calibri"/>
        <family val="2"/>
      </rPr>
      <t>Eletroduto de PVC corrugado flexível leve, diâmetro externo de 25 mm</t>
    </r>
  </si>
  <si>
    <r>
      <rPr>
        <sz val="8.5"/>
        <rFont val="Calibri"/>
        <family val="2"/>
      </rPr>
      <t>2,76</t>
    </r>
  </si>
  <si>
    <r>
      <rPr>
        <sz val="8.5"/>
        <rFont val="Calibri"/>
        <family val="2"/>
      </rPr>
      <t>38.19.040</t>
    </r>
  </si>
  <si>
    <r>
      <rPr>
        <sz val="8.5"/>
        <rFont val="Calibri"/>
        <family val="2"/>
      </rPr>
      <t>Eletroduto de PVC corrugado flexível leve, diâmetro externo de 32 mm</t>
    </r>
  </si>
  <si>
    <r>
      <rPr>
        <sz val="8.5"/>
        <rFont val="Calibri"/>
        <family val="2"/>
      </rPr>
      <t>4,53</t>
    </r>
  </si>
  <si>
    <r>
      <rPr>
        <sz val="8.5"/>
        <rFont val="Calibri"/>
        <family val="2"/>
      </rPr>
      <t>15,45</t>
    </r>
  </si>
  <si>
    <r>
      <rPr>
        <sz val="8.5"/>
        <rFont val="Calibri"/>
        <family val="2"/>
      </rPr>
      <t>38.19.210</t>
    </r>
  </si>
  <si>
    <r>
      <rPr>
        <sz val="8.5"/>
        <rFont val="Calibri"/>
        <family val="2"/>
      </rPr>
      <t xml:space="preserve">Eletroduto de PVC corrugado flexível reforçado, diâmetro externo de 25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</si>
  <si>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3,45</t>
    </r>
  </si>
  <si>
    <r>
      <rPr>
        <sz val="8.5"/>
        <rFont val="Calibri"/>
        <family val="2"/>
      </rPr>
      <t>14,37</t>
    </r>
  </si>
  <si>
    <r>
      <rPr>
        <sz val="8.5"/>
        <rFont val="Calibri"/>
        <family val="2"/>
      </rPr>
      <t>38.19.220</t>
    </r>
  </si>
  <si>
    <r>
      <rPr>
        <sz val="8.5"/>
        <rFont val="Calibri"/>
        <family val="2"/>
      </rPr>
      <t xml:space="preserve">Eletroduto de PVC corrugado flexível reforçado, diâmetro externo de 32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</si>
  <si>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5,63</t>
    </r>
  </si>
  <si>
    <r>
      <rPr>
        <sz val="8.5"/>
        <rFont val="Calibri"/>
        <family val="2"/>
      </rPr>
      <t>16,55</t>
    </r>
  </si>
  <si>
    <r>
      <rPr>
        <sz val="8.5"/>
        <rFont val="Calibri"/>
        <family val="2"/>
      </rPr>
      <t>Reparos, conservacoes e complementos - GRUPO 38</t>
    </r>
  </si>
  <si>
    <r>
      <rPr>
        <sz val="8.5"/>
        <rFont val="Calibri"/>
        <family val="2"/>
      </rPr>
      <t>38.20.010</t>
    </r>
  </si>
  <si>
    <r>
      <rPr>
        <sz val="8.5"/>
        <rFont val="Calibri"/>
        <family val="2"/>
      </rPr>
      <t>Recolocação de perfilado 38x38 mm</t>
    </r>
  </si>
  <si>
    <r>
      <rPr>
        <sz val="8.5"/>
        <rFont val="Calibri"/>
        <family val="2"/>
      </rPr>
      <t>38.20.020</t>
    </r>
  </si>
  <si>
    <r>
      <rPr>
        <sz val="8.5"/>
        <rFont val="Calibri"/>
        <family val="2"/>
      </rPr>
      <t>Recolocação de vergalhão</t>
    </r>
  </si>
  <si>
    <r>
      <rPr>
        <sz val="8.5"/>
        <rFont val="Calibri"/>
        <family val="2"/>
      </rPr>
      <t>38.20.030</t>
    </r>
  </si>
  <si>
    <r>
      <rPr>
        <sz val="8.5"/>
        <rFont val="Calibri"/>
        <family val="2"/>
      </rPr>
      <t>Recolocação de caixa de tomada para perfilado</t>
    </r>
  </si>
  <si>
    <r>
      <rPr>
        <sz val="8.5"/>
        <rFont val="Calibri"/>
        <family val="2"/>
      </rPr>
      <t>38.20.040</t>
    </r>
  </si>
  <si>
    <r>
      <rPr>
        <sz val="8.5"/>
        <rFont val="Calibri"/>
        <family val="2"/>
      </rPr>
      <t>Recolocação de eletrodutos</t>
    </r>
  </si>
  <si>
    <r>
      <rPr>
        <sz val="8.5"/>
        <rFont val="Calibri"/>
        <family val="2"/>
      </rPr>
      <t>Eletrocalha e acessorios</t>
    </r>
  </si>
  <si>
    <r>
      <rPr>
        <sz val="8.5"/>
        <rFont val="Calibri"/>
        <family val="2"/>
      </rPr>
      <t>38.21.110</t>
    </r>
  </si>
  <si>
    <r>
      <rPr>
        <sz val="8.5"/>
        <rFont val="Calibri"/>
        <family val="2"/>
      </rPr>
      <t>Eletrocalha lisa galvanizada a fogo, 50 x 50 mm, com acessórios</t>
    </r>
  </si>
  <si>
    <r>
      <rPr>
        <sz val="8.5"/>
        <rFont val="Calibri"/>
        <family val="2"/>
      </rPr>
      <t>69,65</t>
    </r>
  </si>
  <si>
    <r>
      <rPr>
        <sz val="8.5"/>
        <rFont val="Calibri"/>
        <family val="2"/>
      </rPr>
      <t>38.21.120</t>
    </r>
  </si>
  <si>
    <r>
      <rPr>
        <sz val="8.5"/>
        <rFont val="Calibri"/>
        <family val="2"/>
      </rPr>
      <t>Eletrocalha lisa galvanizada a fogo, 100 x 50 mm, com acessórios</t>
    </r>
  </si>
  <si>
    <r>
      <rPr>
        <sz val="8.5"/>
        <rFont val="Calibri"/>
        <family val="2"/>
      </rPr>
      <t>67,02</t>
    </r>
  </si>
  <si>
    <r>
      <rPr>
        <sz val="8.5"/>
        <rFont val="Calibri"/>
        <family val="2"/>
      </rPr>
      <t>85,22</t>
    </r>
  </si>
  <si>
    <r>
      <rPr>
        <sz val="8.5"/>
        <rFont val="Calibri"/>
        <family val="2"/>
      </rPr>
      <t>38.21.130</t>
    </r>
  </si>
  <si>
    <r>
      <rPr>
        <sz val="8.5"/>
        <rFont val="Calibri"/>
        <family val="2"/>
      </rPr>
      <t>Eletrocalha lisa galvanizada a fogo, 150 x 50 mm, com acessórios</t>
    </r>
  </si>
  <si>
    <r>
      <rPr>
        <sz val="8.5"/>
        <rFont val="Calibri"/>
        <family val="2"/>
      </rPr>
      <t>81,74</t>
    </r>
  </si>
  <si>
    <r>
      <rPr>
        <sz val="8.5"/>
        <rFont val="Calibri"/>
        <family val="2"/>
      </rPr>
      <t>99,94</t>
    </r>
  </si>
  <si>
    <r>
      <rPr>
        <sz val="8.5"/>
        <rFont val="Calibri"/>
        <family val="2"/>
      </rPr>
      <t>38.21.140</t>
    </r>
  </si>
  <si>
    <r>
      <rPr>
        <sz val="8.5"/>
        <rFont val="Calibri"/>
        <family val="2"/>
      </rPr>
      <t>Eletrocalha lisa galvanizada a fogo, 200 x 50 mm, com acessórios</t>
    </r>
  </si>
  <si>
    <r>
      <rPr>
        <sz val="8.5"/>
        <rFont val="Calibri"/>
        <family val="2"/>
      </rPr>
      <t>98,03</t>
    </r>
  </si>
  <si>
    <r>
      <rPr>
        <sz val="8.5"/>
        <rFont val="Calibri"/>
        <family val="2"/>
      </rPr>
      <t>116,23</t>
    </r>
  </si>
  <si>
    <r>
      <rPr>
        <sz val="8.5"/>
        <rFont val="Calibri"/>
        <family val="2"/>
      </rPr>
      <t>38.21.150</t>
    </r>
  </si>
  <si>
    <r>
      <rPr>
        <sz val="8.5"/>
        <rFont val="Calibri"/>
        <family val="2"/>
      </rPr>
      <t>Eletrocalha lisa galvanizada a fogo, 250 x 50 mm, com acessórios</t>
    </r>
  </si>
  <si>
    <r>
      <rPr>
        <sz val="8.5"/>
        <rFont val="Calibri"/>
        <family val="2"/>
      </rPr>
      <t>114,39</t>
    </r>
  </si>
  <si>
    <r>
      <rPr>
        <sz val="8.5"/>
        <rFont val="Calibri"/>
        <family val="2"/>
      </rPr>
      <t>132,59</t>
    </r>
  </si>
  <si>
    <r>
      <rPr>
        <sz val="8.5"/>
        <rFont val="Calibri"/>
        <family val="2"/>
      </rPr>
      <t>38.21.310</t>
    </r>
  </si>
  <si>
    <r>
      <rPr>
        <sz val="8.5"/>
        <rFont val="Calibri"/>
        <family val="2"/>
      </rPr>
      <t>Eletrocalha lisa galvanizada a fogo, 100 x 100 mm, com acessórios</t>
    </r>
  </si>
  <si>
    <r>
      <rPr>
        <sz val="8.5"/>
        <rFont val="Calibri"/>
        <family val="2"/>
      </rPr>
      <t>102,54</t>
    </r>
  </si>
  <si>
    <r>
      <rPr>
        <sz val="8.5"/>
        <rFont val="Calibri"/>
        <family val="2"/>
      </rPr>
      <t>129,83</t>
    </r>
  </si>
  <si>
    <r>
      <rPr>
        <sz val="8.5"/>
        <rFont val="Calibri"/>
        <family val="2"/>
      </rPr>
      <t>38.21.320</t>
    </r>
  </si>
  <si>
    <r>
      <rPr>
        <sz val="8.5"/>
        <rFont val="Calibri"/>
        <family val="2"/>
      </rPr>
      <t>Eletrocalha lisa galvanizada a fogo, 150 x 100 mm, com acessórios</t>
    </r>
  </si>
  <si>
    <r>
      <rPr>
        <sz val="8.5"/>
        <rFont val="Calibri"/>
        <family val="2"/>
      </rPr>
      <t>115,13</t>
    </r>
  </si>
  <si>
    <r>
      <rPr>
        <sz val="8.5"/>
        <rFont val="Calibri"/>
        <family val="2"/>
      </rPr>
      <t>142,42</t>
    </r>
  </si>
  <si>
    <r>
      <rPr>
        <sz val="8.5"/>
        <rFont val="Calibri"/>
        <family val="2"/>
      </rPr>
      <t>38.21.330</t>
    </r>
  </si>
  <si>
    <r>
      <rPr>
        <sz val="8.5"/>
        <rFont val="Calibri"/>
        <family val="2"/>
      </rPr>
      <t>Eletrocalha lisa galvanizada a fogo, 200 x 100 mm, com acessórios</t>
    </r>
  </si>
  <si>
    <r>
      <rPr>
        <sz val="8.5"/>
        <rFont val="Calibri"/>
        <family val="2"/>
      </rPr>
      <t>130,78</t>
    </r>
  </si>
  <si>
    <r>
      <rPr>
        <sz val="8.5"/>
        <rFont val="Calibri"/>
        <family val="2"/>
      </rPr>
      <t>158,07</t>
    </r>
  </si>
  <si>
    <r>
      <rPr>
        <sz val="8.5"/>
        <rFont val="Calibri"/>
        <family val="2"/>
      </rPr>
      <t>38.21.340</t>
    </r>
  </si>
  <si>
    <r>
      <rPr>
        <sz val="8.5"/>
        <rFont val="Calibri"/>
        <family val="2"/>
      </rPr>
      <t>Eletrocalha lisa galvanizada a fogo, 250 x 100 mm, com acessórios</t>
    </r>
  </si>
  <si>
    <r>
      <rPr>
        <sz val="8.5"/>
        <rFont val="Calibri"/>
        <family val="2"/>
      </rPr>
      <t>147,06</t>
    </r>
  </si>
  <si>
    <r>
      <rPr>
        <sz val="8.5"/>
        <rFont val="Calibri"/>
        <family val="2"/>
      </rPr>
      <t>174,35</t>
    </r>
  </si>
  <si>
    <r>
      <rPr>
        <sz val="8.5"/>
        <rFont val="Calibri"/>
        <family val="2"/>
      </rPr>
      <t>38.21.350</t>
    </r>
  </si>
  <si>
    <r>
      <rPr>
        <sz val="8.5"/>
        <rFont val="Calibri"/>
        <family val="2"/>
      </rPr>
      <t>Eletrocalha lisa galvanizada a fogo, 300 x 100 mm, com acessórios</t>
    </r>
  </si>
  <si>
    <r>
      <rPr>
        <sz val="8.5"/>
        <rFont val="Calibri"/>
        <family val="2"/>
      </rPr>
      <t>207,90</t>
    </r>
  </si>
  <si>
    <r>
      <rPr>
        <sz val="8.5"/>
        <rFont val="Calibri"/>
        <family val="2"/>
      </rPr>
      <t>38.21.360</t>
    </r>
  </si>
  <si>
    <r>
      <rPr>
        <sz val="8.5"/>
        <rFont val="Calibri"/>
        <family val="2"/>
      </rPr>
      <t>Eletrocalha lisa galvanizada a fogo, 400 x 100 mm, com acessórios</t>
    </r>
  </si>
  <si>
    <r>
      <rPr>
        <sz val="8.5"/>
        <rFont val="Calibri"/>
        <family val="2"/>
      </rPr>
      <t>257,79</t>
    </r>
  </si>
  <si>
    <r>
      <rPr>
        <sz val="8.5"/>
        <rFont val="Calibri"/>
        <family val="2"/>
      </rPr>
      <t>294,18</t>
    </r>
  </si>
  <si>
    <r>
      <rPr>
        <sz val="8.5"/>
        <rFont val="Calibri"/>
        <family val="2"/>
      </rPr>
      <t>38.21.920</t>
    </r>
  </si>
  <si>
    <r>
      <rPr>
        <sz val="8.5"/>
        <rFont val="Calibri"/>
        <family val="2"/>
      </rPr>
      <t>Eletrocalha perfurada galvanizada a fogo, 100 x 50 mm, com acessórios</t>
    </r>
  </si>
  <si>
    <r>
      <rPr>
        <sz val="8.5"/>
        <rFont val="Calibri"/>
        <family val="2"/>
      </rPr>
      <t>67,46</t>
    </r>
  </si>
  <si>
    <r>
      <rPr>
        <sz val="8.5"/>
        <rFont val="Calibri"/>
        <family val="2"/>
      </rPr>
      <t>85,66</t>
    </r>
  </si>
  <si>
    <r>
      <rPr>
        <sz val="8.5"/>
        <rFont val="Calibri"/>
        <family val="2"/>
      </rPr>
      <t>38.21.930</t>
    </r>
  </si>
  <si>
    <r>
      <rPr>
        <sz val="8.5"/>
        <rFont val="Calibri"/>
        <family val="2"/>
      </rPr>
      <t>Eletrocalha perfurada galvanizada a fogo, 150 x 50 mm, com acessórios</t>
    </r>
  </si>
  <si>
    <r>
      <rPr>
        <sz val="8.5"/>
        <rFont val="Calibri"/>
        <family val="2"/>
      </rPr>
      <t>78,49</t>
    </r>
  </si>
  <si>
    <r>
      <rPr>
        <sz val="8.5"/>
        <rFont val="Calibri"/>
        <family val="2"/>
      </rPr>
      <t>96,69</t>
    </r>
  </si>
  <si>
    <r>
      <rPr>
        <sz val="8.5"/>
        <rFont val="Calibri"/>
        <family val="2"/>
      </rPr>
      <t>38.21.940</t>
    </r>
  </si>
  <si>
    <r>
      <rPr>
        <sz val="8.5"/>
        <rFont val="Calibri"/>
        <family val="2"/>
      </rPr>
      <t>Eletrocalha perfurada galvanizada a fogo, 200 x 50 mm, com acessórios</t>
    </r>
  </si>
  <si>
    <r>
      <rPr>
        <sz val="8.5"/>
        <rFont val="Calibri"/>
        <family val="2"/>
      </rPr>
      <t>95,93</t>
    </r>
  </si>
  <si>
    <r>
      <rPr>
        <sz val="8.5"/>
        <rFont val="Calibri"/>
        <family val="2"/>
      </rPr>
      <t>114,13</t>
    </r>
  </si>
  <si>
    <r>
      <rPr>
        <sz val="8.5"/>
        <rFont val="Calibri"/>
        <family val="2"/>
      </rPr>
      <t>38.21.950</t>
    </r>
  </si>
  <si>
    <r>
      <rPr>
        <sz val="8.5"/>
        <rFont val="Calibri"/>
        <family val="2"/>
      </rPr>
      <t>Eletrocalha perfurada galvanizada a fogo, 250 x 50 mm, com acessórios</t>
    </r>
  </si>
  <si>
    <r>
      <rPr>
        <sz val="8.5"/>
        <rFont val="Calibri"/>
        <family val="2"/>
      </rPr>
      <t>124,01</t>
    </r>
  </si>
  <si>
    <r>
      <rPr>
        <sz val="8.5"/>
        <rFont val="Calibri"/>
        <family val="2"/>
      </rPr>
      <t>142,21</t>
    </r>
  </si>
  <si>
    <r>
      <rPr>
        <sz val="8.5"/>
        <rFont val="Calibri"/>
        <family val="2"/>
      </rPr>
      <t>Eletrocalha e acessorios.</t>
    </r>
  </si>
  <si>
    <r>
      <rPr>
        <sz val="8.5"/>
        <rFont val="Calibri"/>
        <family val="2"/>
      </rPr>
      <t>38.22.120</t>
    </r>
  </si>
  <si>
    <r>
      <rPr>
        <sz val="8.5"/>
        <rFont val="Calibri"/>
        <family val="2"/>
      </rPr>
      <t>Eletrocalha perfurada galvanizada a fogo, 150x100mm, com acessórios</t>
    </r>
  </si>
  <si>
    <r>
      <rPr>
        <sz val="8.5"/>
        <rFont val="Calibri"/>
        <family val="2"/>
      </rPr>
      <t>107,42</t>
    </r>
  </si>
  <si>
    <r>
      <rPr>
        <sz val="8.5"/>
        <rFont val="Calibri"/>
        <family val="2"/>
      </rPr>
      <t>134,71</t>
    </r>
  </si>
  <si>
    <r>
      <rPr>
        <sz val="8.5"/>
        <rFont val="Calibri"/>
        <family val="2"/>
      </rPr>
      <t>38.22.130</t>
    </r>
  </si>
  <si>
    <r>
      <rPr>
        <sz val="8.5"/>
        <rFont val="Calibri"/>
        <family val="2"/>
      </rPr>
      <t>Eletrocalha perfurada galvanizada a fogo, 200x100mm, com acessórios</t>
    </r>
  </si>
  <si>
    <r>
      <rPr>
        <sz val="8.5"/>
        <rFont val="Calibri"/>
        <family val="2"/>
      </rPr>
      <t>125,61</t>
    </r>
  </si>
  <si>
    <r>
      <rPr>
        <sz val="8.5"/>
        <rFont val="Calibri"/>
        <family val="2"/>
      </rPr>
      <t>152,90</t>
    </r>
  </si>
  <si>
    <r>
      <rPr>
        <sz val="8.5"/>
        <rFont val="Calibri"/>
        <family val="2"/>
      </rPr>
      <t>38.22.140</t>
    </r>
  </si>
  <si>
    <r>
      <rPr>
        <sz val="8.5"/>
        <rFont val="Calibri"/>
        <family val="2"/>
      </rPr>
      <t>Eletrocalha perfurada galvanizada a fogo, 250x100mm, com acessórios</t>
    </r>
  </si>
  <si>
    <r>
      <rPr>
        <sz val="8.5"/>
        <rFont val="Calibri"/>
        <family val="2"/>
      </rPr>
      <t>148,07</t>
    </r>
  </si>
  <si>
    <r>
      <rPr>
        <sz val="8.5"/>
        <rFont val="Calibri"/>
        <family val="2"/>
      </rPr>
      <t>175,36</t>
    </r>
  </si>
  <si>
    <r>
      <rPr>
        <sz val="8.5"/>
        <rFont val="Calibri"/>
        <family val="2"/>
      </rPr>
      <t>38.22.150</t>
    </r>
  </si>
  <si>
    <r>
      <rPr>
        <sz val="8.5"/>
        <rFont val="Calibri"/>
        <family val="2"/>
      </rPr>
      <t>Eletrocalha perfurada galvanizada a fogo, 300x100mm, com acessórios</t>
    </r>
  </si>
  <si>
    <r>
      <rPr>
        <sz val="8.5"/>
        <rFont val="Calibri"/>
        <family val="2"/>
      </rPr>
      <t>157,07</t>
    </r>
  </si>
  <si>
    <r>
      <rPr>
        <sz val="8.5"/>
        <rFont val="Calibri"/>
        <family val="2"/>
      </rPr>
      <t>193,46</t>
    </r>
  </si>
  <si>
    <r>
      <rPr>
        <sz val="8.5"/>
        <rFont val="Calibri"/>
        <family val="2"/>
      </rPr>
      <t>38.22.160</t>
    </r>
  </si>
  <si>
    <r>
      <rPr>
        <sz val="8.5"/>
        <rFont val="Calibri"/>
        <family val="2"/>
      </rPr>
      <t>Eletrocalha perfurada galvanizada a fogo, 400x100mm, com acessórios</t>
    </r>
  </si>
  <si>
    <r>
      <rPr>
        <sz val="8.5"/>
        <rFont val="Calibri"/>
        <family val="2"/>
      </rPr>
      <t>224,26</t>
    </r>
  </si>
  <si>
    <r>
      <rPr>
        <sz val="8.5"/>
        <rFont val="Calibri"/>
        <family val="2"/>
      </rPr>
      <t>260,65</t>
    </r>
  </si>
  <si>
    <r>
      <rPr>
        <sz val="8.5"/>
        <rFont val="Calibri"/>
        <family val="2"/>
      </rPr>
      <t>38.22.610</t>
    </r>
  </si>
  <si>
    <r>
      <rPr>
        <sz val="8.5"/>
        <rFont val="Calibri"/>
        <family val="2"/>
      </rPr>
      <t>Tampa de encaixe para eletrocalha, galvanizada a fogo, L= 50mm</t>
    </r>
  </si>
  <si>
    <r>
      <rPr>
        <sz val="8.5"/>
        <rFont val="Calibri"/>
        <family val="2"/>
      </rPr>
      <t>26,70</t>
    </r>
  </si>
  <si>
    <r>
      <rPr>
        <sz val="8.5"/>
        <rFont val="Calibri"/>
        <family val="2"/>
      </rPr>
      <t>28,52</t>
    </r>
  </si>
  <si>
    <r>
      <rPr>
        <sz val="8.5"/>
        <rFont val="Calibri"/>
        <family val="2"/>
      </rPr>
      <t>38.22.620</t>
    </r>
  </si>
  <si>
    <r>
      <rPr>
        <sz val="8.5"/>
        <rFont val="Calibri"/>
        <family val="2"/>
      </rPr>
      <t>Tampa de encaixe para eletrocalha, galvanizada a fogo, L= 100mm</t>
    </r>
  </si>
  <si>
    <r>
      <rPr>
        <sz val="8.5"/>
        <rFont val="Calibri"/>
        <family val="2"/>
      </rPr>
      <t>44,81</t>
    </r>
  </si>
  <si>
    <r>
      <rPr>
        <sz val="8.5"/>
        <rFont val="Calibri"/>
        <family val="2"/>
      </rPr>
      <t>38.22.630</t>
    </r>
  </si>
  <si>
    <r>
      <rPr>
        <sz val="8.5"/>
        <rFont val="Calibri"/>
        <family val="2"/>
      </rPr>
      <t>Tampa de encaixe para eletrocalha, galvanizada a fogo, L= 150mm</t>
    </r>
  </si>
  <si>
    <r>
      <rPr>
        <sz val="8.5"/>
        <rFont val="Calibri"/>
        <family val="2"/>
      </rPr>
      <t>62,34</t>
    </r>
  </si>
  <si>
    <r>
      <rPr>
        <sz val="8.5"/>
        <rFont val="Calibri"/>
        <family val="2"/>
      </rPr>
      <t>64,16</t>
    </r>
  </si>
  <si>
    <r>
      <rPr>
        <sz val="8.5"/>
        <rFont val="Calibri"/>
        <family val="2"/>
      </rPr>
      <t>38.22.640</t>
    </r>
  </si>
  <si>
    <r>
      <rPr>
        <sz val="8.5"/>
        <rFont val="Calibri"/>
        <family val="2"/>
      </rPr>
      <t>Tampa de encaixe para eletrocalha, galvanizada a fogo, L= 200mm</t>
    </r>
  </si>
  <si>
    <r>
      <rPr>
        <sz val="8.5"/>
        <rFont val="Calibri"/>
        <family val="2"/>
      </rPr>
      <t>88,66</t>
    </r>
  </si>
  <si>
    <r>
      <rPr>
        <sz val="8.5"/>
        <rFont val="Calibri"/>
        <family val="2"/>
      </rPr>
      <t>90,48</t>
    </r>
  </si>
  <si>
    <r>
      <rPr>
        <sz val="8.5"/>
        <rFont val="Calibri"/>
        <family val="2"/>
      </rPr>
      <t>38.22.650</t>
    </r>
  </si>
  <si>
    <r>
      <rPr>
        <sz val="8.5"/>
        <rFont val="Calibri"/>
        <family val="2"/>
      </rPr>
      <t>Tampa de encaixe para eletrocalha, galvanizada a fogo, L= 250mm</t>
    </r>
  </si>
  <si>
    <r>
      <rPr>
        <sz val="8.5"/>
        <rFont val="Calibri"/>
        <family val="2"/>
      </rPr>
      <t>101,18</t>
    </r>
  </si>
  <si>
    <r>
      <rPr>
        <sz val="8.5"/>
        <rFont val="Calibri"/>
        <family val="2"/>
      </rPr>
      <t>103,00</t>
    </r>
  </si>
  <si>
    <r>
      <rPr>
        <sz val="8.5"/>
        <rFont val="Calibri"/>
        <family val="2"/>
      </rPr>
      <t>38.22.660</t>
    </r>
  </si>
  <si>
    <r>
      <rPr>
        <sz val="8.5"/>
        <rFont val="Calibri"/>
        <family val="2"/>
      </rPr>
      <t>Tampa de encaixe para eletrocalha, galvanizada a fogo, L= 300mm</t>
    </r>
  </si>
  <si>
    <r>
      <rPr>
        <sz val="8.5"/>
        <rFont val="Calibri"/>
        <family val="2"/>
      </rPr>
      <t>143,55</t>
    </r>
  </si>
  <si>
    <r>
      <rPr>
        <sz val="8.5"/>
        <rFont val="Calibri"/>
        <family val="2"/>
      </rPr>
      <t>145,37</t>
    </r>
  </si>
  <si>
    <r>
      <rPr>
        <sz val="8.5"/>
        <rFont val="Calibri"/>
        <family val="2"/>
      </rPr>
      <t>38.22.670</t>
    </r>
  </si>
  <si>
    <r>
      <rPr>
        <sz val="8.5"/>
        <rFont val="Calibri"/>
        <family val="2"/>
      </rPr>
      <t>Tampa de encaixe para eletrocalha, galvanizada a fogo, L= 400mm</t>
    </r>
  </si>
  <si>
    <r>
      <rPr>
        <sz val="8.5"/>
        <rFont val="Calibri"/>
        <family val="2"/>
      </rPr>
      <t>172,43</t>
    </r>
  </si>
  <si>
    <r>
      <rPr>
        <sz val="8.5"/>
        <rFont val="Calibri"/>
        <family val="2"/>
      </rPr>
      <t>174,25</t>
    </r>
  </si>
  <si>
    <r>
      <rPr>
        <sz val="8.5"/>
        <rFont val="Calibri"/>
        <family val="2"/>
      </rPr>
      <t>Eletrocalha e acessorios..</t>
    </r>
  </si>
  <si>
    <r>
      <rPr>
        <sz val="8.5"/>
        <rFont val="Calibri"/>
        <family val="2"/>
      </rPr>
      <t>38.23.010</t>
    </r>
  </si>
  <si>
    <r>
      <rPr>
        <sz val="8.5"/>
        <rFont val="Calibri"/>
        <family val="2"/>
      </rPr>
      <t>Suporte para eletrocalha, galvanizado a fogo, 50x50mm</t>
    </r>
  </si>
  <si>
    <r>
      <rPr>
        <sz val="8.5"/>
        <rFont val="Calibri"/>
        <family val="2"/>
      </rPr>
      <t>6,51</t>
    </r>
  </si>
  <si>
    <r>
      <rPr>
        <sz val="8.5"/>
        <rFont val="Calibri"/>
        <family val="2"/>
      </rPr>
      <t>15,61</t>
    </r>
  </si>
  <si>
    <r>
      <rPr>
        <sz val="8.5"/>
        <rFont val="Calibri"/>
        <family val="2"/>
      </rPr>
      <t>38.23.020</t>
    </r>
  </si>
  <si>
    <r>
      <rPr>
        <sz val="8.5"/>
        <rFont val="Calibri"/>
        <family val="2"/>
      </rPr>
      <t>Suporte para eletrocalha, galvanizado a fogo, 100x50mm</t>
    </r>
  </si>
  <si>
    <r>
      <rPr>
        <sz val="8.5"/>
        <rFont val="Calibri"/>
        <family val="2"/>
      </rPr>
      <t>17,18</t>
    </r>
  </si>
  <si>
    <r>
      <rPr>
        <sz val="8.5"/>
        <rFont val="Calibri"/>
        <family val="2"/>
      </rPr>
      <t>38.23.030</t>
    </r>
  </si>
  <si>
    <r>
      <rPr>
        <sz val="8.5"/>
        <rFont val="Calibri"/>
        <family val="2"/>
      </rPr>
      <t>Suporte para eletrocalha, galvanizado a fogo, 150x50mm</t>
    </r>
  </si>
  <si>
    <r>
      <rPr>
        <sz val="8.5"/>
        <rFont val="Calibri"/>
        <family val="2"/>
      </rPr>
      <t>11,46</t>
    </r>
  </si>
  <si>
    <r>
      <rPr>
        <sz val="8.5"/>
        <rFont val="Calibri"/>
        <family val="2"/>
      </rPr>
      <t>20,56</t>
    </r>
  </si>
  <si>
    <r>
      <rPr>
        <sz val="8.5"/>
        <rFont val="Calibri"/>
        <family val="2"/>
      </rPr>
      <t>38.23.040</t>
    </r>
  </si>
  <si>
    <r>
      <rPr>
        <sz val="8.5"/>
        <rFont val="Calibri"/>
        <family val="2"/>
      </rPr>
      <t>Suporte para eletrocalha, galvanizado a fogo, 200x50mm</t>
    </r>
  </si>
  <si>
    <r>
      <rPr>
        <sz val="8.5"/>
        <rFont val="Calibri"/>
        <family val="2"/>
      </rPr>
      <t>14,17</t>
    </r>
  </si>
  <si>
    <r>
      <rPr>
        <sz val="8.5"/>
        <rFont val="Calibri"/>
        <family val="2"/>
      </rPr>
      <t>38.23.050</t>
    </r>
  </si>
  <si>
    <r>
      <rPr>
        <sz val="8.5"/>
        <rFont val="Calibri"/>
        <family val="2"/>
      </rPr>
      <t>Suporte para eletrocalha, galvanizado a fogo, 250x50mm</t>
    </r>
  </si>
  <si>
    <r>
      <rPr>
        <sz val="8.5"/>
        <rFont val="Calibri"/>
        <family val="2"/>
      </rPr>
      <t>13,49</t>
    </r>
  </si>
  <si>
    <r>
      <rPr>
        <sz val="8.5"/>
        <rFont val="Calibri"/>
        <family val="2"/>
      </rPr>
      <t>22,59</t>
    </r>
  </si>
  <si>
    <r>
      <rPr>
        <sz val="8.5"/>
        <rFont val="Calibri"/>
        <family val="2"/>
      </rPr>
      <t>38.23.060</t>
    </r>
  </si>
  <si>
    <r>
      <rPr>
        <sz val="8.5"/>
        <rFont val="Calibri"/>
        <family val="2"/>
      </rPr>
      <t>Suporte para eletrocalha, galvanizado a fogo, 300x50mm</t>
    </r>
  </si>
  <si>
    <r>
      <rPr>
        <sz val="8.5"/>
        <rFont val="Calibri"/>
        <family val="2"/>
      </rPr>
      <t>18,00</t>
    </r>
  </si>
  <si>
    <r>
      <rPr>
        <sz val="8.5"/>
        <rFont val="Calibri"/>
        <family val="2"/>
      </rPr>
      <t>27,10</t>
    </r>
  </si>
  <si>
    <r>
      <rPr>
        <sz val="8.5"/>
        <rFont val="Calibri"/>
        <family val="2"/>
      </rPr>
      <t>38.23.110</t>
    </r>
  </si>
  <si>
    <r>
      <rPr>
        <sz val="8.5"/>
        <rFont val="Calibri"/>
        <family val="2"/>
      </rPr>
      <t>Suporte para eletrocalha, galvanizado a fogo, 100x100mm</t>
    </r>
  </si>
  <si>
    <r>
      <rPr>
        <sz val="8.5"/>
        <rFont val="Calibri"/>
        <family val="2"/>
      </rPr>
      <t>19,68</t>
    </r>
  </si>
  <si>
    <r>
      <rPr>
        <sz val="8.5"/>
        <rFont val="Calibri"/>
        <family val="2"/>
      </rPr>
      <t>38.23.120</t>
    </r>
  </si>
  <si>
    <r>
      <rPr>
        <sz val="8.5"/>
        <rFont val="Calibri"/>
        <family val="2"/>
      </rPr>
      <t>Suporte para eletrocalha, galvanizado a fogo, 150x100mm</t>
    </r>
  </si>
  <si>
    <r>
      <rPr>
        <sz val="8.5"/>
        <rFont val="Calibri"/>
        <family val="2"/>
      </rPr>
      <t>14,22</t>
    </r>
  </si>
  <si>
    <r>
      <rPr>
        <sz val="8.5"/>
        <rFont val="Calibri"/>
        <family val="2"/>
      </rPr>
      <t>23,32</t>
    </r>
  </si>
  <si>
    <r>
      <rPr>
        <sz val="8.5"/>
        <rFont val="Calibri"/>
        <family val="2"/>
      </rPr>
      <t>38.23.130</t>
    </r>
  </si>
  <si>
    <r>
      <rPr>
        <sz val="8.5"/>
        <rFont val="Calibri"/>
        <family val="2"/>
      </rPr>
      <t>Suporte para eletrocalha, galvanizado a fogo, 200x100mm</t>
    </r>
  </si>
  <si>
    <r>
      <rPr>
        <sz val="8.5"/>
        <rFont val="Calibri"/>
        <family val="2"/>
      </rPr>
      <t>25,48</t>
    </r>
  </si>
  <si>
    <r>
      <rPr>
        <sz val="8.5"/>
        <rFont val="Calibri"/>
        <family val="2"/>
      </rPr>
      <t>38.23.140</t>
    </r>
  </si>
  <si>
    <r>
      <rPr>
        <sz val="8.5"/>
        <rFont val="Calibri"/>
        <family val="2"/>
      </rPr>
      <t>Suporte para eletrocalha, galvanizado a fogo, 250x100mm</t>
    </r>
  </si>
  <si>
    <r>
      <rPr>
        <sz val="8.5"/>
        <rFont val="Calibri"/>
        <family val="2"/>
      </rPr>
      <t>17,65</t>
    </r>
  </si>
  <si>
    <r>
      <rPr>
        <sz val="8.5"/>
        <rFont val="Calibri"/>
        <family val="2"/>
      </rPr>
      <t>26,75</t>
    </r>
  </si>
  <si>
    <r>
      <rPr>
        <sz val="8.5"/>
        <rFont val="Calibri"/>
        <family val="2"/>
      </rPr>
      <t>38.23.150</t>
    </r>
  </si>
  <si>
    <r>
      <rPr>
        <sz val="8.5"/>
        <rFont val="Calibri"/>
        <family val="2"/>
      </rPr>
      <t>Suporte para eletrocalha, galvanizado a fogo, 300x100mm</t>
    </r>
  </si>
  <si>
    <r>
      <rPr>
        <sz val="8.5"/>
        <rFont val="Calibri"/>
        <family val="2"/>
      </rPr>
      <t>30,20</t>
    </r>
  </si>
  <si>
    <r>
      <rPr>
        <sz val="8.5"/>
        <rFont val="Calibri"/>
        <family val="2"/>
      </rPr>
      <t>38.23.160</t>
    </r>
  </si>
  <si>
    <r>
      <rPr>
        <sz val="8.5"/>
        <rFont val="Calibri"/>
        <family val="2"/>
      </rPr>
      <t>Suporte para eletrocalha, galvanizado a fogo, 400x100mm</t>
    </r>
  </si>
  <si>
    <r>
      <rPr>
        <sz val="8.5"/>
        <rFont val="Calibri"/>
        <family val="2"/>
      </rPr>
      <t>27,41</t>
    </r>
  </si>
  <si>
    <r>
      <rPr>
        <sz val="8.5"/>
        <rFont val="Calibri"/>
        <family val="2"/>
      </rPr>
      <t>36,51</t>
    </r>
  </si>
  <si>
    <r>
      <rPr>
        <sz val="8.5"/>
        <rFont val="Calibri"/>
        <family val="2"/>
      </rPr>
      <t>38.23.210</t>
    </r>
  </si>
  <si>
    <r>
      <rPr>
        <sz val="8.5"/>
        <rFont val="Calibri"/>
        <family val="2"/>
      </rPr>
      <t>Mão francesa simples, galvanizada a fogo, L= 200mm</t>
    </r>
  </si>
  <si>
    <r>
      <rPr>
        <sz val="8.5"/>
        <rFont val="Calibri"/>
        <family val="2"/>
      </rPr>
      <t>21,69</t>
    </r>
  </si>
  <si>
    <r>
      <rPr>
        <sz val="8.5"/>
        <rFont val="Calibri"/>
        <family val="2"/>
      </rPr>
      <t>38.23.220</t>
    </r>
  </si>
  <si>
    <r>
      <rPr>
        <sz val="8.5"/>
        <rFont val="Calibri"/>
        <family val="2"/>
      </rPr>
      <t>Mão francesa simples, galvanizada a fogo, L= 300mm</t>
    </r>
  </si>
  <si>
    <r>
      <rPr>
        <sz val="8.5"/>
        <rFont val="Calibri"/>
        <family val="2"/>
      </rPr>
      <t>25,59</t>
    </r>
  </si>
  <si>
    <r>
      <rPr>
        <sz val="8.5"/>
        <rFont val="Calibri"/>
        <family val="2"/>
      </rPr>
      <t>38.23.230</t>
    </r>
  </si>
  <si>
    <r>
      <rPr>
        <sz val="8.5"/>
        <rFont val="Calibri"/>
        <family val="2"/>
      </rPr>
      <t>Mão francesa simples, galvanizada a fogo, L= 400mm</t>
    </r>
  </si>
  <si>
    <r>
      <rPr>
        <sz val="8.5"/>
        <rFont val="Calibri"/>
        <family val="2"/>
      </rPr>
      <t>23,19</t>
    </r>
  </si>
  <si>
    <r>
      <rPr>
        <sz val="8.5"/>
        <rFont val="Calibri"/>
        <family val="2"/>
      </rPr>
      <t>32,29</t>
    </r>
  </si>
  <si>
    <r>
      <rPr>
        <sz val="8.5"/>
        <rFont val="Calibri"/>
        <family val="2"/>
      </rPr>
      <t>38.23.240</t>
    </r>
  </si>
  <si>
    <r>
      <rPr>
        <sz val="8.5"/>
        <rFont val="Calibri"/>
        <family val="2"/>
      </rPr>
      <t>Mão francesa simples, galvanizada a fogo, L= 500mm</t>
    </r>
  </si>
  <si>
    <r>
      <rPr>
        <sz val="8.5"/>
        <rFont val="Calibri"/>
        <family val="2"/>
      </rPr>
      <t>26,85</t>
    </r>
  </si>
  <si>
    <r>
      <rPr>
        <sz val="8.5"/>
        <rFont val="Calibri"/>
        <family val="2"/>
      </rPr>
      <t>35,95</t>
    </r>
  </si>
  <si>
    <r>
      <rPr>
        <sz val="8.5"/>
        <rFont val="Calibri"/>
        <family val="2"/>
      </rPr>
      <t>38.23.310</t>
    </r>
  </si>
  <si>
    <r>
      <rPr>
        <sz val="8.5"/>
        <rFont val="Calibri"/>
        <family val="2"/>
      </rPr>
      <t>Mão francesa dupla, galvanizada a fogo, L= 300mm</t>
    </r>
  </si>
  <si>
    <r>
      <rPr>
        <sz val="8.5"/>
        <rFont val="Calibri"/>
        <family val="2"/>
      </rPr>
      <t>33,26</t>
    </r>
  </si>
  <si>
    <r>
      <rPr>
        <sz val="8.5"/>
        <rFont val="Calibri"/>
        <family val="2"/>
      </rPr>
      <t>45,99</t>
    </r>
  </si>
  <si>
    <r>
      <rPr>
        <sz val="8.5"/>
        <rFont val="Calibri"/>
        <family val="2"/>
      </rPr>
      <t>38.23.320</t>
    </r>
  </si>
  <si>
    <r>
      <rPr>
        <sz val="8.5"/>
        <rFont val="Calibri"/>
        <family val="2"/>
      </rPr>
      <t>Mão francesa dupla, galvanizada a fogo, L= 400mm</t>
    </r>
  </si>
  <si>
    <r>
      <rPr>
        <sz val="8.5"/>
        <rFont val="Calibri"/>
        <family val="2"/>
      </rPr>
      <t>43,62</t>
    </r>
  </si>
  <si>
    <r>
      <rPr>
        <sz val="8.5"/>
        <rFont val="Calibri"/>
        <family val="2"/>
      </rPr>
      <t>56,35</t>
    </r>
  </si>
  <si>
    <r>
      <rPr>
        <sz val="8.5"/>
        <rFont val="Calibri"/>
        <family val="2"/>
      </rPr>
      <t>38.23.330</t>
    </r>
  </si>
  <si>
    <r>
      <rPr>
        <sz val="8.5"/>
        <rFont val="Calibri"/>
        <family val="2"/>
      </rPr>
      <t>Mão francesa dupla, galvanizada a fogo, L= 500mm</t>
    </r>
  </si>
  <si>
    <r>
      <rPr>
        <sz val="8.5"/>
        <rFont val="Calibri"/>
        <family val="2"/>
      </rPr>
      <t>50,80</t>
    </r>
  </si>
  <si>
    <r>
      <rPr>
        <sz val="8.5"/>
        <rFont val="Calibri"/>
        <family val="2"/>
      </rPr>
      <t>63,53</t>
    </r>
  </si>
  <si>
    <r>
      <rPr>
        <sz val="8.5"/>
        <rFont val="Calibri"/>
        <family val="2"/>
      </rPr>
      <t>CONDUTOR E ENFIACAO DE ENERGIA ELETRICA E TELEFONIA</t>
    </r>
  </si>
  <si>
    <r>
      <rPr>
        <sz val="8.5"/>
        <rFont val="Calibri"/>
        <family val="2"/>
      </rPr>
      <t>Cabo de cobre, isolamento 450V / 750 V, isolacao em PVC 70°C</t>
    </r>
  </si>
  <si>
    <r>
      <rPr>
        <sz val="8.5"/>
        <rFont val="Calibri"/>
        <family val="2"/>
      </rPr>
      <t>39.02.010</t>
    </r>
  </si>
  <si>
    <r>
      <rPr>
        <sz val="8.5"/>
        <rFont val="Calibri"/>
        <family val="2"/>
      </rPr>
      <t>Cabo de cobre de 1,5 mm², isolamento 750 V - isolação em PVC 70°C</t>
    </r>
  </si>
  <si>
    <r>
      <rPr>
        <sz val="8.5"/>
        <rFont val="Calibri"/>
        <family val="2"/>
      </rPr>
      <t>39.02.016</t>
    </r>
  </si>
  <si>
    <r>
      <rPr>
        <sz val="8.5"/>
        <rFont val="Calibri"/>
        <family val="2"/>
      </rPr>
      <t>Cabo de cobre de 2,5 mm², isolamento 750 V - isolação em PVC 70°C</t>
    </r>
  </si>
  <si>
    <r>
      <rPr>
        <sz val="8.5"/>
        <rFont val="Calibri"/>
        <family val="2"/>
      </rPr>
      <t>2,62</t>
    </r>
  </si>
  <si>
    <r>
      <rPr>
        <sz val="8.5"/>
        <rFont val="Calibri"/>
        <family val="2"/>
      </rPr>
      <t>39.02.020</t>
    </r>
  </si>
  <si>
    <r>
      <rPr>
        <sz val="8.5"/>
        <rFont val="Calibri"/>
        <family val="2"/>
      </rPr>
      <t>Cabo de cobre de 4 mm², isolamento 750 V - isolação em PVC 70°C</t>
    </r>
  </si>
  <si>
    <r>
      <rPr>
        <sz val="8.5"/>
        <rFont val="Calibri"/>
        <family val="2"/>
      </rPr>
      <t>4,09</t>
    </r>
  </si>
  <si>
    <r>
      <rPr>
        <sz val="8.5"/>
        <rFont val="Calibri"/>
        <family val="2"/>
      </rPr>
      <t>6,27</t>
    </r>
  </si>
  <si>
    <r>
      <rPr>
        <sz val="8.5"/>
        <rFont val="Calibri"/>
        <family val="2"/>
      </rPr>
      <t>39.02.030</t>
    </r>
  </si>
  <si>
    <r>
      <rPr>
        <sz val="8.5"/>
        <rFont val="Calibri"/>
        <family val="2"/>
      </rPr>
      <t>Cabo de cobre de 6 mm², isolamento 750 V - isolação em PVC 70°C</t>
    </r>
  </si>
  <si>
    <r>
      <rPr>
        <sz val="8.5"/>
        <rFont val="Calibri"/>
        <family val="2"/>
      </rPr>
      <t>6,61</t>
    </r>
  </si>
  <si>
    <r>
      <rPr>
        <sz val="8.5"/>
        <rFont val="Calibri"/>
        <family val="2"/>
      </rPr>
      <t>2,55</t>
    </r>
  </si>
  <si>
    <r>
      <rPr>
        <sz val="8.5"/>
        <rFont val="Calibri"/>
        <family val="2"/>
      </rPr>
      <t>39.02.040</t>
    </r>
  </si>
  <si>
    <r>
      <rPr>
        <sz val="8.5"/>
        <rFont val="Calibri"/>
        <family val="2"/>
      </rPr>
      <t>Cabo de cobre de 10 mm², isolamento 750 V - isolação em PVC 70°C</t>
    </r>
  </si>
  <si>
    <r>
      <rPr>
        <sz val="8.5"/>
        <rFont val="Calibri"/>
        <family val="2"/>
      </rPr>
      <t>11,14</t>
    </r>
  </si>
  <si>
    <r>
      <rPr>
        <sz val="8.5"/>
        <rFont val="Calibri"/>
        <family val="2"/>
      </rPr>
      <t>14,05</t>
    </r>
  </si>
  <si>
    <r>
      <rPr>
        <sz val="8.5"/>
        <rFont val="Calibri"/>
        <family val="2"/>
      </rPr>
      <t>Cabo de cobre, isolamento 0,6/1kV, isolacao em PVC 70°C</t>
    </r>
  </si>
  <si>
    <r>
      <rPr>
        <sz val="8.5"/>
        <rFont val="Calibri"/>
        <family val="2"/>
      </rPr>
      <t>39.03.160</t>
    </r>
  </si>
  <si>
    <r>
      <rPr>
        <sz val="8.5"/>
        <rFont val="Calibri"/>
        <family val="2"/>
      </rPr>
      <t>Cabo de cobre de 1,5 mm², isolamento 0,6/1 kV - isolação em PVC 70°C</t>
    </r>
  </si>
  <si>
    <r>
      <rPr>
        <sz val="8.5"/>
        <rFont val="Calibri"/>
        <family val="2"/>
      </rPr>
      <t>3,31</t>
    </r>
  </si>
  <si>
    <r>
      <rPr>
        <sz val="8.5"/>
        <rFont val="Calibri"/>
        <family val="2"/>
      </rPr>
      <t>39.03.170</t>
    </r>
  </si>
  <si>
    <r>
      <rPr>
        <sz val="8.5"/>
        <rFont val="Calibri"/>
        <family val="2"/>
      </rPr>
      <t>Cabo de cobre de 2,5 mm², isolamento 0,6/1 kV - isolação em PVC 70°C</t>
    </r>
  </si>
  <si>
    <r>
      <rPr>
        <sz val="8.5"/>
        <rFont val="Calibri"/>
        <family val="2"/>
      </rPr>
      <t>4,72</t>
    </r>
  </si>
  <si>
    <r>
      <rPr>
        <sz val="8.5"/>
        <rFont val="Calibri"/>
        <family val="2"/>
      </rPr>
      <t>39.03.174</t>
    </r>
  </si>
  <si>
    <r>
      <rPr>
        <sz val="8.5"/>
        <rFont val="Calibri"/>
        <family val="2"/>
      </rPr>
      <t>Cabo de cobre de 4 mm², isolamento 0,6/1 kV - isolação em PVC 70°C.</t>
    </r>
  </si>
  <si>
    <r>
      <rPr>
        <sz val="8.5"/>
        <rFont val="Calibri"/>
        <family val="2"/>
      </rPr>
      <t>4,37</t>
    </r>
  </si>
  <si>
    <r>
      <rPr>
        <sz val="8.5"/>
        <rFont val="Calibri"/>
        <family val="2"/>
      </rPr>
      <t>39.03.178</t>
    </r>
  </si>
  <si>
    <r>
      <rPr>
        <sz val="8.5"/>
        <rFont val="Calibri"/>
        <family val="2"/>
      </rPr>
      <t>Cabo de cobre de 6 mm², isolamento 0,6/1 kV - isolação em PVC 70°C</t>
    </r>
  </si>
  <si>
    <r>
      <rPr>
        <sz val="8.5"/>
        <rFont val="Calibri"/>
        <family val="2"/>
      </rPr>
      <t>6,59</t>
    </r>
  </si>
  <si>
    <r>
      <rPr>
        <sz val="8.5"/>
        <rFont val="Calibri"/>
        <family val="2"/>
      </rPr>
      <t>9,14</t>
    </r>
  </si>
  <si>
    <r>
      <rPr>
        <sz val="8.5"/>
        <rFont val="Calibri"/>
        <family val="2"/>
      </rPr>
      <t>39.03.182</t>
    </r>
  </si>
  <si>
    <r>
      <rPr>
        <sz val="8.5"/>
        <rFont val="Calibri"/>
        <family val="2"/>
      </rPr>
      <t>Cabo de cobre de 10 mm², isolamento 0,6/1 kV - isolação em PVC 70°C</t>
    </r>
  </si>
  <si>
    <r>
      <rPr>
        <sz val="8.5"/>
        <rFont val="Calibri"/>
        <family val="2"/>
      </rPr>
      <t>10,63</t>
    </r>
  </si>
  <si>
    <r>
      <rPr>
        <sz val="8.5"/>
        <rFont val="Calibri"/>
        <family val="2"/>
      </rPr>
      <t>Cabo de cobre nu, tempera mole, classe 2</t>
    </r>
  </si>
  <si>
    <r>
      <rPr>
        <sz val="8.5"/>
        <rFont val="Calibri"/>
        <family val="2"/>
      </rPr>
      <t>39.04.040</t>
    </r>
  </si>
  <si>
    <r>
      <rPr>
        <sz val="8.5"/>
        <rFont val="Calibri"/>
        <family val="2"/>
      </rPr>
      <t>Cabo de cobre nu, têmpera mole, classe 2, de 10 mm²</t>
    </r>
  </si>
  <si>
    <r>
      <rPr>
        <sz val="8.5"/>
        <rFont val="Calibri"/>
        <family val="2"/>
      </rPr>
      <t>8,67</t>
    </r>
  </si>
  <si>
    <r>
      <rPr>
        <sz val="8.5"/>
        <rFont val="Calibri"/>
        <family val="2"/>
      </rPr>
      <t>10,49</t>
    </r>
  </si>
  <si>
    <r>
      <rPr>
        <sz val="8.5"/>
        <rFont val="Calibri"/>
        <family val="2"/>
      </rPr>
      <t>39.04.050</t>
    </r>
  </si>
  <si>
    <r>
      <rPr>
        <sz val="8.5"/>
        <rFont val="Calibri"/>
        <family val="2"/>
      </rPr>
      <t>Cabo de cobre nu, têmpera mole, classe 2, de 16 mm²</t>
    </r>
  </si>
  <si>
    <r>
      <rPr>
        <sz val="8.5"/>
        <rFont val="Calibri"/>
        <family val="2"/>
      </rPr>
      <t>39.04.060</t>
    </r>
  </si>
  <si>
    <r>
      <rPr>
        <sz val="8.5"/>
        <rFont val="Calibri"/>
        <family val="2"/>
      </rPr>
      <t>Cabo de cobre nu, têmpera mole, classe 2, de 25 mm²</t>
    </r>
  </si>
  <si>
    <r>
      <rPr>
        <sz val="8.5"/>
        <rFont val="Calibri"/>
        <family val="2"/>
      </rPr>
      <t>21,20</t>
    </r>
  </si>
  <si>
    <r>
      <rPr>
        <sz val="8.5"/>
        <rFont val="Calibri"/>
        <family val="2"/>
      </rPr>
      <t>24,84</t>
    </r>
  </si>
  <si>
    <r>
      <rPr>
        <sz val="8.5"/>
        <rFont val="Calibri"/>
        <family val="2"/>
      </rPr>
      <t>39.04.070</t>
    </r>
  </si>
  <si>
    <r>
      <rPr>
        <sz val="8.5"/>
        <rFont val="Calibri"/>
        <family val="2"/>
      </rPr>
      <t>Cabo de cobre nu, têmpera mole, classe 2, de 35 mm²</t>
    </r>
  </si>
  <si>
    <r>
      <rPr>
        <sz val="8.5"/>
        <rFont val="Calibri"/>
        <family val="2"/>
      </rPr>
      <t>30,99</t>
    </r>
  </si>
  <si>
    <r>
      <rPr>
        <sz val="8.5"/>
        <rFont val="Calibri"/>
        <family val="2"/>
      </rPr>
      <t>36,45</t>
    </r>
  </si>
  <si>
    <r>
      <rPr>
        <sz val="8.5"/>
        <rFont val="Calibri"/>
        <family val="2"/>
      </rPr>
      <t>39.04.080</t>
    </r>
  </si>
  <si>
    <r>
      <rPr>
        <sz val="8.5"/>
        <rFont val="Calibri"/>
        <family val="2"/>
      </rPr>
      <t>Cabo de cobre nu, têmpera mole, classe 2, de 50 mm²</t>
    </r>
  </si>
  <si>
    <r>
      <rPr>
        <sz val="8.5"/>
        <rFont val="Calibri"/>
        <family val="2"/>
      </rPr>
      <t>46,32</t>
    </r>
  </si>
  <si>
    <r>
      <rPr>
        <sz val="8.5"/>
        <rFont val="Calibri"/>
        <family val="2"/>
      </rPr>
      <t>53,59</t>
    </r>
  </si>
  <si>
    <r>
      <rPr>
        <sz val="8.5"/>
        <rFont val="Calibri"/>
        <family val="2"/>
      </rPr>
      <t>39.04.100</t>
    </r>
  </si>
  <si>
    <r>
      <rPr>
        <sz val="8.5"/>
        <rFont val="Calibri"/>
        <family val="2"/>
      </rPr>
      <t>Cabo de cobre nu, têmpera mole, classe 2, de 70 mm²</t>
    </r>
  </si>
  <si>
    <r>
      <rPr>
        <sz val="8.5"/>
        <rFont val="Calibri"/>
        <family val="2"/>
      </rPr>
      <t>57,75</t>
    </r>
  </si>
  <si>
    <r>
      <rPr>
        <sz val="8.5"/>
        <rFont val="Calibri"/>
        <family val="2"/>
      </rPr>
      <t>66,85</t>
    </r>
  </si>
  <si>
    <r>
      <rPr>
        <sz val="8.5"/>
        <rFont val="Calibri"/>
        <family val="2"/>
      </rPr>
      <t>39.04.120</t>
    </r>
  </si>
  <si>
    <r>
      <rPr>
        <sz val="8.5"/>
        <rFont val="Calibri"/>
        <family val="2"/>
      </rPr>
      <t>Cabo de cobre nu, têmpera mole, classe 2, de 95 mm²</t>
    </r>
  </si>
  <si>
    <r>
      <rPr>
        <sz val="8.5"/>
        <rFont val="Calibri"/>
        <family val="2"/>
      </rPr>
      <t>92,54</t>
    </r>
  </si>
  <si>
    <r>
      <rPr>
        <sz val="8.5"/>
        <rFont val="Calibri"/>
        <family val="2"/>
      </rPr>
      <t>103,46</t>
    </r>
  </si>
  <si>
    <r>
      <rPr>
        <sz val="8.5"/>
        <rFont val="Calibri"/>
        <family val="2"/>
      </rPr>
      <t>39.04.180</t>
    </r>
  </si>
  <si>
    <r>
      <rPr>
        <sz val="8.5"/>
        <rFont val="Calibri"/>
        <family val="2"/>
      </rPr>
      <t>Cabo de cobre nu, têmpera mole, classe 2, de 185 mm²</t>
    </r>
  </si>
  <si>
    <r>
      <rPr>
        <sz val="8.5"/>
        <rFont val="Calibri"/>
        <family val="2"/>
      </rPr>
      <t>201,67</t>
    </r>
  </si>
  <si>
    <r>
      <rPr>
        <sz val="8.5"/>
        <rFont val="Calibri"/>
        <family val="2"/>
      </rPr>
      <t>218,04</t>
    </r>
  </si>
  <si>
    <r>
      <rPr>
        <sz val="8.5"/>
        <rFont val="Calibri"/>
        <family val="2"/>
      </rPr>
      <t>Cabo de cobre tripolar, isolamento 8,7/15 kV, isolacao EPR 90°C</t>
    </r>
  </si>
  <si>
    <r>
      <rPr>
        <sz val="8.5"/>
        <rFont val="Calibri"/>
        <family val="2"/>
      </rPr>
      <t>39.05.070</t>
    </r>
  </si>
  <si>
    <r>
      <rPr>
        <sz val="8.5"/>
        <rFont val="Calibri"/>
        <family val="2"/>
      </rPr>
      <t>Cabo de cobre de 3x35 mm², isolamento 8,7/15 kV - isolação EPR 90°C</t>
    </r>
  </si>
  <si>
    <r>
      <rPr>
        <sz val="8.5"/>
        <rFont val="Calibri"/>
        <family val="2"/>
      </rPr>
      <t>261,75</t>
    </r>
  </si>
  <si>
    <r>
      <rPr>
        <sz val="8.5"/>
        <rFont val="Calibri"/>
        <family val="2"/>
      </rPr>
      <t>32,72</t>
    </r>
  </si>
  <si>
    <r>
      <rPr>
        <sz val="8.5"/>
        <rFont val="Calibri"/>
        <family val="2"/>
      </rPr>
      <t>294,47</t>
    </r>
  </si>
  <si>
    <r>
      <rPr>
        <sz val="8.5"/>
        <rFont val="Calibri"/>
        <family val="2"/>
      </rPr>
      <t>Cabo de cobre unipolar, isolamento 8,7/15 kV, isolacao EPR 90°C</t>
    </r>
  </si>
  <si>
    <r>
      <rPr>
        <sz val="8.5"/>
        <rFont val="Calibri"/>
        <family val="2"/>
      </rPr>
      <t>39.06.060</t>
    </r>
  </si>
  <si>
    <r>
      <rPr>
        <sz val="8.5"/>
        <rFont val="Calibri"/>
        <family val="2"/>
      </rPr>
      <t>Cabo de cobre de 25 mm², isolamento 8,7/15 kV - isolação EPR 90°C</t>
    </r>
  </si>
  <si>
    <r>
      <rPr>
        <sz val="8.5"/>
        <rFont val="Calibri"/>
        <family val="2"/>
      </rPr>
      <t>55,93</t>
    </r>
  </si>
  <si>
    <r>
      <rPr>
        <sz val="8.5"/>
        <rFont val="Calibri"/>
        <family val="2"/>
      </rPr>
      <t>19,63</t>
    </r>
  </si>
  <si>
    <r>
      <rPr>
        <sz val="8.5"/>
        <rFont val="Calibri"/>
        <family val="2"/>
      </rPr>
      <t>75,56</t>
    </r>
  </si>
  <si>
    <r>
      <rPr>
        <sz val="8.5"/>
        <rFont val="Calibri"/>
        <family val="2"/>
      </rPr>
      <t>39.06.070</t>
    </r>
  </si>
  <si>
    <r>
      <rPr>
        <sz val="8.5"/>
        <rFont val="Calibri"/>
        <family val="2"/>
      </rPr>
      <t>Cabo de cobre de 35 mm², isolamento 8,7/15 kV - isolação EPR 90°C</t>
    </r>
  </si>
  <si>
    <r>
      <rPr>
        <sz val="8.5"/>
        <rFont val="Calibri"/>
        <family val="2"/>
      </rPr>
      <t>76,02</t>
    </r>
  </si>
  <si>
    <r>
      <rPr>
        <sz val="8.5"/>
        <rFont val="Calibri"/>
        <family val="2"/>
      </rPr>
      <t>23,62</t>
    </r>
  </si>
  <si>
    <r>
      <rPr>
        <sz val="8.5"/>
        <rFont val="Calibri"/>
        <family val="2"/>
      </rPr>
      <t>99,64</t>
    </r>
  </si>
  <si>
    <r>
      <rPr>
        <sz val="8.5"/>
        <rFont val="Calibri"/>
        <family val="2"/>
      </rPr>
      <t>39.06.074</t>
    </r>
  </si>
  <si>
    <r>
      <rPr>
        <sz val="8.5"/>
        <rFont val="Calibri"/>
        <family val="2"/>
      </rPr>
      <t>Cabo de cobre de 50 mm², isolamento 8,7/15 kV - isolação EPR 90°C</t>
    </r>
  </si>
  <si>
    <r>
      <rPr>
        <sz val="8.5"/>
        <rFont val="Calibri"/>
        <family val="2"/>
      </rPr>
      <t>104,85</t>
    </r>
  </si>
  <si>
    <r>
      <rPr>
        <sz val="8.5"/>
        <rFont val="Calibri"/>
        <family val="2"/>
      </rPr>
      <t>137,57</t>
    </r>
  </si>
  <si>
    <r>
      <rPr>
        <sz val="8.5"/>
        <rFont val="Calibri"/>
        <family val="2"/>
      </rPr>
      <t>39.06.084</t>
    </r>
  </si>
  <si>
    <r>
      <rPr>
        <sz val="8.5"/>
        <rFont val="Calibri"/>
        <family val="2"/>
      </rPr>
      <t>Cabo de cobre de 120 mm², isolamento 8,7/15 kV - isolação EPR 90°C</t>
    </r>
  </si>
  <si>
    <r>
      <rPr>
        <sz val="8.5"/>
        <rFont val="Calibri"/>
        <family val="2"/>
      </rPr>
      <t>200,24</t>
    </r>
  </si>
  <si>
    <r>
      <rPr>
        <sz val="8.5"/>
        <rFont val="Calibri"/>
        <family val="2"/>
      </rPr>
      <t>239,50</t>
    </r>
  </si>
  <si>
    <r>
      <rPr>
        <sz val="8.5"/>
        <rFont val="Calibri"/>
        <family val="2"/>
      </rPr>
      <t>Conectores</t>
    </r>
  </si>
  <si>
    <r>
      <rPr>
        <sz val="8.5"/>
        <rFont val="Calibri"/>
        <family val="2"/>
      </rPr>
      <t>39.09.010</t>
    </r>
  </si>
  <si>
    <r>
      <rPr>
        <sz val="8.5"/>
        <rFont val="Calibri"/>
        <family val="2"/>
      </rPr>
      <t>Conector terminal tipo BNC para cabo coaxial RG 59</t>
    </r>
  </si>
  <si>
    <r>
      <rPr>
        <sz val="8.5"/>
        <rFont val="Calibri"/>
        <family val="2"/>
      </rPr>
      <t>6,67</t>
    </r>
  </si>
  <si>
    <r>
      <rPr>
        <sz val="8.5"/>
        <rFont val="Calibri"/>
        <family val="2"/>
      </rPr>
      <t>10,31</t>
    </r>
  </si>
  <si>
    <r>
      <rPr>
        <sz val="8.5"/>
        <rFont val="Calibri"/>
        <family val="2"/>
      </rPr>
      <t>39.09.015</t>
    </r>
  </si>
  <si>
    <r>
      <rPr>
        <sz val="8.5"/>
        <rFont val="Calibri"/>
        <family val="2"/>
      </rPr>
      <t>Conector de emenda tipo BNC para cabo coaxial RG 59</t>
    </r>
  </si>
  <si>
    <r>
      <rPr>
        <sz val="8.5"/>
        <rFont val="Calibri"/>
        <family val="2"/>
      </rPr>
      <t>4,69</t>
    </r>
  </si>
  <si>
    <r>
      <rPr>
        <sz val="8.5"/>
        <rFont val="Calibri"/>
        <family val="2"/>
      </rPr>
      <t>8,33</t>
    </r>
  </si>
  <si>
    <r>
      <rPr>
        <sz val="8.5"/>
        <rFont val="Calibri"/>
        <family val="2"/>
      </rPr>
      <t>39.09.020</t>
    </r>
  </si>
  <si>
    <r>
      <rPr>
        <sz val="8.5"/>
        <rFont val="Calibri"/>
        <family val="2"/>
      </rPr>
      <t>Conector split-bolt para cabo de 25 mm², latão, simples</t>
    </r>
  </si>
  <si>
    <r>
      <rPr>
        <sz val="8.5"/>
        <rFont val="Calibri"/>
        <family val="2"/>
      </rPr>
      <t>9,95</t>
    </r>
  </si>
  <si>
    <r>
      <rPr>
        <sz val="8.5"/>
        <rFont val="Calibri"/>
        <family val="2"/>
      </rPr>
      <t>13,59</t>
    </r>
  </si>
  <si>
    <r>
      <rPr>
        <sz val="8.5"/>
        <rFont val="Calibri"/>
        <family val="2"/>
      </rPr>
      <t>39.09.040</t>
    </r>
  </si>
  <si>
    <r>
      <rPr>
        <sz val="8.5"/>
        <rFont val="Calibri"/>
        <family val="2"/>
      </rPr>
      <t>Conector split-bolt para cabo de 35 mm², latão, simples</t>
    </r>
  </si>
  <si>
    <r>
      <rPr>
        <sz val="8.5"/>
        <rFont val="Calibri"/>
        <family val="2"/>
      </rPr>
      <t>13,93</t>
    </r>
  </si>
  <si>
    <r>
      <rPr>
        <sz val="8.5"/>
        <rFont val="Calibri"/>
        <family val="2"/>
      </rPr>
      <t>39.09.060</t>
    </r>
  </si>
  <si>
    <r>
      <rPr>
        <sz val="8.5"/>
        <rFont val="Calibri"/>
        <family val="2"/>
      </rPr>
      <t>Conector split-bolt para cabo de 50 mm², latão, simples</t>
    </r>
  </si>
  <si>
    <r>
      <rPr>
        <sz val="8.5"/>
        <rFont val="Calibri"/>
        <family val="2"/>
      </rPr>
      <t>13,73</t>
    </r>
  </si>
  <si>
    <r>
      <rPr>
        <sz val="8.5"/>
        <rFont val="Calibri"/>
        <family val="2"/>
      </rPr>
      <t>17,37</t>
    </r>
  </si>
  <si>
    <r>
      <rPr>
        <sz val="8.5"/>
        <rFont val="Calibri"/>
        <family val="2"/>
      </rPr>
      <t>39.09.100</t>
    </r>
  </si>
  <si>
    <r>
      <rPr>
        <sz val="8.5"/>
        <rFont val="Calibri"/>
        <family val="2"/>
      </rPr>
      <t>Conector split-bolt para cabo de 25 mm², latão, com rabicho</t>
    </r>
  </si>
  <si>
    <r>
      <rPr>
        <sz val="8.5"/>
        <rFont val="Calibri"/>
        <family val="2"/>
      </rPr>
      <t>15,13</t>
    </r>
  </si>
  <si>
    <r>
      <rPr>
        <sz val="8.5"/>
        <rFont val="Calibri"/>
        <family val="2"/>
      </rPr>
      <t>18,77</t>
    </r>
  </si>
  <si>
    <r>
      <rPr>
        <sz val="8.5"/>
        <rFont val="Calibri"/>
        <family val="2"/>
      </rPr>
      <t>39.09.120</t>
    </r>
  </si>
  <si>
    <r>
      <rPr>
        <sz val="8.5"/>
        <rFont val="Calibri"/>
        <family val="2"/>
      </rPr>
      <t>Conector split-bolt para cabo de 35 mm², latão, com rabicho</t>
    </r>
  </si>
  <si>
    <r>
      <rPr>
        <sz val="8.5"/>
        <rFont val="Calibri"/>
        <family val="2"/>
      </rPr>
      <t>22,90</t>
    </r>
  </si>
  <si>
    <r>
      <rPr>
        <sz val="8.5"/>
        <rFont val="Calibri"/>
        <family val="2"/>
      </rPr>
      <t>39.09.140</t>
    </r>
  </si>
  <si>
    <r>
      <rPr>
        <sz val="8.5"/>
        <rFont val="Calibri"/>
        <family val="2"/>
      </rPr>
      <t>Conector split-bolt para cabo de 50 mm², latão, com rabicho</t>
    </r>
  </si>
  <si>
    <r>
      <rPr>
        <sz val="8.5"/>
        <rFont val="Calibri"/>
        <family val="2"/>
      </rPr>
      <t>22,48</t>
    </r>
  </si>
  <si>
    <r>
      <rPr>
        <sz val="8.5"/>
        <rFont val="Calibri"/>
        <family val="2"/>
      </rPr>
      <t>26,12</t>
    </r>
  </si>
  <si>
    <r>
      <rPr>
        <sz val="8.5"/>
        <rFont val="Calibri"/>
        <family val="2"/>
      </rPr>
      <t>Terminais de pressao e compressao</t>
    </r>
  </si>
  <si>
    <r>
      <rPr>
        <sz val="8.5"/>
        <rFont val="Calibri"/>
        <family val="2"/>
      </rPr>
      <t>39.10.050</t>
    </r>
  </si>
  <si>
    <r>
      <rPr>
        <sz val="8.5"/>
        <rFont val="Calibri"/>
        <family val="2"/>
      </rPr>
      <t>Terminal de compressão para cabo de 2,5 mm²</t>
    </r>
  </si>
  <si>
    <r>
      <rPr>
        <sz val="8.5"/>
        <rFont val="Calibri"/>
        <family val="2"/>
      </rPr>
      <t>0,81</t>
    </r>
  </si>
  <si>
    <r>
      <rPr>
        <sz val="8.5"/>
        <rFont val="Calibri"/>
        <family val="2"/>
      </rPr>
      <t>3,72</t>
    </r>
  </si>
  <si>
    <r>
      <rPr>
        <sz val="8.5"/>
        <rFont val="Calibri"/>
        <family val="2"/>
      </rPr>
      <t>39.10.060</t>
    </r>
  </si>
  <si>
    <r>
      <rPr>
        <sz val="8.5"/>
        <rFont val="Calibri"/>
        <family val="2"/>
      </rPr>
      <t>Terminal de pressão/compressão para cabo de 6 até 10 mm²</t>
    </r>
  </si>
  <si>
    <r>
      <rPr>
        <sz val="8.5"/>
        <rFont val="Calibri"/>
        <family val="2"/>
      </rPr>
      <t>4,81</t>
    </r>
  </si>
  <si>
    <r>
      <rPr>
        <sz val="8.5"/>
        <rFont val="Calibri"/>
        <family val="2"/>
      </rPr>
      <t>39.10.080</t>
    </r>
  </si>
  <si>
    <r>
      <rPr>
        <sz val="8.5"/>
        <rFont val="Calibri"/>
        <family val="2"/>
      </rPr>
      <t>Terminal de pressão/compressão para cabo de 16 mm²</t>
    </r>
  </si>
  <si>
    <r>
      <rPr>
        <sz val="8.5"/>
        <rFont val="Calibri"/>
        <family val="2"/>
      </rPr>
      <t>7,21</t>
    </r>
  </si>
  <si>
    <r>
      <rPr>
        <sz val="8.5"/>
        <rFont val="Calibri"/>
        <family val="2"/>
      </rPr>
      <t>12,67</t>
    </r>
  </si>
  <si>
    <r>
      <rPr>
        <sz val="8.5"/>
        <rFont val="Calibri"/>
        <family val="2"/>
      </rPr>
      <t>39.10.120</t>
    </r>
  </si>
  <si>
    <r>
      <rPr>
        <sz val="8.5"/>
        <rFont val="Calibri"/>
        <family val="2"/>
      </rPr>
      <t>Terminal de pressão/compressão para cabo de 25 mm²</t>
    </r>
  </si>
  <si>
    <r>
      <rPr>
        <sz val="8.5"/>
        <rFont val="Calibri"/>
        <family val="2"/>
      </rPr>
      <t>39.10.130</t>
    </r>
  </si>
  <si>
    <r>
      <rPr>
        <sz val="8.5"/>
        <rFont val="Calibri"/>
        <family val="2"/>
      </rPr>
      <t>Terminal de pressão/compressão para cabo de 35 mm²</t>
    </r>
  </si>
  <si>
    <r>
      <rPr>
        <sz val="8.5"/>
        <rFont val="Calibri"/>
        <family val="2"/>
      </rPr>
      <t>13,10</t>
    </r>
  </si>
  <si>
    <r>
      <rPr>
        <sz val="8.5"/>
        <rFont val="Calibri"/>
        <family val="2"/>
      </rPr>
      <t>39.10.160</t>
    </r>
  </si>
  <si>
    <r>
      <rPr>
        <sz val="8.5"/>
        <rFont val="Calibri"/>
        <family val="2"/>
      </rPr>
      <t>Terminal de pressão/compressão para cabo de 50 mm²</t>
    </r>
  </si>
  <si>
    <r>
      <rPr>
        <sz val="8.5"/>
        <rFont val="Calibri"/>
        <family val="2"/>
      </rPr>
      <t>11,86</t>
    </r>
  </si>
  <si>
    <r>
      <rPr>
        <sz val="8.5"/>
        <rFont val="Calibri"/>
        <family val="2"/>
      </rPr>
      <t>17,32</t>
    </r>
  </si>
  <si>
    <r>
      <rPr>
        <sz val="8.5"/>
        <rFont val="Calibri"/>
        <family val="2"/>
      </rPr>
      <t>39.10.200</t>
    </r>
  </si>
  <si>
    <r>
      <rPr>
        <sz val="8.5"/>
        <rFont val="Calibri"/>
        <family val="2"/>
      </rPr>
      <t>Terminal de pressão/compressão para cabo de 70 mm²</t>
    </r>
  </si>
  <si>
    <r>
      <rPr>
        <sz val="8.5"/>
        <rFont val="Calibri"/>
        <family val="2"/>
      </rPr>
      <t>11,61</t>
    </r>
  </si>
  <si>
    <r>
      <rPr>
        <sz val="8.5"/>
        <rFont val="Calibri"/>
        <family val="2"/>
      </rPr>
      <t>17,07</t>
    </r>
  </si>
  <si>
    <r>
      <rPr>
        <sz val="8.5"/>
        <rFont val="Calibri"/>
        <family val="2"/>
      </rPr>
      <t>39.10.240</t>
    </r>
  </si>
  <si>
    <r>
      <rPr>
        <sz val="8.5"/>
        <rFont val="Calibri"/>
        <family val="2"/>
      </rPr>
      <t>Terminal de pressão/compressão para cabo de 95 mm²</t>
    </r>
  </si>
  <si>
    <r>
      <rPr>
        <sz val="8.5"/>
        <rFont val="Calibri"/>
        <family val="2"/>
      </rPr>
      <t>18,28</t>
    </r>
  </si>
  <si>
    <r>
      <rPr>
        <sz val="8.5"/>
        <rFont val="Calibri"/>
        <family val="2"/>
      </rPr>
      <t>23,74</t>
    </r>
  </si>
  <si>
    <r>
      <rPr>
        <sz val="8.5"/>
        <rFont val="Calibri"/>
        <family val="2"/>
      </rPr>
      <t>39.10.246</t>
    </r>
  </si>
  <si>
    <r>
      <rPr>
        <sz val="8.5"/>
        <rFont val="Calibri"/>
        <family val="2"/>
      </rPr>
      <t>Terminal de pressão/compressão para cabo de 120 mm²</t>
    </r>
  </si>
  <si>
    <r>
      <rPr>
        <sz val="8.5"/>
        <rFont val="Calibri"/>
        <family val="2"/>
      </rPr>
      <t>24,28</t>
    </r>
  </si>
  <si>
    <r>
      <rPr>
        <sz val="8.5"/>
        <rFont val="Calibri"/>
        <family val="2"/>
      </rPr>
      <t>31,55</t>
    </r>
  </si>
  <si>
    <r>
      <rPr>
        <sz val="8.5"/>
        <rFont val="Calibri"/>
        <family val="2"/>
      </rPr>
      <t>39.10.250</t>
    </r>
  </si>
  <si>
    <r>
      <rPr>
        <sz val="8.5"/>
        <rFont val="Calibri"/>
        <family val="2"/>
      </rPr>
      <t>Terminal de pressão/compressão para cabo de 150 mm²</t>
    </r>
  </si>
  <si>
    <r>
      <rPr>
        <sz val="8.5"/>
        <rFont val="Calibri"/>
        <family val="2"/>
      </rPr>
      <t>32,99</t>
    </r>
  </si>
  <si>
    <r>
      <rPr>
        <sz val="8.5"/>
        <rFont val="Calibri"/>
        <family val="2"/>
      </rPr>
      <t>39.10.280</t>
    </r>
  </si>
  <si>
    <r>
      <rPr>
        <sz val="8.5"/>
        <rFont val="Calibri"/>
        <family val="2"/>
      </rPr>
      <t>Terminal de pressão/compressão para cabo de 185 mm²</t>
    </r>
  </si>
  <si>
    <r>
      <rPr>
        <sz val="8.5"/>
        <rFont val="Calibri"/>
        <family val="2"/>
      </rPr>
      <t>33,55</t>
    </r>
  </si>
  <si>
    <r>
      <rPr>
        <sz val="8.5"/>
        <rFont val="Calibri"/>
        <family val="2"/>
      </rPr>
      <t>40,82</t>
    </r>
  </si>
  <si>
    <r>
      <rPr>
        <sz val="8.5"/>
        <rFont val="Calibri"/>
        <family val="2"/>
      </rPr>
      <t>39.10.300</t>
    </r>
  </si>
  <si>
    <r>
      <rPr>
        <sz val="8.5"/>
        <rFont val="Calibri"/>
        <family val="2"/>
      </rPr>
      <t>Terminal de pressão/compressão para cabo de 240 mm²</t>
    </r>
  </si>
  <si>
    <r>
      <rPr>
        <sz val="8.5"/>
        <rFont val="Calibri"/>
        <family val="2"/>
      </rPr>
      <t>36,14</t>
    </r>
  </si>
  <si>
    <r>
      <rPr>
        <sz val="8.5"/>
        <rFont val="Calibri"/>
        <family val="2"/>
      </rPr>
      <t>Fios e cabos telefônicos</t>
    </r>
  </si>
  <si>
    <r>
      <rPr>
        <sz val="8.5"/>
        <rFont val="Calibri"/>
        <family val="2"/>
      </rPr>
      <t>39.11.020</t>
    </r>
  </si>
  <si>
    <r>
      <rPr>
        <sz val="8.5"/>
        <rFont val="Calibri"/>
        <family val="2"/>
      </rPr>
      <t xml:space="preserve">Cabo telefônico CI, com 10 pares de 0,50 mm, para centrais telefônicas,
</t>
    </r>
    <r>
      <rPr>
        <sz val="8.5"/>
        <rFont val="Calibri"/>
        <family val="2"/>
      </rPr>
      <t>equipamentos e rede interna</t>
    </r>
  </si>
  <si>
    <r>
      <rPr>
        <sz val="8.5"/>
        <rFont val="Calibri"/>
        <family val="2"/>
      </rPr>
      <t>6,03</t>
    </r>
  </si>
  <si>
    <r>
      <rPr>
        <sz val="8.5"/>
        <rFont val="Calibri"/>
        <family val="2"/>
      </rPr>
      <t>39.11.040</t>
    </r>
  </si>
  <si>
    <r>
      <rPr>
        <sz val="8.5"/>
        <rFont val="Calibri"/>
        <family val="2"/>
      </rPr>
      <t xml:space="preserve">Cabo telefônico CI, com 20 pares de 0,50 mm, para centrais telefônicas,
</t>
    </r>
    <r>
      <rPr>
        <sz val="8.5"/>
        <rFont val="Calibri"/>
        <family val="2"/>
      </rPr>
      <t>equipamentos e rede interna</t>
    </r>
  </si>
  <si>
    <r>
      <rPr>
        <sz val="8.5"/>
        <rFont val="Calibri"/>
        <family val="2"/>
      </rPr>
      <t>17,08</t>
    </r>
  </si>
  <si>
    <r>
      <rPr>
        <sz val="8.5"/>
        <rFont val="Calibri"/>
        <family val="2"/>
      </rPr>
      <t>39.11.080</t>
    </r>
  </si>
  <si>
    <r>
      <rPr>
        <sz val="8.5"/>
        <rFont val="Calibri"/>
        <family val="2"/>
      </rPr>
      <t xml:space="preserve">Cabo telefônico CI, com 50 pares de 0,50 mm, para centrais telefônicas,
</t>
    </r>
    <r>
      <rPr>
        <sz val="8.5"/>
        <rFont val="Calibri"/>
        <family val="2"/>
      </rPr>
      <t>equipamentos e rede interna</t>
    </r>
  </si>
  <si>
    <r>
      <rPr>
        <sz val="8.5"/>
        <rFont val="Calibri"/>
        <family val="2"/>
      </rPr>
      <t>26,83</t>
    </r>
  </si>
  <si>
    <r>
      <rPr>
        <sz val="8.5"/>
        <rFont val="Calibri"/>
        <family val="2"/>
      </rPr>
      <t>39.11.090</t>
    </r>
  </si>
  <si>
    <r>
      <rPr>
        <sz val="8.5"/>
        <rFont val="Calibri"/>
        <family val="2"/>
      </rPr>
      <t>Fio telefônico tipo FI-60, para ligação de aparelhos telefônicos</t>
    </r>
  </si>
  <si>
    <r>
      <rPr>
        <sz val="8.5"/>
        <rFont val="Calibri"/>
        <family val="2"/>
      </rPr>
      <t>0,72</t>
    </r>
  </si>
  <si>
    <r>
      <rPr>
        <sz val="8.5"/>
        <rFont val="Calibri"/>
        <family val="2"/>
      </rPr>
      <t>39.11.110</t>
    </r>
  </si>
  <si>
    <r>
      <rPr>
        <sz val="8.5"/>
        <rFont val="Calibri"/>
        <family val="2"/>
      </rPr>
      <t>Fio telefônico externo tipo FE-160</t>
    </r>
  </si>
  <si>
    <r>
      <rPr>
        <sz val="8.5"/>
        <rFont val="Calibri"/>
        <family val="2"/>
      </rPr>
      <t>13,32</t>
    </r>
  </si>
  <si>
    <r>
      <rPr>
        <sz val="8.5"/>
        <rFont val="Calibri"/>
        <family val="2"/>
      </rPr>
      <t>39.11.120</t>
    </r>
  </si>
  <si>
    <r>
      <rPr>
        <sz val="8.5"/>
        <rFont val="Calibri"/>
        <family val="2"/>
      </rPr>
      <t xml:space="preserve">Cabo telefônico CTP-APL-SN, com 10 pares de 0,50 mm, para cotos de
</t>
    </r>
    <r>
      <rPr>
        <sz val="8.5"/>
        <rFont val="Calibri"/>
        <family val="2"/>
      </rPr>
      <t>transição em caixas e entradas</t>
    </r>
  </si>
  <si>
    <r>
      <rPr>
        <sz val="8.5"/>
        <rFont val="Calibri"/>
        <family val="2"/>
      </rPr>
      <t>6,14</t>
    </r>
  </si>
  <si>
    <r>
      <rPr>
        <sz val="8.5"/>
        <rFont val="Calibri"/>
        <family val="2"/>
      </rPr>
      <t>10,50</t>
    </r>
  </si>
  <si>
    <r>
      <rPr>
        <sz val="8.5"/>
        <rFont val="Calibri"/>
        <family val="2"/>
      </rPr>
      <t>39.11.190</t>
    </r>
  </si>
  <si>
    <r>
      <rPr>
        <sz val="8.5"/>
        <rFont val="Calibri"/>
        <family val="2"/>
      </rPr>
      <t xml:space="preserve">Cabo telefônico CCE-APL, com 4 pares de 0,50 mm, para conexões em
</t>
    </r>
    <r>
      <rPr>
        <sz val="8.5"/>
        <rFont val="Calibri"/>
        <family val="2"/>
      </rPr>
      <t>rede externa</t>
    </r>
  </si>
  <si>
    <r>
      <rPr>
        <sz val="8.5"/>
        <rFont val="Calibri"/>
        <family val="2"/>
      </rPr>
      <t>3,79</t>
    </r>
  </si>
  <si>
    <r>
      <rPr>
        <sz val="8.5"/>
        <rFont val="Calibri"/>
        <family val="2"/>
      </rPr>
      <t>7,43</t>
    </r>
  </si>
  <si>
    <r>
      <rPr>
        <sz val="8.5"/>
        <rFont val="Calibri"/>
        <family val="2"/>
      </rPr>
      <t>39.11.210</t>
    </r>
  </si>
  <si>
    <r>
      <rPr>
        <sz val="8.5"/>
        <rFont val="Calibri"/>
        <family val="2"/>
      </rPr>
      <t xml:space="preserve">Cabo telefônico secundário de distribuição CTP-APL, com 20 pares de
</t>
    </r>
    <r>
      <rPr>
        <sz val="8.5"/>
        <rFont val="Calibri"/>
        <family val="2"/>
      </rPr>
      <t>0,50 mm, para rede externa</t>
    </r>
  </si>
  <si>
    <r>
      <rPr>
        <sz val="8.5"/>
        <rFont val="Calibri"/>
        <family val="2"/>
      </rPr>
      <t>4,73</t>
    </r>
  </si>
  <si>
    <r>
      <rPr>
        <sz val="8.5"/>
        <rFont val="Calibri"/>
        <family val="2"/>
      </rPr>
      <t>18,55</t>
    </r>
  </si>
  <si>
    <r>
      <rPr>
        <sz val="8.5"/>
        <rFont val="Calibri"/>
        <family val="2"/>
      </rPr>
      <t>39.11.230</t>
    </r>
  </si>
  <si>
    <r>
      <rPr>
        <sz val="8.5"/>
        <rFont val="Calibri"/>
        <family val="2"/>
      </rPr>
      <t xml:space="preserve">Cabo telefônico secundário de distribuição CTP-APL, com 50 pares de
</t>
    </r>
    <r>
      <rPr>
        <sz val="8.5"/>
        <rFont val="Calibri"/>
        <family val="2"/>
      </rPr>
      <t>0,50 mm, para rede externa</t>
    </r>
  </si>
  <si>
    <r>
      <rPr>
        <sz val="8.5"/>
        <rFont val="Calibri"/>
        <family val="2"/>
      </rPr>
      <t>39.11.240</t>
    </r>
  </si>
  <si>
    <r>
      <rPr>
        <sz val="8.5"/>
        <rFont val="Calibri"/>
        <family val="2"/>
      </rPr>
      <t xml:space="preserve">Cabo telefônico secundário de distribuição CTP-APL, com 100 pares de
</t>
    </r>
    <r>
      <rPr>
        <sz val="8.5"/>
        <rFont val="Calibri"/>
        <family val="2"/>
      </rPr>
      <t>0,50 mm, para rede externa</t>
    </r>
  </si>
  <si>
    <r>
      <rPr>
        <sz val="8.5"/>
        <rFont val="Calibri"/>
        <family val="2"/>
      </rPr>
      <t>55,97</t>
    </r>
  </si>
  <si>
    <r>
      <rPr>
        <sz val="8.5"/>
        <rFont val="Calibri"/>
        <family val="2"/>
      </rPr>
      <t>63,61</t>
    </r>
  </si>
  <si>
    <r>
      <rPr>
        <sz val="8.5"/>
        <rFont val="Calibri"/>
        <family val="2"/>
      </rPr>
      <t>39.11.270</t>
    </r>
  </si>
  <si>
    <r>
      <rPr>
        <sz val="8.5"/>
        <rFont val="Calibri"/>
        <family val="2"/>
      </rPr>
      <t xml:space="preserve">Cabo telefônico secundário de distribuição CTP-APL-G, com 10 pares de
</t>
    </r>
    <r>
      <rPr>
        <sz val="8.5"/>
        <rFont val="Calibri"/>
        <family val="2"/>
      </rPr>
      <t>0,50 mm, para rede subterrânea</t>
    </r>
  </si>
  <si>
    <r>
      <rPr>
        <sz val="8.5"/>
        <rFont val="Calibri"/>
        <family val="2"/>
      </rPr>
      <t>39.11.280</t>
    </r>
  </si>
  <si>
    <r>
      <rPr>
        <sz val="8.5"/>
        <rFont val="Calibri"/>
        <family val="2"/>
      </rPr>
      <t xml:space="preserve">Cabo telefônico secundário de distribuição CTP-APL-G, com 20 pares de
</t>
    </r>
    <r>
      <rPr>
        <sz val="8.5"/>
        <rFont val="Calibri"/>
        <family val="2"/>
      </rPr>
      <t>0,50 mm, para rede subterrânea</t>
    </r>
  </si>
  <si>
    <r>
      <rPr>
        <sz val="8.5"/>
        <rFont val="Calibri"/>
        <family val="2"/>
      </rPr>
      <t>17,26</t>
    </r>
  </si>
  <si>
    <r>
      <rPr>
        <sz val="8.5"/>
        <rFont val="Calibri"/>
        <family val="2"/>
      </rPr>
      <t>21,99</t>
    </r>
  </si>
  <si>
    <r>
      <rPr>
        <sz val="8.5"/>
        <rFont val="Calibri"/>
        <family val="2"/>
      </rPr>
      <t>39.11.300</t>
    </r>
  </si>
  <si>
    <r>
      <rPr>
        <sz val="8.5"/>
        <rFont val="Calibri"/>
        <family val="2"/>
      </rPr>
      <t xml:space="preserve">Cabo telefônico secundário de distribuição CTP-APL-G, com 50 pares de
</t>
    </r>
    <r>
      <rPr>
        <sz val="8.5"/>
        <rFont val="Calibri"/>
        <family val="2"/>
      </rPr>
      <t>0,50 mm, para rede subterrânea</t>
    </r>
  </si>
  <si>
    <r>
      <rPr>
        <sz val="8.5"/>
        <rFont val="Calibri"/>
        <family val="2"/>
      </rPr>
      <t>32,54</t>
    </r>
  </si>
  <si>
    <r>
      <rPr>
        <sz val="8.5"/>
        <rFont val="Calibri"/>
        <family val="2"/>
      </rPr>
      <t>38,36</t>
    </r>
  </si>
  <si>
    <r>
      <rPr>
        <sz val="8.5"/>
        <rFont val="Calibri"/>
        <family val="2"/>
      </rPr>
      <t>39.11.400</t>
    </r>
  </si>
  <si>
    <r>
      <rPr>
        <sz val="8.5"/>
        <rFont val="Calibri"/>
        <family val="2"/>
      </rPr>
      <t xml:space="preserve">Cabo telefônico secundário de distribuição CTP-APL, com 10 pares de
</t>
    </r>
    <r>
      <rPr>
        <sz val="8.5"/>
        <rFont val="Calibri"/>
        <family val="2"/>
      </rPr>
      <t>0,65 mm, para rede externa</t>
    </r>
  </si>
  <si>
    <r>
      <rPr>
        <sz val="8.5"/>
        <rFont val="Calibri"/>
        <family val="2"/>
      </rPr>
      <t>11,24</t>
    </r>
  </si>
  <si>
    <r>
      <rPr>
        <sz val="8.5"/>
        <rFont val="Calibri"/>
        <family val="2"/>
      </rPr>
      <t>15,60</t>
    </r>
  </si>
  <si>
    <r>
      <rPr>
        <sz val="8.5"/>
        <rFont val="Calibri"/>
        <family val="2"/>
      </rPr>
      <t>39.11.410</t>
    </r>
  </si>
  <si>
    <r>
      <rPr>
        <sz val="8.5"/>
        <rFont val="Calibri"/>
        <family val="2"/>
      </rPr>
      <t xml:space="preserve">Cabo telefônico secundário de distribuição CTP-APL, com 20 pares de
</t>
    </r>
    <r>
      <rPr>
        <sz val="8.5"/>
        <rFont val="Calibri"/>
        <family val="2"/>
      </rPr>
      <t>0,65 mm, para rede externa</t>
    </r>
  </si>
  <si>
    <r>
      <rPr>
        <sz val="8.5"/>
        <rFont val="Calibri"/>
        <family val="2"/>
      </rPr>
      <t>20,23</t>
    </r>
  </si>
  <si>
    <r>
      <rPr>
        <sz val="8.5"/>
        <rFont val="Calibri"/>
        <family val="2"/>
      </rPr>
      <t>24,96</t>
    </r>
  </si>
  <si>
    <r>
      <rPr>
        <sz val="8.5"/>
        <rFont val="Calibri"/>
        <family val="2"/>
      </rPr>
      <t>39.11.430</t>
    </r>
  </si>
  <si>
    <r>
      <rPr>
        <sz val="8.5"/>
        <rFont val="Calibri"/>
        <family val="2"/>
      </rPr>
      <t xml:space="preserve">Cabo telefônico secundário de distribuição CTP-APL, com 50 pares de
</t>
    </r>
    <r>
      <rPr>
        <sz val="8.5"/>
        <rFont val="Calibri"/>
        <family val="2"/>
      </rPr>
      <t>0,65 mm, para rede externa</t>
    </r>
  </si>
  <si>
    <r>
      <rPr>
        <sz val="8.5"/>
        <rFont val="Calibri"/>
        <family val="2"/>
      </rPr>
      <t>40,95</t>
    </r>
  </si>
  <si>
    <r>
      <rPr>
        <sz val="8.5"/>
        <rFont val="Calibri"/>
        <family val="2"/>
      </rPr>
      <t>46,77</t>
    </r>
  </si>
  <si>
    <r>
      <rPr>
        <sz val="8.5"/>
        <rFont val="Calibri"/>
        <family val="2"/>
      </rPr>
      <t>Cabo de cobre flexivel, isolamento 600 V, isolacao em VC/E 105°C</t>
    </r>
  </si>
  <si>
    <r>
      <rPr>
        <sz val="8.5"/>
        <rFont val="Calibri"/>
        <family val="2"/>
      </rPr>
      <t>39.12.510</t>
    </r>
  </si>
  <si>
    <r>
      <rPr>
        <sz val="8.5"/>
        <rFont val="Calibri"/>
        <family val="2"/>
      </rPr>
      <t xml:space="preserve">Cabo de cobre flexível blindado de 2 x 1,5 mm², isolamento 600V,
</t>
    </r>
    <r>
      <rPr>
        <sz val="8.5"/>
        <rFont val="Calibri"/>
        <family val="2"/>
      </rPr>
      <t>isolação em VC/E 105°C - para detecção de incêndio</t>
    </r>
  </si>
  <si>
    <r>
      <rPr>
        <sz val="8.5"/>
        <rFont val="Calibri"/>
        <family val="2"/>
      </rPr>
      <t>9,33</t>
    </r>
  </si>
  <si>
    <r>
      <rPr>
        <sz val="8.5"/>
        <rFont val="Calibri"/>
        <family val="2"/>
      </rPr>
      <t>39.12.520</t>
    </r>
  </si>
  <si>
    <r>
      <rPr>
        <sz val="8.5"/>
        <rFont val="Calibri"/>
        <family val="2"/>
      </rPr>
      <t xml:space="preserve">Cabo de cobre flexível blindado de 3 x 1,5 mm², isolamento 600V,
</t>
    </r>
    <r>
      <rPr>
        <sz val="8.5"/>
        <rFont val="Calibri"/>
        <family val="2"/>
      </rPr>
      <t>isolação em VC/E 105°C - para detecção de incêndio</t>
    </r>
  </si>
  <si>
    <r>
      <rPr>
        <sz val="8.5"/>
        <rFont val="Calibri"/>
        <family val="2"/>
      </rPr>
      <t>7,17</t>
    </r>
  </si>
  <si>
    <r>
      <rPr>
        <sz val="8.5"/>
        <rFont val="Calibri"/>
        <family val="2"/>
      </rPr>
      <t>10,81</t>
    </r>
  </si>
  <si>
    <r>
      <rPr>
        <sz val="8.5"/>
        <rFont val="Calibri"/>
        <family val="2"/>
      </rPr>
      <t>39.12.530</t>
    </r>
  </si>
  <si>
    <r>
      <rPr>
        <sz val="8.5"/>
        <rFont val="Calibri"/>
        <family val="2"/>
      </rPr>
      <t xml:space="preserve">Cabo de cobre flexível blindado de 2 x 2,5 mm², isolamento 600V,
</t>
    </r>
    <r>
      <rPr>
        <sz val="8.5"/>
        <rFont val="Calibri"/>
        <family val="2"/>
      </rPr>
      <t>isolação em VC/E 105°C - para detecção de incêndio</t>
    </r>
  </si>
  <si>
    <r>
      <rPr>
        <sz val="8.5"/>
        <rFont val="Calibri"/>
        <family val="2"/>
      </rPr>
      <t>7,41</t>
    </r>
  </si>
  <si>
    <r>
      <rPr>
        <sz val="8.5"/>
        <rFont val="Calibri"/>
        <family val="2"/>
      </rPr>
      <t>11,05</t>
    </r>
  </si>
  <si>
    <r>
      <rPr>
        <sz val="8.5"/>
        <rFont val="Calibri"/>
        <family val="2"/>
      </rPr>
      <t>Cabo de aluminio nu com alma de aco</t>
    </r>
  </si>
  <si>
    <r>
      <rPr>
        <sz val="8.5"/>
        <rFont val="Calibri"/>
        <family val="2"/>
      </rPr>
      <t>39.14.010</t>
    </r>
  </si>
  <si>
    <r>
      <rPr>
        <sz val="8.5"/>
        <rFont val="Calibri"/>
        <family val="2"/>
      </rPr>
      <t>Cabo de alumínio nu com alma de aço CAA, 1/0 AWG - Raven</t>
    </r>
  </si>
  <si>
    <r>
      <rPr>
        <sz val="8.5"/>
        <rFont val="Calibri"/>
        <family val="2"/>
      </rPr>
      <t>5,23</t>
    </r>
  </si>
  <si>
    <r>
      <rPr>
        <sz val="8.5"/>
        <rFont val="Calibri"/>
        <family val="2"/>
      </rPr>
      <t>39.14.050</t>
    </r>
  </si>
  <si>
    <r>
      <rPr>
        <sz val="8.5"/>
        <rFont val="Calibri"/>
        <family val="2"/>
      </rPr>
      <t>Cabo de alumínio nu com alma de aço CAA, 4 AWG - Swan</t>
    </r>
  </si>
  <si>
    <r>
      <rPr>
        <sz val="8.5"/>
        <rFont val="Calibri"/>
        <family val="2"/>
      </rPr>
      <t>3,55</t>
    </r>
  </si>
  <si>
    <r>
      <rPr>
        <sz val="8.5"/>
        <rFont val="Calibri"/>
        <family val="2"/>
      </rPr>
      <t>8,78</t>
    </r>
  </si>
  <si>
    <r>
      <rPr>
        <sz val="8.5"/>
        <rFont val="Calibri"/>
        <family val="2"/>
      </rPr>
      <t>Cabo de aluminio nu sem alma de aco</t>
    </r>
  </si>
  <si>
    <r>
      <rPr>
        <sz val="8.5"/>
        <rFont val="Calibri"/>
        <family val="2"/>
      </rPr>
      <t>39.15.040</t>
    </r>
  </si>
  <si>
    <r>
      <rPr>
        <sz val="8.5"/>
        <rFont val="Calibri"/>
        <family val="2"/>
      </rPr>
      <t>Cabo de alumínio nu sem alma de aço CA, 2 AWG - Iris</t>
    </r>
  </si>
  <si>
    <r>
      <rPr>
        <sz val="8.5"/>
        <rFont val="Calibri"/>
        <family val="2"/>
      </rPr>
      <t>3,69</t>
    </r>
  </si>
  <si>
    <r>
      <rPr>
        <sz val="8.5"/>
        <rFont val="Calibri"/>
        <family val="2"/>
      </rPr>
      <t>39.15.070</t>
    </r>
  </si>
  <si>
    <r>
      <rPr>
        <sz val="8.5"/>
        <rFont val="Calibri"/>
        <family val="2"/>
      </rPr>
      <t>Cabo de alumínio nu sem alma de aço CA, 2/0 AWG - Aster</t>
    </r>
  </si>
  <si>
    <r>
      <rPr>
        <sz val="8.5"/>
        <rFont val="Calibri"/>
        <family val="2"/>
      </rPr>
      <t>12,62</t>
    </r>
  </si>
  <si>
    <r>
      <rPr>
        <sz val="8.5"/>
        <rFont val="Calibri"/>
        <family val="2"/>
      </rPr>
      <t>Cabo para transmissao de dados</t>
    </r>
  </si>
  <si>
    <r>
      <rPr>
        <sz val="8.5"/>
        <rFont val="Calibri"/>
        <family val="2"/>
      </rPr>
      <t>39.18.100</t>
    </r>
  </si>
  <si>
    <r>
      <rPr>
        <sz val="8.5"/>
        <rFont val="Calibri"/>
        <family val="2"/>
      </rPr>
      <t>Cabo coaxial tipo RG 6</t>
    </r>
  </si>
  <si>
    <r>
      <rPr>
        <sz val="8.5"/>
        <rFont val="Calibri"/>
        <family val="2"/>
      </rPr>
      <t>39.18.104</t>
    </r>
  </si>
  <si>
    <r>
      <rPr>
        <sz val="8.5"/>
        <rFont val="Calibri"/>
        <family val="2"/>
      </rPr>
      <t>Cabo coaxial tipo RG 11</t>
    </r>
  </si>
  <si>
    <r>
      <rPr>
        <sz val="8.5"/>
        <rFont val="Calibri"/>
        <family val="2"/>
      </rPr>
      <t>18,23</t>
    </r>
  </si>
  <si>
    <r>
      <rPr>
        <sz val="8.5"/>
        <rFont val="Calibri"/>
        <family val="2"/>
      </rPr>
      <t>39.18.106</t>
    </r>
  </si>
  <si>
    <r>
      <rPr>
        <sz val="8.5"/>
        <rFont val="Calibri"/>
        <family val="2"/>
      </rPr>
      <t>Cabo coaxial tipo RG 59</t>
    </r>
  </si>
  <si>
    <r>
      <rPr>
        <sz val="8.5"/>
        <rFont val="Calibri"/>
        <family val="2"/>
      </rPr>
      <t>5,41</t>
    </r>
  </si>
  <si>
    <r>
      <rPr>
        <sz val="8.5"/>
        <rFont val="Calibri"/>
        <family val="2"/>
      </rPr>
      <t>8,50</t>
    </r>
  </si>
  <si>
    <r>
      <rPr>
        <sz val="8.5"/>
        <rFont val="Calibri"/>
        <family val="2"/>
      </rPr>
      <t>39.18.110</t>
    </r>
  </si>
  <si>
    <r>
      <rPr>
        <sz val="8.5"/>
        <rFont val="Calibri"/>
        <family val="2"/>
      </rPr>
      <t>Cabo coaxial tipo RGC 06</t>
    </r>
  </si>
  <si>
    <r>
      <rPr>
        <sz val="8.5"/>
        <rFont val="Calibri"/>
        <family val="2"/>
      </rPr>
      <t>3,41</t>
    </r>
  </si>
  <si>
    <r>
      <rPr>
        <sz val="8.5"/>
        <rFont val="Calibri"/>
        <family val="2"/>
      </rPr>
      <t>7,42</t>
    </r>
  </si>
  <si>
    <r>
      <rPr>
        <sz val="8.5"/>
        <rFont val="Calibri"/>
        <family val="2"/>
      </rPr>
      <t>39.18.114</t>
    </r>
  </si>
  <si>
    <r>
      <rPr>
        <sz val="8.5"/>
        <rFont val="Calibri"/>
        <family val="2"/>
      </rPr>
      <t>Cabo coaxial tipo RGC 59</t>
    </r>
  </si>
  <si>
    <r>
      <rPr>
        <sz val="8.5"/>
        <rFont val="Calibri"/>
        <family val="2"/>
      </rPr>
      <t>39.18.120</t>
    </r>
  </si>
  <si>
    <r>
      <rPr>
        <sz val="8.5"/>
        <rFont val="Calibri"/>
        <family val="2"/>
      </rPr>
      <t>Cabo para rede U/UTP 23 AWG com 4 pares - categoria 6A</t>
    </r>
  </si>
  <si>
    <r>
      <rPr>
        <sz val="8.5"/>
        <rFont val="Calibri"/>
        <family val="2"/>
      </rPr>
      <t>21,13</t>
    </r>
  </si>
  <si>
    <r>
      <rPr>
        <sz val="8.5"/>
        <rFont val="Calibri"/>
        <family val="2"/>
      </rPr>
      <t>25,14</t>
    </r>
  </si>
  <si>
    <r>
      <rPr>
        <sz val="8.5"/>
        <rFont val="Calibri"/>
        <family val="2"/>
      </rPr>
      <t>39.18.126</t>
    </r>
  </si>
  <si>
    <r>
      <rPr>
        <sz val="8.5"/>
        <rFont val="Calibri"/>
        <family val="2"/>
      </rPr>
      <t>Cabo para rede 24 AWG com 4 pares, categoria 6</t>
    </r>
  </si>
  <si>
    <r>
      <rPr>
        <sz val="8.5"/>
        <rFont val="Calibri"/>
        <family val="2"/>
      </rPr>
      <t>3,80</t>
    </r>
  </si>
  <si>
    <r>
      <rPr>
        <sz val="8.5"/>
        <rFont val="Calibri"/>
        <family val="2"/>
      </rPr>
      <t>7,81</t>
    </r>
  </si>
  <si>
    <r>
      <rPr>
        <sz val="8.5"/>
        <rFont val="Calibri"/>
        <family val="2"/>
      </rPr>
      <t>Reparos, conservacoes e complementos - GRUPO 39</t>
    </r>
  </si>
  <si>
    <r>
      <rPr>
        <sz val="8.5"/>
        <rFont val="Calibri"/>
        <family val="2"/>
      </rPr>
      <t>39.20.005</t>
    </r>
  </si>
  <si>
    <r>
      <rPr>
        <sz val="8.5"/>
        <rFont val="Calibri"/>
        <family val="2"/>
      </rPr>
      <t>Conector prensa-cabo de 3/4´</t>
    </r>
  </si>
  <si>
    <r>
      <rPr>
        <sz val="8.5"/>
        <rFont val="Calibri"/>
        <family val="2"/>
      </rPr>
      <t>8,48</t>
    </r>
  </si>
  <si>
    <r>
      <rPr>
        <sz val="8.5"/>
        <rFont val="Calibri"/>
        <family val="2"/>
      </rPr>
      <t>6,07</t>
    </r>
  </si>
  <si>
    <r>
      <rPr>
        <sz val="8.5"/>
        <rFont val="Calibri"/>
        <family val="2"/>
      </rPr>
      <t>14,55</t>
    </r>
  </si>
  <si>
    <r>
      <rPr>
        <sz val="8.5"/>
        <rFont val="Calibri"/>
        <family val="2"/>
      </rPr>
      <t>39.20.010</t>
    </r>
  </si>
  <si>
    <r>
      <rPr>
        <sz val="8.5"/>
        <rFont val="Calibri"/>
        <family val="2"/>
      </rPr>
      <t>Recolocação de condutor aparente com diâmetro externo até 6,5 mm</t>
    </r>
  </si>
  <si>
    <r>
      <rPr>
        <sz val="8.5"/>
        <rFont val="Calibri"/>
        <family val="2"/>
      </rPr>
      <t>39.20.030</t>
    </r>
  </si>
  <si>
    <r>
      <rPr>
        <sz val="8.5"/>
        <rFont val="Calibri"/>
        <family val="2"/>
      </rPr>
      <t xml:space="preserve">Recolocação de condutor aparente com diâmetro externo acima de 6,5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</si>
  <si>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10,47</t>
    </r>
  </si>
  <si>
    <r>
      <rPr>
        <sz val="8.5"/>
        <rFont val="Calibri"/>
        <family val="2"/>
      </rPr>
      <t>Cabo de cobre flexivel, isolamento 0,6/1 kV, isolacao em HEPR 90°C</t>
    </r>
  </si>
  <si>
    <r>
      <rPr>
        <sz val="8.5"/>
        <rFont val="Calibri"/>
        <family val="2"/>
      </rPr>
      <t>39.21.010</t>
    </r>
  </si>
  <si>
    <r>
      <rPr>
        <sz val="8.5"/>
        <rFont val="Calibri"/>
        <family val="2"/>
      </rPr>
      <t xml:space="preserve">Cabo de cobre flexível de 1,5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</si>
  <si>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39.21.020</t>
    </r>
  </si>
  <si>
    <r>
      <rPr>
        <sz val="8.5"/>
        <rFont val="Calibri"/>
        <family val="2"/>
      </rPr>
      <t xml:space="preserve">Cabo de cobre flexível de 2,5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</si>
  <si>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2,64</t>
    </r>
  </si>
  <si>
    <r>
      <rPr>
        <sz val="8.5"/>
        <rFont val="Calibri"/>
        <family val="2"/>
      </rPr>
      <t>3,37</t>
    </r>
  </si>
  <si>
    <r>
      <rPr>
        <sz val="8.5"/>
        <rFont val="Calibri"/>
        <family val="2"/>
      </rPr>
      <t>39.21.030</t>
    </r>
  </si>
  <si>
    <r>
      <rPr>
        <sz val="8.5"/>
        <rFont val="Calibri"/>
        <family val="2"/>
      </rPr>
      <t xml:space="preserve">Cabo de cobre flexível de 4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</si>
  <si>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4,26</t>
    </r>
  </si>
  <si>
    <r>
      <rPr>
        <sz val="8.5"/>
        <rFont val="Calibri"/>
        <family val="2"/>
      </rPr>
      <t>4,99</t>
    </r>
  </si>
  <si>
    <r>
      <rPr>
        <sz val="8.5"/>
        <rFont val="Calibri"/>
        <family val="2"/>
      </rPr>
      <t>39.21.040</t>
    </r>
  </si>
  <si>
    <r>
      <rPr>
        <sz val="8.5"/>
        <rFont val="Calibri"/>
        <family val="2"/>
      </rPr>
      <t xml:space="preserve">Cabo de cobre flexível de 6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</si>
  <si>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39.21.050</t>
    </r>
  </si>
  <si>
    <r>
      <rPr>
        <sz val="8.5"/>
        <rFont val="Calibri"/>
        <family val="2"/>
      </rPr>
      <t xml:space="preserve">Cabo de cobre flexível de 10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</si>
  <si>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9,78</t>
    </r>
  </si>
  <si>
    <r>
      <rPr>
        <sz val="8.5"/>
        <rFont val="Calibri"/>
        <family val="2"/>
      </rPr>
      <t>12,69</t>
    </r>
  </si>
  <si>
    <r>
      <rPr>
        <sz val="8.5"/>
        <rFont val="Calibri"/>
        <family val="2"/>
      </rPr>
      <t>39.21.060</t>
    </r>
  </si>
  <si>
    <r>
      <rPr>
        <sz val="8.5"/>
        <rFont val="Calibri"/>
        <family val="2"/>
      </rPr>
      <t xml:space="preserve">Cabo de cobre flexível de 16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</si>
  <si>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15,06</t>
    </r>
  </si>
  <si>
    <r>
      <rPr>
        <sz val="8.5"/>
        <rFont val="Calibri"/>
        <family val="2"/>
      </rPr>
      <t>39.21.070</t>
    </r>
  </si>
  <si>
    <r>
      <rPr>
        <sz val="8.5"/>
        <rFont val="Calibri"/>
        <family val="2"/>
      </rPr>
      <t xml:space="preserve">Cabo de cobre flexível de 25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</si>
  <si>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22,85</t>
    </r>
  </si>
  <si>
    <r>
      <rPr>
        <sz val="8.5"/>
        <rFont val="Calibri"/>
        <family val="2"/>
      </rPr>
      <t>26,49</t>
    </r>
  </si>
  <si>
    <r>
      <rPr>
        <sz val="8.5"/>
        <rFont val="Calibri"/>
        <family val="2"/>
      </rPr>
      <t>39.21.080</t>
    </r>
  </si>
  <si>
    <r>
      <rPr>
        <sz val="8.5"/>
        <rFont val="Calibri"/>
        <family val="2"/>
      </rPr>
      <t xml:space="preserve">Cabo de cobre flexível de 35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</si>
  <si>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38,21</t>
    </r>
  </si>
  <si>
    <r>
      <rPr>
        <sz val="8.5"/>
        <rFont val="Calibri"/>
        <family val="2"/>
      </rPr>
      <t>39.21.090</t>
    </r>
  </si>
  <si>
    <r>
      <rPr>
        <sz val="8.5"/>
        <rFont val="Calibri"/>
        <family val="2"/>
      </rPr>
      <t xml:space="preserve">Cabo de cobre flexível de 50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</si>
  <si>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52,30</t>
    </r>
  </si>
  <si>
    <r>
      <rPr>
        <sz val="8.5"/>
        <rFont val="Calibri"/>
        <family val="2"/>
      </rPr>
      <t>39.21.100</t>
    </r>
  </si>
  <si>
    <r>
      <rPr>
        <sz val="8.5"/>
        <rFont val="Calibri"/>
        <family val="2"/>
      </rPr>
      <t xml:space="preserve">Cabo de cobre flexível de 70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</si>
  <si>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57,67</t>
    </r>
  </si>
  <si>
    <r>
      <rPr>
        <sz val="8.5"/>
        <rFont val="Calibri"/>
        <family val="2"/>
      </rPr>
      <t>66,77</t>
    </r>
  </si>
  <si>
    <r>
      <rPr>
        <sz val="8.5"/>
        <rFont val="Calibri"/>
        <family val="2"/>
      </rPr>
      <t>39.21.110</t>
    </r>
  </si>
  <si>
    <r>
      <rPr>
        <sz val="8.5"/>
        <rFont val="Calibri"/>
        <family val="2"/>
      </rPr>
      <t xml:space="preserve">Cabo de cobre flexível de 95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</si>
  <si>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75,77</t>
    </r>
  </si>
  <si>
    <r>
      <rPr>
        <sz val="8.5"/>
        <rFont val="Calibri"/>
        <family val="2"/>
      </rPr>
      <t>86,69</t>
    </r>
  </si>
  <si>
    <r>
      <rPr>
        <sz val="8.5"/>
        <rFont val="Calibri"/>
        <family val="2"/>
      </rPr>
      <t>39.21.120</t>
    </r>
  </si>
  <si>
    <r>
      <rPr>
        <sz val="8.5"/>
        <rFont val="Calibri"/>
        <family val="2"/>
      </rPr>
      <t xml:space="preserve">Cabo de cobre flexível de 120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</si>
  <si>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105,05</t>
    </r>
  </si>
  <si>
    <r>
      <rPr>
        <sz val="8.5"/>
        <rFont val="Calibri"/>
        <family val="2"/>
      </rPr>
      <t>117,78</t>
    </r>
  </si>
  <si>
    <r>
      <rPr>
        <sz val="8.5"/>
        <rFont val="Calibri"/>
        <family val="2"/>
      </rPr>
      <t>39.21.125</t>
    </r>
  </si>
  <si>
    <r>
      <rPr>
        <sz val="8.5"/>
        <rFont val="Calibri"/>
        <family val="2"/>
      </rPr>
      <t xml:space="preserve">Cabo de cobre flexível de 150 mm², isolamento 0,6/1 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</si>
  <si>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132,72</t>
    </r>
  </si>
  <si>
    <r>
      <rPr>
        <sz val="8.5"/>
        <rFont val="Calibri"/>
        <family val="2"/>
      </rPr>
      <t>145,45</t>
    </r>
  </si>
  <si>
    <r>
      <rPr>
        <sz val="8.5"/>
        <rFont val="Calibri"/>
        <family val="2"/>
      </rPr>
      <t>39.21.130</t>
    </r>
  </si>
  <si>
    <r>
      <rPr>
        <sz val="8.5"/>
        <rFont val="Calibri"/>
        <family val="2"/>
      </rPr>
      <t xml:space="preserve">Cabo de cobre flexível de 185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</si>
  <si>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165,18</t>
    </r>
  </si>
  <si>
    <r>
      <rPr>
        <sz val="8.5"/>
        <rFont val="Calibri"/>
        <family val="2"/>
      </rPr>
      <t>179,74</t>
    </r>
  </si>
  <si>
    <r>
      <rPr>
        <sz val="8.5"/>
        <rFont val="Calibri"/>
        <family val="2"/>
      </rPr>
      <t>39.21.140</t>
    </r>
  </si>
  <si>
    <r>
      <rPr>
        <sz val="8.5"/>
        <rFont val="Calibri"/>
        <family val="2"/>
      </rPr>
      <t xml:space="preserve">Cabo de cobre flexível de 240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</si>
  <si>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211,97</t>
    </r>
  </si>
  <si>
    <r>
      <rPr>
        <sz val="8.5"/>
        <rFont val="Calibri"/>
        <family val="2"/>
      </rPr>
      <t>228,34</t>
    </r>
  </si>
  <si>
    <r>
      <rPr>
        <sz val="8.5"/>
        <rFont val="Calibri"/>
        <family val="2"/>
      </rPr>
      <t>39.21.201</t>
    </r>
  </si>
  <si>
    <r>
      <rPr>
        <sz val="8.5"/>
        <rFont val="Calibri"/>
        <family val="2"/>
      </rPr>
      <t xml:space="preserve">Cabo de cobre flexível de 2 x 2,5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</si>
  <si>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7,76</t>
    </r>
  </si>
  <si>
    <r>
      <rPr>
        <sz val="8.5"/>
        <rFont val="Calibri"/>
        <family val="2"/>
      </rPr>
      <t>39.21.230</t>
    </r>
  </si>
  <si>
    <r>
      <rPr>
        <sz val="8.5"/>
        <rFont val="Calibri"/>
        <family val="2"/>
      </rPr>
      <t xml:space="preserve">Cabo de cobre flexível de 3 x 1,5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</si>
  <si>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5,79</t>
    </r>
  </si>
  <si>
    <r>
      <rPr>
        <sz val="8.5"/>
        <rFont val="Calibri"/>
        <family val="2"/>
      </rPr>
      <t>6,52</t>
    </r>
  </si>
  <si>
    <r>
      <rPr>
        <sz val="8.5"/>
        <rFont val="Calibri"/>
        <family val="2"/>
      </rPr>
      <t>39.21.231</t>
    </r>
  </si>
  <si>
    <r>
      <rPr>
        <sz val="8.5"/>
        <rFont val="Calibri"/>
        <family val="2"/>
      </rPr>
      <t xml:space="preserve">Cabo de cobre flexível de 3 x 2,5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</si>
  <si>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8,69</t>
    </r>
  </si>
  <si>
    <r>
      <rPr>
        <sz val="8.5"/>
        <rFont val="Calibri"/>
        <family val="2"/>
      </rPr>
      <t>39.21.234</t>
    </r>
  </si>
  <si>
    <r>
      <rPr>
        <sz val="8.5"/>
        <rFont val="Calibri"/>
        <family val="2"/>
      </rPr>
      <t xml:space="preserve">Cabo de cobre flexível de 3 x 10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</si>
  <si>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31,88</t>
    </r>
  </si>
  <si>
    <r>
      <rPr>
        <sz val="8.5"/>
        <rFont val="Calibri"/>
        <family val="2"/>
      </rPr>
      <t>35,52</t>
    </r>
  </si>
  <si>
    <r>
      <rPr>
        <sz val="8.5"/>
        <rFont val="Calibri"/>
        <family val="2"/>
      </rPr>
      <t>39.21.236</t>
    </r>
  </si>
  <si>
    <r>
      <rPr>
        <sz val="8.5"/>
        <rFont val="Calibri"/>
        <family val="2"/>
      </rPr>
      <t xml:space="preserve">Cabo de cobre flexível de 3 x 25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</si>
  <si>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76,87</t>
    </r>
  </si>
  <si>
    <r>
      <rPr>
        <sz val="8.5"/>
        <rFont val="Calibri"/>
        <family val="2"/>
      </rPr>
      <t>87,79</t>
    </r>
  </si>
  <si>
    <r>
      <rPr>
        <sz val="8.5"/>
        <rFont val="Calibri"/>
        <family val="2"/>
      </rPr>
      <t>39.21.237</t>
    </r>
  </si>
  <si>
    <r>
      <rPr>
        <sz val="8.5"/>
        <rFont val="Calibri"/>
        <family val="2"/>
      </rPr>
      <t xml:space="preserve">Cabo de cobre flexível de 3 x 35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</si>
  <si>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110,66</t>
    </r>
  </si>
  <si>
    <r>
      <rPr>
        <sz val="8.5"/>
        <rFont val="Calibri"/>
        <family val="2"/>
      </rPr>
      <t>125,22</t>
    </r>
  </si>
  <si>
    <r>
      <rPr>
        <sz val="8.5"/>
        <rFont val="Calibri"/>
        <family val="2"/>
      </rPr>
      <t>39.21.254</t>
    </r>
  </si>
  <si>
    <r>
      <rPr>
        <sz val="8.5"/>
        <rFont val="Calibri"/>
        <family val="2"/>
      </rPr>
      <t xml:space="preserve">Cabo de cobre flexível de 4 x 10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</si>
  <si>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39,99</t>
    </r>
  </si>
  <si>
    <r>
      <rPr>
        <sz val="8.5"/>
        <rFont val="Calibri"/>
        <family val="2"/>
      </rPr>
      <t>44,72</t>
    </r>
  </si>
  <si>
    <r>
      <rPr>
        <sz val="8.5"/>
        <rFont val="Calibri"/>
        <family val="2"/>
      </rPr>
      <t>Cabo de cobre flexivel, isolamento 500 V, isolacao PP 70°C</t>
    </r>
  </si>
  <si>
    <r>
      <rPr>
        <sz val="8.5"/>
        <rFont val="Calibri"/>
        <family val="2"/>
      </rPr>
      <t>39.24.151</t>
    </r>
  </si>
  <si>
    <r>
      <rPr>
        <sz val="8.5"/>
        <rFont val="Calibri"/>
        <family val="2"/>
      </rPr>
      <t xml:space="preserve">Cabo de cobre flexível de 3 x 1,5 mm², isolamento 500 V - isolação PP
</t>
    </r>
    <r>
      <rPr>
        <sz val="8.5"/>
        <rFont val="Calibri"/>
        <family val="2"/>
      </rPr>
      <t>70°C</t>
    </r>
  </si>
  <si>
    <r>
      <rPr>
        <sz val="8.5"/>
        <rFont val="Calibri"/>
        <family val="2"/>
      </rPr>
      <t>5,93</t>
    </r>
  </si>
  <si>
    <r>
      <rPr>
        <sz val="8.5"/>
        <rFont val="Calibri"/>
        <family val="2"/>
      </rPr>
      <t>39.24.152</t>
    </r>
  </si>
  <si>
    <r>
      <rPr>
        <sz val="8.5"/>
        <rFont val="Calibri"/>
        <family val="2"/>
      </rPr>
      <t xml:space="preserve">Cabo de cobre flexível de 3 x 2,5 mm², isolamento 500 V - isolação PP
</t>
    </r>
    <r>
      <rPr>
        <sz val="8.5"/>
        <rFont val="Calibri"/>
        <family val="2"/>
      </rPr>
      <t>70°C</t>
    </r>
  </si>
  <si>
    <r>
      <rPr>
        <sz val="8.5"/>
        <rFont val="Calibri"/>
        <family val="2"/>
      </rPr>
      <t>9,42</t>
    </r>
  </si>
  <si>
    <r>
      <rPr>
        <sz val="8.5"/>
        <rFont val="Calibri"/>
        <family val="2"/>
      </rPr>
      <t>14,88</t>
    </r>
  </si>
  <si>
    <r>
      <rPr>
        <sz val="8.5"/>
        <rFont val="Calibri"/>
        <family val="2"/>
      </rPr>
      <t>39.24.153</t>
    </r>
  </si>
  <si>
    <r>
      <rPr>
        <sz val="8.5"/>
        <rFont val="Calibri"/>
        <family val="2"/>
      </rPr>
      <t>Cabo de cobre flexível de 3 x 4 mm², isolamento 500 V - isolação PP 70°C</t>
    </r>
  </si>
  <si>
    <r>
      <rPr>
        <sz val="8.5"/>
        <rFont val="Calibri"/>
        <family val="2"/>
      </rPr>
      <t>21,01</t>
    </r>
  </si>
  <si>
    <r>
      <rPr>
        <sz val="8.5"/>
        <rFont val="Calibri"/>
        <family val="2"/>
      </rPr>
      <t>39.24.154</t>
    </r>
  </si>
  <si>
    <r>
      <rPr>
        <sz val="8.5"/>
        <rFont val="Calibri"/>
        <family val="2"/>
      </rPr>
      <t>Cabo de cobre flexível de 3 x 6 mm², isolamento 500 V - isolação PP 70°C</t>
    </r>
  </si>
  <si>
    <r>
      <rPr>
        <sz val="8.5"/>
        <rFont val="Calibri"/>
        <family val="2"/>
      </rPr>
      <t>21,30</t>
    </r>
  </si>
  <si>
    <r>
      <rPr>
        <sz val="8.5"/>
        <rFont val="Calibri"/>
        <family val="2"/>
      </rPr>
      <t>28,94</t>
    </r>
  </si>
  <si>
    <r>
      <rPr>
        <sz val="8.5"/>
        <rFont val="Calibri"/>
        <family val="2"/>
      </rPr>
      <t>39.24.173</t>
    </r>
  </si>
  <si>
    <r>
      <rPr>
        <sz val="8.5"/>
        <rFont val="Calibri"/>
        <family val="2"/>
      </rPr>
      <t>Cabo de cobre flexível de 4 x 4 mm², isolamento 500 V - isolação PP 70°C</t>
    </r>
  </si>
  <si>
    <r>
      <rPr>
        <sz val="8.5"/>
        <rFont val="Calibri"/>
        <family val="2"/>
      </rPr>
      <t>18,37</t>
    </r>
  </si>
  <si>
    <r>
      <rPr>
        <sz val="8.5"/>
        <rFont val="Calibri"/>
        <family val="2"/>
      </rPr>
      <t>22,73</t>
    </r>
  </si>
  <si>
    <r>
      <rPr>
        <sz val="8.5"/>
        <rFont val="Calibri"/>
        <family val="2"/>
      </rPr>
      <t>39.24.174</t>
    </r>
  </si>
  <si>
    <r>
      <rPr>
        <sz val="8.5"/>
        <rFont val="Calibri"/>
        <family val="2"/>
      </rPr>
      <t>Cabo de cobre flexível de 4 x 6 mm², isolamento 500 V - isolação PP 70°C</t>
    </r>
  </si>
  <si>
    <r>
      <rPr>
        <sz val="8.5"/>
        <rFont val="Calibri"/>
        <family val="2"/>
      </rPr>
      <t>27,47</t>
    </r>
  </si>
  <si>
    <r>
      <rPr>
        <sz val="8.5"/>
        <rFont val="Calibri"/>
        <family val="2"/>
      </rPr>
      <t>10,19</t>
    </r>
  </si>
  <si>
    <r>
      <rPr>
        <sz val="8.5"/>
        <rFont val="Calibri"/>
        <family val="2"/>
      </rPr>
      <t>Cabo de cobre unipolar, isolamento 15/25 kV, isolacao EPR 90 °C / 105 °C</t>
    </r>
  </si>
  <si>
    <r>
      <rPr>
        <sz val="8.5"/>
        <rFont val="Calibri"/>
        <family val="2"/>
      </rPr>
      <t>39.25.020</t>
    </r>
  </si>
  <si>
    <r>
      <rPr>
        <sz val="8.5"/>
        <rFont val="Calibri"/>
        <family val="2"/>
      </rPr>
      <t>Cabo de cobre de 35 mm², isolamento 15/25 kV - isolação EPR 105°C</t>
    </r>
  </si>
  <si>
    <r>
      <rPr>
        <sz val="8.5"/>
        <rFont val="Calibri"/>
        <family val="2"/>
      </rPr>
      <t>64,63</t>
    </r>
  </si>
  <si>
    <r>
      <rPr>
        <sz val="8.5"/>
        <rFont val="Calibri"/>
        <family val="2"/>
      </rPr>
      <t>39.25.030</t>
    </r>
  </si>
  <si>
    <r>
      <rPr>
        <sz val="8.5"/>
        <rFont val="Calibri"/>
        <family val="2"/>
      </rPr>
      <t>Cabo de cobre de 50 mm², isolamento 15/25 kV - isolação EPR 105°C</t>
    </r>
  </si>
  <si>
    <r>
      <rPr>
        <sz val="8.5"/>
        <rFont val="Calibri"/>
        <family val="2"/>
      </rPr>
      <t>89,29</t>
    </r>
  </si>
  <si>
    <r>
      <rPr>
        <sz val="8.5"/>
        <rFont val="Calibri"/>
        <family val="2"/>
      </rPr>
      <t>90,39</t>
    </r>
  </si>
  <si>
    <r>
      <rPr>
        <sz val="8.5"/>
        <rFont val="Calibri"/>
        <family val="2"/>
      </rPr>
      <t xml:space="preserve">Cabo de cobre flexivel, isolamento 0,6/1kV - isolacao HEPR 90° C - baixa
</t>
    </r>
    <r>
      <rPr>
        <sz val="8.5"/>
        <rFont val="Calibri"/>
        <family val="2"/>
      </rPr>
      <t>emissao fumaca e gases</t>
    </r>
  </si>
  <si>
    <r>
      <rPr>
        <sz val="8.5"/>
        <rFont val="Calibri"/>
        <family val="2"/>
      </rPr>
      <t>39.26.010</t>
    </r>
  </si>
  <si>
    <r>
      <rPr>
        <sz val="8.5"/>
        <rFont val="Calibri"/>
        <family val="2"/>
      </rPr>
      <t xml:space="preserve">Cabo de cobre flexível de 1,5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</si>
  <si>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2,74</t>
    </r>
  </si>
  <si>
    <r>
      <rPr>
        <sz val="8.5"/>
        <rFont val="Calibri"/>
        <family val="2"/>
      </rPr>
      <t>4,19</t>
    </r>
  </si>
  <si>
    <r>
      <rPr>
        <sz val="8.5"/>
        <rFont val="Calibri"/>
        <family val="2"/>
      </rPr>
      <t>39.26.020</t>
    </r>
  </si>
  <si>
    <r>
      <rPr>
        <sz val="8.5"/>
        <rFont val="Calibri"/>
        <family val="2"/>
      </rPr>
      <t xml:space="preserve">Cabo de cobre flexível de 2,5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</si>
  <si>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3,44</t>
    </r>
  </si>
  <si>
    <r>
      <rPr>
        <sz val="8.5"/>
        <rFont val="Calibri"/>
        <family val="2"/>
      </rPr>
      <t>39.26.030</t>
    </r>
  </si>
  <si>
    <r>
      <rPr>
        <sz val="8.5"/>
        <rFont val="Calibri"/>
        <family val="2"/>
      </rPr>
      <t xml:space="preserve">Cabo de cobre flexível de 4 mm², isolamento 0,6/1 kV - 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</si>
  <si>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7,52</t>
    </r>
  </si>
  <si>
    <r>
      <rPr>
        <sz val="8.5"/>
        <rFont val="Calibri"/>
        <family val="2"/>
      </rPr>
      <t>39.26.040</t>
    </r>
  </si>
  <si>
    <r>
      <rPr>
        <sz val="8.5"/>
        <rFont val="Calibri"/>
        <family val="2"/>
      </rPr>
      <t xml:space="preserve">Cabo de cobre flexível de 6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</si>
  <si>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6,78</t>
    </r>
  </si>
  <si>
    <r>
      <rPr>
        <sz val="8.5"/>
        <rFont val="Calibri"/>
        <family val="2"/>
      </rPr>
      <t>39.26.050</t>
    </r>
  </si>
  <si>
    <r>
      <rPr>
        <sz val="8.5"/>
        <rFont val="Calibri"/>
        <family val="2"/>
      </rPr>
      <t xml:space="preserve">Cabo de cobre flexível de 10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</si>
  <si>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11,76</t>
    </r>
  </si>
  <si>
    <r>
      <rPr>
        <sz val="8.5"/>
        <rFont val="Calibri"/>
        <family val="2"/>
      </rPr>
      <t>14,67</t>
    </r>
  </si>
  <si>
    <r>
      <rPr>
        <sz val="8.5"/>
        <rFont val="Calibri"/>
        <family val="2"/>
      </rPr>
      <t>39.26.060</t>
    </r>
  </si>
  <si>
    <r>
      <rPr>
        <sz val="8.5"/>
        <rFont val="Calibri"/>
        <family val="2"/>
      </rPr>
      <t xml:space="preserve">Cabo de cobre flexível de 16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</si>
  <si>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39.26.070</t>
    </r>
  </si>
  <si>
    <r>
      <rPr>
        <sz val="8.5"/>
        <rFont val="Calibri"/>
        <family val="2"/>
      </rPr>
      <t xml:space="preserve">Cabo de cobre flexível de 25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</si>
  <si>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28,35</t>
    </r>
  </si>
  <si>
    <r>
      <rPr>
        <sz val="8.5"/>
        <rFont val="Calibri"/>
        <family val="2"/>
      </rPr>
      <t>31,99</t>
    </r>
  </si>
  <si>
    <r>
      <rPr>
        <sz val="8.5"/>
        <rFont val="Calibri"/>
        <family val="2"/>
      </rPr>
      <t>39.26.080</t>
    </r>
  </si>
  <si>
    <r>
      <rPr>
        <sz val="8.5"/>
        <rFont val="Calibri"/>
        <family val="2"/>
      </rPr>
      <t xml:space="preserve">Cabo de cobre flexível de 35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</si>
  <si>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42,58</t>
    </r>
  </si>
  <si>
    <r>
      <rPr>
        <sz val="8.5"/>
        <rFont val="Calibri"/>
        <family val="2"/>
      </rPr>
      <t>39.26.090</t>
    </r>
  </si>
  <si>
    <r>
      <rPr>
        <sz val="8.5"/>
        <rFont val="Calibri"/>
        <family val="2"/>
      </rPr>
      <t xml:space="preserve">Cabo de cobre flexível de 50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</si>
  <si>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52,47</t>
    </r>
  </si>
  <si>
    <r>
      <rPr>
        <sz val="8.5"/>
        <rFont val="Calibri"/>
        <family val="2"/>
      </rPr>
      <t>39.26.100</t>
    </r>
  </si>
  <si>
    <r>
      <rPr>
        <sz val="8.5"/>
        <rFont val="Calibri"/>
        <family val="2"/>
      </rPr>
      <t xml:space="preserve">Cabo de cobre flexível de 70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</si>
  <si>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75,35</t>
    </r>
  </si>
  <si>
    <r>
      <rPr>
        <sz val="8.5"/>
        <rFont val="Calibri"/>
        <family val="2"/>
      </rPr>
      <t>84,45</t>
    </r>
  </si>
  <si>
    <r>
      <rPr>
        <sz val="8.5"/>
        <rFont val="Calibri"/>
        <family val="2"/>
      </rPr>
      <t>39.26.110</t>
    </r>
  </si>
  <si>
    <r>
      <rPr>
        <sz val="8.5"/>
        <rFont val="Calibri"/>
        <family val="2"/>
      </rPr>
      <t xml:space="preserve">Cabo de cobre flexível de 95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</si>
  <si>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97,83</t>
    </r>
  </si>
  <si>
    <r>
      <rPr>
        <sz val="8.5"/>
        <rFont val="Calibri"/>
        <family val="2"/>
      </rPr>
      <t>108,75</t>
    </r>
  </si>
  <si>
    <r>
      <rPr>
        <sz val="8.5"/>
        <rFont val="Calibri"/>
        <family val="2"/>
      </rPr>
      <t>39.26.120</t>
    </r>
  </si>
  <si>
    <r>
      <rPr>
        <sz val="8.5"/>
        <rFont val="Calibri"/>
        <family val="2"/>
      </rPr>
      <t xml:space="preserve">Cabo de cobre flexível de 120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</si>
  <si>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126,81</t>
    </r>
  </si>
  <si>
    <r>
      <rPr>
        <sz val="8.5"/>
        <rFont val="Calibri"/>
        <family val="2"/>
      </rPr>
      <t>39.26.130</t>
    </r>
  </si>
  <si>
    <r>
      <rPr>
        <sz val="8.5"/>
        <rFont val="Calibri"/>
        <family val="2"/>
      </rPr>
      <t xml:space="preserve">Cabo de cobre flexível de 150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</si>
  <si>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155,54</t>
    </r>
  </si>
  <si>
    <r>
      <rPr>
        <sz val="8.5"/>
        <rFont val="Calibri"/>
        <family val="2"/>
      </rPr>
      <t>170,10</t>
    </r>
  </si>
  <si>
    <r>
      <rPr>
        <sz val="8.5"/>
        <rFont val="Calibri"/>
        <family val="2"/>
      </rPr>
      <t>39.26.140</t>
    </r>
  </si>
  <si>
    <r>
      <rPr>
        <sz val="8.5"/>
        <rFont val="Calibri"/>
        <family val="2"/>
      </rPr>
      <t xml:space="preserve">Cabo de cobre flexível de 185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</si>
  <si>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185,15</t>
    </r>
  </si>
  <si>
    <r>
      <rPr>
        <sz val="8.5"/>
        <rFont val="Calibri"/>
        <family val="2"/>
      </rPr>
      <t>201,52</t>
    </r>
  </si>
  <si>
    <r>
      <rPr>
        <sz val="8.5"/>
        <rFont val="Calibri"/>
        <family val="2"/>
      </rPr>
      <t>39.26.150</t>
    </r>
  </si>
  <si>
    <r>
      <rPr>
        <sz val="8.5"/>
        <rFont val="Calibri"/>
        <family val="2"/>
      </rPr>
      <t xml:space="preserve">Cabo de cobre flexível de 240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</si>
  <si>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242,55</t>
    </r>
  </si>
  <si>
    <r>
      <rPr>
        <sz val="8.5"/>
        <rFont val="Calibri"/>
        <family val="2"/>
      </rPr>
      <t>260,75</t>
    </r>
  </si>
  <si>
    <r>
      <rPr>
        <sz val="8.5"/>
        <rFont val="Calibri"/>
        <family val="2"/>
      </rPr>
      <t>Cabo optico</t>
    </r>
  </si>
  <si>
    <r>
      <rPr>
        <sz val="8.5"/>
        <rFont val="Calibri"/>
        <family val="2"/>
      </rPr>
      <t>39.27.010</t>
    </r>
  </si>
  <si>
    <r>
      <rPr>
        <sz val="8.5"/>
        <rFont val="Calibri"/>
        <family val="2"/>
      </rPr>
      <t>Cabo óptico de terminação, 2 fibras, 50/125 µm - uso interno/externo</t>
    </r>
  </si>
  <si>
    <r>
      <rPr>
        <sz val="8.5"/>
        <rFont val="Calibri"/>
        <family val="2"/>
      </rPr>
      <t>5,74</t>
    </r>
  </si>
  <si>
    <r>
      <rPr>
        <sz val="8.5"/>
        <rFont val="Calibri"/>
        <family val="2"/>
      </rPr>
      <t>39.27.020</t>
    </r>
  </si>
  <si>
    <r>
      <rPr>
        <sz val="8.5"/>
        <rFont val="Calibri"/>
        <family val="2"/>
      </rPr>
      <t>Cabo óptico multimodo, 4 fibras, 50/125 µm - uso interno/externo</t>
    </r>
  </si>
  <si>
    <r>
      <rPr>
        <sz val="8.5"/>
        <rFont val="Calibri"/>
        <family val="2"/>
      </rPr>
      <t>8,63</t>
    </r>
  </si>
  <si>
    <r>
      <rPr>
        <sz val="8.5"/>
        <rFont val="Calibri"/>
        <family val="2"/>
      </rPr>
      <t>12,27</t>
    </r>
  </si>
  <si>
    <r>
      <rPr>
        <sz val="8.5"/>
        <rFont val="Calibri"/>
        <family val="2"/>
      </rPr>
      <t>39.27.030</t>
    </r>
  </si>
  <si>
    <r>
      <rPr>
        <sz val="8.5"/>
        <rFont val="Calibri"/>
        <family val="2"/>
      </rPr>
      <t>Cabo óptico multimodo, 6 fibras, 50/125 µm - uso interno/externo</t>
    </r>
  </si>
  <si>
    <r>
      <rPr>
        <sz val="8.5"/>
        <rFont val="Calibri"/>
        <family val="2"/>
      </rPr>
      <t>39.27.110</t>
    </r>
  </si>
  <si>
    <r>
      <rPr>
        <sz val="8.5"/>
        <rFont val="Calibri"/>
        <family val="2"/>
      </rPr>
      <t xml:space="preserve">Cabo óptico multimodo, núcleo geleado, 4 fibras, 50/125 µm - uso
</t>
    </r>
    <r>
      <rPr>
        <sz val="8.5"/>
        <rFont val="Calibri"/>
        <family val="2"/>
      </rPr>
      <t>externo</t>
    </r>
  </si>
  <si>
    <r>
      <rPr>
        <sz val="8.5"/>
        <rFont val="Calibri"/>
        <family val="2"/>
      </rPr>
      <t>13,65</t>
    </r>
  </si>
  <si>
    <r>
      <rPr>
        <sz val="8.5"/>
        <rFont val="Calibri"/>
        <family val="2"/>
      </rPr>
      <t>17,29</t>
    </r>
  </si>
  <si>
    <r>
      <rPr>
        <sz val="8.5"/>
        <rFont val="Calibri"/>
        <family val="2"/>
      </rPr>
      <t>39.27.120</t>
    </r>
  </si>
  <si>
    <r>
      <rPr>
        <sz val="8.5"/>
        <rFont val="Calibri"/>
        <family val="2"/>
      </rPr>
      <t xml:space="preserve">Cabo óptico multimodo, núcleo geleado, 6 fibras, 50/125 µm - uso
</t>
    </r>
    <r>
      <rPr>
        <sz val="8.5"/>
        <rFont val="Calibri"/>
        <family val="2"/>
      </rPr>
      <t>externo</t>
    </r>
  </si>
  <si>
    <r>
      <rPr>
        <sz val="8.5"/>
        <rFont val="Calibri"/>
        <family val="2"/>
      </rPr>
      <t>26,21</t>
    </r>
  </si>
  <si>
    <r>
      <rPr>
        <sz val="8.5"/>
        <rFont val="Calibri"/>
        <family val="2"/>
      </rPr>
      <t xml:space="preserve">Cabo de cobre flexivel, isolamento 750 V - isolacao 70°C, baixa emissao
</t>
    </r>
    <r>
      <rPr>
        <sz val="8.5"/>
        <rFont val="Calibri"/>
        <family val="2"/>
      </rPr>
      <t>de fumaca e gases</t>
    </r>
  </si>
  <si>
    <r>
      <rPr>
        <sz val="8.5"/>
        <rFont val="Calibri"/>
        <family val="2"/>
      </rPr>
      <t>39.29.110</t>
    </r>
  </si>
  <si>
    <r>
      <rPr>
        <sz val="8.5"/>
        <rFont val="Calibri"/>
        <family val="2"/>
      </rPr>
      <t xml:space="preserve">Cabo de cobre flexível de 1,5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</si>
  <si>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39.29.111</t>
    </r>
  </si>
  <si>
    <r>
      <rPr>
        <sz val="8.5"/>
        <rFont val="Calibri"/>
        <family val="2"/>
      </rPr>
      <t xml:space="preserve">Cabo de cobre flexível de 2,5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</si>
  <si>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2,61</t>
    </r>
  </si>
  <si>
    <r>
      <rPr>
        <sz val="8.5"/>
        <rFont val="Calibri"/>
        <family val="2"/>
      </rPr>
      <t>4,43</t>
    </r>
  </si>
  <si>
    <r>
      <rPr>
        <sz val="8.5"/>
        <rFont val="Calibri"/>
        <family val="2"/>
      </rPr>
      <t>39.29.112</t>
    </r>
  </si>
  <si>
    <r>
      <rPr>
        <sz val="8.5"/>
        <rFont val="Calibri"/>
        <family val="2"/>
      </rPr>
      <t xml:space="preserve">Cabo de cobre flexível de 4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</si>
  <si>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4,27</t>
    </r>
  </si>
  <si>
    <r>
      <rPr>
        <sz val="8.5"/>
        <rFont val="Calibri"/>
        <family val="2"/>
      </rPr>
      <t>6,45</t>
    </r>
  </si>
  <si>
    <r>
      <rPr>
        <sz val="8.5"/>
        <rFont val="Calibri"/>
        <family val="2"/>
      </rPr>
      <t>39.29.113</t>
    </r>
  </si>
  <si>
    <r>
      <rPr>
        <sz val="8.5"/>
        <rFont val="Calibri"/>
        <family val="2"/>
      </rPr>
      <t xml:space="preserve">Cabo de cobre flexível de 6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</si>
  <si>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39.29.114</t>
    </r>
  </si>
  <si>
    <r>
      <rPr>
        <sz val="8.5"/>
        <rFont val="Calibri"/>
        <family val="2"/>
      </rPr>
      <t xml:space="preserve">Cabo de cobre flexível de 10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</si>
  <si>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9,97</t>
    </r>
  </si>
  <si>
    <r>
      <rPr>
        <sz val="8.5"/>
        <rFont val="Calibri"/>
        <family val="2"/>
      </rPr>
      <t>12,88</t>
    </r>
  </si>
  <si>
    <r>
      <rPr>
        <sz val="8.5"/>
        <rFont val="Calibri"/>
        <family val="2"/>
      </rPr>
      <t>Fios e cabos - audio e video</t>
    </r>
  </si>
  <si>
    <r>
      <rPr>
        <sz val="8.5"/>
        <rFont val="Calibri"/>
        <family val="2"/>
      </rPr>
      <t>39.30.010</t>
    </r>
  </si>
  <si>
    <r>
      <rPr>
        <sz val="8.5"/>
        <rFont val="Calibri"/>
        <family val="2"/>
      </rPr>
      <t>Cabo torcido flexível de 2 x 2,5 mm², isolação em PVC antichama</t>
    </r>
  </si>
  <si>
    <r>
      <rPr>
        <sz val="8.5"/>
        <rFont val="Calibri"/>
        <family val="2"/>
      </rPr>
      <t>5,02</t>
    </r>
  </si>
  <si>
    <r>
      <rPr>
        <sz val="8.5"/>
        <rFont val="Calibri"/>
        <family val="2"/>
      </rPr>
      <t>14,12</t>
    </r>
  </si>
  <si>
    <r>
      <rPr>
        <sz val="8.5"/>
        <rFont val="Calibri"/>
        <family val="2"/>
      </rPr>
      <t xml:space="preserve">DISTRIBUICAO DE FORCA E COMANDO DE ENERGIA ELETRICA E
</t>
    </r>
    <r>
      <rPr>
        <sz val="8.5"/>
        <rFont val="Calibri"/>
        <family val="2"/>
      </rPr>
      <t>TELEFONIA</t>
    </r>
  </si>
  <si>
    <r>
      <rPr>
        <sz val="8.5"/>
        <rFont val="Calibri"/>
        <family val="2"/>
      </rPr>
      <t>Caixa de passagem estampada</t>
    </r>
  </si>
  <si>
    <r>
      <rPr>
        <sz val="8.5"/>
        <rFont val="Calibri"/>
        <family val="2"/>
      </rPr>
      <t>40.01.020</t>
    </r>
  </si>
  <si>
    <r>
      <rPr>
        <sz val="8.5"/>
        <rFont val="Calibri"/>
        <family val="2"/>
      </rPr>
      <t>Caixa de ferro estampada 4´ x 2´</t>
    </r>
  </si>
  <si>
    <r>
      <rPr>
        <sz val="8.5"/>
        <rFont val="Calibri"/>
        <family val="2"/>
      </rPr>
      <t>40.01.040</t>
    </r>
  </si>
  <si>
    <r>
      <rPr>
        <sz val="8.5"/>
        <rFont val="Calibri"/>
        <family val="2"/>
      </rPr>
      <t>Caixa de ferro estampada 4´ x 4´</t>
    </r>
  </si>
  <si>
    <r>
      <rPr>
        <sz val="8.5"/>
        <rFont val="Calibri"/>
        <family val="2"/>
      </rPr>
      <t>15,84</t>
    </r>
  </si>
  <si>
    <r>
      <rPr>
        <sz val="8.5"/>
        <rFont val="Calibri"/>
        <family val="2"/>
      </rPr>
      <t>40.01.080</t>
    </r>
  </si>
  <si>
    <r>
      <rPr>
        <sz val="8.5"/>
        <rFont val="Calibri"/>
        <family val="2"/>
      </rPr>
      <t>Caixa de ferro estampada octogonal fundo móvel 4´ x 4´</t>
    </r>
  </si>
  <si>
    <r>
      <rPr>
        <sz val="8.5"/>
        <rFont val="Calibri"/>
        <family val="2"/>
      </rPr>
      <t>15,40</t>
    </r>
  </si>
  <si>
    <r>
      <rPr>
        <sz val="8.5"/>
        <rFont val="Calibri"/>
        <family val="2"/>
      </rPr>
      <t>40.01.090</t>
    </r>
  </si>
  <si>
    <r>
      <rPr>
        <sz val="8.5"/>
        <rFont val="Calibri"/>
        <family val="2"/>
      </rPr>
      <t>Caixa de ferro estampada octogonal de 3´ x 3´</t>
    </r>
  </si>
  <si>
    <r>
      <rPr>
        <sz val="8.5"/>
        <rFont val="Calibri"/>
        <family val="2"/>
      </rPr>
      <t>3,71</t>
    </r>
  </si>
  <si>
    <r>
      <rPr>
        <sz val="8.5"/>
        <rFont val="Calibri"/>
        <family val="2"/>
      </rPr>
      <t>12,81</t>
    </r>
  </si>
  <si>
    <r>
      <rPr>
        <sz val="8.5"/>
        <rFont val="Calibri"/>
        <family val="2"/>
      </rPr>
      <t>Caixa de passagem com tampa</t>
    </r>
  </si>
  <si>
    <r>
      <rPr>
        <sz val="8.5"/>
        <rFont val="Calibri"/>
        <family val="2"/>
      </rPr>
      <t>40.02.010</t>
    </r>
  </si>
  <si>
    <r>
      <rPr>
        <sz val="8.5"/>
        <rFont val="Calibri"/>
        <family val="2"/>
      </rPr>
      <t>Caixa de tomada em alumínio para piso 4´ x 4´</t>
    </r>
  </si>
  <si>
    <r>
      <rPr>
        <sz val="8.5"/>
        <rFont val="Calibri"/>
        <family val="2"/>
      </rPr>
      <t>27,11</t>
    </r>
  </si>
  <si>
    <r>
      <rPr>
        <sz val="8.5"/>
        <rFont val="Calibri"/>
        <family val="2"/>
      </rPr>
      <t>56,23</t>
    </r>
  </si>
  <si>
    <r>
      <rPr>
        <sz val="8.5"/>
        <rFont val="Calibri"/>
        <family val="2"/>
      </rPr>
      <t>40.02.020</t>
    </r>
  </si>
  <si>
    <r>
      <rPr>
        <sz val="8.5"/>
        <rFont val="Calibri"/>
        <family val="2"/>
      </rPr>
      <t>Caixa de passagem em chapa, com tampa parafusada, 100 x 100 x 80 mm</t>
    </r>
  </si>
  <si>
    <r>
      <rPr>
        <sz val="8.5"/>
        <rFont val="Calibri"/>
        <family val="2"/>
      </rPr>
      <t>12,28</t>
    </r>
  </si>
  <si>
    <r>
      <rPr>
        <sz val="8.5"/>
        <rFont val="Calibri"/>
        <family val="2"/>
      </rPr>
      <t>23,20</t>
    </r>
  </si>
  <si>
    <r>
      <rPr>
        <sz val="8.5"/>
        <rFont val="Calibri"/>
        <family val="2"/>
      </rPr>
      <t>40.02.040</t>
    </r>
  </si>
  <si>
    <r>
      <rPr>
        <sz val="8.5"/>
        <rFont val="Calibri"/>
        <family val="2"/>
      </rPr>
      <t>Caixa de passagem em chapa, com tampa parafusada, 150 x 150 x 80 mm</t>
    </r>
  </si>
  <si>
    <r>
      <rPr>
        <sz val="8.5"/>
        <rFont val="Calibri"/>
        <family val="2"/>
      </rPr>
      <t>29,81</t>
    </r>
  </si>
  <si>
    <r>
      <rPr>
        <sz val="8.5"/>
        <rFont val="Calibri"/>
        <family val="2"/>
      </rPr>
      <t>40.02.060</t>
    </r>
  </si>
  <si>
    <r>
      <rPr>
        <sz val="8.5"/>
        <rFont val="Calibri"/>
        <family val="2"/>
      </rPr>
      <t xml:space="preserve">Caixa de passagem em chapa, com tampa parafusada, 200 x 200 x 100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</si>
  <si>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34,58</t>
    </r>
  </si>
  <si>
    <r>
      <rPr>
        <sz val="8.5"/>
        <rFont val="Calibri"/>
        <family val="2"/>
      </rPr>
      <t>40.02.080</t>
    </r>
  </si>
  <si>
    <r>
      <rPr>
        <sz val="8.5"/>
        <rFont val="Calibri"/>
        <family val="2"/>
      </rPr>
      <t xml:space="preserve">Caixa de passagem em chapa, com tampa parafusada, 300 x 300 x 120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</si>
  <si>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57,07</t>
    </r>
  </si>
  <si>
    <r>
      <rPr>
        <sz val="8.5"/>
        <rFont val="Calibri"/>
        <family val="2"/>
      </rPr>
      <t>71,63</t>
    </r>
  </si>
  <si>
    <r>
      <rPr>
        <sz val="8.5"/>
        <rFont val="Calibri"/>
        <family val="2"/>
      </rPr>
      <t>40.02.100</t>
    </r>
  </si>
  <si>
    <r>
      <rPr>
        <sz val="8.5"/>
        <rFont val="Calibri"/>
        <family val="2"/>
      </rPr>
      <t xml:space="preserve">Caixa de passagem em chapa, com tampa parafusada, 400 x 400 x 150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</si>
  <si>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167,89</t>
    </r>
  </si>
  <si>
    <r>
      <rPr>
        <sz val="8.5"/>
        <rFont val="Calibri"/>
        <family val="2"/>
      </rPr>
      <t>182,45</t>
    </r>
  </si>
  <si>
    <r>
      <rPr>
        <sz val="8.5"/>
        <rFont val="Calibri"/>
        <family val="2"/>
      </rPr>
      <t>40.02.120</t>
    </r>
  </si>
  <si>
    <r>
      <rPr>
        <sz val="8.5"/>
        <rFont val="Calibri"/>
        <family val="2"/>
      </rPr>
      <t xml:space="preserve">Caixa de passagem em chapa, com tampa parafusada, 500 x 500 x 150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</si>
  <si>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181,48</t>
    </r>
  </si>
  <si>
    <r>
      <rPr>
        <sz val="8.5"/>
        <rFont val="Calibri"/>
        <family val="2"/>
      </rPr>
      <t>199,68</t>
    </r>
  </si>
  <si>
    <r>
      <rPr>
        <sz val="8.5"/>
        <rFont val="Calibri"/>
        <family val="2"/>
      </rPr>
      <t>40.02.440</t>
    </r>
  </si>
  <si>
    <r>
      <rPr>
        <sz val="8.5"/>
        <rFont val="Calibri"/>
        <family val="2"/>
      </rPr>
      <t xml:space="preserve">Caixa em alumínio fundido à prova de tempo, umidade, gases, vapores e
</t>
    </r>
    <r>
      <rPr>
        <sz val="8.5"/>
        <rFont val="Calibri"/>
        <family val="2"/>
      </rPr>
      <t>pó, 150 x 150 x 150 mm</t>
    </r>
  </si>
  <si>
    <r>
      <rPr>
        <sz val="8.5"/>
        <rFont val="Calibri"/>
        <family val="2"/>
      </rPr>
      <t>245,82</t>
    </r>
  </si>
  <si>
    <r>
      <rPr>
        <sz val="8.5"/>
        <rFont val="Calibri"/>
        <family val="2"/>
      </rPr>
      <t>256,74</t>
    </r>
  </si>
  <si>
    <r>
      <rPr>
        <sz val="8.5"/>
        <rFont val="Calibri"/>
        <family val="2"/>
      </rPr>
      <t>40.02.450</t>
    </r>
  </si>
  <si>
    <r>
      <rPr>
        <sz val="8.5"/>
        <rFont val="Calibri"/>
        <family val="2"/>
      </rPr>
      <t xml:space="preserve">Caixa em alumínio fundido à prova de tempo, umidade, gases, vapores e
</t>
    </r>
    <r>
      <rPr>
        <sz val="8.5"/>
        <rFont val="Calibri"/>
        <family val="2"/>
      </rPr>
      <t>pó, 200 x 200 x 200 mm</t>
    </r>
  </si>
  <si>
    <r>
      <rPr>
        <sz val="8.5"/>
        <rFont val="Calibri"/>
        <family val="2"/>
      </rPr>
      <t>363,56</t>
    </r>
  </si>
  <si>
    <r>
      <rPr>
        <sz val="8.5"/>
        <rFont val="Calibri"/>
        <family val="2"/>
      </rPr>
      <t>374,48</t>
    </r>
  </si>
  <si>
    <r>
      <rPr>
        <sz val="8.5"/>
        <rFont val="Calibri"/>
        <family val="2"/>
      </rPr>
      <t>40.02.460</t>
    </r>
  </si>
  <si>
    <r>
      <rPr>
        <sz val="8.5"/>
        <rFont val="Calibri"/>
        <family val="2"/>
      </rPr>
      <t xml:space="preserve">Caixa em alumínio fundido à prova de tempo, umidade, gases, vapores e
</t>
    </r>
    <r>
      <rPr>
        <sz val="8.5"/>
        <rFont val="Calibri"/>
        <family val="2"/>
      </rPr>
      <t>pó, 240 x 240 x 150 mm</t>
    </r>
  </si>
  <si>
    <r>
      <rPr>
        <sz val="8.5"/>
        <rFont val="Calibri"/>
        <family val="2"/>
      </rPr>
      <t>366,36</t>
    </r>
  </si>
  <si>
    <r>
      <rPr>
        <sz val="8.5"/>
        <rFont val="Calibri"/>
        <family val="2"/>
      </rPr>
      <t>377,28</t>
    </r>
  </si>
  <si>
    <r>
      <rPr>
        <sz val="8.5"/>
        <rFont val="Calibri"/>
        <family val="2"/>
      </rPr>
      <t>40.02.470</t>
    </r>
  </si>
  <si>
    <r>
      <rPr>
        <sz val="8.5"/>
        <rFont val="Calibri"/>
        <family val="2"/>
      </rPr>
      <t xml:space="preserve">Caixa em alumínio fundido à prova de tempo, umidade, gases, vapores e
</t>
    </r>
    <r>
      <rPr>
        <sz val="8.5"/>
        <rFont val="Calibri"/>
        <family val="2"/>
      </rPr>
      <t>pó, 445 x 350 x 220 mm</t>
    </r>
  </si>
  <si>
    <r>
      <rPr>
        <sz val="8.5"/>
        <rFont val="Calibri"/>
        <family val="2"/>
      </rPr>
      <t>1.185,66</t>
    </r>
  </si>
  <si>
    <r>
      <rPr>
        <sz val="8.5"/>
        <rFont val="Calibri"/>
        <family val="2"/>
      </rPr>
      <t>1.200,22</t>
    </r>
  </si>
  <si>
    <r>
      <rPr>
        <sz val="8.5"/>
        <rFont val="Calibri"/>
        <family val="2"/>
      </rPr>
      <t>40.02.600</t>
    </r>
  </si>
  <si>
    <r>
      <rPr>
        <sz val="8.5"/>
        <rFont val="Calibri"/>
        <family val="2"/>
      </rPr>
      <t>Caixa de passagem em alumínio fundido à prova de tempo, 100 x 100 mm</t>
    </r>
  </si>
  <si>
    <r>
      <rPr>
        <sz val="8.5"/>
        <rFont val="Calibri"/>
        <family val="2"/>
      </rPr>
      <t>26,28</t>
    </r>
  </si>
  <si>
    <r>
      <rPr>
        <sz val="8.5"/>
        <rFont val="Calibri"/>
        <family val="2"/>
      </rPr>
      <t>37,20</t>
    </r>
  </si>
  <si>
    <r>
      <rPr>
        <sz val="8.5"/>
        <rFont val="Calibri"/>
        <family val="2"/>
      </rPr>
      <t>40.02.610</t>
    </r>
  </si>
  <si>
    <r>
      <rPr>
        <sz val="8.5"/>
        <rFont val="Calibri"/>
        <family val="2"/>
      </rPr>
      <t>Caixa de passagem em alumínio fundido à prova de tempo, 200 x 200 mm</t>
    </r>
  </si>
  <si>
    <r>
      <rPr>
        <sz val="8.5"/>
        <rFont val="Calibri"/>
        <family val="2"/>
      </rPr>
      <t>79,38</t>
    </r>
  </si>
  <si>
    <r>
      <rPr>
        <sz val="8.5"/>
        <rFont val="Calibri"/>
        <family val="2"/>
      </rPr>
      <t>40.02.620</t>
    </r>
  </si>
  <si>
    <r>
      <rPr>
        <sz val="8.5"/>
        <rFont val="Calibri"/>
        <family val="2"/>
      </rPr>
      <t>Caixa de passagem em alumínio fundido à prova de tempo, 300 x 300 mm</t>
    </r>
  </si>
  <si>
    <r>
      <rPr>
        <sz val="8.5"/>
        <rFont val="Calibri"/>
        <family val="2"/>
      </rPr>
      <t>161,82</t>
    </r>
  </si>
  <si>
    <r>
      <rPr>
        <sz val="8.5"/>
        <rFont val="Calibri"/>
        <family val="2"/>
      </rPr>
      <t>176,38</t>
    </r>
  </si>
  <si>
    <r>
      <rPr>
        <sz val="8.5"/>
        <rFont val="Calibri"/>
        <family val="2"/>
      </rPr>
      <t>Tomadas</t>
    </r>
  </si>
  <si>
    <r>
      <rPr>
        <sz val="8.5"/>
        <rFont val="Calibri"/>
        <family val="2"/>
      </rPr>
      <t>40.04.080</t>
    </r>
  </si>
  <si>
    <r>
      <rPr>
        <sz val="8.5"/>
        <rFont val="Calibri"/>
        <family val="2"/>
      </rPr>
      <t>Tomada para telefone 4P, padrão TELEBRÁS, com placa</t>
    </r>
  </si>
  <si>
    <r>
      <rPr>
        <sz val="8.5"/>
        <rFont val="Calibri"/>
        <family val="2"/>
      </rPr>
      <t>22,56</t>
    </r>
  </si>
  <si>
    <r>
      <rPr>
        <sz val="8.5"/>
        <rFont val="Calibri"/>
        <family val="2"/>
      </rPr>
      <t>40.04.090</t>
    </r>
  </si>
  <si>
    <r>
      <rPr>
        <sz val="8.5"/>
        <rFont val="Calibri"/>
        <family val="2"/>
      </rPr>
      <t>Tomada RJ 11 para telefone, sem placa</t>
    </r>
  </si>
  <si>
    <r>
      <rPr>
        <sz val="8.5"/>
        <rFont val="Calibri"/>
        <family val="2"/>
      </rPr>
      <t>15,86</t>
    </r>
  </si>
  <si>
    <r>
      <rPr>
        <sz val="8.5"/>
        <rFont val="Calibri"/>
        <family val="2"/>
      </rPr>
      <t>26,78</t>
    </r>
  </si>
  <si>
    <r>
      <rPr>
        <sz val="8.5"/>
        <rFont val="Calibri"/>
        <family val="2"/>
      </rPr>
      <t>40.04.096</t>
    </r>
  </si>
  <si>
    <r>
      <rPr>
        <sz val="8.5"/>
        <rFont val="Calibri"/>
        <family val="2"/>
      </rPr>
      <t>Tomada RJ 45 para rede de dados, com placa</t>
    </r>
  </si>
  <si>
    <r>
      <rPr>
        <sz val="8.5"/>
        <rFont val="Calibri"/>
        <family val="2"/>
      </rPr>
      <t>52,09</t>
    </r>
  </si>
  <si>
    <r>
      <rPr>
        <sz val="8.5"/>
        <rFont val="Calibri"/>
        <family val="2"/>
      </rPr>
      <t>63,01</t>
    </r>
  </si>
  <si>
    <r>
      <rPr>
        <sz val="8.5"/>
        <rFont val="Calibri"/>
        <family val="2"/>
      </rPr>
      <t>40.04.140</t>
    </r>
  </si>
  <si>
    <r>
      <rPr>
        <sz val="8.5"/>
        <rFont val="Calibri"/>
        <family val="2"/>
      </rPr>
      <t>Tomada 3P+T de 32 A, blindada industrial de sobrepor negativa</t>
    </r>
  </si>
  <si>
    <r>
      <rPr>
        <sz val="8.5"/>
        <rFont val="Calibri"/>
        <family val="2"/>
      </rPr>
      <t>228,96</t>
    </r>
  </si>
  <si>
    <r>
      <rPr>
        <sz val="8.5"/>
        <rFont val="Calibri"/>
        <family val="2"/>
      </rPr>
      <t>239,88</t>
    </r>
  </si>
  <si>
    <r>
      <rPr>
        <sz val="8.5"/>
        <rFont val="Calibri"/>
        <family val="2"/>
      </rPr>
      <t>40.04.146</t>
    </r>
  </si>
  <si>
    <r>
      <rPr>
        <sz val="8.5"/>
        <rFont val="Calibri"/>
        <family val="2"/>
      </rPr>
      <t>Tomada 3P+T de 63 A, blindada industrial de embutir</t>
    </r>
  </si>
  <si>
    <r>
      <rPr>
        <sz val="8.5"/>
        <rFont val="Calibri"/>
        <family val="2"/>
      </rPr>
      <t>210,20</t>
    </r>
  </si>
  <si>
    <r>
      <rPr>
        <sz val="8.5"/>
        <rFont val="Calibri"/>
        <family val="2"/>
      </rPr>
      <t>221,12</t>
    </r>
  </si>
  <si>
    <r>
      <rPr>
        <sz val="8.5"/>
        <rFont val="Calibri"/>
        <family val="2"/>
      </rPr>
      <t>40.04.230</t>
    </r>
  </si>
  <si>
    <r>
      <rPr>
        <sz val="8.5"/>
        <rFont val="Calibri"/>
        <family val="2"/>
      </rPr>
      <t>Tomada de canaleta/perfilado universal 2P+T, com caixa e tampa</t>
    </r>
  </si>
  <si>
    <r>
      <rPr>
        <sz val="8.5"/>
        <rFont val="Calibri"/>
        <family val="2"/>
      </rPr>
      <t>15,99</t>
    </r>
  </si>
  <si>
    <r>
      <rPr>
        <sz val="8.5"/>
        <rFont val="Calibri"/>
        <family val="2"/>
      </rPr>
      <t>26,91</t>
    </r>
  </si>
  <si>
    <r>
      <rPr>
        <sz val="8.5"/>
        <rFont val="Calibri"/>
        <family val="2"/>
      </rPr>
      <t>40.04.340</t>
    </r>
  </si>
  <si>
    <r>
      <rPr>
        <sz val="8.5"/>
        <rFont val="Calibri"/>
        <family val="2"/>
      </rPr>
      <t>Plugue e tomada 2P+T de 16 A de sobrepor - 380 / 440 V</t>
    </r>
  </si>
  <si>
    <r>
      <rPr>
        <sz val="8.5"/>
        <rFont val="Calibri"/>
        <family val="2"/>
      </rPr>
      <t>284,26</t>
    </r>
  </si>
  <si>
    <r>
      <rPr>
        <sz val="8.5"/>
        <rFont val="Calibri"/>
        <family val="2"/>
      </rPr>
      <t>295,18</t>
    </r>
  </si>
  <si>
    <r>
      <rPr>
        <sz val="8.5"/>
        <rFont val="Calibri"/>
        <family val="2"/>
      </rPr>
      <t>40.04.390</t>
    </r>
  </si>
  <si>
    <r>
      <rPr>
        <sz val="8.5"/>
        <rFont val="Calibri"/>
        <family val="2"/>
      </rPr>
      <t xml:space="preserve">Tomada de energia quadrada com rabicho de 10 A - 250 V , para
</t>
    </r>
    <r>
      <rPr>
        <sz val="8.5"/>
        <rFont val="Calibri"/>
        <family val="2"/>
      </rPr>
      <t>instalação em painel / rodapé / caixa de tomadas</t>
    </r>
  </si>
  <si>
    <r>
      <rPr>
        <sz val="8.5"/>
        <rFont val="Calibri"/>
        <family val="2"/>
      </rPr>
      <t>8,87</t>
    </r>
  </si>
  <si>
    <r>
      <rPr>
        <sz val="8.5"/>
        <rFont val="Calibri"/>
        <family val="2"/>
      </rPr>
      <t>40.04.450</t>
    </r>
  </si>
  <si>
    <r>
      <rPr>
        <sz val="8.5"/>
        <rFont val="Calibri"/>
        <family val="2"/>
      </rPr>
      <t>Tomada 2P+T de 10 A - 250 V, completa</t>
    </r>
  </si>
  <si>
    <r>
      <rPr>
        <sz val="8.5"/>
        <rFont val="Calibri"/>
        <family val="2"/>
      </rPr>
      <t>22,78</t>
    </r>
  </si>
  <si>
    <r>
      <rPr>
        <sz val="8.5"/>
        <rFont val="Calibri"/>
        <family val="2"/>
      </rPr>
      <t>40.04.460</t>
    </r>
  </si>
  <si>
    <r>
      <rPr>
        <sz val="8.5"/>
        <rFont val="Calibri"/>
        <family val="2"/>
      </rPr>
      <t>Tomada 2P+T de 20 A - 250 V, completa</t>
    </r>
  </si>
  <si>
    <r>
      <rPr>
        <sz val="8.5"/>
        <rFont val="Calibri"/>
        <family val="2"/>
      </rPr>
      <t>15,38</t>
    </r>
  </si>
  <si>
    <r>
      <rPr>
        <sz val="8.5"/>
        <rFont val="Calibri"/>
        <family val="2"/>
      </rPr>
      <t>26,30</t>
    </r>
  </si>
  <si>
    <r>
      <rPr>
        <sz val="8.5"/>
        <rFont val="Calibri"/>
        <family val="2"/>
      </rPr>
      <t>40.04.470</t>
    </r>
  </si>
  <si>
    <r>
      <rPr>
        <sz val="8.5"/>
        <rFont val="Calibri"/>
        <family val="2"/>
      </rPr>
      <t>Conjunto 2 tomadas 2P+T de 10 A, completo</t>
    </r>
  </si>
  <si>
    <r>
      <rPr>
        <sz val="8.5"/>
        <rFont val="Calibri"/>
        <family val="2"/>
      </rPr>
      <t>21,55</t>
    </r>
  </si>
  <si>
    <r>
      <rPr>
        <sz val="8.5"/>
        <rFont val="Calibri"/>
        <family val="2"/>
      </rPr>
      <t>32,47</t>
    </r>
  </si>
  <si>
    <r>
      <rPr>
        <sz val="8.5"/>
        <rFont val="Calibri"/>
        <family val="2"/>
      </rPr>
      <t>40.04.480</t>
    </r>
  </si>
  <si>
    <r>
      <rPr>
        <sz val="8.5"/>
        <rFont val="Calibri"/>
        <family val="2"/>
      </rPr>
      <t>Conjunto 1 interruptor simples e 1 tomada 2P+T de 10 A, completo</t>
    </r>
  </si>
  <si>
    <r>
      <rPr>
        <sz val="8.5"/>
        <rFont val="Calibri"/>
        <family val="2"/>
      </rPr>
      <t>20,19</t>
    </r>
  </si>
  <si>
    <r>
      <rPr>
        <sz val="8.5"/>
        <rFont val="Calibri"/>
        <family val="2"/>
      </rPr>
      <t>31,11</t>
    </r>
  </si>
  <si>
    <r>
      <rPr>
        <sz val="8.5"/>
        <rFont val="Calibri"/>
        <family val="2"/>
      </rPr>
      <t>40.04.490</t>
    </r>
  </si>
  <si>
    <r>
      <rPr>
        <sz val="8.5"/>
        <rFont val="Calibri"/>
        <family val="2"/>
      </rPr>
      <t>Conjunto 2 interruptores simples e 1 tomada 2P+T de 10 A, completo</t>
    </r>
  </si>
  <si>
    <r>
      <rPr>
        <sz val="8.5"/>
        <rFont val="Calibri"/>
        <family val="2"/>
      </rPr>
      <t>25,87</t>
    </r>
  </si>
  <si>
    <r>
      <rPr>
        <sz val="8.5"/>
        <rFont val="Calibri"/>
        <family val="2"/>
      </rPr>
      <t>36,79</t>
    </r>
  </si>
  <si>
    <r>
      <rPr>
        <sz val="8.5"/>
        <rFont val="Calibri"/>
        <family val="2"/>
      </rPr>
      <t>Interruptores e minuterias</t>
    </r>
  </si>
  <si>
    <r>
      <rPr>
        <sz val="8.5"/>
        <rFont val="Calibri"/>
        <family val="2"/>
      </rPr>
      <t>40.05.020</t>
    </r>
  </si>
  <si>
    <r>
      <rPr>
        <sz val="8.5"/>
        <rFont val="Calibri"/>
        <family val="2"/>
      </rPr>
      <t>Interruptor com 1 tecla simples e placa</t>
    </r>
  </si>
  <si>
    <r>
      <rPr>
        <sz val="8.5"/>
        <rFont val="Calibri"/>
        <family val="2"/>
      </rPr>
      <t>12,38</t>
    </r>
  </si>
  <si>
    <r>
      <rPr>
        <sz val="8.5"/>
        <rFont val="Calibri"/>
        <family val="2"/>
      </rPr>
      <t>20,97</t>
    </r>
  </si>
  <si>
    <r>
      <rPr>
        <sz val="8.5"/>
        <rFont val="Calibri"/>
        <family val="2"/>
      </rPr>
      <t>40.05.040</t>
    </r>
  </si>
  <si>
    <r>
      <rPr>
        <sz val="8.5"/>
        <rFont val="Calibri"/>
        <family val="2"/>
      </rPr>
      <t>Interruptor com 2 teclas simples e placa</t>
    </r>
  </si>
  <si>
    <r>
      <rPr>
        <sz val="8.5"/>
        <rFont val="Calibri"/>
        <family val="2"/>
      </rPr>
      <t>30,07</t>
    </r>
  </si>
  <si>
    <r>
      <rPr>
        <sz val="8.5"/>
        <rFont val="Calibri"/>
        <family val="2"/>
      </rPr>
      <t>40.05.060</t>
    </r>
  </si>
  <si>
    <r>
      <rPr>
        <sz val="8.5"/>
        <rFont val="Calibri"/>
        <family val="2"/>
      </rPr>
      <t>Interruptor com 3 teclas simples e placa</t>
    </r>
  </si>
  <si>
    <r>
      <rPr>
        <sz val="8.5"/>
        <rFont val="Calibri"/>
        <family val="2"/>
      </rPr>
      <t>25,90</t>
    </r>
  </si>
  <si>
    <r>
      <rPr>
        <sz val="8.5"/>
        <rFont val="Calibri"/>
        <family val="2"/>
      </rPr>
      <t>44,10</t>
    </r>
  </si>
  <si>
    <r>
      <rPr>
        <sz val="8.5"/>
        <rFont val="Calibri"/>
        <family val="2"/>
      </rPr>
      <t>40.05.080</t>
    </r>
  </si>
  <si>
    <r>
      <rPr>
        <sz val="8.5"/>
        <rFont val="Calibri"/>
        <family val="2"/>
      </rPr>
      <t>Interruptor com 1 tecla paralelo e placa</t>
    </r>
  </si>
  <si>
    <r>
      <rPr>
        <sz val="8.5"/>
        <rFont val="Calibri"/>
        <family val="2"/>
      </rPr>
      <t>12,14</t>
    </r>
  </si>
  <si>
    <r>
      <rPr>
        <sz val="8.5"/>
        <rFont val="Calibri"/>
        <family val="2"/>
      </rPr>
      <t>21,96</t>
    </r>
  </si>
  <si>
    <r>
      <rPr>
        <sz val="8.5"/>
        <rFont val="Calibri"/>
        <family val="2"/>
      </rPr>
      <t>40.05.100</t>
    </r>
  </si>
  <si>
    <r>
      <rPr>
        <sz val="8.5"/>
        <rFont val="Calibri"/>
        <family val="2"/>
      </rPr>
      <t>Interruptor com 2 teclas paralelo e placa</t>
    </r>
  </si>
  <si>
    <r>
      <rPr>
        <sz val="8.5"/>
        <rFont val="Calibri"/>
        <family val="2"/>
      </rPr>
      <t>29,17</t>
    </r>
  </si>
  <si>
    <r>
      <rPr>
        <sz val="8.5"/>
        <rFont val="Calibri"/>
        <family val="2"/>
      </rPr>
      <t>40.05.120</t>
    </r>
  </si>
  <si>
    <r>
      <rPr>
        <sz val="8.5"/>
        <rFont val="Calibri"/>
        <family val="2"/>
      </rPr>
      <t>Interruptor com 2 teclas, 1 simples, 1 paralelo e placa</t>
    </r>
  </si>
  <si>
    <r>
      <rPr>
        <sz val="8.5"/>
        <rFont val="Calibri"/>
        <family val="2"/>
      </rPr>
      <t>13,83</t>
    </r>
  </si>
  <si>
    <r>
      <rPr>
        <sz val="8.5"/>
        <rFont val="Calibri"/>
        <family val="2"/>
      </rPr>
      <t>40.05.140</t>
    </r>
  </si>
  <si>
    <r>
      <rPr>
        <sz val="8.5"/>
        <rFont val="Calibri"/>
        <family val="2"/>
      </rPr>
      <t>Interruptor com 3 teclas, 2 simples, 1 paralelo e placa</t>
    </r>
  </si>
  <si>
    <r>
      <rPr>
        <sz val="8.5"/>
        <rFont val="Calibri"/>
        <family val="2"/>
      </rPr>
      <t>30,93</t>
    </r>
  </si>
  <si>
    <r>
      <rPr>
        <sz val="8.5"/>
        <rFont val="Calibri"/>
        <family val="2"/>
      </rPr>
      <t>40.05.160</t>
    </r>
  </si>
  <si>
    <r>
      <rPr>
        <sz val="8.5"/>
        <rFont val="Calibri"/>
        <family val="2"/>
      </rPr>
      <t>Interruptor com 3 teclas, 1 simples, 2 paralelo e placa</t>
    </r>
  </si>
  <si>
    <r>
      <rPr>
        <sz val="8.5"/>
        <rFont val="Calibri"/>
        <family val="2"/>
      </rPr>
      <t>22,45</t>
    </r>
  </si>
  <si>
    <r>
      <rPr>
        <sz val="8.5"/>
        <rFont val="Calibri"/>
        <family val="2"/>
      </rPr>
      <t>40,65</t>
    </r>
  </si>
  <si>
    <r>
      <rPr>
        <sz val="8.5"/>
        <rFont val="Calibri"/>
        <family val="2"/>
      </rPr>
      <t>40.05.170</t>
    </r>
  </si>
  <si>
    <r>
      <rPr>
        <sz val="8.5"/>
        <rFont val="Calibri"/>
        <family val="2"/>
      </rPr>
      <t>Interruptor bipolar paralelo, 1 tecla dupla e placa</t>
    </r>
  </si>
  <si>
    <r>
      <rPr>
        <sz val="8.5"/>
        <rFont val="Calibri"/>
        <family val="2"/>
      </rPr>
      <t>40.05.180</t>
    </r>
  </si>
  <si>
    <r>
      <rPr>
        <sz val="8.5"/>
        <rFont val="Calibri"/>
        <family val="2"/>
      </rPr>
      <t>Interruptor bipolar simples, 1 tecla dupla e placa</t>
    </r>
  </si>
  <si>
    <r>
      <rPr>
        <sz val="8.5"/>
        <rFont val="Calibri"/>
        <family val="2"/>
      </rPr>
      <t>30,69</t>
    </r>
  </si>
  <si>
    <r>
      <rPr>
        <sz val="8.5"/>
        <rFont val="Calibri"/>
        <family val="2"/>
      </rPr>
      <t>43,42</t>
    </r>
  </si>
  <si>
    <r>
      <rPr>
        <sz val="8.5"/>
        <rFont val="Calibri"/>
        <family val="2"/>
      </rPr>
      <t>40.05.320</t>
    </r>
  </si>
  <si>
    <r>
      <rPr>
        <sz val="8.5"/>
        <rFont val="Calibri"/>
        <family val="2"/>
      </rPr>
      <t>Pulsador 2 A - 250 V, para minuteria com placa</t>
    </r>
  </si>
  <si>
    <r>
      <rPr>
        <sz val="8.5"/>
        <rFont val="Calibri"/>
        <family val="2"/>
      </rPr>
      <t>20,15</t>
    </r>
  </si>
  <si>
    <r>
      <rPr>
        <sz val="8.5"/>
        <rFont val="Calibri"/>
        <family val="2"/>
      </rPr>
      <t>40.05.330</t>
    </r>
  </si>
  <si>
    <r>
      <rPr>
        <sz val="8.5"/>
        <rFont val="Calibri"/>
        <family val="2"/>
      </rPr>
      <t>Variador de luminosidade rotativo até 1000 W, 127/220 V, com placa</t>
    </r>
  </si>
  <si>
    <r>
      <rPr>
        <sz val="8.5"/>
        <rFont val="Calibri"/>
        <family val="2"/>
      </rPr>
      <t>75,66</t>
    </r>
  </si>
  <si>
    <r>
      <rPr>
        <sz val="8.5"/>
        <rFont val="Calibri"/>
        <family val="2"/>
      </rPr>
      <t>89,49</t>
    </r>
  </si>
  <si>
    <r>
      <rPr>
        <sz val="8.5"/>
        <rFont val="Calibri"/>
        <family val="2"/>
      </rPr>
      <t>40.05.340</t>
    </r>
  </si>
  <si>
    <r>
      <rPr>
        <sz val="8.5"/>
        <rFont val="Calibri"/>
        <family val="2"/>
      </rPr>
      <t>Sensor de presença para teto, com fotocélula, para lâmpada qualquer</t>
    </r>
  </si>
  <si>
    <r>
      <rPr>
        <sz val="8.5"/>
        <rFont val="Calibri"/>
        <family val="2"/>
      </rPr>
      <t>26,17</t>
    </r>
  </si>
  <si>
    <r>
      <rPr>
        <sz val="8.5"/>
        <rFont val="Calibri"/>
        <family val="2"/>
      </rPr>
      <t>37,09</t>
    </r>
  </si>
  <si>
    <r>
      <rPr>
        <sz val="8.5"/>
        <rFont val="Calibri"/>
        <family val="2"/>
      </rPr>
      <t>40.05.350</t>
    </r>
  </si>
  <si>
    <r>
      <rPr>
        <sz val="8.5"/>
        <rFont val="Calibri"/>
        <family val="2"/>
      </rPr>
      <t xml:space="preserve">Sensor de presença infravermelho passivo e microondas, alcance de 12
</t>
    </r>
    <r>
      <rPr>
        <sz val="8.5"/>
        <rFont val="Calibri"/>
        <family val="2"/>
      </rPr>
      <t>m - sem fio</t>
    </r>
  </si>
  <si>
    <r>
      <rPr>
        <sz val="8.5"/>
        <rFont val="Calibri"/>
        <family val="2"/>
      </rPr>
      <t>84,71</t>
    </r>
  </si>
  <si>
    <r>
      <rPr>
        <sz val="8.5"/>
        <rFont val="Calibri"/>
        <family val="2"/>
      </rPr>
      <t>102,91</t>
    </r>
  </si>
  <si>
    <r>
      <rPr>
        <sz val="8.5"/>
        <rFont val="Calibri"/>
        <family val="2"/>
      </rPr>
      <t>Conduletes</t>
    </r>
  </si>
  <si>
    <r>
      <rPr>
        <sz val="8.5"/>
        <rFont val="Calibri"/>
        <family val="2"/>
      </rPr>
      <t>40.06.040</t>
    </r>
  </si>
  <si>
    <r>
      <rPr>
        <sz val="8.5"/>
        <rFont val="Calibri"/>
        <family val="2"/>
      </rPr>
      <t>Condulete metálico de 3/4´</t>
    </r>
  </si>
  <si>
    <r>
      <rPr>
        <sz val="8.5"/>
        <rFont val="Calibri"/>
        <family val="2"/>
      </rPr>
      <t>11,88</t>
    </r>
  </si>
  <si>
    <r>
      <rPr>
        <sz val="8.5"/>
        <rFont val="Calibri"/>
        <family val="2"/>
      </rPr>
      <t>40.06.060</t>
    </r>
  </si>
  <si>
    <r>
      <rPr>
        <sz val="8.5"/>
        <rFont val="Calibri"/>
        <family val="2"/>
      </rPr>
      <t>Condulete metálico de 1´</t>
    </r>
  </si>
  <si>
    <r>
      <rPr>
        <sz val="8.5"/>
        <rFont val="Calibri"/>
        <family val="2"/>
      </rPr>
      <t>35,18</t>
    </r>
  </si>
  <si>
    <r>
      <rPr>
        <sz val="8.5"/>
        <rFont val="Calibri"/>
        <family val="2"/>
      </rPr>
      <t>40.06.080</t>
    </r>
  </si>
  <si>
    <r>
      <rPr>
        <sz val="8.5"/>
        <rFont val="Calibri"/>
        <family val="2"/>
      </rPr>
      <t>Condulete metálico de 1 1/4´</t>
    </r>
  </si>
  <si>
    <r>
      <rPr>
        <sz val="8.5"/>
        <rFont val="Calibri"/>
        <family val="2"/>
      </rPr>
      <t>28,04</t>
    </r>
  </si>
  <si>
    <r>
      <rPr>
        <sz val="8.5"/>
        <rFont val="Calibri"/>
        <family val="2"/>
      </rPr>
      <t>46,24</t>
    </r>
  </si>
  <si>
    <r>
      <rPr>
        <sz val="8.5"/>
        <rFont val="Calibri"/>
        <family val="2"/>
      </rPr>
      <t>40.06.100</t>
    </r>
  </si>
  <si>
    <r>
      <rPr>
        <sz val="8.5"/>
        <rFont val="Calibri"/>
        <family val="2"/>
      </rPr>
      <t>Condulete metálico de 1 1/2´</t>
    </r>
  </si>
  <si>
    <r>
      <rPr>
        <sz val="8.5"/>
        <rFont val="Calibri"/>
        <family val="2"/>
      </rPr>
      <t>28,68</t>
    </r>
  </si>
  <si>
    <r>
      <rPr>
        <sz val="8.5"/>
        <rFont val="Calibri"/>
        <family val="2"/>
      </rPr>
      <t>46,88</t>
    </r>
  </si>
  <si>
    <r>
      <rPr>
        <sz val="8.5"/>
        <rFont val="Calibri"/>
        <family val="2"/>
      </rPr>
      <t>40.06.120</t>
    </r>
  </si>
  <si>
    <r>
      <rPr>
        <sz val="8.5"/>
        <rFont val="Calibri"/>
        <family val="2"/>
      </rPr>
      <t>Condulete metálico de 2´</t>
    </r>
  </si>
  <si>
    <r>
      <rPr>
        <sz val="8.5"/>
        <rFont val="Calibri"/>
        <family val="2"/>
      </rPr>
      <t>72,65</t>
    </r>
  </si>
  <si>
    <r>
      <rPr>
        <sz val="8.5"/>
        <rFont val="Calibri"/>
        <family val="2"/>
      </rPr>
      <t>90,85</t>
    </r>
  </si>
  <si>
    <r>
      <rPr>
        <sz val="8.5"/>
        <rFont val="Calibri"/>
        <family val="2"/>
      </rPr>
      <t>40.06.140</t>
    </r>
  </si>
  <si>
    <r>
      <rPr>
        <sz val="8.5"/>
        <rFont val="Calibri"/>
        <family val="2"/>
      </rPr>
      <t>Condulete metálico de 2 1/2´</t>
    </r>
  </si>
  <si>
    <r>
      <rPr>
        <sz val="8.5"/>
        <rFont val="Calibri"/>
        <family val="2"/>
      </rPr>
      <t>155,95</t>
    </r>
  </si>
  <si>
    <r>
      <rPr>
        <sz val="8.5"/>
        <rFont val="Calibri"/>
        <family val="2"/>
      </rPr>
      <t>174,15</t>
    </r>
  </si>
  <si>
    <r>
      <rPr>
        <sz val="8.5"/>
        <rFont val="Calibri"/>
        <family val="2"/>
      </rPr>
      <t>40.06.160</t>
    </r>
  </si>
  <si>
    <r>
      <rPr>
        <sz val="8.5"/>
        <rFont val="Calibri"/>
        <family val="2"/>
      </rPr>
      <t>Condulete metálico de 3´</t>
    </r>
  </si>
  <si>
    <r>
      <rPr>
        <sz val="8.5"/>
        <rFont val="Calibri"/>
        <family val="2"/>
      </rPr>
      <t>170,06</t>
    </r>
  </si>
  <si>
    <r>
      <rPr>
        <sz val="8.5"/>
        <rFont val="Calibri"/>
        <family val="2"/>
      </rPr>
      <t>188,26</t>
    </r>
  </si>
  <si>
    <r>
      <rPr>
        <sz val="8.5"/>
        <rFont val="Calibri"/>
        <family val="2"/>
      </rPr>
      <t>40.06.170</t>
    </r>
  </si>
  <si>
    <r>
      <rPr>
        <sz val="8.5"/>
        <rFont val="Calibri"/>
        <family val="2"/>
      </rPr>
      <t>Condulete metálico de 4´</t>
    </r>
  </si>
  <si>
    <r>
      <rPr>
        <sz val="8.5"/>
        <rFont val="Calibri"/>
        <family val="2"/>
      </rPr>
      <t>255,15</t>
    </r>
  </si>
  <si>
    <r>
      <rPr>
        <sz val="8.5"/>
        <rFont val="Calibri"/>
        <family val="2"/>
      </rPr>
      <t>273,35</t>
    </r>
  </si>
  <si>
    <r>
      <rPr>
        <sz val="8.5"/>
        <rFont val="Calibri"/>
        <family val="2"/>
      </rPr>
      <t>40.06.510</t>
    </r>
  </si>
  <si>
    <r>
      <rPr>
        <sz val="8.5"/>
        <rFont val="Calibri"/>
        <family val="2"/>
      </rPr>
      <t>Condulete em PVC de 1´ - com tampa</t>
    </r>
  </si>
  <si>
    <r>
      <rPr>
        <sz val="8.5"/>
        <rFont val="Calibri"/>
        <family val="2"/>
      </rPr>
      <t>18,94</t>
    </r>
  </si>
  <si>
    <r>
      <rPr>
        <sz val="8.5"/>
        <rFont val="Calibri"/>
        <family val="2"/>
      </rPr>
      <t>Caixa de passagem em PVC</t>
    </r>
  </si>
  <si>
    <r>
      <rPr>
        <sz val="8.5"/>
        <rFont val="Calibri"/>
        <family val="2"/>
      </rPr>
      <t>40.07.010</t>
    </r>
  </si>
  <si>
    <r>
      <rPr>
        <sz val="8.5"/>
        <rFont val="Calibri"/>
        <family val="2"/>
      </rPr>
      <t>Caixa em PVC de 4´ x 2´</t>
    </r>
  </si>
  <si>
    <r>
      <rPr>
        <sz val="8.5"/>
        <rFont val="Calibri"/>
        <family val="2"/>
      </rPr>
      <t>40.07.020</t>
    </r>
  </si>
  <si>
    <r>
      <rPr>
        <sz val="8.5"/>
        <rFont val="Calibri"/>
        <family val="2"/>
      </rPr>
      <t>Caixa em PVC de 4´ x 4´</t>
    </r>
  </si>
  <si>
    <r>
      <rPr>
        <sz val="8.5"/>
        <rFont val="Calibri"/>
        <family val="2"/>
      </rPr>
      <t>6,68</t>
    </r>
  </si>
  <si>
    <r>
      <rPr>
        <sz val="8.5"/>
        <rFont val="Calibri"/>
        <family val="2"/>
      </rPr>
      <t>15,78</t>
    </r>
  </si>
  <si>
    <r>
      <rPr>
        <sz val="8.5"/>
        <rFont val="Calibri"/>
        <family val="2"/>
      </rPr>
      <t>40.07.040</t>
    </r>
  </si>
  <si>
    <r>
      <rPr>
        <sz val="8.5"/>
        <rFont val="Calibri"/>
        <family val="2"/>
      </rPr>
      <t>Caixa em PVC octogonal de 4´ x 4´</t>
    </r>
  </si>
  <si>
    <r>
      <rPr>
        <sz val="8.5"/>
        <rFont val="Calibri"/>
        <family val="2"/>
      </rPr>
      <t>7,62</t>
    </r>
  </si>
  <si>
    <r>
      <rPr>
        <sz val="8.5"/>
        <rFont val="Calibri"/>
        <family val="2"/>
      </rPr>
      <t>16,72</t>
    </r>
  </si>
  <si>
    <r>
      <rPr>
        <sz val="8.5"/>
        <rFont val="Calibri"/>
        <family val="2"/>
      </rPr>
      <t>Contator</t>
    </r>
  </si>
  <si>
    <r>
      <rPr>
        <sz val="8.5"/>
        <rFont val="Calibri"/>
        <family val="2"/>
      </rPr>
      <t>40.10.016</t>
    </r>
  </si>
  <si>
    <r>
      <rPr>
        <sz val="8.5"/>
        <rFont val="Calibri"/>
        <family val="2"/>
      </rPr>
      <t>Contator de potência 12 A - 1na+1nf</t>
    </r>
  </si>
  <si>
    <r>
      <rPr>
        <sz val="8.5"/>
        <rFont val="Calibri"/>
        <family val="2"/>
      </rPr>
      <t>216,62</t>
    </r>
  </si>
  <si>
    <r>
      <rPr>
        <sz val="8.5"/>
        <rFont val="Calibri"/>
        <family val="2"/>
      </rPr>
      <t>234,82</t>
    </r>
  </si>
  <si>
    <r>
      <rPr>
        <sz val="8.5"/>
        <rFont val="Calibri"/>
        <family val="2"/>
      </rPr>
      <t>40.10.020</t>
    </r>
  </si>
  <si>
    <r>
      <rPr>
        <sz val="8.5"/>
        <rFont val="Calibri"/>
        <family val="2"/>
      </rPr>
      <t>Contator de potência 9 A - 2na+2nf</t>
    </r>
  </si>
  <si>
    <r>
      <rPr>
        <sz val="8.5"/>
        <rFont val="Calibri"/>
        <family val="2"/>
      </rPr>
      <t>241,19</t>
    </r>
  </si>
  <si>
    <r>
      <rPr>
        <sz val="8.5"/>
        <rFont val="Calibri"/>
        <family val="2"/>
      </rPr>
      <t>259,39</t>
    </r>
  </si>
  <si>
    <r>
      <rPr>
        <sz val="8.5"/>
        <rFont val="Calibri"/>
        <family val="2"/>
      </rPr>
      <t>40.10.040</t>
    </r>
  </si>
  <si>
    <r>
      <rPr>
        <sz val="8.5"/>
        <rFont val="Calibri"/>
        <family val="2"/>
      </rPr>
      <t>Contator de potência 12 A - 2na+2nf</t>
    </r>
  </si>
  <si>
    <r>
      <rPr>
        <sz val="8.5"/>
        <rFont val="Calibri"/>
        <family val="2"/>
      </rPr>
      <t>273,24</t>
    </r>
  </si>
  <si>
    <r>
      <rPr>
        <sz val="8.5"/>
        <rFont val="Calibri"/>
        <family val="2"/>
      </rPr>
      <t>291,44</t>
    </r>
  </si>
  <si>
    <r>
      <rPr>
        <sz val="8.5"/>
        <rFont val="Calibri"/>
        <family val="2"/>
      </rPr>
      <t>40.10.060</t>
    </r>
  </si>
  <si>
    <r>
      <rPr>
        <sz val="8.5"/>
        <rFont val="Calibri"/>
        <family val="2"/>
      </rPr>
      <t>Contator de potência 16 A - 2na+2nf</t>
    </r>
  </si>
  <si>
    <r>
      <rPr>
        <sz val="8.5"/>
        <rFont val="Calibri"/>
        <family val="2"/>
      </rPr>
      <t>258,37</t>
    </r>
  </si>
  <si>
    <r>
      <rPr>
        <sz val="8.5"/>
        <rFont val="Calibri"/>
        <family val="2"/>
      </rPr>
      <t>276,57</t>
    </r>
  </si>
  <si>
    <r>
      <rPr>
        <sz val="8.5"/>
        <rFont val="Calibri"/>
        <family val="2"/>
      </rPr>
      <t>40.10.080</t>
    </r>
  </si>
  <si>
    <r>
      <rPr>
        <sz val="8.5"/>
        <rFont val="Calibri"/>
        <family val="2"/>
      </rPr>
      <t>Contator de potência 22 A/25 A - 2na+2nf</t>
    </r>
  </si>
  <si>
    <r>
      <rPr>
        <sz val="8.5"/>
        <rFont val="Calibri"/>
        <family val="2"/>
      </rPr>
      <t>316,57</t>
    </r>
  </si>
  <si>
    <r>
      <rPr>
        <sz val="8.5"/>
        <rFont val="Calibri"/>
        <family val="2"/>
      </rPr>
      <t>334,77</t>
    </r>
  </si>
  <si>
    <r>
      <rPr>
        <sz val="8.5"/>
        <rFont val="Calibri"/>
        <family val="2"/>
      </rPr>
      <t>40.10.100</t>
    </r>
  </si>
  <si>
    <r>
      <rPr>
        <sz val="8.5"/>
        <rFont val="Calibri"/>
        <family val="2"/>
      </rPr>
      <t>Contator de potência 32 A - 2na+2nf</t>
    </r>
  </si>
  <si>
    <r>
      <rPr>
        <sz val="8.5"/>
        <rFont val="Calibri"/>
        <family val="2"/>
      </rPr>
      <t>520,28</t>
    </r>
  </si>
  <si>
    <r>
      <rPr>
        <sz val="8.5"/>
        <rFont val="Calibri"/>
        <family val="2"/>
      </rPr>
      <t>538,48</t>
    </r>
  </si>
  <si>
    <r>
      <rPr>
        <sz val="8.5"/>
        <rFont val="Calibri"/>
        <family val="2"/>
      </rPr>
      <t>40.10.106</t>
    </r>
  </si>
  <si>
    <r>
      <rPr>
        <sz val="8.5"/>
        <rFont val="Calibri"/>
        <family val="2"/>
      </rPr>
      <t>Contator de potência 38 A/40 A - 2na+2nf</t>
    </r>
  </si>
  <si>
    <r>
      <rPr>
        <sz val="8.5"/>
        <rFont val="Calibri"/>
        <family val="2"/>
      </rPr>
      <t>722,54</t>
    </r>
  </si>
  <si>
    <r>
      <rPr>
        <sz val="8.5"/>
        <rFont val="Calibri"/>
        <family val="2"/>
      </rPr>
      <t>740,74</t>
    </r>
  </si>
  <si>
    <r>
      <rPr>
        <sz val="8.5"/>
        <rFont val="Calibri"/>
        <family val="2"/>
      </rPr>
      <t>40.10.110</t>
    </r>
  </si>
  <si>
    <r>
      <rPr>
        <sz val="8.5"/>
        <rFont val="Calibri"/>
        <family val="2"/>
      </rPr>
      <t>Contator de potência 50 A - 2na+2nf</t>
    </r>
  </si>
  <si>
    <r>
      <rPr>
        <sz val="8.5"/>
        <rFont val="Calibri"/>
        <family val="2"/>
      </rPr>
      <t>885,60</t>
    </r>
  </si>
  <si>
    <r>
      <rPr>
        <sz val="8.5"/>
        <rFont val="Calibri"/>
        <family val="2"/>
      </rPr>
      <t>903,80</t>
    </r>
  </si>
  <si>
    <r>
      <rPr>
        <sz val="8.5"/>
        <rFont val="Calibri"/>
        <family val="2"/>
      </rPr>
      <t>40.10.132</t>
    </r>
  </si>
  <si>
    <r>
      <rPr>
        <sz val="8.5"/>
        <rFont val="Calibri"/>
        <family val="2"/>
      </rPr>
      <t>Contator de potência 65 A - 2na+2nf</t>
    </r>
  </si>
  <si>
    <r>
      <rPr>
        <sz val="8.5"/>
        <rFont val="Calibri"/>
        <family val="2"/>
      </rPr>
      <t>1.085,47</t>
    </r>
  </si>
  <si>
    <r>
      <rPr>
        <sz val="8.5"/>
        <rFont val="Calibri"/>
        <family val="2"/>
      </rPr>
      <t>1.103,67</t>
    </r>
  </si>
  <si>
    <r>
      <rPr>
        <sz val="8.5"/>
        <rFont val="Calibri"/>
        <family val="2"/>
      </rPr>
      <t>40.10.136</t>
    </r>
  </si>
  <si>
    <r>
      <rPr>
        <sz val="8.5"/>
        <rFont val="Calibri"/>
        <family val="2"/>
      </rPr>
      <t>Contator de potência 110 A - 2na+2nf</t>
    </r>
  </si>
  <si>
    <r>
      <rPr>
        <sz val="8.5"/>
        <rFont val="Calibri"/>
        <family val="2"/>
      </rPr>
      <t>2.439,43</t>
    </r>
  </si>
  <si>
    <r>
      <rPr>
        <sz val="8.5"/>
        <rFont val="Calibri"/>
        <family val="2"/>
      </rPr>
      <t>2.457,63</t>
    </r>
  </si>
  <si>
    <r>
      <rPr>
        <sz val="8.5"/>
        <rFont val="Calibri"/>
        <family val="2"/>
      </rPr>
      <t>40.10.140</t>
    </r>
  </si>
  <si>
    <r>
      <rPr>
        <sz val="8.5"/>
        <rFont val="Calibri"/>
        <family val="2"/>
      </rPr>
      <t>Contator de potência 150 A - 2na+2nf</t>
    </r>
  </si>
  <si>
    <r>
      <rPr>
        <sz val="8.5"/>
        <rFont val="Calibri"/>
        <family val="2"/>
      </rPr>
      <t>2.702,46</t>
    </r>
  </si>
  <si>
    <r>
      <rPr>
        <sz val="8.5"/>
        <rFont val="Calibri"/>
        <family val="2"/>
      </rPr>
      <t>2.720,66</t>
    </r>
  </si>
  <si>
    <r>
      <rPr>
        <sz val="8.5"/>
        <rFont val="Calibri"/>
        <family val="2"/>
      </rPr>
      <t>40.10.150</t>
    </r>
  </si>
  <si>
    <r>
      <rPr>
        <sz val="8.5"/>
        <rFont val="Calibri"/>
        <family val="2"/>
      </rPr>
      <t>Contator de potência 220 A - 2na+2nf</t>
    </r>
  </si>
  <si>
    <r>
      <rPr>
        <sz val="8.5"/>
        <rFont val="Calibri"/>
        <family val="2"/>
      </rPr>
      <t>5.532,41</t>
    </r>
  </si>
  <si>
    <r>
      <rPr>
        <sz val="8.5"/>
        <rFont val="Calibri"/>
        <family val="2"/>
      </rPr>
      <t>5.550,61</t>
    </r>
  </si>
  <si>
    <r>
      <rPr>
        <sz val="8.5"/>
        <rFont val="Calibri"/>
        <family val="2"/>
      </rPr>
      <t>40.10.500</t>
    </r>
  </si>
  <si>
    <r>
      <rPr>
        <sz val="8.5"/>
        <rFont val="Calibri"/>
        <family val="2"/>
      </rPr>
      <t>Minicontator auxiliar - 4na</t>
    </r>
  </si>
  <si>
    <r>
      <rPr>
        <sz val="8.5"/>
        <rFont val="Calibri"/>
        <family val="2"/>
      </rPr>
      <t>94,02</t>
    </r>
  </si>
  <si>
    <r>
      <rPr>
        <sz val="8.5"/>
        <rFont val="Calibri"/>
        <family val="2"/>
      </rPr>
      <t>112,22</t>
    </r>
  </si>
  <si>
    <r>
      <rPr>
        <sz val="8.5"/>
        <rFont val="Calibri"/>
        <family val="2"/>
      </rPr>
      <t>40.10.510</t>
    </r>
  </si>
  <si>
    <r>
      <rPr>
        <sz val="8.5"/>
        <rFont val="Calibri"/>
        <family val="2"/>
      </rPr>
      <t>Contator auxiliar - 2na+2nf</t>
    </r>
  </si>
  <si>
    <r>
      <rPr>
        <sz val="8.5"/>
        <rFont val="Calibri"/>
        <family val="2"/>
      </rPr>
      <t>120,68</t>
    </r>
  </si>
  <si>
    <r>
      <rPr>
        <sz val="8.5"/>
        <rFont val="Calibri"/>
        <family val="2"/>
      </rPr>
      <t>138,88</t>
    </r>
  </si>
  <si>
    <r>
      <rPr>
        <sz val="8.5"/>
        <rFont val="Calibri"/>
        <family val="2"/>
      </rPr>
      <t>40.10.520</t>
    </r>
  </si>
  <si>
    <r>
      <rPr>
        <sz val="8.5"/>
        <rFont val="Calibri"/>
        <family val="2"/>
      </rPr>
      <t>Contator auxiliar - 4na+4nf</t>
    </r>
  </si>
  <si>
    <r>
      <rPr>
        <sz val="8.5"/>
        <rFont val="Calibri"/>
        <family val="2"/>
      </rPr>
      <t>148,38</t>
    </r>
  </si>
  <si>
    <r>
      <rPr>
        <sz val="8.5"/>
        <rFont val="Calibri"/>
        <family val="2"/>
      </rPr>
      <t>166,58</t>
    </r>
  </si>
  <si>
    <r>
      <rPr>
        <sz val="8.5"/>
        <rFont val="Calibri"/>
        <family val="2"/>
      </rPr>
      <t>Rele</t>
    </r>
  </si>
  <si>
    <r>
      <rPr>
        <sz val="8.5"/>
        <rFont val="Calibri"/>
        <family val="2"/>
      </rPr>
      <t>40.11.010</t>
    </r>
  </si>
  <si>
    <r>
      <rPr>
        <sz val="8.5"/>
        <rFont val="Calibri"/>
        <family val="2"/>
      </rPr>
      <t>Relé fotoelétrico 50/60 Hz, 110/220 V, 1200 VA, completo</t>
    </r>
  </si>
  <si>
    <r>
      <rPr>
        <sz val="8.5"/>
        <rFont val="Calibri"/>
        <family val="2"/>
      </rPr>
      <t>81,98</t>
    </r>
  </si>
  <si>
    <r>
      <rPr>
        <sz val="8.5"/>
        <rFont val="Calibri"/>
        <family val="2"/>
      </rPr>
      <t>40.11.020</t>
    </r>
  </si>
  <si>
    <r>
      <rPr>
        <sz val="8.5"/>
        <rFont val="Calibri"/>
        <family val="2"/>
      </rPr>
      <t xml:space="preserve">Relé bimetálico de sobrecarga para acoplamento direto, faixas de ajuste
</t>
    </r>
    <r>
      <rPr>
        <sz val="8.5"/>
        <rFont val="Calibri"/>
        <family val="2"/>
      </rPr>
      <t>de 9/12 A</t>
    </r>
  </si>
  <si>
    <r>
      <rPr>
        <sz val="8.5"/>
        <rFont val="Calibri"/>
        <family val="2"/>
      </rPr>
      <t>110,60</t>
    </r>
  </si>
  <si>
    <r>
      <rPr>
        <sz val="8.5"/>
        <rFont val="Calibri"/>
        <family val="2"/>
      </rPr>
      <t>128,80</t>
    </r>
  </si>
  <si>
    <r>
      <rPr>
        <sz val="8.5"/>
        <rFont val="Calibri"/>
        <family val="2"/>
      </rPr>
      <t>40.11.030</t>
    </r>
  </si>
  <si>
    <r>
      <rPr>
        <sz val="8.5"/>
        <rFont val="Calibri"/>
        <family val="2"/>
      </rPr>
      <t xml:space="preserve">Relé bimetálico de sobrecarga para acoplamento direto, faixas de ajuste
</t>
    </r>
    <r>
      <rPr>
        <sz val="8.5"/>
        <rFont val="Calibri"/>
        <family val="2"/>
      </rPr>
      <t>de 20/32 A até 50/63 A</t>
    </r>
  </si>
  <si>
    <r>
      <rPr>
        <sz val="8.5"/>
        <rFont val="Calibri"/>
        <family val="2"/>
      </rPr>
      <t>415,89</t>
    </r>
  </si>
  <si>
    <r>
      <rPr>
        <sz val="8.5"/>
        <rFont val="Calibri"/>
        <family val="2"/>
      </rPr>
      <t>434,09</t>
    </r>
  </si>
  <si>
    <r>
      <rPr>
        <sz val="8.5"/>
        <rFont val="Calibri"/>
        <family val="2"/>
      </rPr>
      <t>40.11.050</t>
    </r>
  </si>
  <si>
    <r>
      <rPr>
        <sz val="8.5"/>
        <rFont val="Calibri"/>
        <family val="2"/>
      </rPr>
      <t xml:space="preserve">Relé bimetálico de sobrecarga para acoplamento direto, faixas de ajuste
</t>
    </r>
    <r>
      <rPr>
        <sz val="8.5"/>
        <rFont val="Calibri"/>
        <family val="2"/>
      </rPr>
      <t>0,4/0,63 A até 16/25 A</t>
    </r>
  </si>
  <si>
    <r>
      <rPr>
        <sz val="8.5"/>
        <rFont val="Calibri"/>
        <family val="2"/>
      </rPr>
      <t>297,65</t>
    </r>
  </si>
  <si>
    <r>
      <rPr>
        <sz val="8.5"/>
        <rFont val="Calibri"/>
        <family val="2"/>
      </rPr>
      <t>315,85</t>
    </r>
  </si>
  <si>
    <r>
      <rPr>
        <sz val="8.5"/>
        <rFont val="Calibri"/>
        <family val="2"/>
      </rPr>
      <t>40.11.060</t>
    </r>
  </si>
  <si>
    <r>
      <rPr>
        <sz val="8.5"/>
        <rFont val="Calibri"/>
        <family val="2"/>
      </rPr>
      <t>Relé de tempo eletrônico de 0,6 até 6 s - 220V - 50/60 Hz</t>
    </r>
  </si>
  <si>
    <r>
      <rPr>
        <sz val="8.5"/>
        <rFont val="Calibri"/>
        <family val="2"/>
      </rPr>
      <t>85,28</t>
    </r>
  </si>
  <si>
    <r>
      <rPr>
        <sz val="8.5"/>
        <rFont val="Calibri"/>
        <family val="2"/>
      </rPr>
      <t>121,67</t>
    </r>
  </si>
  <si>
    <r>
      <rPr>
        <sz val="8.5"/>
        <rFont val="Calibri"/>
        <family val="2"/>
      </rPr>
      <t>40.11.070</t>
    </r>
  </si>
  <si>
    <r>
      <rPr>
        <sz val="8.5"/>
        <rFont val="Calibri"/>
        <family val="2"/>
      </rPr>
      <t xml:space="preserve">Relé supervisor trifásico contra falta de fase, inversão de fase e mínima
</t>
    </r>
    <r>
      <rPr>
        <sz val="8.5"/>
        <rFont val="Calibri"/>
        <family val="2"/>
      </rPr>
      <t>tensão</t>
    </r>
  </si>
  <si>
    <r>
      <rPr>
        <sz val="8.5"/>
        <rFont val="Calibri"/>
        <family val="2"/>
      </rPr>
      <t>2.104,68</t>
    </r>
  </si>
  <si>
    <r>
      <rPr>
        <sz val="8.5"/>
        <rFont val="Calibri"/>
        <family val="2"/>
      </rPr>
      <t>2.141,07</t>
    </r>
  </si>
  <si>
    <r>
      <rPr>
        <sz val="8.5"/>
        <rFont val="Calibri"/>
        <family val="2"/>
      </rPr>
      <t>40.11.120</t>
    </r>
  </si>
  <si>
    <r>
      <rPr>
        <sz val="8.5"/>
        <rFont val="Calibri"/>
        <family val="2"/>
      </rPr>
      <t>Relé de tempo eletrônico de 1,5 até 15 minutos - 110V - 50/60Hz</t>
    </r>
  </si>
  <si>
    <r>
      <rPr>
        <sz val="8.5"/>
        <rFont val="Calibri"/>
        <family val="2"/>
      </rPr>
      <t>75,33</t>
    </r>
  </si>
  <si>
    <r>
      <rPr>
        <sz val="8.5"/>
        <rFont val="Calibri"/>
        <family val="2"/>
      </rPr>
      <t>111,72</t>
    </r>
  </si>
  <si>
    <r>
      <rPr>
        <sz val="8.5"/>
        <rFont val="Calibri"/>
        <family val="2"/>
      </rPr>
      <t>40.11.191</t>
    </r>
  </si>
  <si>
    <r>
      <rPr>
        <sz val="8.5"/>
        <rFont val="Calibri"/>
        <family val="2"/>
      </rPr>
      <t>Relé de tempo eletrônico cíclico regulável - 110/127 V - 48/63 Hz</t>
    </r>
  </si>
  <si>
    <r>
      <rPr>
        <sz val="8.5"/>
        <rFont val="Calibri"/>
        <family val="2"/>
      </rPr>
      <t>148,46</t>
    </r>
  </si>
  <si>
    <r>
      <rPr>
        <sz val="8.5"/>
        <rFont val="Calibri"/>
        <family val="2"/>
      </rPr>
      <t>184,85</t>
    </r>
  </si>
  <si>
    <r>
      <rPr>
        <sz val="8.5"/>
        <rFont val="Calibri"/>
        <family val="2"/>
      </rPr>
      <t>40.11.230</t>
    </r>
  </si>
  <si>
    <r>
      <rPr>
        <sz val="8.5"/>
        <rFont val="Calibri"/>
        <family val="2"/>
      </rPr>
      <t xml:space="preserve">Relé de sobrecarga eletrônico para acoplamento direto, faixa de ajuste
</t>
    </r>
    <r>
      <rPr>
        <sz val="8.5"/>
        <rFont val="Calibri"/>
        <family val="2"/>
      </rPr>
      <t>de 55 A até 250 A</t>
    </r>
  </si>
  <si>
    <r>
      <rPr>
        <sz val="8.5"/>
        <rFont val="Calibri"/>
        <family val="2"/>
      </rPr>
      <t>2.521,84</t>
    </r>
  </si>
  <si>
    <r>
      <rPr>
        <sz val="8.5"/>
        <rFont val="Calibri"/>
        <family val="2"/>
      </rPr>
      <t>2.540,04</t>
    </r>
  </si>
  <si>
    <r>
      <rPr>
        <sz val="8.5"/>
        <rFont val="Calibri"/>
        <family val="2"/>
      </rPr>
      <t>40.11.240</t>
    </r>
  </si>
  <si>
    <r>
      <rPr>
        <sz val="8.5"/>
        <rFont val="Calibri"/>
        <family val="2"/>
      </rPr>
      <t>Relé de tempo eletrônico de 3 até 30s - 220V - 50/60Hz</t>
    </r>
  </si>
  <si>
    <r>
      <rPr>
        <sz val="8.5"/>
        <rFont val="Calibri"/>
        <family val="2"/>
      </rPr>
      <t>82,16</t>
    </r>
  </si>
  <si>
    <r>
      <rPr>
        <sz val="8.5"/>
        <rFont val="Calibri"/>
        <family val="2"/>
      </rPr>
      <t>118,55</t>
    </r>
  </si>
  <si>
    <r>
      <rPr>
        <sz val="8.5"/>
        <rFont val="Calibri"/>
        <family val="2"/>
      </rPr>
      <t>40.11.250</t>
    </r>
  </si>
  <si>
    <r>
      <rPr>
        <sz val="8.5"/>
        <rFont val="Calibri"/>
        <family val="2"/>
      </rPr>
      <t>Relé de impulso bipolar, 16 A, 250 V CA</t>
    </r>
  </si>
  <si>
    <r>
      <rPr>
        <sz val="8.5"/>
        <rFont val="Calibri"/>
        <family val="2"/>
      </rPr>
      <t>208,59</t>
    </r>
  </si>
  <si>
    <r>
      <rPr>
        <sz val="8.5"/>
        <rFont val="Calibri"/>
        <family val="2"/>
      </rPr>
      <t>230,42</t>
    </r>
  </si>
  <si>
    <r>
      <rPr>
        <sz val="8.5"/>
        <rFont val="Calibri"/>
        <family val="2"/>
      </rPr>
      <t>Chave comutadora e seletora</t>
    </r>
  </si>
  <si>
    <r>
      <rPr>
        <sz val="8.5"/>
        <rFont val="Calibri"/>
        <family val="2"/>
      </rPr>
      <t>40.12.020</t>
    </r>
  </si>
  <si>
    <r>
      <rPr>
        <sz val="8.5"/>
        <rFont val="Calibri"/>
        <family val="2"/>
      </rPr>
      <t>Chave comutadora/seletora com 1 polo e 3 posições para 63 A</t>
    </r>
  </si>
  <si>
    <r>
      <rPr>
        <sz val="8.5"/>
        <rFont val="Calibri"/>
        <family val="2"/>
      </rPr>
      <t>516,87</t>
    </r>
  </si>
  <si>
    <r>
      <rPr>
        <sz val="8.5"/>
        <rFont val="Calibri"/>
        <family val="2"/>
      </rPr>
      <t>531,43</t>
    </r>
  </si>
  <si>
    <r>
      <rPr>
        <sz val="8.5"/>
        <rFont val="Calibri"/>
        <family val="2"/>
      </rPr>
      <t>40.12.030</t>
    </r>
  </si>
  <si>
    <r>
      <rPr>
        <sz val="8.5"/>
        <rFont val="Calibri"/>
        <family val="2"/>
      </rPr>
      <t>Chave comutadora/seletora com 1 polo e 3 posições para 25 A</t>
    </r>
  </si>
  <si>
    <r>
      <rPr>
        <sz val="8.5"/>
        <rFont val="Calibri"/>
        <family val="2"/>
      </rPr>
      <t>248,76</t>
    </r>
  </si>
  <si>
    <r>
      <rPr>
        <sz val="8.5"/>
        <rFont val="Calibri"/>
        <family val="2"/>
      </rPr>
      <t>263,32</t>
    </r>
  </si>
  <si>
    <r>
      <rPr>
        <sz val="8.5"/>
        <rFont val="Calibri"/>
        <family val="2"/>
      </rPr>
      <t>40.12.200</t>
    </r>
  </si>
  <si>
    <r>
      <rPr>
        <sz val="8.5"/>
        <rFont val="Calibri"/>
        <family val="2"/>
      </rPr>
      <t>Chave comutadora/seletora com 1 polo e 2 posições para 25 A</t>
    </r>
  </si>
  <si>
    <r>
      <rPr>
        <sz val="8.5"/>
        <rFont val="Calibri"/>
        <family val="2"/>
      </rPr>
      <t>138,78</t>
    </r>
  </si>
  <si>
    <r>
      <rPr>
        <sz val="8.5"/>
        <rFont val="Calibri"/>
        <family val="2"/>
      </rPr>
      <t>153,34</t>
    </r>
  </si>
  <si>
    <r>
      <rPr>
        <sz val="8.5"/>
        <rFont val="Calibri"/>
        <family val="2"/>
      </rPr>
      <t>40.12.210</t>
    </r>
  </si>
  <si>
    <r>
      <rPr>
        <sz val="8.5"/>
        <rFont val="Calibri"/>
        <family val="2"/>
      </rPr>
      <t>Chave comutadora/seletora com 3 polos e 3 posições para 25 A</t>
    </r>
  </si>
  <si>
    <r>
      <rPr>
        <sz val="8.5"/>
        <rFont val="Calibri"/>
        <family val="2"/>
      </rPr>
      <t>324,14</t>
    </r>
  </si>
  <si>
    <r>
      <rPr>
        <sz val="8.5"/>
        <rFont val="Calibri"/>
        <family val="2"/>
      </rPr>
      <t>338,70</t>
    </r>
  </si>
  <si>
    <r>
      <rPr>
        <sz val="8.5"/>
        <rFont val="Calibri"/>
        <family val="2"/>
      </rPr>
      <t>Amperimetro</t>
    </r>
  </si>
  <si>
    <r>
      <rPr>
        <sz val="8.5"/>
        <rFont val="Calibri"/>
        <family val="2"/>
      </rPr>
      <t>40.13.010</t>
    </r>
  </si>
  <si>
    <r>
      <rPr>
        <sz val="8.5"/>
        <rFont val="Calibri"/>
        <family val="2"/>
      </rPr>
      <t>Chave comutadora para amperímetro</t>
    </r>
  </si>
  <si>
    <r>
      <rPr>
        <sz val="8.5"/>
        <rFont val="Calibri"/>
        <family val="2"/>
      </rPr>
      <t>139,88</t>
    </r>
  </si>
  <si>
    <r>
      <rPr>
        <sz val="8.5"/>
        <rFont val="Calibri"/>
        <family val="2"/>
      </rPr>
      <t>154,44</t>
    </r>
  </si>
  <si>
    <r>
      <rPr>
        <sz val="8.5"/>
        <rFont val="Calibri"/>
        <family val="2"/>
      </rPr>
      <t>40.13.040</t>
    </r>
  </si>
  <si>
    <r>
      <rPr>
        <sz val="8.5"/>
        <rFont val="Calibri"/>
        <family val="2"/>
      </rPr>
      <t xml:space="preserve">Amperímetro de ferro móvel de 96 x 96 mm, para ligação em
</t>
    </r>
    <r>
      <rPr>
        <sz val="8.5"/>
        <rFont val="Calibri"/>
        <family val="2"/>
      </rPr>
      <t>transformador de corrente, escala fixa de 0A/50 A até 0A/2 kA</t>
    </r>
  </si>
  <si>
    <r>
      <rPr>
        <sz val="8.5"/>
        <rFont val="Calibri"/>
        <family val="2"/>
      </rPr>
      <t>370,06</t>
    </r>
  </si>
  <si>
    <r>
      <rPr>
        <sz val="8.5"/>
        <rFont val="Calibri"/>
        <family val="2"/>
      </rPr>
      <t>379,16</t>
    </r>
  </si>
  <si>
    <r>
      <rPr>
        <sz val="8.5"/>
        <rFont val="Calibri"/>
        <family val="2"/>
      </rPr>
      <t>Voltimetro</t>
    </r>
  </si>
  <si>
    <r>
      <rPr>
        <sz val="8.5"/>
        <rFont val="Calibri"/>
        <family val="2"/>
      </rPr>
      <t>40.14.010</t>
    </r>
  </si>
  <si>
    <r>
      <rPr>
        <sz val="8.5"/>
        <rFont val="Calibri"/>
        <family val="2"/>
      </rPr>
      <t>Chave comutadora para voltímetro</t>
    </r>
  </si>
  <si>
    <r>
      <rPr>
        <sz val="8.5"/>
        <rFont val="Calibri"/>
        <family val="2"/>
      </rPr>
      <t>98,78</t>
    </r>
  </si>
  <si>
    <r>
      <rPr>
        <sz val="8.5"/>
        <rFont val="Calibri"/>
        <family val="2"/>
      </rPr>
      <t>113,34</t>
    </r>
  </si>
  <si>
    <r>
      <rPr>
        <sz val="8.5"/>
        <rFont val="Calibri"/>
        <family val="2"/>
      </rPr>
      <t>40.14.030</t>
    </r>
  </si>
  <si>
    <r>
      <rPr>
        <sz val="8.5"/>
        <rFont val="Calibri"/>
        <family val="2"/>
      </rPr>
      <t xml:space="preserve">Voltímetro de ferro móvel de 96 x 96 mm, escalas variáveis de 0/150 V,
</t>
    </r>
    <r>
      <rPr>
        <sz val="8.5"/>
        <rFont val="Calibri"/>
        <family val="2"/>
      </rPr>
      <t>0/250 V, 0/300 V, 0/500 V e 0/600 V</t>
    </r>
  </si>
  <si>
    <r>
      <rPr>
        <sz val="8.5"/>
        <rFont val="Calibri"/>
        <family val="2"/>
      </rPr>
      <t>142,43</t>
    </r>
  </si>
  <si>
    <r>
      <rPr>
        <sz val="8.5"/>
        <rFont val="Calibri"/>
        <family val="2"/>
      </rPr>
      <t>160,63</t>
    </r>
  </si>
  <si>
    <r>
      <rPr>
        <sz val="8.5"/>
        <rFont val="Calibri"/>
        <family val="2"/>
      </rPr>
      <t>Reparos, conservacoes e complementos - GRUPO 40</t>
    </r>
  </si>
  <si>
    <r>
      <rPr>
        <sz val="8.5"/>
        <rFont val="Calibri"/>
        <family val="2"/>
      </rPr>
      <t>40.20.050</t>
    </r>
  </si>
  <si>
    <r>
      <rPr>
        <sz val="8.5"/>
        <rFont val="Calibri"/>
        <family val="2"/>
      </rPr>
      <t>Sinalizador com lâmpada</t>
    </r>
  </si>
  <si>
    <r>
      <rPr>
        <sz val="8.5"/>
        <rFont val="Calibri"/>
        <family val="2"/>
      </rPr>
      <t>89,11</t>
    </r>
  </si>
  <si>
    <r>
      <rPr>
        <sz val="8.5"/>
        <rFont val="Calibri"/>
        <family val="2"/>
      </rPr>
      <t>118,23</t>
    </r>
  </si>
  <si>
    <r>
      <rPr>
        <sz val="8.5"/>
        <rFont val="Calibri"/>
        <family val="2"/>
      </rPr>
      <t>40.20.060</t>
    </r>
  </si>
  <si>
    <r>
      <rPr>
        <sz val="8.5"/>
        <rFont val="Calibri"/>
        <family val="2"/>
      </rPr>
      <t>Botão de comando duplo sem sinalizador</t>
    </r>
  </si>
  <si>
    <r>
      <rPr>
        <sz val="8.5"/>
        <rFont val="Calibri"/>
        <family val="2"/>
      </rPr>
      <t>55,35</t>
    </r>
  </si>
  <si>
    <r>
      <rPr>
        <sz val="8.5"/>
        <rFont val="Calibri"/>
        <family val="2"/>
      </rPr>
      <t>84,47</t>
    </r>
  </si>
  <si>
    <r>
      <rPr>
        <sz val="8.5"/>
        <rFont val="Calibri"/>
        <family val="2"/>
      </rPr>
      <t>40.20.090</t>
    </r>
  </si>
  <si>
    <r>
      <rPr>
        <sz val="8.5"/>
        <rFont val="Calibri"/>
        <family val="2"/>
      </rPr>
      <t>Botoeira com retenção para quadro/painel</t>
    </r>
  </si>
  <si>
    <r>
      <rPr>
        <sz val="8.5"/>
        <rFont val="Calibri"/>
        <family val="2"/>
      </rPr>
      <t>30,43</t>
    </r>
  </si>
  <si>
    <r>
      <rPr>
        <sz val="8.5"/>
        <rFont val="Calibri"/>
        <family val="2"/>
      </rPr>
      <t>41,35</t>
    </r>
  </si>
  <si>
    <r>
      <rPr>
        <sz val="8.5"/>
        <rFont val="Calibri"/>
        <family val="2"/>
      </rPr>
      <t>40.20.100</t>
    </r>
  </si>
  <si>
    <r>
      <rPr>
        <sz val="8.5"/>
        <rFont val="Calibri"/>
        <family val="2"/>
      </rPr>
      <t>Botoeira de comando liga-desliga, sem sinalização</t>
    </r>
  </si>
  <si>
    <r>
      <rPr>
        <sz val="8.5"/>
        <rFont val="Calibri"/>
        <family val="2"/>
      </rPr>
      <t>148,09</t>
    </r>
  </si>
  <si>
    <r>
      <rPr>
        <sz val="8.5"/>
        <rFont val="Calibri"/>
        <family val="2"/>
      </rPr>
      <t>159,01</t>
    </r>
  </si>
  <si>
    <r>
      <rPr>
        <sz val="8.5"/>
        <rFont val="Calibri"/>
        <family val="2"/>
      </rPr>
      <t>40.20.110</t>
    </r>
  </si>
  <si>
    <r>
      <rPr>
        <sz val="8.5"/>
        <rFont val="Calibri"/>
        <family val="2"/>
      </rPr>
      <t>Alarme sonoro bitonal 220 V para painel de comando</t>
    </r>
  </si>
  <si>
    <r>
      <rPr>
        <sz val="8.5"/>
        <rFont val="Calibri"/>
        <family val="2"/>
      </rPr>
      <t>389,05</t>
    </r>
  </si>
  <si>
    <r>
      <rPr>
        <sz val="8.5"/>
        <rFont val="Calibri"/>
        <family val="2"/>
      </rPr>
      <t>40.20.120</t>
    </r>
  </si>
  <si>
    <r>
      <rPr>
        <sz val="8.5"/>
        <rFont val="Calibri"/>
        <family val="2"/>
      </rPr>
      <t>Placa de 4´ x 2´</t>
    </r>
  </si>
  <si>
    <r>
      <rPr>
        <sz val="8.5"/>
        <rFont val="Calibri"/>
        <family val="2"/>
      </rPr>
      <t>40.20.140</t>
    </r>
  </si>
  <si>
    <r>
      <rPr>
        <sz val="8.5"/>
        <rFont val="Calibri"/>
        <family val="2"/>
      </rPr>
      <t>Placa de 4´ x 4´</t>
    </r>
  </si>
  <si>
    <r>
      <rPr>
        <sz val="8.5"/>
        <rFont val="Calibri"/>
        <family val="2"/>
      </rPr>
      <t>8,03</t>
    </r>
  </si>
  <si>
    <r>
      <rPr>
        <sz val="8.5"/>
        <rFont val="Calibri"/>
        <family val="2"/>
      </rPr>
      <t>9,19</t>
    </r>
  </si>
  <si>
    <r>
      <rPr>
        <sz val="8.5"/>
        <rFont val="Calibri"/>
        <family val="2"/>
      </rPr>
      <t>40.20.200</t>
    </r>
  </si>
  <si>
    <r>
      <rPr>
        <sz val="8.5"/>
        <rFont val="Calibri"/>
        <family val="2"/>
      </rPr>
      <t>Chave de boia normalmente fechada ou aberta</t>
    </r>
  </si>
  <si>
    <r>
      <rPr>
        <sz val="8.5"/>
        <rFont val="Calibri"/>
        <family val="2"/>
      </rPr>
      <t>46,18</t>
    </r>
  </si>
  <si>
    <r>
      <rPr>
        <sz val="8.5"/>
        <rFont val="Calibri"/>
        <family val="2"/>
      </rPr>
      <t>60,74</t>
    </r>
  </si>
  <si>
    <r>
      <rPr>
        <sz val="8.5"/>
        <rFont val="Calibri"/>
        <family val="2"/>
      </rPr>
      <t>40.20.240</t>
    </r>
  </si>
  <si>
    <r>
      <rPr>
        <sz val="8.5"/>
        <rFont val="Calibri"/>
        <family val="2"/>
      </rPr>
      <t>Plugue com 2P+T de 10A, 250V</t>
    </r>
  </si>
  <si>
    <r>
      <rPr>
        <sz val="8.5"/>
        <rFont val="Calibri"/>
        <family val="2"/>
      </rPr>
      <t>40.20.250</t>
    </r>
  </si>
  <si>
    <r>
      <rPr>
        <sz val="8.5"/>
        <rFont val="Calibri"/>
        <family val="2"/>
      </rPr>
      <t>Plugue prolongador com 2P+T de 10A, 250V</t>
    </r>
  </si>
  <si>
    <r>
      <rPr>
        <sz val="8.5"/>
        <rFont val="Calibri"/>
        <family val="2"/>
      </rPr>
      <t>15,35</t>
    </r>
  </si>
  <si>
    <r>
      <rPr>
        <sz val="8.5"/>
        <rFont val="Calibri"/>
        <family val="2"/>
      </rPr>
      <t>40.20.300</t>
    </r>
  </si>
  <si>
    <r>
      <rPr>
        <sz val="8.5"/>
        <rFont val="Calibri"/>
        <family val="2"/>
      </rPr>
      <t>Chave de nível tipo boia pendular (pera), com contato micro switch</t>
    </r>
  </si>
  <si>
    <r>
      <rPr>
        <sz val="8.5"/>
        <rFont val="Calibri"/>
        <family val="2"/>
      </rPr>
      <t>427,03</t>
    </r>
  </si>
  <si>
    <r>
      <rPr>
        <sz val="8.5"/>
        <rFont val="Calibri"/>
        <family val="2"/>
      </rPr>
      <t>463,42</t>
    </r>
  </si>
  <si>
    <r>
      <rPr>
        <sz val="8.5"/>
        <rFont val="Calibri"/>
        <family val="2"/>
      </rPr>
      <t>40.20.310</t>
    </r>
  </si>
  <si>
    <r>
      <rPr>
        <sz val="8.5"/>
        <rFont val="Calibri"/>
        <family val="2"/>
      </rPr>
      <t>Placa/espelho em latão escovado 4´ x 4´, para 02 tomadas elétrica</t>
    </r>
  </si>
  <si>
    <r>
      <rPr>
        <sz val="8.5"/>
        <rFont val="Calibri"/>
        <family val="2"/>
      </rPr>
      <t>16,27</t>
    </r>
  </si>
  <si>
    <r>
      <rPr>
        <sz val="8.5"/>
        <rFont val="Calibri"/>
        <family val="2"/>
      </rPr>
      <t>41,84</t>
    </r>
  </si>
  <si>
    <r>
      <rPr>
        <sz val="8.5"/>
        <rFont val="Calibri"/>
        <family val="2"/>
      </rPr>
      <t>40.20.320</t>
    </r>
  </si>
  <si>
    <r>
      <rPr>
        <sz val="8.5"/>
        <rFont val="Calibri"/>
        <family val="2"/>
      </rPr>
      <t>Placa/espelho em latão escovado 4´ x 4´, para 01 tomada elétrica</t>
    </r>
  </si>
  <si>
    <r>
      <rPr>
        <sz val="8.5"/>
        <rFont val="Calibri"/>
        <family val="2"/>
      </rPr>
      <t>38,72</t>
    </r>
  </si>
  <si>
    <r>
      <rPr>
        <sz val="8.5"/>
        <rFont val="Calibri"/>
        <family val="2"/>
      </rPr>
      <t>ILUMINACAO</t>
    </r>
  </si>
  <si>
    <r>
      <rPr>
        <sz val="8.5"/>
        <rFont val="Calibri"/>
        <family val="2"/>
      </rPr>
      <t>Lampadas</t>
    </r>
  </si>
  <si>
    <r>
      <rPr>
        <sz val="8.5"/>
        <rFont val="Calibri"/>
        <family val="2"/>
      </rPr>
      <t>41.02.541</t>
    </r>
  </si>
  <si>
    <r>
      <rPr>
        <sz val="8.5"/>
        <rFont val="Calibri"/>
        <family val="2"/>
      </rPr>
      <t>Lâmpada LED tubular T8 com base G13, de 900 até 1050 Im - 9 a 10W</t>
    </r>
  </si>
  <si>
    <r>
      <rPr>
        <sz val="8.5"/>
        <rFont val="Calibri"/>
        <family val="2"/>
      </rPr>
      <t>20,24</t>
    </r>
  </si>
  <si>
    <r>
      <rPr>
        <sz val="8.5"/>
        <rFont val="Calibri"/>
        <family val="2"/>
      </rPr>
      <t>23,14</t>
    </r>
  </si>
  <si>
    <r>
      <rPr>
        <sz val="8.5"/>
        <rFont val="Calibri"/>
        <family val="2"/>
      </rPr>
      <t>41.02.551</t>
    </r>
  </si>
  <si>
    <r>
      <rPr>
        <sz val="8.5"/>
        <rFont val="Calibri"/>
        <family val="2"/>
      </rPr>
      <t>Lâmpada LED tubular T8 com base G13, de 1850 até 2000 Im - 18 a 20W</t>
    </r>
  </si>
  <si>
    <r>
      <rPr>
        <sz val="8.5"/>
        <rFont val="Calibri"/>
        <family val="2"/>
      </rPr>
      <t>36,38</t>
    </r>
  </si>
  <si>
    <r>
      <rPr>
        <sz val="8.5"/>
        <rFont val="Calibri"/>
        <family val="2"/>
      </rPr>
      <t>39,28</t>
    </r>
  </si>
  <si>
    <r>
      <rPr>
        <sz val="8.5"/>
        <rFont val="Calibri"/>
        <family val="2"/>
      </rPr>
      <t>41.02.562</t>
    </r>
  </si>
  <si>
    <r>
      <rPr>
        <sz val="8.5"/>
        <rFont val="Calibri"/>
        <family val="2"/>
      </rPr>
      <t>Lâmpada LED tubular T8 com base G13, de 3400 até 4000 Im - 36 a 40W</t>
    </r>
  </si>
  <si>
    <r>
      <rPr>
        <sz val="8.5"/>
        <rFont val="Calibri"/>
        <family val="2"/>
      </rPr>
      <t>77,19</t>
    </r>
  </si>
  <si>
    <r>
      <rPr>
        <sz val="8.5"/>
        <rFont val="Calibri"/>
        <family val="2"/>
      </rPr>
      <t>80,09</t>
    </r>
  </si>
  <si>
    <r>
      <rPr>
        <sz val="8.5"/>
        <rFont val="Calibri"/>
        <family val="2"/>
      </rPr>
      <t>41.02.580</t>
    </r>
  </si>
  <si>
    <r>
      <rPr>
        <sz val="8.5"/>
        <rFont val="Calibri"/>
        <family val="2"/>
      </rPr>
      <t>Lâmpada LED 13,5W, com base E-27, 1400 até 1510lm</t>
    </r>
  </si>
  <si>
    <r>
      <rPr>
        <sz val="8.5"/>
        <rFont val="Calibri"/>
        <family val="2"/>
      </rPr>
      <t>29,21</t>
    </r>
  </si>
  <si>
    <r>
      <rPr>
        <sz val="8.5"/>
        <rFont val="Calibri"/>
        <family val="2"/>
      </rPr>
      <t>32,11</t>
    </r>
  </si>
  <si>
    <r>
      <rPr>
        <sz val="8.5"/>
        <rFont val="Calibri"/>
        <family val="2"/>
      </rPr>
      <t>Acessorios para iluminacao</t>
    </r>
  </si>
  <si>
    <r>
      <rPr>
        <sz val="8.5"/>
        <rFont val="Calibri"/>
        <family val="2"/>
      </rPr>
      <t>41.04.020</t>
    </r>
  </si>
  <si>
    <r>
      <rPr>
        <sz val="8.5"/>
        <rFont val="Calibri"/>
        <family val="2"/>
      </rPr>
      <t>Receptáculo de porcelana com parafuso de fixação com rosca E-27</t>
    </r>
  </si>
  <si>
    <r>
      <rPr>
        <sz val="8.5"/>
        <rFont val="Calibri"/>
        <family val="2"/>
      </rPr>
      <t>4,15</t>
    </r>
  </si>
  <si>
    <r>
      <rPr>
        <sz val="8.5"/>
        <rFont val="Calibri"/>
        <family val="2"/>
      </rPr>
      <t>2,92</t>
    </r>
  </si>
  <si>
    <r>
      <rPr>
        <sz val="8.5"/>
        <rFont val="Calibri"/>
        <family val="2"/>
      </rPr>
      <t>41.04.050</t>
    </r>
  </si>
  <si>
    <r>
      <rPr>
        <sz val="8.5"/>
        <rFont val="Calibri"/>
        <family val="2"/>
      </rPr>
      <t xml:space="preserve">Trilho eletrificado de alimentação com 1 circuito, em alumínio com
</t>
    </r>
    <r>
      <rPr>
        <sz val="8.5"/>
        <rFont val="Calibri"/>
        <family val="2"/>
      </rPr>
      <t>pintura na cor branco, inclusive acessórios</t>
    </r>
  </si>
  <si>
    <r>
      <rPr>
        <sz val="8.5"/>
        <rFont val="Calibri"/>
        <family val="2"/>
      </rPr>
      <t>113,10</t>
    </r>
  </si>
  <si>
    <r>
      <rPr>
        <sz val="8.5"/>
        <rFont val="Calibri"/>
        <family val="2"/>
      </rPr>
      <t>127,66</t>
    </r>
  </si>
  <si>
    <r>
      <rPr>
        <sz val="8.5"/>
        <rFont val="Calibri"/>
        <family val="2"/>
      </rPr>
      <t>Lampada de descarga de alta potencia</t>
    </r>
  </si>
  <si>
    <r>
      <rPr>
        <sz val="8.5"/>
        <rFont val="Calibri"/>
        <family val="2"/>
      </rPr>
      <t>41.05.710</t>
    </r>
  </si>
  <si>
    <r>
      <rPr>
        <sz val="8.5"/>
        <rFont val="Calibri"/>
        <family val="2"/>
      </rPr>
      <t>Lâmpada de vapor metálico tubular, base G12 de 70 W</t>
    </r>
  </si>
  <si>
    <r>
      <rPr>
        <sz val="8.5"/>
        <rFont val="Calibri"/>
        <family val="2"/>
      </rPr>
      <t>118,52</t>
    </r>
  </si>
  <si>
    <r>
      <rPr>
        <sz val="8.5"/>
        <rFont val="Calibri"/>
        <family val="2"/>
      </rPr>
      <t>121,42</t>
    </r>
  </si>
  <si>
    <r>
      <rPr>
        <sz val="8.5"/>
        <rFont val="Calibri"/>
        <family val="2"/>
      </rPr>
      <t>41.05.720</t>
    </r>
  </si>
  <si>
    <r>
      <rPr>
        <sz val="8.5"/>
        <rFont val="Calibri"/>
        <family val="2"/>
      </rPr>
      <t>Lâmpada de vapor metálico tubular, base G12 de 150 W</t>
    </r>
  </si>
  <si>
    <r>
      <rPr>
        <sz val="8.5"/>
        <rFont val="Calibri"/>
        <family val="2"/>
      </rPr>
      <t>122,68</t>
    </r>
  </si>
  <si>
    <r>
      <rPr>
        <sz val="8.5"/>
        <rFont val="Calibri"/>
        <family val="2"/>
      </rPr>
      <t>125,58</t>
    </r>
  </si>
  <si>
    <r>
      <rPr>
        <sz val="8.5"/>
        <rFont val="Calibri"/>
        <family val="2"/>
      </rPr>
      <t>41.05.800</t>
    </r>
  </si>
  <si>
    <r>
      <rPr>
        <sz val="8.5"/>
        <rFont val="Calibri"/>
        <family val="2"/>
      </rPr>
      <t>Lâmpada de vapor metálico tubular, base RX7s bilateral de 70 W</t>
    </r>
  </si>
  <si>
    <r>
      <rPr>
        <sz val="8.5"/>
        <rFont val="Calibri"/>
        <family val="2"/>
      </rPr>
      <t>84,80</t>
    </r>
  </si>
  <si>
    <r>
      <rPr>
        <sz val="8.5"/>
        <rFont val="Calibri"/>
        <family val="2"/>
      </rPr>
      <t>87,70</t>
    </r>
  </si>
  <si>
    <r>
      <rPr>
        <sz val="8.5"/>
        <rFont val="Calibri"/>
        <family val="2"/>
      </rPr>
      <t>Lampada halogena</t>
    </r>
  </si>
  <si>
    <r>
      <rPr>
        <sz val="8.5"/>
        <rFont val="Calibri"/>
        <family val="2"/>
      </rPr>
      <t>41.06.100</t>
    </r>
  </si>
  <si>
    <r>
      <rPr>
        <sz val="8.5"/>
        <rFont val="Calibri"/>
        <family val="2"/>
      </rPr>
      <t>Lâmpada halógena refletora PAR20, base E27 de 50 W - 220 V</t>
    </r>
  </si>
  <si>
    <r>
      <rPr>
        <sz val="8.5"/>
        <rFont val="Calibri"/>
        <family val="2"/>
      </rPr>
      <t>27,16</t>
    </r>
  </si>
  <si>
    <r>
      <rPr>
        <sz val="8.5"/>
        <rFont val="Calibri"/>
        <family val="2"/>
      </rPr>
      <t>30,06</t>
    </r>
  </si>
  <si>
    <r>
      <rPr>
        <sz val="8.5"/>
        <rFont val="Calibri"/>
        <family val="2"/>
      </rPr>
      <t>41.06.130</t>
    </r>
  </si>
  <si>
    <r>
      <rPr>
        <sz val="8.5"/>
        <rFont val="Calibri"/>
        <family val="2"/>
      </rPr>
      <t>Lâmpada halógena com refletor dicroico de 50 W - 12 V</t>
    </r>
  </si>
  <si>
    <r>
      <rPr>
        <sz val="8.5"/>
        <rFont val="Calibri"/>
        <family val="2"/>
      </rPr>
      <t>19,90</t>
    </r>
  </si>
  <si>
    <r>
      <rPr>
        <sz val="8.5"/>
        <rFont val="Calibri"/>
        <family val="2"/>
      </rPr>
      <t>22,80</t>
    </r>
  </si>
  <si>
    <r>
      <rPr>
        <sz val="8.5"/>
        <rFont val="Calibri"/>
        <family val="2"/>
      </rPr>
      <t>41.06.410</t>
    </r>
  </si>
  <si>
    <r>
      <rPr>
        <sz val="8.5"/>
        <rFont val="Calibri"/>
        <family val="2"/>
      </rPr>
      <t>Lâmpada halógena tubular, base R7s bilateral de 300 W - 110 ou 220 V</t>
    </r>
  </si>
  <si>
    <r>
      <rPr>
        <sz val="8.5"/>
        <rFont val="Calibri"/>
        <family val="2"/>
      </rPr>
      <t>14,33</t>
    </r>
  </si>
  <si>
    <r>
      <rPr>
        <sz val="8.5"/>
        <rFont val="Calibri"/>
        <family val="2"/>
      </rPr>
      <t>17,23</t>
    </r>
  </si>
  <si>
    <r>
      <rPr>
        <sz val="8.5"/>
        <rFont val="Calibri"/>
        <family val="2"/>
      </rPr>
      <t>Lampada fluorescente</t>
    </r>
  </si>
  <si>
    <r>
      <rPr>
        <sz val="8.5"/>
        <rFont val="Calibri"/>
        <family val="2"/>
      </rPr>
      <t>41.07.020</t>
    </r>
  </si>
  <si>
    <r>
      <rPr>
        <sz val="8.5"/>
        <rFont val="Calibri"/>
        <family val="2"/>
      </rPr>
      <t>Lâmpada fluorescente tubular, base bipino bilateral de 15 W</t>
    </r>
  </si>
  <si>
    <r>
      <rPr>
        <sz val="8.5"/>
        <rFont val="Calibri"/>
        <family val="2"/>
      </rPr>
      <t>23,09</t>
    </r>
  </si>
  <si>
    <r>
      <rPr>
        <sz val="8.5"/>
        <rFont val="Calibri"/>
        <family val="2"/>
      </rPr>
      <t>41.07.030</t>
    </r>
  </si>
  <si>
    <r>
      <rPr>
        <sz val="8.5"/>
        <rFont val="Calibri"/>
        <family val="2"/>
      </rPr>
      <t>Lâmpada fluorescente tubular, base bipino bilateral de 16 W</t>
    </r>
  </si>
  <si>
    <r>
      <rPr>
        <sz val="8.5"/>
        <rFont val="Calibri"/>
        <family val="2"/>
      </rPr>
      <t>9,98</t>
    </r>
  </si>
  <si>
    <r>
      <rPr>
        <sz val="8.5"/>
        <rFont val="Calibri"/>
        <family val="2"/>
      </rPr>
      <t>41.07.050</t>
    </r>
  </si>
  <si>
    <r>
      <rPr>
        <sz val="8.5"/>
        <rFont val="Calibri"/>
        <family val="2"/>
      </rPr>
      <t>Lâmpada fluorescente tubular, base bipino bilateral de 20 W</t>
    </r>
  </si>
  <si>
    <r>
      <rPr>
        <sz val="8.5"/>
        <rFont val="Calibri"/>
        <family val="2"/>
      </rPr>
      <t>9,66</t>
    </r>
  </si>
  <si>
    <r>
      <rPr>
        <sz val="8.5"/>
        <rFont val="Calibri"/>
        <family val="2"/>
      </rPr>
      <t>12,56</t>
    </r>
  </si>
  <si>
    <r>
      <rPr>
        <sz val="8.5"/>
        <rFont val="Calibri"/>
        <family val="2"/>
      </rPr>
      <t>41.07.060</t>
    </r>
  </si>
  <si>
    <r>
      <rPr>
        <sz val="8.5"/>
        <rFont val="Calibri"/>
        <family val="2"/>
      </rPr>
      <t>Lâmpada fluorescente tubular, base bipino bilateral de 28 W</t>
    </r>
  </si>
  <si>
    <r>
      <rPr>
        <sz val="8.5"/>
        <rFont val="Calibri"/>
        <family val="2"/>
      </rPr>
      <t>41.07.070</t>
    </r>
  </si>
  <si>
    <r>
      <rPr>
        <sz val="8.5"/>
        <rFont val="Calibri"/>
        <family val="2"/>
      </rPr>
      <t>Lâmpada fluorescente tubular, base bipino bilateral de 32 W</t>
    </r>
  </si>
  <si>
    <r>
      <rPr>
        <sz val="8.5"/>
        <rFont val="Calibri"/>
        <family val="2"/>
      </rPr>
      <t>9,58</t>
    </r>
  </si>
  <si>
    <r>
      <rPr>
        <sz val="8.5"/>
        <rFont val="Calibri"/>
        <family val="2"/>
      </rPr>
      <t>12,48</t>
    </r>
  </si>
  <si>
    <r>
      <rPr>
        <sz val="8.5"/>
        <rFont val="Calibri"/>
        <family val="2"/>
      </rPr>
      <t>41.07.200</t>
    </r>
  </si>
  <si>
    <r>
      <rPr>
        <sz val="8.5"/>
        <rFont val="Calibri"/>
        <family val="2"/>
      </rPr>
      <t xml:space="preserve">Lâmpada fluorescente tubular, base bipino bilateral de 32 W, com
</t>
    </r>
    <r>
      <rPr>
        <sz val="8.5"/>
        <rFont val="Calibri"/>
        <family val="2"/>
      </rPr>
      <t>camada trifósforo</t>
    </r>
  </si>
  <si>
    <r>
      <rPr>
        <sz val="8.5"/>
        <rFont val="Calibri"/>
        <family val="2"/>
      </rPr>
      <t>16,83</t>
    </r>
  </si>
  <si>
    <r>
      <rPr>
        <sz val="8.5"/>
        <rFont val="Calibri"/>
        <family val="2"/>
      </rPr>
      <t>41.07.400</t>
    </r>
  </si>
  <si>
    <r>
      <rPr>
        <sz val="8.5"/>
        <rFont val="Calibri"/>
        <family val="2"/>
      </rPr>
      <t xml:space="preserve">Lâmpada fluorescente compacta eletrônica "2U", base E27 de 9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</si>
  <si>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10,45</t>
    </r>
  </si>
  <si>
    <r>
      <rPr>
        <sz val="8.5"/>
        <rFont val="Calibri"/>
        <family val="2"/>
      </rPr>
      <t>41.07.420</t>
    </r>
  </si>
  <si>
    <r>
      <rPr>
        <sz val="8.5"/>
        <rFont val="Calibri"/>
        <family val="2"/>
      </rPr>
      <t xml:space="preserve">Lâmpada fluorescente compacta eletrônica "3U", base E27 de 15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</si>
  <si>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16,64</t>
    </r>
  </si>
  <si>
    <r>
      <rPr>
        <sz val="8.5"/>
        <rFont val="Calibri"/>
        <family val="2"/>
      </rPr>
      <t>41.07.430</t>
    </r>
  </si>
  <si>
    <r>
      <rPr>
        <sz val="8.5"/>
        <rFont val="Calibri"/>
        <family val="2"/>
      </rPr>
      <t xml:space="preserve">Lâmpada fluorescente compacta eletrônica "3U", base E27 de 20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</si>
  <si>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41.07.440</t>
    </r>
  </si>
  <si>
    <r>
      <rPr>
        <sz val="8.5"/>
        <rFont val="Calibri"/>
        <family val="2"/>
      </rPr>
      <t xml:space="preserve">Lâmpada fluorescente compacta eletrônica "3U", base E27 de 23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</si>
  <si>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21,11</t>
    </r>
  </si>
  <si>
    <r>
      <rPr>
        <sz val="8.5"/>
        <rFont val="Calibri"/>
        <family val="2"/>
      </rPr>
      <t>41.07.450</t>
    </r>
  </si>
  <si>
    <r>
      <rPr>
        <sz val="8.5"/>
        <rFont val="Calibri"/>
        <family val="2"/>
      </rPr>
      <t xml:space="preserve">Lâmpada fluorescente compacta eletrônica "3U", base E27 de 25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</si>
  <si>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12,72</t>
    </r>
  </si>
  <si>
    <r>
      <rPr>
        <sz val="8.5"/>
        <rFont val="Calibri"/>
        <family val="2"/>
      </rPr>
      <t>15,62</t>
    </r>
  </si>
  <si>
    <r>
      <rPr>
        <sz val="8.5"/>
        <rFont val="Calibri"/>
        <family val="2"/>
      </rPr>
      <t>41.07.800</t>
    </r>
  </si>
  <si>
    <r>
      <rPr>
        <sz val="8.5"/>
        <rFont val="Calibri"/>
        <family val="2"/>
      </rPr>
      <t>Lâmpada fluorescente compacta "1U", base G-23 de 9 W</t>
    </r>
  </si>
  <si>
    <r>
      <rPr>
        <sz val="8.5"/>
        <rFont val="Calibri"/>
        <family val="2"/>
      </rPr>
      <t>31,94</t>
    </r>
  </si>
  <si>
    <r>
      <rPr>
        <sz val="8.5"/>
        <rFont val="Calibri"/>
        <family val="2"/>
      </rPr>
      <t>41.07.810</t>
    </r>
  </si>
  <si>
    <r>
      <rPr>
        <sz val="8.5"/>
        <rFont val="Calibri"/>
        <family val="2"/>
      </rPr>
      <t>Lâmpada fluorescente compacta "2U", base G-24D-2 de 18 W</t>
    </r>
  </si>
  <si>
    <r>
      <rPr>
        <sz val="8.5"/>
        <rFont val="Calibri"/>
        <family val="2"/>
      </rPr>
      <t>14,80</t>
    </r>
  </si>
  <si>
    <r>
      <rPr>
        <sz val="8.5"/>
        <rFont val="Calibri"/>
        <family val="2"/>
      </rPr>
      <t>17,70</t>
    </r>
  </si>
  <si>
    <r>
      <rPr>
        <sz val="8.5"/>
        <rFont val="Calibri"/>
        <family val="2"/>
      </rPr>
      <t>41.07.820</t>
    </r>
  </si>
  <si>
    <r>
      <rPr>
        <sz val="8.5"/>
        <rFont val="Calibri"/>
        <family val="2"/>
      </rPr>
      <t>Lâmpada fluorescente compacta "2U", base G-24D-3 de 26 W</t>
    </r>
  </si>
  <si>
    <r>
      <rPr>
        <sz val="8.5"/>
        <rFont val="Calibri"/>
        <family val="2"/>
      </rPr>
      <t>18,17</t>
    </r>
  </si>
  <si>
    <r>
      <rPr>
        <sz val="8.5"/>
        <rFont val="Calibri"/>
        <family val="2"/>
      </rPr>
      <t>41.07.830</t>
    </r>
  </si>
  <si>
    <r>
      <rPr>
        <sz val="8.5"/>
        <rFont val="Calibri"/>
        <family val="2"/>
      </rPr>
      <t>Lâmpada fluorescente compacta longa "1U", base 2G-11 de 36 W</t>
    </r>
  </si>
  <si>
    <r>
      <rPr>
        <sz val="8.5"/>
        <rFont val="Calibri"/>
        <family val="2"/>
      </rPr>
      <t>42,04</t>
    </r>
  </si>
  <si>
    <r>
      <rPr>
        <sz val="8.5"/>
        <rFont val="Calibri"/>
        <family val="2"/>
      </rPr>
      <t>41.07.860</t>
    </r>
  </si>
  <si>
    <r>
      <rPr>
        <sz val="8.5"/>
        <rFont val="Calibri"/>
        <family val="2"/>
      </rPr>
      <t>Lâmpada fluorescente compacta "2U", base G24q-3 de 26 W</t>
    </r>
  </si>
  <si>
    <r>
      <rPr>
        <sz val="8.5"/>
        <rFont val="Calibri"/>
        <family val="2"/>
      </rPr>
      <t>15,52</t>
    </r>
  </si>
  <si>
    <r>
      <rPr>
        <sz val="8.5"/>
        <rFont val="Calibri"/>
        <family val="2"/>
      </rPr>
      <t>18,42</t>
    </r>
  </si>
  <si>
    <r>
      <rPr>
        <sz val="8.5"/>
        <rFont val="Calibri"/>
        <family val="2"/>
      </rPr>
      <t>Reator e equipamentos para lampada de descarga de alta potencia</t>
    </r>
  </si>
  <si>
    <r>
      <rPr>
        <sz val="8.5"/>
        <rFont val="Calibri"/>
        <family val="2"/>
      </rPr>
      <t>41.08.010</t>
    </r>
  </si>
  <si>
    <r>
      <rPr>
        <sz val="8.5"/>
        <rFont val="Calibri"/>
        <family val="2"/>
      </rPr>
      <t xml:space="preserve">Transformador eletrônico para lâmpada halógena dicroica de 50 W - 220
</t>
    </r>
    <r>
      <rPr>
        <sz val="8.5"/>
        <rFont val="Calibri"/>
        <family val="2"/>
      </rPr>
      <t>V</t>
    </r>
  </si>
  <si>
    <r>
      <rPr>
        <sz val="8.5"/>
        <rFont val="Calibri"/>
        <family val="2"/>
      </rPr>
      <t>20,46</t>
    </r>
  </si>
  <si>
    <r>
      <rPr>
        <sz val="8.5"/>
        <rFont val="Calibri"/>
        <family val="2"/>
      </rPr>
      <t>41.08.230</t>
    </r>
  </si>
  <si>
    <r>
      <rPr>
        <sz val="8.5"/>
        <rFont val="Calibri"/>
        <family val="2"/>
      </rPr>
      <t xml:space="preserve">Reator eletromagnético de alto fator de potência, para lâmpada vapor de
</t>
    </r>
    <r>
      <rPr>
        <sz val="8.5"/>
        <rFont val="Calibri"/>
        <family val="2"/>
      </rPr>
      <t>sódio 150 W / 220 V</t>
    </r>
  </si>
  <si>
    <r>
      <rPr>
        <sz val="8.5"/>
        <rFont val="Calibri"/>
        <family val="2"/>
      </rPr>
      <t>86,62</t>
    </r>
  </si>
  <si>
    <r>
      <rPr>
        <sz val="8.5"/>
        <rFont val="Calibri"/>
        <family val="2"/>
      </rPr>
      <t>93,89</t>
    </r>
  </si>
  <si>
    <r>
      <rPr>
        <sz val="8.5"/>
        <rFont val="Calibri"/>
        <family val="2"/>
      </rPr>
      <t>41.08.250</t>
    </r>
  </si>
  <si>
    <r>
      <rPr>
        <sz val="8.5"/>
        <rFont val="Calibri"/>
        <family val="2"/>
      </rPr>
      <t xml:space="preserve">Reator eletromagnético de alto fator de potência, para lâmpada vapor de
</t>
    </r>
    <r>
      <rPr>
        <sz val="8.5"/>
        <rFont val="Calibri"/>
        <family val="2"/>
      </rPr>
      <t>sódio 250 W / 220 V</t>
    </r>
  </si>
  <si>
    <r>
      <rPr>
        <sz val="8.5"/>
        <rFont val="Calibri"/>
        <family val="2"/>
      </rPr>
      <t>120,59</t>
    </r>
  </si>
  <si>
    <r>
      <rPr>
        <sz val="8.5"/>
        <rFont val="Calibri"/>
        <family val="2"/>
      </rPr>
      <t>127,86</t>
    </r>
  </si>
  <si>
    <r>
      <rPr>
        <sz val="8.5"/>
        <rFont val="Calibri"/>
        <family val="2"/>
      </rPr>
      <t>41.08.270</t>
    </r>
  </si>
  <si>
    <r>
      <rPr>
        <sz val="8.5"/>
        <rFont val="Calibri"/>
        <family val="2"/>
      </rPr>
      <t xml:space="preserve">Reator eletromagnético de alto fator de potência, para lâmpada vapor de
</t>
    </r>
    <r>
      <rPr>
        <sz val="8.5"/>
        <rFont val="Calibri"/>
        <family val="2"/>
      </rPr>
      <t>sódio 400 W / 220 V</t>
    </r>
  </si>
  <si>
    <r>
      <rPr>
        <sz val="8.5"/>
        <rFont val="Calibri"/>
        <family val="2"/>
      </rPr>
      <t>153,36</t>
    </r>
  </si>
  <si>
    <r>
      <rPr>
        <sz val="8.5"/>
        <rFont val="Calibri"/>
        <family val="2"/>
      </rPr>
      <t>41.08.280</t>
    </r>
  </si>
  <si>
    <r>
      <rPr>
        <sz val="8.5"/>
        <rFont val="Calibri"/>
        <family val="2"/>
      </rPr>
      <t xml:space="preserve">Reator eletromagnético de alto fator de potência, para lâmpada vapor de
</t>
    </r>
    <r>
      <rPr>
        <sz val="8.5"/>
        <rFont val="Calibri"/>
        <family val="2"/>
      </rPr>
      <t>sódio 1000 W / 220 V</t>
    </r>
  </si>
  <si>
    <r>
      <rPr>
        <sz val="8.5"/>
        <rFont val="Calibri"/>
        <family val="2"/>
      </rPr>
      <t>403,08</t>
    </r>
  </si>
  <si>
    <r>
      <rPr>
        <sz val="8.5"/>
        <rFont val="Calibri"/>
        <family val="2"/>
      </rPr>
      <t>410,35</t>
    </r>
  </si>
  <si>
    <r>
      <rPr>
        <sz val="8.5"/>
        <rFont val="Calibri"/>
        <family val="2"/>
      </rPr>
      <t>41.08.420</t>
    </r>
  </si>
  <si>
    <r>
      <rPr>
        <sz val="8.5"/>
        <rFont val="Calibri"/>
        <family val="2"/>
      </rPr>
      <t xml:space="preserve">Reator eletromagnético de alto fator de potência, para lâmpada vapor
</t>
    </r>
    <r>
      <rPr>
        <sz val="8.5"/>
        <rFont val="Calibri"/>
        <family val="2"/>
      </rPr>
      <t>metálico 70 W / 220 V</t>
    </r>
  </si>
  <si>
    <r>
      <rPr>
        <sz val="8.5"/>
        <rFont val="Calibri"/>
        <family val="2"/>
      </rPr>
      <t>84,23</t>
    </r>
  </si>
  <si>
    <r>
      <rPr>
        <sz val="8.5"/>
        <rFont val="Calibri"/>
        <family val="2"/>
      </rPr>
      <t>91,50</t>
    </r>
  </si>
  <si>
    <r>
      <rPr>
        <sz val="8.5"/>
        <rFont val="Calibri"/>
        <family val="2"/>
      </rPr>
      <t>41.08.440</t>
    </r>
  </si>
  <si>
    <r>
      <rPr>
        <sz val="8.5"/>
        <rFont val="Calibri"/>
        <family val="2"/>
      </rPr>
      <t xml:space="preserve">Reator eletromagnético de alto fator de potência, para lâmpada vapor
</t>
    </r>
    <r>
      <rPr>
        <sz val="8.5"/>
        <rFont val="Calibri"/>
        <family val="2"/>
      </rPr>
      <t>metálico 150 W / 220 V</t>
    </r>
  </si>
  <si>
    <r>
      <rPr>
        <sz val="8.5"/>
        <rFont val="Calibri"/>
        <family val="2"/>
      </rPr>
      <t>88,64</t>
    </r>
  </si>
  <si>
    <r>
      <rPr>
        <sz val="8.5"/>
        <rFont val="Calibri"/>
        <family val="2"/>
      </rPr>
      <t>95,91</t>
    </r>
  </si>
  <si>
    <r>
      <rPr>
        <sz val="8.5"/>
        <rFont val="Calibri"/>
        <family val="2"/>
      </rPr>
      <t>41.08.450</t>
    </r>
  </si>
  <si>
    <r>
      <rPr>
        <sz val="8.5"/>
        <rFont val="Calibri"/>
        <family val="2"/>
      </rPr>
      <t xml:space="preserve">Reator eletromagnético de alto fator de potência, para lâmpada vapor
</t>
    </r>
    <r>
      <rPr>
        <sz val="8.5"/>
        <rFont val="Calibri"/>
        <family val="2"/>
      </rPr>
      <t>metálico 250 W / 220 V</t>
    </r>
  </si>
  <si>
    <r>
      <rPr>
        <sz val="8.5"/>
        <rFont val="Calibri"/>
        <family val="2"/>
      </rPr>
      <t>109,73</t>
    </r>
  </si>
  <si>
    <r>
      <rPr>
        <sz val="8.5"/>
        <rFont val="Calibri"/>
        <family val="2"/>
      </rPr>
      <t>117,00</t>
    </r>
  </si>
  <si>
    <r>
      <rPr>
        <sz val="8.5"/>
        <rFont val="Calibri"/>
        <family val="2"/>
      </rPr>
      <t>41.08.460</t>
    </r>
  </si>
  <si>
    <r>
      <rPr>
        <sz val="8.5"/>
        <rFont val="Calibri"/>
        <family val="2"/>
      </rPr>
      <t xml:space="preserve">Reator eletromagnético de alto fator de potência, para lâmpada vapor
</t>
    </r>
    <r>
      <rPr>
        <sz val="8.5"/>
        <rFont val="Calibri"/>
        <family val="2"/>
      </rPr>
      <t>metálico 400 W / 220 V</t>
    </r>
  </si>
  <si>
    <r>
      <rPr>
        <sz val="8.5"/>
        <rFont val="Calibri"/>
        <family val="2"/>
      </rPr>
      <t>114,65</t>
    </r>
  </si>
  <si>
    <r>
      <rPr>
        <sz val="8.5"/>
        <rFont val="Calibri"/>
        <family val="2"/>
      </rPr>
      <t>121,92</t>
    </r>
  </si>
  <si>
    <r>
      <rPr>
        <sz val="8.5"/>
        <rFont val="Calibri"/>
        <family val="2"/>
      </rPr>
      <t>Reator e equipamentos para lampada fluorescente</t>
    </r>
  </si>
  <si>
    <r>
      <rPr>
        <sz val="8.5"/>
        <rFont val="Calibri"/>
        <family val="2"/>
      </rPr>
      <t>41.09.720</t>
    </r>
  </si>
  <si>
    <r>
      <rPr>
        <sz val="8.5"/>
        <rFont val="Calibri"/>
        <family val="2"/>
      </rPr>
      <t xml:space="preserve">Reator eletrônico de alto fator de potência com partida instantânea,  para duas lâmpadas fluorescentes tubulares, base bipino bilateral, 16 W -
</t>
    </r>
    <r>
      <rPr>
        <sz val="8.5"/>
        <rFont val="Calibri"/>
        <family val="2"/>
      </rPr>
      <t>127 V / 220 V</t>
    </r>
  </si>
  <si>
    <r>
      <rPr>
        <sz val="8.5"/>
        <rFont val="Calibri"/>
        <family val="2"/>
      </rPr>
      <t>32,17</t>
    </r>
  </si>
  <si>
    <r>
      <rPr>
        <sz val="8.5"/>
        <rFont val="Calibri"/>
        <family val="2"/>
      </rPr>
      <t>46,73</t>
    </r>
  </si>
  <si>
    <r>
      <rPr>
        <sz val="8.5"/>
        <rFont val="Calibri"/>
        <family val="2"/>
      </rPr>
      <t>41.09.740</t>
    </r>
  </si>
  <si>
    <r>
      <rPr>
        <sz val="8.5"/>
        <rFont val="Calibri"/>
        <family val="2"/>
      </rPr>
      <t xml:space="preserve">Reator eletrônico de alto fator de potência com partida instantânea,  para duas lâmpadas fluorescentes tubulares, base bipino bilateral, 28 W -
</t>
    </r>
    <r>
      <rPr>
        <sz val="8.5"/>
        <rFont val="Calibri"/>
        <family val="2"/>
      </rPr>
      <t>127 V / 220 V</t>
    </r>
  </si>
  <si>
    <r>
      <rPr>
        <sz val="8.5"/>
        <rFont val="Calibri"/>
        <family val="2"/>
      </rPr>
      <t>66,54</t>
    </r>
  </si>
  <si>
    <r>
      <rPr>
        <sz val="8.5"/>
        <rFont val="Calibri"/>
        <family val="2"/>
      </rPr>
      <t>73,81</t>
    </r>
  </si>
  <si>
    <r>
      <rPr>
        <sz val="8.5"/>
        <rFont val="Calibri"/>
        <family val="2"/>
      </rPr>
      <t>41.09.750</t>
    </r>
  </si>
  <si>
    <r>
      <rPr>
        <sz val="8.5"/>
        <rFont val="Calibri"/>
        <family val="2"/>
      </rPr>
      <t xml:space="preserve">Reator eletrônico de alto fator de potência com partida instantânea,  para duas lâmpadas fluorescentes tubulares, base bipino bilateral, 32 W -
</t>
    </r>
    <r>
      <rPr>
        <sz val="8.5"/>
        <rFont val="Calibri"/>
        <family val="2"/>
      </rPr>
      <t>127 V / 220 V</t>
    </r>
  </si>
  <si>
    <r>
      <rPr>
        <sz val="8.5"/>
        <rFont val="Calibri"/>
        <family val="2"/>
      </rPr>
      <t>33,51</t>
    </r>
  </si>
  <si>
    <r>
      <rPr>
        <sz val="8.5"/>
        <rFont val="Calibri"/>
        <family val="2"/>
      </rPr>
      <t>48,07</t>
    </r>
  </si>
  <si>
    <r>
      <rPr>
        <sz val="8.5"/>
        <rFont val="Calibri"/>
        <family val="2"/>
      </rPr>
      <t>41.09.830</t>
    </r>
  </si>
  <si>
    <r>
      <rPr>
        <sz val="8.5"/>
        <rFont val="Calibri"/>
        <family val="2"/>
      </rPr>
      <t xml:space="preserve">Reator eletrônico de alto fator de potência com partida instantânea, para duas lâmpadas fluorescentes tubulares "HO", base bipino bilateral,
</t>
    </r>
    <r>
      <rPr>
        <sz val="8.5"/>
        <rFont val="Calibri"/>
        <family val="2"/>
      </rPr>
      <t>110 W - 220 V</t>
    </r>
  </si>
  <si>
    <r>
      <rPr>
        <sz val="8.5"/>
        <rFont val="Calibri"/>
        <family val="2"/>
      </rPr>
      <t>101,08</t>
    </r>
  </si>
  <si>
    <r>
      <rPr>
        <sz val="8.5"/>
        <rFont val="Calibri"/>
        <family val="2"/>
      </rPr>
      <t>115,64</t>
    </r>
  </si>
  <si>
    <r>
      <rPr>
        <sz val="8.5"/>
        <rFont val="Calibri"/>
        <family val="2"/>
      </rPr>
      <t>41.09.870</t>
    </r>
  </si>
  <si>
    <r>
      <rPr>
        <sz val="8.5"/>
        <rFont val="Calibri"/>
        <family val="2"/>
      </rPr>
      <t xml:space="preserve">Reator eletrônico de alto fator de potência com partida instantânea,  para uma lâmpada fluorescente compacta "2U", base G24q-3, 26 W - 220
</t>
    </r>
    <r>
      <rPr>
        <sz val="8.5"/>
        <rFont val="Calibri"/>
        <family val="2"/>
      </rPr>
      <t>V</t>
    </r>
  </si>
  <si>
    <r>
      <rPr>
        <sz val="8.5"/>
        <rFont val="Calibri"/>
        <family val="2"/>
      </rPr>
      <t>33,92</t>
    </r>
  </si>
  <si>
    <r>
      <rPr>
        <sz val="8.5"/>
        <rFont val="Calibri"/>
        <family val="2"/>
      </rPr>
      <t>41.09.890</t>
    </r>
  </si>
  <si>
    <r>
      <rPr>
        <sz val="8.5"/>
        <rFont val="Calibri"/>
        <family val="2"/>
      </rPr>
      <t xml:space="preserve">Reator eletrônico de alto fator de potência com partida instantânea, para duas lâmpadas fluorescentes compactas "2U", base G24q-3, 26 W -
</t>
    </r>
    <r>
      <rPr>
        <sz val="8.5"/>
        <rFont val="Calibri"/>
        <family val="2"/>
      </rPr>
      <t>220 V</t>
    </r>
  </si>
  <si>
    <r>
      <rPr>
        <sz val="8.5"/>
        <rFont val="Calibri"/>
        <family val="2"/>
      </rPr>
      <t>35,96</t>
    </r>
  </si>
  <si>
    <r>
      <rPr>
        <sz val="8.5"/>
        <rFont val="Calibri"/>
        <family val="2"/>
      </rPr>
      <t>50,52</t>
    </r>
  </si>
  <si>
    <r>
      <rPr>
        <sz val="8.5"/>
        <rFont val="Calibri"/>
        <family val="2"/>
      </rPr>
      <t>Postes e acessorios</t>
    </r>
  </si>
  <si>
    <r>
      <rPr>
        <sz val="8.5"/>
        <rFont val="Calibri"/>
        <family val="2"/>
      </rPr>
      <t>41.10.060</t>
    </r>
  </si>
  <si>
    <r>
      <rPr>
        <sz val="8.5"/>
        <rFont val="Calibri"/>
        <family val="2"/>
      </rPr>
      <t xml:space="preserve">Braço em tubo de ferro galvanizado de 1´ x 1,00 m para fixação de uma
</t>
    </r>
    <r>
      <rPr>
        <sz val="8.5"/>
        <rFont val="Calibri"/>
        <family val="2"/>
      </rPr>
      <t>luminária</t>
    </r>
  </si>
  <si>
    <r>
      <rPr>
        <sz val="8.5"/>
        <rFont val="Calibri"/>
        <family val="2"/>
      </rPr>
      <t>57,86</t>
    </r>
  </si>
  <si>
    <r>
      <rPr>
        <sz val="8.5"/>
        <rFont val="Calibri"/>
        <family val="2"/>
      </rPr>
      <t>108,77</t>
    </r>
  </si>
  <si>
    <r>
      <rPr>
        <sz val="8.5"/>
        <rFont val="Calibri"/>
        <family val="2"/>
      </rPr>
      <t>41.10.070</t>
    </r>
  </si>
  <si>
    <r>
      <rPr>
        <sz val="8.5"/>
        <rFont val="Calibri"/>
        <family val="2"/>
      </rPr>
      <t>Cruzeta reforçada em ferro galvanizado para fixação de quatro luminárias</t>
    </r>
  </si>
  <si>
    <r>
      <rPr>
        <sz val="8.5"/>
        <rFont val="Calibri"/>
        <family val="2"/>
      </rPr>
      <t>659,88</t>
    </r>
  </si>
  <si>
    <r>
      <rPr>
        <sz val="8.5"/>
        <rFont val="Calibri"/>
        <family val="2"/>
      </rPr>
      <t>710,79</t>
    </r>
  </si>
  <si>
    <r>
      <rPr>
        <sz val="8.5"/>
        <rFont val="Calibri"/>
        <family val="2"/>
      </rPr>
      <t>41.10.080</t>
    </r>
  </si>
  <si>
    <r>
      <rPr>
        <sz val="8.5"/>
        <rFont val="Calibri"/>
        <family val="2"/>
      </rPr>
      <t>Cruzeta reforçada em ferro galvanizado para fixação de duas luminárias</t>
    </r>
  </si>
  <si>
    <r>
      <rPr>
        <sz val="8.5"/>
        <rFont val="Calibri"/>
        <family val="2"/>
      </rPr>
      <t>494,57</t>
    </r>
  </si>
  <si>
    <r>
      <rPr>
        <sz val="8.5"/>
        <rFont val="Calibri"/>
        <family val="2"/>
      </rPr>
      <t>545,48</t>
    </r>
  </si>
  <si>
    <r>
      <rPr>
        <sz val="8.5"/>
        <rFont val="Calibri"/>
        <family val="2"/>
      </rPr>
      <t>41.10.260</t>
    </r>
  </si>
  <si>
    <r>
      <rPr>
        <sz val="8.5"/>
        <rFont val="Calibri"/>
        <family val="2"/>
      </rPr>
      <t xml:space="preserve">Poste telecônico curvo em aço SAE 1010/1020 galvanizado a fogo, altura
</t>
    </r>
    <r>
      <rPr>
        <sz val="8.5"/>
        <rFont val="Calibri"/>
        <family val="2"/>
      </rPr>
      <t>de 8,00 m</t>
    </r>
  </si>
  <si>
    <r>
      <rPr>
        <sz val="8.5"/>
        <rFont val="Calibri"/>
        <family val="2"/>
      </rPr>
      <t>2.048,93</t>
    </r>
  </si>
  <si>
    <r>
      <rPr>
        <sz val="8.5"/>
        <rFont val="Calibri"/>
        <family val="2"/>
      </rPr>
      <t>218,20</t>
    </r>
  </si>
  <si>
    <r>
      <rPr>
        <sz val="8.5"/>
        <rFont val="Calibri"/>
        <family val="2"/>
      </rPr>
      <t>2.267,13</t>
    </r>
  </si>
  <si>
    <r>
      <rPr>
        <sz val="8.5"/>
        <rFont val="Calibri"/>
        <family val="2"/>
      </rPr>
      <t>41.10.330</t>
    </r>
  </si>
  <si>
    <r>
      <rPr>
        <sz val="8.5"/>
        <rFont val="Calibri"/>
        <family val="2"/>
      </rPr>
      <t xml:space="preserve">Poste telecônico reto em aço SAE 1010/1020 galvanizado a fogo, altura
</t>
    </r>
    <r>
      <rPr>
        <sz val="8.5"/>
        <rFont val="Calibri"/>
        <family val="2"/>
      </rPr>
      <t>de 10,00 m</t>
    </r>
  </si>
  <si>
    <r>
      <rPr>
        <sz val="8.5"/>
        <rFont val="Calibri"/>
        <family val="2"/>
      </rPr>
      <t>2.713,19</t>
    </r>
  </si>
  <si>
    <r>
      <rPr>
        <sz val="8.5"/>
        <rFont val="Calibri"/>
        <family val="2"/>
      </rPr>
      <t>80,96</t>
    </r>
  </si>
  <si>
    <r>
      <rPr>
        <sz val="8.5"/>
        <rFont val="Calibri"/>
        <family val="2"/>
      </rPr>
      <t>2.794,15</t>
    </r>
  </si>
  <si>
    <r>
      <rPr>
        <sz val="8.5"/>
        <rFont val="Calibri"/>
        <family val="2"/>
      </rPr>
      <t>41.10.340</t>
    </r>
  </si>
  <si>
    <r>
      <rPr>
        <sz val="8.5"/>
        <rFont val="Calibri"/>
        <family val="2"/>
      </rPr>
      <t xml:space="preserve">Poste telecônico reto em aço SAE 1010/1020 galvanizado a fogo, altura
</t>
    </r>
    <r>
      <rPr>
        <sz val="8.5"/>
        <rFont val="Calibri"/>
        <family val="2"/>
      </rPr>
      <t>de 8,00 m</t>
    </r>
  </si>
  <si>
    <r>
      <rPr>
        <sz val="8.5"/>
        <rFont val="Calibri"/>
        <family val="2"/>
      </rPr>
      <t>2.090,20</t>
    </r>
  </si>
  <si>
    <r>
      <rPr>
        <sz val="8.5"/>
        <rFont val="Calibri"/>
        <family val="2"/>
      </rPr>
      <t>2.171,16</t>
    </r>
  </si>
  <si>
    <r>
      <rPr>
        <sz val="8.5"/>
        <rFont val="Calibri"/>
        <family val="2"/>
      </rPr>
      <t>41.10.400</t>
    </r>
  </si>
  <si>
    <r>
      <rPr>
        <sz val="8.5"/>
        <rFont val="Calibri"/>
        <family val="2"/>
      </rPr>
      <t xml:space="preserve">Poste telecônico em aço SAE 1010/1020 galvanizado a fogo, com espera
</t>
    </r>
    <r>
      <rPr>
        <sz val="8.5"/>
        <rFont val="Calibri"/>
        <family val="2"/>
      </rPr>
      <t>para uma luminária, altura de 3,00 m</t>
    </r>
  </si>
  <si>
    <r>
      <rPr>
        <sz val="8.5"/>
        <rFont val="Calibri"/>
        <family val="2"/>
      </rPr>
      <t>660,98</t>
    </r>
  </si>
  <si>
    <r>
      <rPr>
        <sz val="8.5"/>
        <rFont val="Calibri"/>
        <family val="2"/>
      </rPr>
      <t>52,15</t>
    </r>
  </si>
  <si>
    <r>
      <rPr>
        <sz val="8.5"/>
        <rFont val="Calibri"/>
        <family val="2"/>
      </rPr>
      <t>713,13</t>
    </r>
  </si>
  <si>
    <r>
      <rPr>
        <sz val="8.5"/>
        <rFont val="Calibri"/>
        <family val="2"/>
      </rPr>
      <t>41.10.410</t>
    </r>
  </si>
  <si>
    <r>
      <rPr>
        <sz val="8.5"/>
        <rFont val="Calibri"/>
        <family val="2"/>
      </rPr>
      <t xml:space="preserve">Poste telecônico em aço SAE 1010/1020 galvanizado a fogo, com espera
</t>
    </r>
    <r>
      <rPr>
        <sz val="8.5"/>
        <rFont val="Calibri"/>
        <family val="2"/>
      </rPr>
      <t>para duas luminárias, altura de 3,00 m</t>
    </r>
  </si>
  <si>
    <r>
      <rPr>
        <sz val="8.5"/>
        <rFont val="Calibri"/>
        <family val="2"/>
      </rPr>
      <t>798,53</t>
    </r>
  </si>
  <si>
    <r>
      <rPr>
        <sz val="8.5"/>
        <rFont val="Calibri"/>
        <family val="2"/>
      </rPr>
      <t>850,68</t>
    </r>
  </si>
  <si>
    <r>
      <rPr>
        <sz val="8.5"/>
        <rFont val="Calibri"/>
        <family val="2"/>
      </rPr>
      <t>41.10.430</t>
    </r>
  </si>
  <si>
    <r>
      <rPr>
        <sz val="8.5"/>
        <rFont val="Calibri"/>
        <family val="2"/>
      </rPr>
      <t xml:space="preserve">Poste telecônico reto em aço SAE 1010/1020 galvanizado a fogo, altura
</t>
    </r>
    <r>
      <rPr>
        <sz val="8.5"/>
        <rFont val="Calibri"/>
        <family val="2"/>
      </rPr>
      <t>de 6,00 m</t>
    </r>
  </si>
  <si>
    <r>
      <rPr>
        <sz val="8.5"/>
        <rFont val="Calibri"/>
        <family val="2"/>
      </rPr>
      <t>1.326,49</t>
    </r>
  </si>
  <si>
    <r>
      <rPr>
        <sz val="8.5"/>
        <rFont val="Calibri"/>
        <family val="2"/>
      </rPr>
      <t>1.407,45</t>
    </r>
  </si>
  <si>
    <r>
      <rPr>
        <sz val="8.5"/>
        <rFont val="Calibri"/>
        <family val="2"/>
      </rPr>
      <t>41.10.490</t>
    </r>
  </si>
  <si>
    <r>
      <rPr>
        <sz val="8.5"/>
        <rFont val="Calibri"/>
        <family val="2"/>
      </rPr>
      <t xml:space="preserve">Poste telecônico reto em aço SAE 1010/1020 galvanizado a fogo, com
</t>
    </r>
    <r>
      <rPr>
        <sz val="8.5"/>
        <rFont val="Calibri"/>
        <family val="2"/>
      </rPr>
      <t>base, altura de 7,00 m</t>
    </r>
  </si>
  <si>
    <r>
      <rPr>
        <sz val="8.5"/>
        <rFont val="Calibri"/>
        <family val="2"/>
      </rPr>
      <t>1.245,65</t>
    </r>
  </si>
  <si>
    <r>
      <rPr>
        <sz val="8.5"/>
        <rFont val="Calibri"/>
        <family val="2"/>
      </rPr>
      <t>367,40</t>
    </r>
  </si>
  <si>
    <r>
      <rPr>
        <sz val="8.5"/>
        <rFont val="Calibri"/>
        <family val="2"/>
      </rPr>
      <t>1.613,05</t>
    </r>
  </si>
  <si>
    <r>
      <rPr>
        <sz val="8.5"/>
        <rFont val="Calibri"/>
        <family val="2"/>
      </rPr>
      <t>41.10.500</t>
    </r>
  </si>
  <si>
    <r>
      <rPr>
        <sz val="8.5"/>
        <rFont val="Calibri"/>
        <family val="2"/>
      </rPr>
      <t xml:space="preserve">Poste telecônico reto em aço SAE 1010/1020 galvanizado a fogo, altura
</t>
    </r>
    <r>
      <rPr>
        <sz val="8.5"/>
        <rFont val="Calibri"/>
        <family val="2"/>
      </rPr>
      <t>de 4,00 m</t>
    </r>
  </si>
  <si>
    <r>
      <rPr>
        <sz val="8.5"/>
        <rFont val="Calibri"/>
        <family val="2"/>
      </rPr>
      <t>1.064,76</t>
    </r>
  </si>
  <si>
    <r>
      <rPr>
        <sz val="8.5"/>
        <rFont val="Calibri"/>
        <family val="2"/>
      </rPr>
      <t>1.145,72</t>
    </r>
  </si>
  <si>
    <r>
      <rPr>
        <sz val="8.5"/>
        <rFont val="Calibri"/>
        <family val="2"/>
      </rPr>
      <t>Aparelho de iluminacao publica e decorativa</t>
    </r>
  </si>
  <si>
    <r>
      <rPr>
        <sz val="8.5"/>
        <rFont val="Calibri"/>
        <family val="2"/>
      </rPr>
      <t>41.11.060</t>
    </r>
  </si>
  <si>
    <r>
      <rPr>
        <sz val="8.5"/>
        <rFont val="Calibri"/>
        <family val="2"/>
      </rPr>
      <t>Luminária fechada para iluminação pública tipo pétala pequena</t>
    </r>
  </si>
  <si>
    <r>
      <rPr>
        <sz val="8.5"/>
        <rFont val="Calibri"/>
        <family val="2"/>
      </rPr>
      <t>555,18</t>
    </r>
  </si>
  <si>
    <r>
      <rPr>
        <sz val="8.5"/>
        <rFont val="Calibri"/>
        <family val="2"/>
      </rPr>
      <t>580,64</t>
    </r>
  </si>
  <si>
    <r>
      <rPr>
        <sz val="8.5"/>
        <rFont val="Calibri"/>
        <family val="2"/>
      </rPr>
      <t>41.11.090</t>
    </r>
  </si>
  <si>
    <r>
      <rPr>
        <sz val="8.5"/>
        <rFont val="Calibri"/>
        <family val="2"/>
      </rPr>
      <t xml:space="preserve">Luminária com corpo em tubo de alumínio tipo balizador para uso
</t>
    </r>
    <r>
      <rPr>
        <sz val="8.5"/>
        <rFont val="Calibri"/>
        <family val="2"/>
      </rPr>
      <t>externo</t>
    </r>
  </si>
  <si>
    <r>
      <rPr>
        <sz val="8.5"/>
        <rFont val="Calibri"/>
        <family val="2"/>
      </rPr>
      <t>77,84</t>
    </r>
  </si>
  <si>
    <r>
      <rPr>
        <sz val="8.5"/>
        <rFont val="Calibri"/>
        <family val="2"/>
      </rPr>
      <t>88,76</t>
    </r>
  </si>
  <si>
    <r>
      <rPr>
        <sz val="8.5"/>
        <rFont val="Calibri"/>
        <family val="2"/>
      </rPr>
      <t>41.11.100</t>
    </r>
  </si>
  <si>
    <r>
      <rPr>
        <sz val="8.5"/>
        <rFont val="Calibri"/>
        <family val="2"/>
      </rPr>
      <t xml:space="preserve">Luminária retangular fechada para iluminação externa em poste, tipo
</t>
    </r>
    <r>
      <rPr>
        <sz val="8.5"/>
        <rFont val="Calibri"/>
        <family val="2"/>
      </rPr>
      <t>pétala grande</t>
    </r>
  </si>
  <si>
    <r>
      <rPr>
        <sz val="8.5"/>
        <rFont val="Calibri"/>
        <family val="2"/>
      </rPr>
      <t>465,98</t>
    </r>
  </si>
  <si>
    <r>
      <rPr>
        <sz val="8.5"/>
        <rFont val="Calibri"/>
        <family val="2"/>
      </rPr>
      <t>491,44</t>
    </r>
  </si>
  <si>
    <r>
      <rPr>
        <sz val="8.5"/>
        <rFont val="Calibri"/>
        <family val="2"/>
      </rPr>
      <t>41.11.110</t>
    </r>
  </si>
  <si>
    <r>
      <rPr>
        <sz val="8.5"/>
        <rFont val="Calibri"/>
        <family val="2"/>
      </rPr>
      <t xml:space="preserve">Luminária retangular fechada para iluminação externa em poste, tipo
</t>
    </r>
    <r>
      <rPr>
        <sz val="8.5"/>
        <rFont val="Calibri"/>
        <family val="2"/>
      </rPr>
      <t>pétala pequena</t>
    </r>
  </si>
  <si>
    <r>
      <rPr>
        <sz val="8.5"/>
        <rFont val="Calibri"/>
        <family val="2"/>
      </rPr>
      <t>404,88</t>
    </r>
  </si>
  <si>
    <r>
      <rPr>
        <sz val="8.5"/>
        <rFont val="Calibri"/>
        <family val="2"/>
      </rPr>
      <t>430,34</t>
    </r>
  </si>
  <si>
    <r>
      <rPr>
        <sz val="8.5"/>
        <rFont val="Calibri"/>
        <family val="2"/>
      </rPr>
      <t>41.11.440</t>
    </r>
  </si>
  <si>
    <r>
      <rPr>
        <sz val="8.5"/>
        <rFont val="Calibri"/>
        <family val="2"/>
      </rPr>
      <t>Suporte tubular de fixação em poste para 1 luminária tipo pétala</t>
    </r>
  </si>
  <si>
    <r>
      <rPr>
        <sz val="8.5"/>
        <rFont val="Calibri"/>
        <family val="2"/>
      </rPr>
      <t>79,69</t>
    </r>
  </si>
  <si>
    <r>
      <rPr>
        <sz val="8.5"/>
        <rFont val="Calibri"/>
        <family val="2"/>
      </rPr>
      <t>90,61</t>
    </r>
  </si>
  <si>
    <r>
      <rPr>
        <sz val="8.5"/>
        <rFont val="Calibri"/>
        <family val="2"/>
      </rPr>
      <t>41.11.450</t>
    </r>
  </si>
  <si>
    <r>
      <rPr>
        <sz val="8.5"/>
        <rFont val="Calibri"/>
        <family val="2"/>
      </rPr>
      <t>Suporte tubular de fixação em poste para 2 luminárias tipo pétala</t>
    </r>
  </si>
  <si>
    <r>
      <rPr>
        <sz val="8.5"/>
        <rFont val="Calibri"/>
        <family val="2"/>
      </rPr>
      <t>99,85</t>
    </r>
  </si>
  <si>
    <r>
      <rPr>
        <sz val="8.5"/>
        <rFont val="Calibri"/>
        <family val="2"/>
      </rPr>
      <t>110,77</t>
    </r>
  </si>
  <si>
    <r>
      <rPr>
        <sz val="8.5"/>
        <rFont val="Calibri"/>
        <family val="2"/>
      </rPr>
      <t>41.11.702</t>
    </r>
  </si>
  <si>
    <r>
      <rPr>
        <sz val="8.5"/>
        <rFont val="Calibri"/>
        <family val="2"/>
      </rPr>
      <t xml:space="preserve">Luminária LED solar integrada para poste, eficiência mínima de 130,5
</t>
    </r>
    <r>
      <rPr>
        <sz val="8.5"/>
        <rFont val="Calibri"/>
        <family val="2"/>
      </rPr>
      <t>lm/W</t>
    </r>
  </si>
  <si>
    <r>
      <rPr>
        <sz val="8.5"/>
        <rFont val="Calibri"/>
        <family val="2"/>
      </rPr>
      <t>6.203,54</t>
    </r>
  </si>
  <si>
    <r>
      <rPr>
        <sz val="8.5"/>
        <rFont val="Calibri"/>
        <family val="2"/>
      </rPr>
      <t>123,87</t>
    </r>
  </si>
  <si>
    <r>
      <rPr>
        <sz val="8.5"/>
        <rFont val="Calibri"/>
        <family val="2"/>
      </rPr>
      <t>6.327,41</t>
    </r>
  </si>
  <si>
    <r>
      <rPr>
        <sz val="8.5"/>
        <rFont val="Calibri"/>
        <family val="2"/>
      </rPr>
      <t>41.11.703</t>
    </r>
  </si>
  <si>
    <r>
      <rPr>
        <sz val="8.5"/>
        <rFont val="Calibri"/>
        <family val="2"/>
      </rPr>
      <t xml:space="preserve">Luminária LED retangular para poste de 14.160 até 17.475 lm, eficiência
</t>
    </r>
    <r>
      <rPr>
        <sz val="8.5"/>
        <rFont val="Calibri"/>
        <family val="2"/>
      </rPr>
      <t>mínima 118 lm/W</t>
    </r>
  </si>
  <si>
    <r>
      <rPr>
        <sz val="8.5"/>
        <rFont val="Calibri"/>
        <family val="2"/>
      </rPr>
      <t>1.250,61</t>
    </r>
  </si>
  <si>
    <r>
      <rPr>
        <sz val="8.5"/>
        <rFont val="Calibri"/>
        <family val="2"/>
      </rPr>
      <t>1.276,07</t>
    </r>
  </si>
  <si>
    <r>
      <rPr>
        <sz val="8.5"/>
        <rFont val="Calibri"/>
        <family val="2"/>
      </rPr>
      <t>41.11.711</t>
    </r>
  </si>
  <si>
    <r>
      <rPr>
        <sz val="8.5"/>
        <rFont val="Calibri"/>
        <family val="2"/>
      </rPr>
      <t xml:space="preserve">Luminária LED retangular para parede/piso de 11.838 até 12.150 lm,
</t>
    </r>
    <r>
      <rPr>
        <sz val="8.5"/>
        <rFont val="Calibri"/>
        <family val="2"/>
      </rPr>
      <t>eficiência mínima 107 lm/W</t>
    </r>
  </si>
  <si>
    <r>
      <rPr>
        <sz val="8.5"/>
        <rFont val="Calibri"/>
        <family val="2"/>
      </rPr>
      <t>786,48</t>
    </r>
  </si>
  <si>
    <r>
      <rPr>
        <sz val="8.5"/>
        <rFont val="Calibri"/>
        <family val="2"/>
      </rPr>
      <t>811,94</t>
    </r>
  </si>
  <si>
    <r>
      <rPr>
        <sz val="8.5"/>
        <rFont val="Calibri"/>
        <family val="2"/>
      </rPr>
      <t>41.11.712</t>
    </r>
  </si>
  <si>
    <r>
      <rPr>
        <sz val="8.5"/>
        <rFont val="Calibri"/>
        <family val="2"/>
      </rPr>
      <t>Luminária LED redonda para piso/parede, potência 6W - bivolt</t>
    </r>
  </si>
  <si>
    <r>
      <rPr>
        <sz val="8.5"/>
        <rFont val="Calibri"/>
        <family val="2"/>
      </rPr>
      <t>112,58</t>
    </r>
  </si>
  <si>
    <r>
      <rPr>
        <sz val="8.5"/>
        <rFont val="Calibri"/>
        <family val="2"/>
      </rPr>
      <t>138,04</t>
    </r>
  </si>
  <si>
    <r>
      <rPr>
        <sz val="8.5"/>
        <rFont val="Calibri"/>
        <family val="2"/>
      </rPr>
      <t>41.11.721</t>
    </r>
  </si>
  <si>
    <r>
      <rPr>
        <sz val="8.5"/>
        <rFont val="Calibri"/>
        <family val="2"/>
      </rPr>
      <t xml:space="preserve">Luminária LED retangular para poste de 6250 até 6674 lm, eficiência
</t>
    </r>
    <r>
      <rPr>
        <sz val="8.5"/>
        <rFont val="Calibri"/>
        <family val="2"/>
      </rPr>
      <t>mínima 113 lm/W</t>
    </r>
  </si>
  <si>
    <r>
      <rPr>
        <sz val="8.5"/>
        <rFont val="Calibri"/>
        <family val="2"/>
      </rPr>
      <t>926,68</t>
    </r>
  </si>
  <si>
    <r>
      <rPr>
        <sz val="8.5"/>
        <rFont val="Calibri"/>
        <family val="2"/>
      </rPr>
      <t>952,14</t>
    </r>
  </si>
  <si>
    <r>
      <rPr>
        <sz val="8.5"/>
        <rFont val="Calibri"/>
        <family val="2"/>
      </rPr>
      <t>Aparelho de iluminacao de longo alcance e especifica</t>
    </r>
  </si>
  <si>
    <r>
      <rPr>
        <sz val="8.5"/>
        <rFont val="Calibri"/>
        <family val="2"/>
      </rPr>
      <t>41.12.050</t>
    </r>
  </si>
  <si>
    <r>
      <rPr>
        <sz val="8.5"/>
        <rFont val="Calibri"/>
        <family val="2"/>
      </rPr>
      <t xml:space="preserve">Projetor retangular fechado, com alojamento para reator, para lâmpada
</t>
    </r>
    <r>
      <rPr>
        <sz val="8.5"/>
        <rFont val="Calibri"/>
        <family val="2"/>
      </rPr>
      <t>vapor metálico ou vapor de sódio de 150 W a 400 W</t>
    </r>
  </si>
  <si>
    <r>
      <rPr>
        <sz val="8.5"/>
        <rFont val="Calibri"/>
        <family val="2"/>
      </rPr>
      <t>1.184,69</t>
    </r>
  </si>
  <si>
    <r>
      <rPr>
        <sz val="8.5"/>
        <rFont val="Calibri"/>
        <family val="2"/>
      </rPr>
      <t>1.202,89</t>
    </r>
  </si>
  <si>
    <r>
      <rPr>
        <sz val="8.5"/>
        <rFont val="Calibri"/>
        <family val="2"/>
      </rPr>
      <t>41.12.060</t>
    </r>
  </si>
  <si>
    <r>
      <rPr>
        <sz val="8.5"/>
        <rFont val="Calibri"/>
        <family val="2"/>
      </rPr>
      <t xml:space="preserve">Projetor retangular fechado, para lâmpada vapor de sódio de 1.000 W ou
</t>
    </r>
    <r>
      <rPr>
        <sz val="8.5"/>
        <rFont val="Calibri"/>
        <family val="2"/>
      </rPr>
      <t>vapor metálico de 2.000 W</t>
    </r>
  </si>
  <si>
    <r>
      <rPr>
        <sz val="8.5"/>
        <rFont val="Calibri"/>
        <family val="2"/>
      </rPr>
      <t>930,49</t>
    </r>
  </si>
  <si>
    <r>
      <rPr>
        <sz val="8.5"/>
        <rFont val="Calibri"/>
        <family val="2"/>
      </rPr>
      <t>948,69</t>
    </r>
  </si>
  <si>
    <r>
      <rPr>
        <sz val="8.5"/>
        <rFont val="Calibri"/>
        <family val="2"/>
      </rPr>
      <t>41.12.070</t>
    </r>
  </si>
  <si>
    <r>
      <rPr>
        <sz val="8.5"/>
        <rFont val="Calibri"/>
        <family val="2"/>
      </rPr>
      <t xml:space="preserve">Projetor retangular fechado, para lâmpada vapor metálico de 70 W/150
</t>
    </r>
    <r>
      <rPr>
        <sz val="8.5"/>
        <rFont val="Calibri"/>
        <family val="2"/>
      </rPr>
      <t>W ou halógena de 300 W/500 W</t>
    </r>
  </si>
  <si>
    <r>
      <rPr>
        <sz val="8.5"/>
        <rFont val="Calibri"/>
        <family val="2"/>
      </rPr>
      <t>660,65</t>
    </r>
  </si>
  <si>
    <r>
      <rPr>
        <sz val="8.5"/>
        <rFont val="Calibri"/>
        <family val="2"/>
      </rPr>
      <t>678,85</t>
    </r>
  </si>
  <si>
    <r>
      <rPr>
        <sz val="8.5"/>
        <rFont val="Calibri"/>
        <family val="2"/>
      </rPr>
      <t>41.12.080</t>
    </r>
  </si>
  <si>
    <r>
      <rPr>
        <sz val="8.5"/>
        <rFont val="Calibri"/>
        <family val="2"/>
      </rPr>
      <t xml:space="preserve">Projetor retangular fechado, para lâmpada vapor metálico ou vapor de
</t>
    </r>
    <r>
      <rPr>
        <sz val="8.5"/>
        <rFont val="Calibri"/>
        <family val="2"/>
      </rPr>
      <t>sódio de 250 W/400 W</t>
    </r>
  </si>
  <si>
    <r>
      <rPr>
        <sz val="8.5"/>
        <rFont val="Calibri"/>
        <family val="2"/>
      </rPr>
      <t>348,15</t>
    </r>
  </si>
  <si>
    <r>
      <rPr>
        <sz val="8.5"/>
        <rFont val="Calibri"/>
        <family val="2"/>
      </rPr>
      <t>366,35</t>
    </r>
  </si>
  <si>
    <r>
      <rPr>
        <sz val="8.5"/>
        <rFont val="Calibri"/>
        <family val="2"/>
      </rPr>
      <t>41.12.090</t>
    </r>
  </si>
  <si>
    <r>
      <rPr>
        <sz val="8.5"/>
        <rFont val="Calibri"/>
        <family val="2"/>
      </rPr>
      <t xml:space="preserve">Projetor cônico fechado, para lâmpadas vapor metálico, vapor de sódio
</t>
    </r>
    <r>
      <rPr>
        <sz val="8.5"/>
        <rFont val="Calibri"/>
        <family val="2"/>
      </rPr>
      <t>de 250 W/400 W ou mista de 250 W/500 W</t>
    </r>
  </si>
  <si>
    <r>
      <rPr>
        <sz val="8.5"/>
        <rFont val="Calibri"/>
        <family val="2"/>
      </rPr>
      <t>815,35</t>
    </r>
  </si>
  <si>
    <r>
      <rPr>
        <sz val="8.5"/>
        <rFont val="Calibri"/>
        <family val="2"/>
      </rPr>
      <t>833,55</t>
    </r>
  </si>
  <si>
    <r>
      <rPr>
        <sz val="8.5"/>
        <rFont val="Calibri"/>
        <family val="2"/>
      </rPr>
      <t>41.12.210</t>
    </r>
  </si>
  <si>
    <r>
      <rPr>
        <sz val="8.5"/>
        <rFont val="Calibri"/>
        <family val="2"/>
      </rPr>
      <t xml:space="preserve">Projetor LED modular de 150 a 200W, eficiência mínima de 125 l/W, para
</t>
    </r>
    <r>
      <rPr>
        <sz val="8.5"/>
        <rFont val="Calibri"/>
        <family val="2"/>
      </rPr>
      <t>uso externo</t>
    </r>
  </si>
  <si>
    <r>
      <rPr>
        <sz val="8.5"/>
        <rFont val="Calibri"/>
        <family val="2"/>
      </rPr>
      <t>947,81</t>
    </r>
  </si>
  <si>
    <r>
      <rPr>
        <sz val="8.5"/>
        <rFont val="Calibri"/>
        <family val="2"/>
      </rPr>
      <t>966,01</t>
    </r>
  </si>
  <si>
    <r>
      <rPr>
        <sz val="8.5"/>
        <rFont val="Calibri"/>
        <family val="2"/>
      </rPr>
      <t>Aparelho de iluminacao a prova de tempo, gases e vapores</t>
    </r>
  </si>
  <si>
    <r>
      <rPr>
        <sz val="8.5"/>
        <rFont val="Calibri"/>
        <family val="2"/>
      </rPr>
      <t>41.13.030</t>
    </r>
  </si>
  <si>
    <r>
      <rPr>
        <sz val="8.5"/>
        <rFont val="Calibri"/>
        <family val="2"/>
      </rPr>
      <t>Luminária blindada retangular de embutir, para lâmpada de 160 W</t>
    </r>
  </si>
  <si>
    <r>
      <rPr>
        <sz val="8.5"/>
        <rFont val="Calibri"/>
        <family val="2"/>
      </rPr>
      <t>303,82</t>
    </r>
  </si>
  <si>
    <r>
      <rPr>
        <sz val="8.5"/>
        <rFont val="Calibri"/>
        <family val="2"/>
      </rPr>
      <t>318,38</t>
    </r>
  </si>
  <si>
    <r>
      <rPr>
        <sz val="8.5"/>
        <rFont val="Calibri"/>
        <family val="2"/>
      </rPr>
      <t>41.13.040</t>
    </r>
  </si>
  <si>
    <r>
      <rPr>
        <sz val="8.5"/>
        <rFont val="Calibri"/>
        <family val="2"/>
      </rPr>
      <t xml:space="preserve">Luminária blindada de sobrepor ou pendente em calha fechada, para 1
</t>
    </r>
    <r>
      <rPr>
        <sz val="8.5"/>
        <rFont val="Calibri"/>
        <family val="2"/>
      </rPr>
      <t>lâmpada fluorescente de 32 W/36 W/40 W</t>
    </r>
  </si>
  <si>
    <r>
      <rPr>
        <sz val="8.5"/>
        <rFont val="Calibri"/>
        <family val="2"/>
      </rPr>
      <t>250,17</t>
    </r>
  </si>
  <si>
    <r>
      <rPr>
        <sz val="8.5"/>
        <rFont val="Calibri"/>
        <family val="2"/>
      </rPr>
      <t>264,73</t>
    </r>
  </si>
  <si>
    <r>
      <rPr>
        <sz val="8.5"/>
        <rFont val="Calibri"/>
        <family val="2"/>
      </rPr>
      <t>41.13.050</t>
    </r>
  </si>
  <si>
    <r>
      <rPr>
        <sz val="8.5"/>
        <rFont val="Calibri"/>
        <family val="2"/>
      </rPr>
      <t xml:space="preserve">Luminária blindada de sobrepor ou pendente em calha fechada, para 2
</t>
    </r>
    <r>
      <rPr>
        <sz val="8.5"/>
        <rFont val="Calibri"/>
        <family val="2"/>
      </rPr>
      <t>lâmpadas fluorescentes de 32 W/36 W/40 W</t>
    </r>
  </si>
  <si>
    <r>
      <rPr>
        <sz val="8.5"/>
        <rFont val="Calibri"/>
        <family val="2"/>
      </rPr>
      <t>200,73</t>
    </r>
  </si>
  <si>
    <r>
      <rPr>
        <sz val="8.5"/>
        <rFont val="Calibri"/>
        <family val="2"/>
      </rPr>
      <t>215,29</t>
    </r>
  </si>
  <si>
    <r>
      <rPr>
        <sz val="8.5"/>
        <rFont val="Calibri"/>
        <family val="2"/>
      </rPr>
      <t>41.13.102</t>
    </r>
  </si>
  <si>
    <r>
      <rPr>
        <sz val="8.5"/>
        <rFont val="Calibri"/>
        <family val="2"/>
      </rPr>
      <t>Luminária blindada tipo arandela de 45º e 90º, para lâmpada LED</t>
    </r>
  </si>
  <si>
    <r>
      <rPr>
        <sz val="8.5"/>
        <rFont val="Calibri"/>
        <family val="2"/>
      </rPr>
      <t>212,45</t>
    </r>
  </si>
  <si>
    <r>
      <rPr>
        <sz val="8.5"/>
        <rFont val="Calibri"/>
        <family val="2"/>
      </rPr>
      <t>227,01</t>
    </r>
  </si>
  <si>
    <r>
      <rPr>
        <sz val="8.5"/>
        <rFont val="Calibri"/>
        <family val="2"/>
      </rPr>
      <t>41.13.200</t>
    </r>
  </si>
  <si>
    <r>
      <rPr>
        <sz val="8.5"/>
        <rFont val="Calibri"/>
        <family val="2"/>
      </rPr>
      <t xml:space="preserve">Luminária blindada oval de sobrepor ou arandela, para lâmpada
</t>
    </r>
    <r>
      <rPr>
        <sz val="8.5"/>
        <rFont val="Calibri"/>
        <family val="2"/>
      </rPr>
      <t>fluorescentes compacta</t>
    </r>
  </si>
  <si>
    <r>
      <rPr>
        <sz val="8.5"/>
        <rFont val="Calibri"/>
        <family val="2"/>
      </rPr>
      <t>100,76</t>
    </r>
  </si>
  <si>
    <r>
      <rPr>
        <sz val="8.5"/>
        <rFont val="Calibri"/>
        <family val="2"/>
      </rPr>
      <t>Aparelho de iluminacao comercial e industrial</t>
    </r>
  </si>
  <si>
    <r>
      <rPr>
        <sz val="8.5"/>
        <rFont val="Calibri"/>
        <family val="2"/>
      </rPr>
      <t>41.14.020</t>
    </r>
  </si>
  <si>
    <r>
      <rPr>
        <sz val="8.5"/>
        <rFont val="Calibri"/>
        <family val="2"/>
      </rPr>
      <t>Luminária retangular de embutir tipo calha fechada, com difusor plano, para 2 lâmpadas fluorescentes tubulares de 28 W/32 W/36 W/54 W</t>
    </r>
  </si>
  <si>
    <r>
      <rPr>
        <sz val="8.5"/>
        <rFont val="Calibri"/>
        <family val="2"/>
      </rPr>
      <t>148,78</t>
    </r>
  </si>
  <si>
    <r>
      <rPr>
        <sz val="8.5"/>
        <rFont val="Calibri"/>
        <family val="2"/>
      </rPr>
      <t>163,34</t>
    </r>
  </si>
  <si>
    <r>
      <rPr>
        <sz val="8.5"/>
        <rFont val="Calibri"/>
        <family val="2"/>
      </rPr>
      <t>41.14.070</t>
    </r>
  </si>
  <si>
    <r>
      <rPr>
        <sz val="8.5"/>
        <rFont val="Calibri"/>
        <family val="2"/>
      </rPr>
      <t xml:space="preserve">Luminária retangular de sobrepor tipo calha aberta, para 2 lâmpadas
</t>
    </r>
    <r>
      <rPr>
        <sz val="8.5"/>
        <rFont val="Calibri"/>
        <family val="2"/>
      </rPr>
      <t>fluorescentes tubulares de 32 W</t>
    </r>
  </si>
  <si>
    <r>
      <rPr>
        <sz val="8.5"/>
        <rFont val="Calibri"/>
        <family val="2"/>
      </rPr>
      <t>57,81</t>
    </r>
  </si>
  <si>
    <r>
      <rPr>
        <sz val="8.5"/>
        <rFont val="Calibri"/>
        <family val="2"/>
      </rPr>
      <t>72,37</t>
    </r>
  </si>
  <si>
    <r>
      <rPr>
        <sz val="8.5"/>
        <rFont val="Calibri"/>
        <family val="2"/>
      </rPr>
      <t>41.14.090</t>
    </r>
  </si>
  <si>
    <r>
      <rPr>
        <sz val="8.5"/>
        <rFont val="Calibri"/>
        <family val="2"/>
      </rPr>
      <t>Luminária retangular de sobrepor tipo calha fechada, com difusor translúcido, para 2 lâmpadas fluorescentes de 28 W/32 W/36 W/54 W</t>
    </r>
  </si>
  <si>
    <r>
      <rPr>
        <sz val="8.5"/>
        <rFont val="Calibri"/>
        <family val="2"/>
      </rPr>
      <t>151,76</t>
    </r>
  </si>
  <si>
    <r>
      <rPr>
        <sz val="8.5"/>
        <rFont val="Calibri"/>
        <family val="2"/>
      </rPr>
      <t>166,32</t>
    </r>
  </si>
  <si>
    <r>
      <rPr>
        <sz val="8.5"/>
        <rFont val="Calibri"/>
        <family val="2"/>
      </rPr>
      <t>41.14.180</t>
    </r>
  </si>
  <si>
    <r>
      <rPr>
        <sz val="8.5"/>
        <rFont val="Calibri"/>
        <family val="2"/>
      </rPr>
      <t xml:space="preserve">Luminária industrial de sobrepor ou pendente com refletor, para 1
</t>
    </r>
    <r>
      <rPr>
        <sz val="8.5"/>
        <rFont val="Calibri"/>
        <family val="2"/>
      </rPr>
      <t>lâmpada multivapor metálico elipsoidal de 250 W/400 W</t>
    </r>
  </si>
  <si>
    <r>
      <rPr>
        <sz val="8.5"/>
        <rFont val="Calibri"/>
        <family val="2"/>
      </rPr>
      <t>135,98</t>
    </r>
  </si>
  <si>
    <r>
      <rPr>
        <sz val="8.5"/>
        <rFont val="Calibri"/>
        <family val="2"/>
      </rPr>
      <t>146,90</t>
    </r>
  </si>
  <si>
    <r>
      <rPr>
        <sz val="8.5"/>
        <rFont val="Calibri"/>
        <family val="2"/>
      </rPr>
      <t>41.14.210</t>
    </r>
  </si>
  <si>
    <r>
      <rPr>
        <sz val="8.5"/>
        <rFont val="Calibri"/>
        <family val="2"/>
      </rPr>
      <t xml:space="preserve">Luminária quadrada de embutir tipo calha aberta com aletas planas, para
</t>
    </r>
    <r>
      <rPr>
        <sz val="8.5"/>
        <rFont val="Calibri"/>
        <family val="2"/>
      </rPr>
      <t>2 lâmpadas fluorescentes compactas de 18 W/26 W</t>
    </r>
  </si>
  <si>
    <r>
      <rPr>
        <sz val="8.5"/>
        <rFont val="Calibri"/>
        <family val="2"/>
      </rPr>
      <t>58,30</t>
    </r>
  </si>
  <si>
    <r>
      <rPr>
        <sz val="8.5"/>
        <rFont val="Calibri"/>
        <family val="2"/>
      </rPr>
      <t>76,50</t>
    </r>
  </si>
  <si>
    <r>
      <rPr>
        <sz val="8.5"/>
        <rFont val="Calibri"/>
        <family val="2"/>
      </rPr>
      <t>41.14.310</t>
    </r>
  </si>
  <si>
    <r>
      <rPr>
        <sz val="8.5"/>
        <rFont val="Calibri"/>
        <family val="2"/>
      </rPr>
      <t>Luminária redonda de embutir com difusor recuado, para 1 ou 2 lâmpadas fluorescentes compactas de 15 W/18 W/20 W/23 W/26 W</t>
    </r>
  </si>
  <si>
    <r>
      <rPr>
        <sz val="8.5"/>
        <rFont val="Calibri"/>
        <family val="2"/>
      </rPr>
      <t>89,93</t>
    </r>
  </si>
  <si>
    <r>
      <rPr>
        <sz val="8.5"/>
        <rFont val="Calibri"/>
        <family val="2"/>
      </rPr>
      <t>104,49</t>
    </r>
  </si>
  <si>
    <r>
      <rPr>
        <sz val="8.5"/>
        <rFont val="Calibri"/>
        <family val="2"/>
      </rPr>
      <t>41.14.390</t>
    </r>
  </si>
  <si>
    <r>
      <rPr>
        <sz val="8.5"/>
        <rFont val="Calibri"/>
        <family val="2"/>
      </rPr>
      <t xml:space="preserve">Luminária retangular de sobrepor tipo calha aberta, com refletor em alumínio de alto brilho, para 2 lâmpadas fluorescentes tubulares 32
</t>
    </r>
    <r>
      <rPr>
        <sz val="8.5"/>
        <rFont val="Calibri"/>
        <family val="2"/>
      </rPr>
      <t>W/36 W</t>
    </r>
  </si>
  <si>
    <r>
      <rPr>
        <sz val="8.5"/>
        <rFont val="Calibri"/>
        <family val="2"/>
      </rPr>
      <t>113,74</t>
    </r>
  </si>
  <si>
    <r>
      <rPr>
        <sz val="8.5"/>
        <rFont val="Calibri"/>
        <family val="2"/>
      </rPr>
      <t>128,30</t>
    </r>
  </si>
  <si>
    <r>
      <rPr>
        <sz val="8.5"/>
        <rFont val="Calibri"/>
        <family val="2"/>
      </rPr>
      <t>41.14.430</t>
    </r>
  </si>
  <si>
    <r>
      <rPr>
        <sz val="8.5"/>
        <rFont val="Calibri"/>
        <family val="2"/>
      </rPr>
      <t xml:space="preserve">Luminária quadrada de embutir tipo calha aberta, com refletor e aleta
</t>
    </r>
    <r>
      <rPr>
        <sz val="8.5"/>
        <rFont val="Calibri"/>
        <family val="2"/>
      </rPr>
      <t>parabólicas em alumínio de alto brilho, para 4 lâmpadas fluorescentes de 14 W/16 W/18 W</t>
    </r>
  </si>
  <si>
    <r>
      <rPr>
        <sz val="8.5"/>
        <rFont val="Calibri"/>
        <family val="2"/>
      </rPr>
      <t>177,82</t>
    </r>
  </si>
  <si>
    <r>
      <rPr>
        <sz val="8.5"/>
        <rFont val="Calibri"/>
        <family val="2"/>
      </rPr>
      <t>192,38</t>
    </r>
  </si>
  <si>
    <r>
      <rPr>
        <sz val="8.5"/>
        <rFont val="Calibri"/>
        <family val="2"/>
      </rPr>
      <t>41.14.510</t>
    </r>
  </si>
  <si>
    <r>
      <rPr>
        <sz val="8.5"/>
        <rFont val="Calibri"/>
        <family val="2"/>
      </rPr>
      <t xml:space="preserve">Luminária industrial pendente com refletor prismático sem alojamento
</t>
    </r>
    <r>
      <rPr>
        <sz val="8.5"/>
        <rFont val="Calibri"/>
        <family val="2"/>
      </rPr>
      <t>para reator, para lâmpadas vapor de sódio/metálico ou mista de 150/250/400W</t>
    </r>
  </si>
  <si>
    <r>
      <rPr>
        <sz val="8.5"/>
        <rFont val="Calibri"/>
        <family val="2"/>
      </rPr>
      <t>140,18</t>
    </r>
  </si>
  <si>
    <r>
      <rPr>
        <sz val="8.5"/>
        <rFont val="Calibri"/>
        <family val="2"/>
      </rPr>
      <t>151,10</t>
    </r>
  </si>
  <si>
    <r>
      <rPr>
        <sz val="8.5"/>
        <rFont val="Calibri"/>
        <family val="2"/>
      </rPr>
      <t>41.14.530</t>
    </r>
  </si>
  <si>
    <r>
      <rPr>
        <sz val="8.5"/>
        <rFont val="Calibri"/>
        <family val="2"/>
      </rPr>
      <t>Luminária redonda de sobrepor com difusor em vidro temperado jateado para 1 ou 2 lâmpadas fluorescentes compactas de 18/26W</t>
    </r>
  </si>
  <si>
    <r>
      <rPr>
        <sz val="8.5"/>
        <rFont val="Calibri"/>
        <family val="2"/>
      </rPr>
      <t>54,54</t>
    </r>
  </si>
  <si>
    <r>
      <rPr>
        <sz val="8.5"/>
        <rFont val="Calibri"/>
        <family val="2"/>
      </rPr>
      <t>65,46</t>
    </r>
  </si>
  <si>
    <r>
      <rPr>
        <sz val="8.5"/>
        <rFont val="Calibri"/>
        <family val="2"/>
      </rPr>
      <t>41.14.560</t>
    </r>
  </si>
  <si>
    <r>
      <rPr>
        <sz val="8.5"/>
        <rFont val="Calibri"/>
        <family val="2"/>
      </rPr>
      <t xml:space="preserve">Luminária retangular de embutir tipo calha aberta com aletas parabólicas
</t>
    </r>
    <r>
      <rPr>
        <sz val="8.5"/>
        <rFont val="Calibri"/>
        <family val="2"/>
      </rPr>
      <t>para 2 lâmpadas fluorescentes tubulares de 28/54W</t>
    </r>
  </si>
  <si>
    <r>
      <rPr>
        <sz val="8.5"/>
        <rFont val="Calibri"/>
        <family val="2"/>
      </rPr>
      <t>128,65</t>
    </r>
  </si>
  <si>
    <r>
      <rPr>
        <sz val="8.5"/>
        <rFont val="Calibri"/>
        <family val="2"/>
      </rPr>
      <t>143,21</t>
    </r>
  </si>
  <si>
    <r>
      <rPr>
        <sz val="8.5"/>
        <rFont val="Calibri"/>
        <family val="2"/>
      </rPr>
      <t>41.14.590</t>
    </r>
  </si>
  <si>
    <r>
      <rPr>
        <sz val="8.5"/>
        <rFont val="Calibri"/>
        <family val="2"/>
      </rPr>
      <t xml:space="preserve">Luminária industrial pendente tipo calha aberta instalação em perfilado
</t>
    </r>
    <r>
      <rPr>
        <sz val="8.5"/>
        <rFont val="Calibri"/>
        <family val="2"/>
      </rPr>
      <t>para 1 ou 2 lâmpadas fluorescentes tubulares 14W</t>
    </r>
  </si>
  <si>
    <r>
      <rPr>
        <sz val="8.5"/>
        <rFont val="Calibri"/>
        <family val="2"/>
      </rPr>
      <t>68,87</t>
    </r>
  </si>
  <si>
    <r>
      <rPr>
        <sz val="8.5"/>
        <rFont val="Calibri"/>
        <family val="2"/>
      </rPr>
      <t>41.14.600</t>
    </r>
  </si>
  <si>
    <r>
      <rPr>
        <sz val="8.5"/>
        <rFont val="Calibri"/>
        <family val="2"/>
      </rPr>
      <t xml:space="preserve">Luminária industrial pendente tipo calha aberta instalação em perfilado
</t>
    </r>
    <r>
      <rPr>
        <sz val="8.5"/>
        <rFont val="Calibri"/>
        <family val="2"/>
      </rPr>
      <t>para 1 ou 2 lâmpadas fluorescentes tubulares 28/54W</t>
    </r>
  </si>
  <si>
    <r>
      <rPr>
        <sz val="8.5"/>
        <rFont val="Calibri"/>
        <family val="2"/>
      </rPr>
      <t>94,24</t>
    </r>
  </si>
  <si>
    <r>
      <rPr>
        <sz val="8.5"/>
        <rFont val="Calibri"/>
        <family val="2"/>
      </rPr>
      <t>112,44</t>
    </r>
  </si>
  <si>
    <r>
      <rPr>
        <sz val="8.5"/>
        <rFont val="Calibri"/>
        <family val="2"/>
      </rPr>
      <t>41.14.620</t>
    </r>
  </si>
  <si>
    <r>
      <rPr>
        <sz val="8.5"/>
        <rFont val="Calibri"/>
        <family val="2"/>
      </rPr>
      <t>Luminária retangular de sobrepor tipo calha aberta com refletor e aletas parabólicas para 2 lâmpadas fluorescentes tubulares 28/54W</t>
    </r>
  </si>
  <si>
    <r>
      <rPr>
        <sz val="8.5"/>
        <rFont val="Calibri"/>
        <family val="2"/>
      </rPr>
      <t>143,35</t>
    </r>
  </si>
  <si>
    <r>
      <rPr>
        <sz val="8.5"/>
        <rFont val="Calibri"/>
        <family val="2"/>
      </rPr>
      <t>161,55</t>
    </r>
  </si>
  <si>
    <r>
      <rPr>
        <sz val="8.5"/>
        <rFont val="Calibri"/>
        <family val="2"/>
      </rPr>
      <t>41.14.640</t>
    </r>
  </si>
  <si>
    <r>
      <rPr>
        <sz val="8.5"/>
        <rFont val="Calibri"/>
        <family val="2"/>
      </rPr>
      <t xml:space="preserve">Luminária retangular de embutir tipo calha aberta com refletor em alumínio de alto brilho para 2 lâmpadas fluorescentes tubulares de
</t>
    </r>
    <r>
      <rPr>
        <sz val="8.5"/>
        <rFont val="Calibri"/>
        <family val="2"/>
      </rPr>
      <t>28W/54W</t>
    </r>
  </si>
  <si>
    <r>
      <rPr>
        <sz val="8.5"/>
        <rFont val="Calibri"/>
        <family val="2"/>
      </rPr>
      <t>90,41</t>
    </r>
  </si>
  <si>
    <r>
      <rPr>
        <sz val="8.5"/>
        <rFont val="Calibri"/>
        <family val="2"/>
      </rPr>
      <t>108,61</t>
    </r>
  </si>
  <si>
    <r>
      <rPr>
        <sz val="8.5"/>
        <rFont val="Calibri"/>
        <family val="2"/>
      </rPr>
      <t>41.14.670</t>
    </r>
  </si>
  <si>
    <r>
      <rPr>
        <sz val="8.5"/>
        <rFont val="Calibri"/>
        <family val="2"/>
      </rPr>
      <t xml:space="preserve">Luminária triangular de sobrepor tipo arandela para fluorescente
</t>
    </r>
    <r>
      <rPr>
        <sz val="8.5"/>
        <rFont val="Calibri"/>
        <family val="2"/>
      </rPr>
      <t>compacta de 15/20/23W</t>
    </r>
  </si>
  <si>
    <r>
      <rPr>
        <sz val="8.5"/>
        <rFont val="Calibri"/>
        <family val="2"/>
      </rPr>
      <t>71,46</t>
    </r>
  </si>
  <si>
    <r>
      <rPr>
        <sz val="8.5"/>
        <rFont val="Calibri"/>
        <family val="2"/>
      </rPr>
      <t>89,66</t>
    </r>
  </si>
  <si>
    <r>
      <rPr>
        <sz val="8.5"/>
        <rFont val="Calibri"/>
        <family val="2"/>
      </rPr>
      <t>41.14.700</t>
    </r>
  </si>
  <si>
    <r>
      <rPr>
        <sz val="8.5"/>
        <rFont val="Calibri"/>
        <family val="2"/>
      </rPr>
      <t>Luminária retangular de sobrepor ou arandela tipo calha fechada com difusor para 1 lâmpada fluorescente tubular de 28 W/54 W</t>
    </r>
  </si>
  <si>
    <r>
      <rPr>
        <sz val="8.5"/>
        <rFont val="Calibri"/>
        <family val="2"/>
      </rPr>
      <t>208,57</t>
    </r>
  </si>
  <si>
    <r>
      <rPr>
        <sz val="8.5"/>
        <rFont val="Calibri"/>
        <family val="2"/>
      </rPr>
      <t>226,77</t>
    </r>
  </si>
  <si>
    <r>
      <rPr>
        <sz val="8.5"/>
        <rFont val="Calibri"/>
        <family val="2"/>
      </rPr>
      <t>41.14.730</t>
    </r>
  </si>
  <si>
    <r>
      <rPr>
        <sz val="8.5"/>
        <rFont val="Calibri"/>
        <family val="2"/>
      </rPr>
      <t xml:space="preserve">Luminária redonda de embutir com refletor em alumínio jateado e difusor em vidro para 2 lâmpadas fluorescentes compactas duplas de
</t>
    </r>
    <r>
      <rPr>
        <sz val="8.5"/>
        <rFont val="Calibri"/>
        <family val="2"/>
      </rPr>
      <t>18/26W</t>
    </r>
  </si>
  <si>
    <r>
      <rPr>
        <sz val="8.5"/>
        <rFont val="Calibri"/>
        <family val="2"/>
      </rPr>
      <t>41.14.740</t>
    </r>
  </si>
  <si>
    <r>
      <rPr>
        <sz val="8.5"/>
        <rFont val="Calibri"/>
        <family val="2"/>
      </rPr>
      <t xml:space="preserve">Luminária retangular de embutir assimétrica para 1 lâmpada
</t>
    </r>
    <r>
      <rPr>
        <sz val="8.5"/>
        <rFont val="Calibri"/>
        <family val="2"/>
      </rPr>
      <t>fluorescente tubular de 14W</t>
    </r>
  </si>
  <si>
    <r>
      <rPr>
        <sz val="8.5"/>
        <rFont val="Calibri"/>
        <family val="2"/>
      </rPr>
      <t>99,81</t>
    </r>
  </si>
  <si>
    <r>
      <rPr>
        <sz val="8.5"/>
        <rFont val="Calibri"/>
        <family val="2"/>
      </rPr>
      <t>114,37</t>
    </r>
  </si>
  <si>
    <r>
      <rPr>
        <sz val="8.5"/>
        <rFont val="Calibri"/>
        <family val="2"/>
      </rPr>
      <t>41.14.750</t>
    </r>
  </si>
  <si>
    <r>
      <rPr>
        <sz val="8.5"/>
        <rFont val="Calibri"/>
        <family val="2"/>
      </rPr>
      <t xml:space="preserve">Luminária redonda de sobrepor ou pendente com refletor em alumínio anodizado facho concentrado para 1 lâmpada vapor metálico elipsoidal
</t>
    </r>
    <r>
      <rPr>
        <sz val="8.5"/>
        <rFont val="Calibri"/>
        <family val="2"/>
      </rPr>
      <t>de 250 ou 400W</t>
    </r>
  </si>
  <si>
    <r>
      <rPr>
        <sz val="8.5"/>
        <rFont val="Calibri"/>
        <family val="2"/>
      </rPr>
      <t>340,59</t>
    </r>
  </si>
  <si>
    <r>
      <rPr>
        <sz val="8.5"/>
        <rFont val="Calibri"/>
        <family val="2"/>
      </rPr>
      <t>355,15</t>
    </r>
  </si>
  <si>
    <r>
      <rPr>
        <sz val="8.5"/>
        <rFont val="Calibri"/>
        <family val="2"/>
      </rPr>
      <t>41.14.770</t>
    </r>
  </si>
  <si>
    <r>
      <rPr>
        <sz val="8.5"/>
        <rFont val="Calibri"/>
        <family val="2"/>
      </rPr>
      <t xml:space="preserve">Luminária quadrada de embutir tipo calha fechada, com difusor plano,
</t>
    </r>
    <r>
      <rPr>
        <sz val="8.5"/>
        <rFont val="Calibri"/>
        <family val="2"/>
      </rPr>
      <t>para 4 lâmpadas fluorescentes tubulares de 14/16/18 W</t>
    </r>
  </si>
  <si>
    <r>
      <rPr>
        <sz val="8.5"/>
        <rFont val="Calibri"/>
        <family val="2"/>
      </rPr>
      <t>200,15</t>
    </r>
  </si>
  <si>
    <r>
      <rPr>
        <sz val="8.5"/>
        <rFont val="Calibri"/>
        <family val="2"/>
      </rPr>
      <t>214,71</t>
    </r>
  </si>
  <si>
    <r>
      <rPr>
        <sz val="8.5"/>
        <rFont val="Calibri"/>
        <family val="2"/>
      </rPr>
      <t>41.14.780</t>
    </r>
  </si>
  <si>
    <r>
      <rPr>
        <sz val="8.5"/>
        <rFont val="Calibri"/>
        <family val="2"/>
      </rPr>
      <t>Luminária retangular de sobrepor tipo calha fechada, com difusor plano, para 4 lâmpadas fluorescentes tubulares de 14/16/18 W</t>
    </r>
  </si>
  <si>
    <r>
      <rPr>
        <sz val="8.5"/>
        <rFont val="Calibri"/>
        <family val="2"/>
      </rPr>
      <t>194,79</t>
    </r>
  </si>
  <si>
    <r>
      <rPr>
        <sz val="8.5"/>
        <rFont val="Calibri"/>
        <family val="2"/>
      </rPr>
      <t>209,35</t>
    </r>
  </si>
  <si>
    <r>
      <rPr>
        <sz val="8.5"/>
        <rFont val="Calibri"/>
        <family val="2"/>
      </rPr>
      <t>41.14.790</t>
    </r>
  </si>
  <si>
    <r>
      <rPr>
        <sz val="8.5"/>
        <rFont val="Calibri"/>
        <family val="2"/>
      </rPr>
      <t xml:space="preserve">Luminária retangular de embutir tipo calha aberta com refletor assimétrico em alumínio de alto brilho para 2 lâmpadas fluorescentes
</t>
    </r>
    <r>
      <rPr>
        <sz val="8.5"/>
        <rFont val="Calibri"/>
        <family val="2"/>
      </rPr>
      <t>tubulares de 28/54W</t>
    </r>
  </si>
  <si>
    <r>
      <rPr>
        <sz val="8.5"/>
        <rFont val="Calibri"/>
        <family val="2"/>
      </rPr>
      <t>154,00</t>
    </r>
  </si>
  <si>
    <r>
      <rPr>
        <sz val="8.5"/>
        <rFont val="Calibri"/>
        <family val="2"/>
      </rPr>
      <t>168,56</t>
    </r>
  </si>
  <si>
    <r>
      <rPr>
        <sz val="8.5"/>
        <rFont val="Calibri"/>
        <family val="2"/>
      </rPr>
      <t>Aparelho de iluminacao interna decorativa</t>
    </r>
  </si>
  <si>
    <r>
      <rPr>
        <sz val="8.5"/>
        <rFont val="Calibri"/>
        <family val="2"/>
      </rPr>
      <t>41.15.170</t>
    </r>
  </si>
  <si>
    <r>
      <rPr>
        <sz val="8.5"/>
        <rFont val="Calibri"/>
        <family val="2"/>
      </rPr>
      <t xml:space="preserve">Luminária redonda de embutir, com foco orientável e acessório
</t>
    </r>
    <r>
      <rPr>
        <sz val="8.5"/>
        <rFont val="Calibri"/>
        <family val="2"/>
      </rPr>
      <t>antiofuscante, para 1 lâmpada dicroica de 50 W</t>
    </r>
  </si>
  <si>
    <r>
      <rPr>
        <sz val="8.5"/>
        <rFont val="Calibri"/>
        <family val="2"/>
      </rPr>
      <t>36,24</t>
    </r>
  </si>
  <si>
    <r>
      <rPr>
        <sz val="8.5"/>
        <rFont val="Calibri"/>
        <family val="2"/>
      </rPr>
      <t>47,16</t>
    </r>
  </si>
  <si>
    <r>
      <rPr>
        <sz val="8.5"/>
        <rFont val="Calibri"/>
        <family val="2"/>
      </rPr>
      <t>Reparos, conservacoes e complementos - GRUPO 41</t>
    </r>
  </si>
  <si>
    <r>
      <rPr>
        <sz val="8.5"/>
        <rFont val="Calibri"/>
        <family val="2"/>
      </rPr>
      <t>41.20.020</t>
    </r>
  </si>
  <si>
    <r>
      <rPr>
        <sz val="8.5"/>
        <rFont val="Calibri"/>
        <family val="2"/>
      </rPr>
      <t xml:space="preserve">Recolocação de aparelhos de iluminação ou projetores fixos em teto,
</t>
    </r>
    <r>
      <rPr>
        <sz val="8.5"/>
        <rFont val="Calibri"/>
        <family val="2"/>
      </rPr>
      <t>piso ou parede</t>
    </r>
  </si>
  <si>
    <r>
      <rPr>
        <sz val="8.5"/>
        <rFont val="Calibri"/>
        <family val="2"/>
      </rPr>
      <t>41.20.080</t>
    </r>
  </si>
  <si>
    <r>
      <rPr>
        <sz val="8.5"/>
        <rFont val="Calibri"/>
        <family val="2"/>
      </rPr>
      <t xml:space="preserve">Plafon plástico e/ou PVC para acabamento de ponto de luz, com soquete
</t>
    </r>
    <r>
      <rPr>
        <sz val="8.5"/>
        <rFont val="Calibri"/>
        <family val="2"/>
      </rPr>
      <t>E-27 para lâmpada fluorescente compacta</t>
    </r>
  </si>
  <si>
    <r>
      <rPr>
        <sz val="8.5"/>
        <rFont val="Calibri"/>
        <family val="2"/>
      </rPr>
      <t>6,13</t>
    </r>
  </si>
  <si>
    <r>
      <rPr>
        <sz val="8.5"/>
        <rFont val="Calibri"/>
        <family val="2"/>
      </rPr>
      <t>41.20.120</t>
    </r>
  </si>
  <si>
    <r>
      <rPr>
        <sz val="8.5"/>
        <rFont val="Calibri"/>
        <family val="2"/>
      </rPr>
      <t>Recolocação de reator</t>
    </r>
  </si>
  <si>
    <r>
      <rPr>
        <sz val="8.5"/>
        <rFont val="Calibri"/>
        <family val="2"/>
      </rPr>
      <t>41.20.130</t>
    </r>
  </si>
  <si>
    <r>
      <rPr>
        <sz val="8.5"/>
        <rFont val="Calibri"/>
        <family val="2"/>
      </rPr>
      <t>Recolocação de lâmpada</t>
    </r>
  </si>
  <si>
    <r>
      <rPr>
        <sz val="8.5"/>
        <rFont val="Calibri"/>
        <family val="2"/>
      </rPr>
      <t>Iluminacao Led</t>
    </r>
  </si>
  <si>
    <r>
      <rPr>
        <sz val="8.5"/>
        <rFont val="Calibri"/>
        <family val="2"/>
      </rPr>
      <t>41.31.040</t>
    </r>
  </si>
  <si>
    <r>
      <rPr>
        <sz val="8.5"/>
        <rFont val="Calibri"/>
        <family val="2"/>
      </rPr>
      <t xml:space="preserve">Luminária LED retangular de sobrepor com difusor translúcido, 4000 K,
</t>
    </r>
    <r>
      <rPr>
        <sz val="8.5"/>
        <rFont val="Calibri"/>
        <family val="2"/>
      </rPr>
      <t>fluxo luminoso de 3690 a 4800 lm, potência de 38 a 41 W</t>
    </r>
  </si>
  <si>
    <r>
      <rPr>
        <sz val="8.5"/>
        <rFont val="Calibri"/>
        <family val="2"/>
      </rPr>
      <t>308,31</t>
    </r>
  </si>
  <si>
    <r>
      <rPr>
        <sz val="8.5"/>
        <rFont val="Calibri"/>
        <family val="2"/>
      </rPr>
      <t>322,87</t>
    </r>
  </si>
  <si>
    <r>
      <rPr>
        <sz val="8.5"/>
        <rFont val="Calibri"/>
        <family val="2"/>
      </rPr>
      <t>41.31.070</t>
    </r>
  </si>
  <si>
    <r>
      <rPr>
        <sz val="8.5"/>
        <rFont val="Calibri"/>
        <family val="2"/>
      </rPr>
      <t>Luminária LED quadrada de sobrepor com difusor prismático translúcido, 4000 K, fluxo luminoso de 1363 a 1800 lm, potência de 15 a 24 W</t>
    </r>
  </si>
  <si>
    <r>
      <rPr>
        <sz val="8.5"/>
        <rFont val="Calibri"/>
        <family val="2"/>
      </rPr>
      <t>241,53</t>
    </r>
  </si>
  <si>
    <r>
      <rPr>
        <sz val="8.5"/>
        <rFont val="Calibri"/>
        <family val="2"/>
      </rPr>
      <t>252,45</t>
    </r>
  </si>
  <si>
    <r>
      <rPr>
        <sz val="8.5"/>
        <rFont val="Calibri"/>
        <family val="2"/>
      </rPr>
      <t>41.31.080</t>
    </r>
  </si>
  <si>
    <r>
      <rPr>
        <sz val="8.5"/>
        <rFont val="Calibri"/>
        <family val="2"/>
      </rPr>
      <t xml:space="preserve">Luminária LED redonda de embutir com difusor translúcido, 4000 K, fluxo
</t>
    </r>
    <r>
      <rPr>
        <sz val="8.5"/>
        <rFont val="Calibri"/>
        <family val="2"/>
      </rPr>
      <t>luminoso de 800 a 1060 lm, potência de 9 a 12 W</t>
    </r>
  </si>
  <si>
    <r>
      <rPr>
        <sz val="8.5"/>
        <rFont val="Calibri"/>
        <family val="2"/>
      </rPr>
      <t>145,28</t>
    </r>
  </si>
  <si>
    <r>
      <rPr>
        <sz val="8.5"/>
        <rFont val="Calibri"/>
        <family val="2"/>
      </rPr>
      <t>159,84</t>
    </r>
  </si>
  <si>
    <r>
      <rPr>
        <sz val="8.5"/>
        <rFont val="Calibri"/>
        <family val="2"/>
      </rPr>
      <t>41.31.087</t>
    </r>
  </si>
  <si>
    <r>
      <rPr>
        <sz val="8.5"/>
        <rFont val="Calibri"/>
        <family val="2"/>
      </rPr>
      <t>Luminária LED redonda de sobrepor com difusor recuado translucido, 4000 K, fluxo luminoso de 1900 a 2000 lm, potência de 17 a 19 W</t>
    </r>
  </si>
  <si>
    <r>
      <rPr>
        <sz val="8.5"/>
        <rFont val="Calibri"/>
        <family val="2"/>
      </rPr>
      <t>256,89</t>
    </r>
  </si>
  <si>
    <r>
      <rPr>
        <sz val="8.5"/>
        <rFont val="Calibri"/>
        <family val="2"/>
      </rPr>
      <t>41.31.100</t>
    </r>
  </si>
  <si>
    <r>
      <rPr>
        <sz val="8.5"/>
        <rFont val="Calibri"/>
        <family val="2"/>
      </rPr>
      <t xml:space="preserve">Projetor LED verde retangular, foco orientável, para fixação no piso ou
</t>
    </r>
    <r>
      <rPr>
        <sz val="8.5"/>
        <rFont val="Calibri"/>
        <family val="2"/>
      </rPr>
      <t>parede, potência de 7,5 W</t>
    </r>
  </si>
  <si>
    <r>
      <rPr>
        <sz val="8.5"/>
        <rFont val="Calibri"/>
        <family val="2"/>
      </rPr>
      <t>39,32</t>
    </r>
  </si>
  <si>
    <r>
      <rPr>
        <sz val="8.5"/>
        <rFont val="Calibri"/>
        <family val="2"/>
      </rPr>
      <t>50,24</t>
    </r>
  </si>
  <si>
    <r>
      <rPr>
        <sz val="8.5"/>
        <rFont val="Calibri"/>
        <family val="2"/>
      </rPr>
      <t>PARA-RAIOS PARA EDIFICACAO</t>
    </r>
  </si>
  <si>
    <r>
      <rPr>
        <sz val="8.5"/>
        <rFont val="Calibri"/>
        <family val="2"/>
      </rPr>
      <t>Complementos para para-raios</t>
    </r>
  </si>
  <si>
    <r>
      <rPr>
        <sz val="8.5"/>
        <rFont val="Calibri"/>
        <family val="2"/>
      </rPr>
      <t>42.01.020</t>
    </r>
  </si>
  <si>
    <r>
      <rPr>
        <sz val="8.5"/>
        <rFont val="Calibri"/>
        <family val="2"/>
      </rPr>
      <t xml:space="preserve">Captor tipo Franklin, h= 300 mm, 4 pontos, 1 descida, acabamento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</si>
  <si>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73,26</t>
    </r>
  </si>
  <si>
    <r>
      <rPr>
        <sz val="8.5"/>
        <rFont val="Calibri"/>
        <family val="2"/>
      </rPr>
      <t>82,36</t>
    </r>
  </si>
  <si>
    <r>
      <rPr>
        <sz val="8.5"/>
        <rFont val="Calibri"/>
        <family val="2"/>
      </rPr>
      <t>42.01.040</t>
    </r>
  </si>
  <si>
    <r>
      <rPr>
        <sz val="8.5"/>
        <rFont val="Calibri"/>
        <family val="2"/>
      </rPr>
      <t xml:space="preserve">Captor tipo Franklin, h= 300 mm, 4 pontos, 2 descidas, acabamento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</si>
  <si>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76,69</t>
    </r>
  </si>
  <si>
    <r>
      <rPr>
        <sz val="8.5"/>
        <rFont val="Calibri"/>
        <family val="2"/>
      </rPr>
      <t>85,79</t>
    </r>
  </si>
  <si>
    <r>
      <rPr>
        <sz val="8.5"/>
        <rFont val="Calibri"/>
        <family val="2"/>
      </rPr>
      <t>42.01.060</t>
    </r>
  </si>
  <si>
    <r>
      <rPr>
        <sz val="8.5"/>
        <rFont val="Calibri"/>
        <family val="2"/>
      </rPr>
      <t>Luva de redução galvanizada de 2´ x 3/4´</t>
    </r>
  </si>
  <si>
    <r>
      <rPr>
        <sz val="8.5"/>
        <rFont val="Calibri"/>
        <family val="2"/>
      </rPr>
      <t>69,87</t>
    </r>
  </si>
  <si>
    <r>
      <rPr>
        <sz val="8.5"/>
        <rFont val="Calibri"/>
        <family val="2"/>
      </rPr>
      <t>78,97</t>
    </r>
  </si>
  <si>
    <r>
      <rPr>
        <sz val="8.5"/>
        <rFont val="Calibri"/>
        <family val="2"/>
      </rPr>
      <t>42.01.080</t>
    </r>
  </si>
  <si>
    <r>
      <rPr>
        <sz val="8.5"/>
        <rFont val="Calibri"/>
        <family val="2"/>
      </rPr>
      <t>Niple duplo galvanizado de 2´</t>
    </r>
  </si>
  <si>
    <r>
      <rPr>
        <sz val="8.5"/>
        <rFont val="Calibri"/>
        <family val="2"/>
      </rPr>
      <t>58,89</t>
    </r>
  </si>
  <si>
    <r>
      <rPr>
        <sz val="8.5"/>
        <rFont val="Calibri"/>
        <family val="2"/>
      </rPr>
      <t>42.01.086</t>
    </r>
  </si>
  <si>
    <r>
      <rPr>
        <sz val="8.5"/>
        <rFont val="Calibri"/>
        <family val="2"/>
      </rPr>
      <t>Captor tipo terminal aéreo, h= 300 mm em alumínio</t>
    </r>
  </si>
  <si>
    <r>
      <rPr>
        <sz val="8.5"/>
        <rFont val="Calibri"/>
        <family val="2"/>
      </rPr>
      <t>4,76</t>
    </r>
  </si>
  <si>
    <r>
      <rPr>
        <sz val="8.5"/>
        <rFont val="Calibri"/>
        <family val="2"/>
      </rPr>
      <t>42.01.090</t>
    </r>
  </si>
  <si>
    <r>
      <rPr>
        <sz val="8.5"/>
        <rFont val="Calibri"/>
        <family val="2"/>
      </rPr>
      <t>Captor tipo terminal aéreo, h= 300 mm, diâmetro de 1/4´ em cobre</t>
    </r>
  </si>
  <si>
    <r>
      <rPr>
        <sz val="8.5"/>
        <rFont val="Calibri"/>
        <family val="2"/>
      </rPr>
      <t>9,27</t>
    </r>
  </si>
  <si>
    <r>
      <rPr>
        <sz val="8.5"/>
        <rFont val="Calibri"/>
        <family val="2"/>
      </rPr>
      <t>42.01.096</t>
    </r>
  </si>
  <si>
    <r>
      <rPr>
        <sz val="8.5"/>
        <rFont val="Calibri"/>
        <family val="2"/>
      </rPr>
      <t xml:space="preserve">Captor tipo terminal aéreo, h= 250 mm, diâmetro de 3/8´ galvanizado a
</t>
    </r>
    <r>
      <rPr>
        <sz val="8.5"/>
        <rFont val="Calibri"/>
        <family val="2"/>
      </rPr>
      <t>fogo</t>
    </r>
  </si>
  <si>
    <r>
      <rPr>
        <sz val="8.5"/>
        <rFont val="Calibri"/>
        <family val="2"/>
      </rPr>
      <t>10,98</t>
    </r>
  </si>
  <si>
    <r>
      <rPr>
        <sz val="8.5"/>
        <rFont val="Calibri"/>
        <family val="2"/>
      </rPr>
      <t>20,08</t>
    </r>
  </si>
  <si>
    <r>
      <rPr>
        <sz val="8.5"/>
        <rFont val="Calibri"/>
        <family val="2"/>
      </rPr>
      <t>42.01.098</t>
    </r>
  </si>
  <si>
    <r>
      <rPr>
        <sz val="8.5"/>
        <rFont val="Calibri"/>
        <family val="2"/>
      </rPr>
      <t xml:space="preserve">Captor tipo terminal aéreo, h= 600 mm, diâmetro de 3/8´ galvanizado a
</t>
    </r>
    <r>
      <rPr>
        <sz val="8.5"/>
        <rFont val="Calibri"/>
        <family val="2"/>
      </rPr>
      <t>fogo</t>
    </r>
  </si>
  <si>
    <r>
      <rPr>
        <sz val="8.5"/>
        <rFont val="Calibri"/>
        <family val="2"/>
      </rPr>
      <t>13,25</t>
    </r>
  </si>
  <si>
    <r>
      <rPr>
        <sz val="8.5"/>
        <rFont val="Calibri"/>
        <family val="2"/>
      </rPr>
      <t>22,35</t>
    </r>
  </si>
  <si>
    <r>
      <rPr>
        <sz val="8.5"/>
        <rFont val="Calibri"/>
        <family val="2"/>
      </rPr>
      <t>Isolador galvanizado uso geral</t>
    </r>
  </si>
  <si>
    <r>
      <rPr>
        <sz val="8.5"/>
        <rFont val="Calibri"/>
        <family val="2"/>
      </rPr>
      <t>42.02.010</t>
    </r>
  </si>
  <si>
    <r>
      <rPr>
        <sz val="8.5"/>
        <rFont val="Calibri"/>
        <family val="2"/>
      </rPr>
      <t>Isolador galvanizado uso geral, simples com rosca mecânica</t>
    </r>
  </si>
  <si>
    <r>
      <rPr>
        <sz val="8.5"/>
        <rFont val="Calibri"/>
        <family val="2"/>
      </rPr>
      <t>5,16</t>
    </r>
  </si>
  <si>
    <r>
      <rPr>
        <sz val="8.5"/>
        <rFont val="Calibri"/>
        <family val="2"/>
      </rPr>
      <t>14,26</t>
    </r>
  </si>
  <si>
    <r>
      <rPr>
        <sz val="8.5"/>
        <rFont val="Calibri"/>
        <family val="2"/>
      </rPr>
      <t>42.02.020</t>
    </r>
  </si>
  <si>
    <r>
      <rPr>
        <sz val="8.5"/>
        <rFont val="Calibri"/>
        <family val="2"/>
      </rPr>
      <t>Isolador galvanizado uso geral, reforçado para fixação a 90°</t>
    </r>
  </si>
  <si>
    <r>
      <rPr>
        <sz val="8.5"/>
        <rFont val="Calibri"/>
        <family val="2"/>
      </rPr>
      <t>13,85</t>
    </r>
  </si>
  <si>
    <r>
      <rPr>
        <sz val="8.5"/>
        <rFont val="Calibri"/>
        <family val="2"/>
      </rPr>
      <t>22,95</t>
    </r>
  </si>
  <si>
    <r>
      <rPr>
        <sz val="8.5"/>
        <rFont val="Calibri"/>
        <family val="2"/>
      </rPr>
      <t>42.02.040</t>
    </r>
  </si>
  <si>
    <r>
      <rPr>
        <sz val="8.5"/>
        <rFont val="Calibri"/>
        <family val="2"/>
      </rPr>
      <t>Isolador galvanizado uso geral, simples com chapa de encosto</t>
    </r>
  </si>
  <si>
    <r>
      <rPr>
        <sz val="8.5"/>
        <rFont val="Calibri"/>
        <family val="2"/>
      </rPr>
      <t>4,85</t>
    </r>
  </si>
  <si>
    <r>
      <rPr>
        <sz val="8.5"/>
        <rFont val="Calibri"/>
        <family val="2"/>
      </rPr>
      <t>13,95</t>
    </r>
  </si>
  <si>
    <r>
      <rPr>
        <sz val="8.5"/>
        <rFont val="Calibri"/>
        <family val="2"/>
      </rPr>
      <t>42.02.060</t>
    </r>
  </si>
  <si>
    <r>
      <rPr>
        <sz val="8.5"/>
        <rFont val="Calibri"/>
        <family val="2"/>
      </rPr>
      <t>Isolador galvanizado uso geral, reforçado com chapa de encosto</t>
    </r>
  </si>
  <si>
    <r>
      <rPr>
        <sz val="8.5"/>
        <rFont val="Calibri"/>
        <family val="2"/>
      </rPr>
      <t>7,13</t>
    </r>
  </si>
  <si>
    <r>
      <rPr>
        <sz val="8.5"/>
        <rFont val="Calibri"/>
        <family val="2"/>
      </rPr>
      <t>16,23</t>
    </r>
  </si>
  <si>
    <r>
      <rPr>
        <sz val="8.5"/>
        <rFont val="Calibri"/>
        <family val="2"/>
      </rPr>
      <t>42.02.080</t>
    </r>
  </si>
  <si>
    <r>
      <rPr>
        <sz val="8.5"/>
        <rFont val="Calibri"/>
        <family val="2"/>
      </rPr>
      <t>Isolador galvanizado uso geral, simples com calha para telha ondulada</t>
    </r>
  </si>
  <si>
    <r>
      <rPr>
        <sz val="8.5"/>
        <rFont val="Calibri"/>
        <family val="2"/>
      </rPr>
      <t>42.02.100</t>
    </r>
  </si>
  <si>
    <r>
      <rPr>
        <sz val="8.5"/>
        <rFont val="Calibri"/>
        <family val="2"/>
      </rPr>
      <t>Isolador galvanizado uso geral, reforçado com calha para telha ondulada</t>
    </r>
  </si>
  <si>
    <r>
      <rPr>
        <sz val="8.5"/>
        <rFont val="Calibri"/>
        <family val="2"/>
      </rPr>
      <t>23,97</t>
    </r>
  </si>
  <si>
    <r>
      <rPr>
        <sz val="8.5"/>
        <rFont val="Calibri"/>
        <family val="2"/>
      </rPr>
      <t>Isolador galvanizado para mastro</t>
    </r>
  </si>
  <si>
    <r>
      <rPr>
        <sz val="8.5"/>
        <rFont val="Calibri"/>
        <family val="2"/>
      </rPr>
      <t>42.03.020</t>
    </r>
  </si>
  <si>
    <r>
      <rPr>
        <sz val="8.5"/>
        <rFont val="Calibri"/>
        <family val="2"/>
      </rPr>
      <t>Isolador galvanizado para mastro de diâmetro 2´, simples com 1 descida</t>
    </r>
  </si>
  <si>
    <r>
      <rPr>
        <sz val="8.5"/>
        <rFont val="Calibri"/>
        <family val="2"/>
      </rPr>
      <t>8,24</t>
    </r>
  </si>
  <si>
    <r>
      <rPr>
        <sz val="8.5"/>
        <rFont val="Calibri"/>
        <family val="2"/>
      </rPr>
      <t>42.03.040</t>
    </r>
  </si>
  <si>
    <r>
      <rPr>
        <sz val="8.5"/>
        <rFont val="Calibri"/>
        <family val="2"/>
      </rPr>
      <t>Isolador galvanizado para mastro de diâmetro 2´, simples com 2 descidas</t>
    </r>
  </si>
  <si>
    <r>
      <rPr>
        <sz val="8.5"/>
        <rFont val="Calibri"/>
        <family val="2"/>
      </rPr>
      <t>42.03.060</t>
    </r>
  </si>
  <si>
    <r>
      <rPr>
        <sz val="8.5"/>
        <rFont val="Calibri"/>
        <family val="2"/>
      </rPr>
      <t xml:space="preserve">Isolador galvanizado para mastro de diâmetro 2´, reforçado com 1
</t>
    </r>
    <r>
      <rPr>
        <sz val="8.5"/>
        <rFont val="Calibri"/>
        <family val="2"/>
      </rPr>
      <t>descida</t>
    </r>
  </si>
  <si>
    <r>
      <rPr>
        <sz val="8.5"/>
        <rFont val="Calibri"/>
        <family val="2"/>
      </rPr>
      <t>12,42</t>
    </r>
  </si>
  <si>
    <r>
      <rPr>
        <sz val="8.5"/>
        <rFont val="Calibri"/>
        <family val="2"/>
      </rPr>
      <t>42.03.080</t>
    </r>
  </si>
  <si>
    <r>
      <rPr>
        <sz val="8.5"/>
        <rFont val="Calibri"/>
        <family val="2"/>
      </rPr>
      <t xml:space="preserve">Isolador galvanizado para mastro de diâmetro 2´, reforçado com 2
</t>
    </r>
    <r>
      <rPr>
        <sz val="8.5"/>
        <rFont val="Calibri"/>
        <family val="2"/>
      </rPr>
      <t>descidas</t>
    </r>
  </si>
  <si>
    <r>
      <rPr>
        <sz val="8.5"/>
        <rFont val="Calibri"/>
        <family val="2"/>
      </rPr>
      <t>Componentes de sustentacao para mastro galvanizado</t>
    </r>
  </si>
  <si>
    <r>
      <rPr>
        <sz val="8.5"/>
        <rFont val="Calibri"/>
        <family val="2"/>
      </rPr>
      <t>42.04.020</t>
    </r>
  </si>
  <si>
    <r>
      <rPr>
        <sz val="8.5"/>
        <rFont val="Calibri"/>
        <family val="2"/>
      </rPr>
      <t>Braçadeira de contraventagem para mastro de diâmetro 2´</t>
    </r>
  </si>
  <si>
    <r>
      <rPr>
        <sz val="8.5"/>
        <rFont val="Calibri"/>
        <family val="2"/>
      </rPr>
      <t>12,22</t>
    </r>
  </si>
  <si>
    <r>
      <rPr>
        <sz val="8.5"/>
        <rFont val="Calibri"/>
        <family val="2"/>
      </rPr>
      <t>21,32</t>
    </r>
  </si>
  <si>
    <r>
      <rPr>
        <sz val="8.5"/>
        <rFont val="Calibri"/>
        <family val="2"/>
      </rPr>
      <t>42.04.040</t>
    </r>
  </si>
  <si>
    <r>
      <rPr>
        <sz val="8.5"/>
        <rFont val="Calibri"/>
        <family val="2"/>
      </rPr>
      <t>Apoio para mastro de diâmetro 2´</t>
    </r>
  </si>
  <si>
    <r>
      <rPr>
        <sz val="8.5"/>
        <rFont val="Calibri"/>
        <family val="2"/>
      </rPr>
      <t>11,31</t>
    </r>
  </si>
  <si>
    <r>
      <rPr>
        <sz val="8.5"/>
        <rFont val="Calibri"/>
        <family val="2"/>
      </rPr>
      <t>20,41</t>
    </r>
  </si>
  <si>
    <r>
      <rPr>
        <sz val="8.5"/>
        <rFont val="Calibri"/>
        <family val="2"/>
      </rPr>
      <t>42.04.060</t>
    </r>
  </si>
  <si>
    <r>
      <rPr>
        <sz val="8.5"/>
        <rFont val="Calibri"/>
        <family val="2"/>
      </rPr>
      <t>Base para mastro de diâmetro 2´</t>
    </r>
  </si>
  <si>
    <r>
      <rPr>
        <sz val="8.5"/>
        <rFont val="Calibri"/>
        <family val="2"/>
      </rPr>
      <t>52,95</t>
    </r>
  </si>
  <si>
    <r>
      <rPr>
        <sz val="8.5"/>
        <rFont val="Calibri"/>
        <family val="2"/>
      </rPr>
      <t>62,05</t>
    </r>
  </si>
  <si>
    <r>
      <rPr>
        <sz val="8.5"/>
        <rFont val="Calibri"/>
        <family val="2"/>
      </rPr>
      <t>42.04.080</t>
    </r>
  </si>
  <si>
    <r>
      <rPr>
        <sz val="8.5"/>
        <rFont val="Calibri"/>
        <family val="2"/>
      </rPr>
      <t>Contraventagem com cabo para mastro de diâmetro 2´</t>
    </r>
  </si>
  <si>
    <r>
      <rPr>
        <sz val="8.5"/>
        <rFont val="Calibri"/>
        <family val="2"/>
      </rPr>
      <t>178,08</t>
    </r>
  </si>
  <si>
    <r>
      <rPr>
        <sz val="8.5"/>
        <rFont val="Calibri"/>
        <family val="2"/>
      </rPr>
      <t>189,00</t>
    </r>
  </si>
  <si>
    <r>
      <rPr>
        <sz val="8.5"/>
        <rFont val="Calibri"/>
        <family val="2"/>
      </rPr>
      <t>42.04.120</t>
    </r>
  </si>
  <si>
    <r>
      <rPr>
        <sz val="8.5"/>
        <rFont val="Calibri"/>
        <family val="2"/>
      </rPr>
      <t>Mastro simples galvanizado de diâmetro 2´</t>
    </r>
  </si>
  <si>
    <r>
      <rPr>
        <sz val="8.5"/>
        <rFont val="Calibri"/>
        <family val="2"/>
      </rPr>
      <t>84,31</t>
    </r>
  </si>
  <si>
    <r>
      <rPr>
        <sz val="8.5"/>
        <rFont val="Calibri"/>
        <family val="2"/>
      </rPr>
      <t>42.04.140</t>
    </r>
  </si>
  <si>
    <r>
      <rPr>
        <sz val="8.5"/>
        <rFont val="Calibri"/>
        <family val="2"/>
      </rPr>
      <t>Suporte porta bandeira simples para mastro de diâmetro 2´</t>
    </r>
  </si>
  <si>
    <r>
      <rPr>
        <sz val="8.5"/>
        <rFont val="Calibri"/>
        <family val="2"/>
      </rPr>
      <t>17,46</t>
    </r>
  </si>
  <si>
    <r>
      <rPr>
        <sz val="8.5"/>
        <rFont val="Calibri"/>
        <family val="2"/>
      </rPr>
      <t>42.04.160</t>
    </r>
  </si>
  <si>
    <r>
      <rPr>
        <sz val="8.5"/>
        <rFont val="Calibri"/>
        <family val="2"/>
      </rPr>
      <t>Suporte porta bandeira reforçado para mastro de diâmetro 2´</t>
    </r>
  </si>
  <si>
    <r>
      <rPr>
        <sz val="8.5"/>
        <rFont val="Calibri"/>
        <family val="2"/>
      </rPr>
      <t>27,49</t>
    </r>
  </si>
  <si>
    <r>
      <rPr>
        <sz val="8.5"/>
        <rFont val="Calibri"/>
        <family val="2"/>
      </rPr>
      <t>36,59</t>
    </r>
  </si>
  <si>
    <r>
      <rPr>
        <sz val="8.5"/>
        <rFont val="Calibri"/>
        <family val="2"/>
      </rPr>
      <t>Componentes para cabo de descida</t>
    </r>
  </si>
  <si>
    <r>
      <rPr>
        <sz val="8.5"/>
        <rFont val="Calibri"/>
        <family val="2"/>
      </rPr>
      <t>42.05.010</t>
    </r>
  </si>
  <si>
    <r>
      <rPr>
        <sz val="8.5"/>
        <rFont val="Calibri"/>
        <family val="2"/>
      </rPr>
      <t>Sinalizador de obstáculo simples, sem célula fotoelétrica</t>
    </r>
  </si>
  <si>
    <r>
      <rPr>
        <sz val="8.5"/>
        <rFont val="Calibri"/>
        <family val="2"/>
      </rPr>
      <t>47,09</t>
    </r>
  </si>
  <si>
    <r>
      <rPr>
        <sz val="8.5"/>
        <rFont val="Calibri"/>
        <family val="2"/>
      </rPr>
      <t>42.05.020</t>
    </r>
  </si>
  <si>
    <r>
      <rPr>
        <sz val="8.5"/>
        <rFont val="Calibri"/>
        <family val="2"/>
      </rPr>
      <t xml:space="preserve">Braçadeira para fixação do aparelho sinalizador para mastro de diâmetro
</t>
    </r>
    <r>
      <rPr>
        <sz val="8.5"/>
        <rFont val="Calibri"/>
        <family val="2"/>
      </rPr>
      <t>2´</t>
    </r>
  </si>
  <si>
    <r>
      <rPr>
        <sz val="8.5"/>
        <rFont val="Calibri"/>
        <family val="2"/>
      </rPr>
      <t>15,26</t>
    </r>
  </si>
  <si>
    <r>
      <rPr>
        <sz val="8.5"/>
        <rFont val="Calibri"/>
        <family val="2"/>
      </rPr>
      <t>42.05.030</t>
    </r>
  </si>
  <si>
    <r>
      <rPr>
        <sz val="8.5"/>
        <rFont val="Calibri"/>
        <family val="2"/>
      </rPr>
      <t>Sinalizador de obstáculo duplo, sem célula fotoelétrica</t>
    </r>
  </si>
  <si>
    <r>
      <rPr>
        <sz val="8.5"/>
        <rFont val="Calibri"/>
        <family val="2"/>
      </rPr>
      <t>71,17</t>
    </r>
  </si>
  <si>
    <r>
      <rPr>
        <sz val="8.5"/>
        <rFont val="Calibri"/>
        <family val="2"/>
      </rPr>
      <t>80,27</t>
    </r>
  </si>
  <si>
    <r>
      <rPr>
        <sz val="8.5"/>
        <rFont val="Calibri"/>
        <family val="2"/>
      </rPr>
      <t>42.05.050</t>
    </r>
  </si>
  <si>
    <r>
      <rPr>
        <sz val="8.5"/>
        <rFont val="Calibri"/>
        <family val="2"/>
      </rPr>
      <t>Sinalizador de obstáculo simples, com célula fotoelétrica</t>
    </r>
  </si>
  <si>
    <r>
      <rPr>
        <sz val="8.5"/>
        <rFont val="Calibri"/>
        <family val="2"/>
      </rPr>
      <t>57,22</t>
    </r>
  </si>
  <si>
    <r>
      <rPr>
        <sz val="8.5"/>
        <rFont val="Calibri"/>
        <family val="2"/>
      </rPr>
      <t>66,32</t>
    </r>
  </si>
  <si>
    <r>
      <rPr>
        <sz val="8.5"/>
        <rFont val="Calibri"/>
        <family val="2"/>
      </rPr>
      <t>42.05.070</t>
    </r>
  </si>
  <si>
    <r>
      <rPr>
        <sz val="8.5"/>
        <rFont val="Calibri"/>
        <family val="2"/>
      </rPr>
      <t>Sinalizador de obstáculo duplo, com célula fotoelétrica</t>
    </r>
  </si>
  <si>
    <r>
      <rPr>
        <sz val="8.5"/>
        <rFont val="Calibri"/>
        <family val="2"/>
      </rPr>
      <t>118,95</t>
    </r>
  </si>
  <si>
    <r>
      <rPr>
        <sz val="8.5"/>
        <rFont val="Calibri"/>
        <family val="2"/>
      </rPr>
      <t>128,05</t>
    </r>
  </si>
  <si>
    <r>
      <rPr>
        <sz val="8.5"/>
        <rFont val="Calibri"/>
        <family val="2"/>
      </rPr>
      <t>42.05.100</t>
    </r>
  </si>
  <si>
    <r>
      <rPr>
        <sz val="8.5"/>
        <rFont val="Calibri"/>
        <family val="2"/>
      </rPr>
      <t>Caixa de inspeção suspensa</t>
    </r>
  </si>
  <si>
    <r>
      <rPr>
        <sz val="8.5"/>
        <rFont val="Calibri"/>
        <family val="2"/>
      </rPr>
      <t>55,31</t>
    </r>
  </si>
  <si>
    <r>
      <rPr>
        <sz val="8.5"/>
        <rFont val="Calibri"/>
        <family val="2"/>
      </rPr>
      <t>42.05.110</t>
    </r>
  </si>
  <si>
    <r>
      <rPr>
        <sz val="8.5"/>
        <rFont val="Calibri"/>
        <family val="2"/>
      </rPr>
      <t>Conector cabo/haste de 3/4´</t>
    </r>
  </si>
  <si>
    <r>
      <rPr>
        <sz val="8.5"/>
        <rFont val="Calibri"/>
        <family val="2"/>
      </rPr>
      <t>18,78</t>
    </r>
  </si>
  <si>
    <r>
      <rPr>
        <sz val="8.5"/>
        <rFont val="Calibri"/>
        <family val="2"/>
      </rPr>
      <t>22,42</t>
    </r>
  </si>
  <si>
    <r>
      <rPr>
        <sz val="8.5"/>
        <rFont val="Calibri"/>
        <family val="2"/>
      </rPr>
      <t>42.05.120</t>
    </r>
  </si>
  <si>
    <r>
      <rPr>
        <sz val="8.5"/>
        <rFont val="Calibri"/>
        <family val="2"/>
      </rPr>
      <t>Conector de emenda em latão para cabo de até 50 mm² com 4 parafusos</t>
    </r>
  </si>
  <si>
    <r>
      <rPr>
        <sz val="8.5"/>
        <rFont val="Calibri"/>
        <family val="2"/>
      </rPr>
      <t>23,93</t>
    </r>
  </si>
  <si>
    <r>
      <rPr>
        <sz val="8.5"/>
        <rFont val="Calibri"/>
        <family val="2"/>
      </rPr>
      <t>42.05.140</t>
    </r>
  </si>
  <si>
    <r>
      <rPr>
        <sz val="8.5"/>
        <rFont val="Calibri"/>
        <family val="2"/>
      </rPr>
      <t>Conector olhal cabo/haste de 3/4´</t>
    </r>
  </si>
  <si>
    <r>
      <rPr>
        <sz val="8.5"/>
        <rFont val="Calibri"/>
        <family val="2"/>
      </rPr>
      <t>13,29</t>
    </r>
  </si>
  <si>
    <r>
      <rPr>
        <sz val="8.5"/>
        <rFont val="Calibri"/>
        <family val="2"/>
      </rPr>
      <t>16,93</t>
    </r>
  </si>
  <si>
    <r>
      <rPr>
        <sz val="8.5"/>
        <rFont val="Calibri"/>
        <family val="2"/>
      </rPr>
      <t>42.05.160</t>
    </r>
  </si>
  <si>
    <r>
      <rPr>
        <sz val="8.5"/>
        <rFont val="Calibri"/>
        <family val="2"/>
      </rPr>
      <t>Conector olhal cabo/haste de 5/8´</t>
    </r>
  </si>
  <si>
    <r>
      <rPr>
        <sz val="8.5"/>
        <rFont val="Calibri"/>
        <family val="2"/>
      </rPr>
      <t>42.05.170</t>
    </r>
  </si>
  <si>
    <r>
      <rPr>
        <sz val="8.5"/>
        <rFont val="Calibri"/>
        <family val="2"/>
      </rPr>
      <t>Vergalhão liso de aço galvanizado, diâmetro de 3/8´</t>
    </r>
  </si>
  <si>
    <r>
      <rPr>
        <sz val="8.5"/>
        <rFont val="Calibri"/>
        <family val="2"/>
      </rPr>
      <t>13,36</t>
    </r>
  </si>
  <si>
    <r>
      <rPr>
        <sz val="8.5"/>
        <rFont val="Calibri"/>
        <family val="2"/>
      </rPr>
      <t>27,92</t>
    </r>
  </si>
  <si>
    <r>
      <rPr>
        <sz val="8.5"/>
        <rFont val="Calibri"/>
        <family val="2"/>
      </rPr>
      <t>42.05.180</t>
    </r>
  </si>
  <si>
    <r>
      <rPr>
        <sz val="8.5"/>
        <rFont val="Calibri"/>
        <family val="2"/>
      </rPr>
      <t>Esticador em latão para cabo de cobre</t>
    </r>
  </si>
  <si>
    <r>
      <rPr>
        <sz val="8.5"/>
        <rFont val="Calibri"/>
        <family val="2"/>
      </rPr>
      <t>17,93</t>
    </r>
  </si>
  <si>
    <r>
      <rPr>
        <sz val="8.5"/>
        <rFont val="Calibri"/>
        <family val="2"/>
      </rPr>
      <t>27,03</t>
    </r>
  </si>
  <si>
    <r>
      <rPr>
        <sz val="8.5"/>
        <rFont val="Calibri"/>
        <family val="2"/>
      </rPr>
      <t>42.05.190</t>
    </r>
  </si>
  <si>
    <r>
      <rPr>
        <sz val="8.5"/>
        <rFont val="Calibri"/>
        <family val="2"/>
      </rPr>
      <t>Haste de aterramento de 3/4'' x 3 m</t>
    </r>
  </si>
  <si>
    <r>
      <rPr>
        <sz val="8.5"/>
        <rFont val="Calibri"/>
        <family val="2"/>
      </rPr>
      <t>205,83</t>
    </r>
  </si>
  <si>
    <r>
      <rPr>
        <sz val="8.5"/>
        <rFont val="Calibri"/>
        <family val="2"/>
      </rPr>
      <t>42.05.200</t>
    </r>
  </si>
  <si>
    <r>
      <rPr>
        <sz val="8.5"/>
        <rFont val="Calibri"/>
        <family val="2"/>
      </rPr>
      <t>Haste de aterramento de 5/8'' x 2,4 m</t>
    </r>
  </si>
  <si>
    <r>
      <rPr>
        <sz val="8.5"/>
        <rFont val="Calibri"/>
        <family val="2"/>
      </rPr>
      <t>107,68</t>
    </r>
  </si>
  <si>
    <r>
      <rPr>
        <sz val="8.5"/>
        <rFont val="Calibri"/>
        <family val="2"/>
      </rPr>
      <t>125,88</t>
    </r>
  </si>
  <si>
    <r>
      <rPr>
        <sz val="8.5"/>
        <rFont val="Calibri"/>
        <family val="2"/>
      </rPr>
      <t>42.05.210</t>
    </r>
  </si>
  <si>
    <r>
      <rPr>
        <sz val="8.5"/>
        <rFont val="Calibri"/>
        <family val="2"/>
      </rPr>
      <t>Haste de aterramento de 5/8'' x 3 m</t>
    </r>
  </si>
  <si>
    <r>
      <rPr>
        <sz val="8.5"/>
        <rFont val="Calibri"/>
        <family val="2"/>
      </rPr>
      <t>135,37</t>
    </r>
  </si>
  <si>
    <r>
      <rPr>
        <sz val="8.5"/>
        <rFont val="Calibri"/>
        <family val="2"/>
      </rPr>
      <t>153,57</t>
    </r>
  </si>
  <si>
    <r>
      <rPr>
        <sz val="8.5"/>
        <rFont val="Calibri"/>
        <family val="2"/>
      </rPr>
      <t>42.05.220</t>
    </r>
  </si>
  <si>
    <r>
      <rPr>
        <sz val="8.5"/>
        <rFont val="Calibri"/>
        <family val="2"/>
      </rPr>
      <t>Mastro para sinalizador de obstáculo, de 1,5 m x 3/4''</t>
    </r>
  </si>
  <si>
    <r>
      <rPr>
        <sz val="8.5"/>
        <rFont val="Calibri"/>
        <family val="2"/>
      </rPr>
      <t>48,35</t>
    </r>
  </si>
  <si>
    <r>
      <rPr>
        <sz val="8.5"/>
        <rFont val="Calibri"/>
        <family val="2"/>
      </rPr>
      <t>57,45</t>
    </r>
  </si>
  <si>
    <r>
      <rPr>
        <sz val="8.5"/>
        <rFont val="Calibri"/>
        <family val="2"/>
      </rPr>
      <t>42.05.230</t>
    </r>
  </si>
  <si>
    <r>
      <rPr>
        <sz val="8.5"/>
        <rFont val="Calibri"/>
        <family val="2"/>
      </rPr>
      <t>Clips de fixação para vergalhão em aço galvanizado de 3/8´</t>
    </r>
  </si>
  <si>
    <r>
      <rPr>
        <sz val="8.5"/>
        <rFont val="Calibri"/>
        <family val="2"/>
      </rPr>
      <t>3,70</t>
    </r>
  </si>
  <si>
    <r>
      <rPr>
        <sz val="8.5"/>
        <rFont val="Calibri"/>
        <family val="2"/>
      </rPr>
      <t>10,97</t>
    </r>
  </si>
  <si>
    <r>
      <rPr>
        <sz val="8.5"/>
        <rFont val="Calibri"/>
        <family val="2"/>
      </rPr>
      <t>42.05.240</t>
    </r>
  </si>
  <si>
    <r>
      <rPr>
        <sz val="8.5"/>
        <rFont val="Calibri"/>
        <family val="2"/>
      </rPr>
      <t>Suporte para tubo de proteção com chapa de encosto, diâmetro 2´</t>
    </r>
  </si>
  <si>
    <r>
      <rPr>
        <sz val="8.5"/>
        <rFont val="Calibri"/>
        <family val="2"/>
      </rPr>
      <t>9,79</t>
    </r>
  </si>
  <si>
    <r>
      <rPr>
        <sz val="8.5"/>
        <rFont val="Calibri"/>
        <family val="2"/>
      </rPr>
      <t>42.05.250</t>
    </r>
  </si>
  <si>
    <r>
      <rPr>
        <sz val="8.5"/>
        <rFont val="Calibri"/>
        <family val="2"/>
      </rPr>
      <t xml:space="preserve">Barra condutora chata em alumínio de 3/4´ x 1/4´, inclusive acessórios
</t>
    </r>
    <r>
      <rPr>
        <sz val="8.5"/>
        <rFont val="Calibri"/>
        <family val="2"/>
      </rPr>
      <t>de fixação</t>
    </r>
  </si>
  <si>
    <r>
      <rPr>
        <sz val="8.5"/>
        <rFont val="Calibri"/>
        <family val="2"/>
      </rPr>
      <t>15,69</t>
    </r>
  </si>
  <si>
    <r>
      <rPr>
        <sz val="8.5"/>
        <rFont val="Calibri"/>
        <family val="2"/>
      </rPr>
      <t>33,89</t>
    </r>
  </si>
  <si>
    <r>
      <rPr>
        <sz val="8.5"/>
        <rFont val="Calibri"/>
        <family val="2"/>
      </rPr>
      <t>42.05.260</t>
    </r>
  </si>
  <si>
    <r>
      <rPr>
        <sz val="8.5"/>
        <rFont val="Calibri"/>
        <family val="2"/>
      </rPr>
      <t>Suporte para tubo de proteção com grapa para chumbar, diâmetro 2´</t>
    </r>
  </si>
  <si>
    <r>
      <rPr>
        <sz val="8.5"/>
        <rFont val="Calibri"/>
        <family val="2"/>
      </rPr>
      <t>11,18</t>
    </r>
  </si>
  <si>
    <r>
      <rPr>
        <sz val="8.5"/>
        <rFont val="Calibri"/>
        <family val="2"/>
      </rPr>
      <t>20,28</t>
    </r>
  </si>
  <si>
    <r>
      <rPr>
        <sz val="8.5"/>
        <rFont val="Calibri"/>
        <family val="2"/>
      </rPr>
      <t>42.05.270</t>
    </r>
  </si>
  <si>
    <r>
      <rPr>
        <sz val="8.5"/>
        <rFont val="Calibri"/>
        <family val="2"/>
      </rPr>
      <t xml:space="preserve">Conector em latão estanhado para cabos de 16 a 50 mm² e vergalhões
</t>
    </r>
    <r>
      <rPr>
        <sz val="8.5"/>
        <rFont val="Calibri"/>
        <family val="2"/>
      </rPr>
      <t>até 3/8"</t>
    </r>
  </si>
  <si>
    <r>
      <rPr>
        <sz val="8.5"/>
        <rFont val="Calibri"/>
        <family val="2"/>
      </rPr>
      <t>33,78</t>
    </r>
  </si>
  <si>
    <r>
      <rPr>
        <sz val="8.5"/>
        <rFont val="Calibri"/>
        <family val="2"/>
      </rPr>
      <t>41,05</t>
    </r>
  </si>
  <si>
    <r>
      <rPr>
        <sz val="8.5"/>
        <rFont val="Calibri"/>
        <family val="2"/>
      </rPr>
      <t>42.05.290</t>
    </r>
  </si>
  <si>
    <r>
      <rPr>
        <sz val="8.5"/>
        <rFont val="Calibri"/>
        <family val="2"/>
      </rPr>
      <t xml:space="preserve">Suporte para fixação de terminal aéreo e/ou de cabo de cobre nu, com
</t>
    </r>
    <r>
      <rPr>
        <sz val="8.5"/>
        <rFont val="Calibri"/>
        <family val="2"/>
      </rPr>
      <t>base plana</t>
    </r>
  </si>
  <si>
    <r>
      <rPr>
        <sz val="8.5"/>
        <rFont val="Calibri"/>
        <family val="2"/>
      </rPr>
      <t>13,58</t>
    </r>
  </si>
  <si>
    <r>
      <rPr>
        <sz val="8.5"/>
        <rFont val="Calibri"/>
        <family val="2"/>
      </rPr>
      <t>42.05.300</t>
    </r>
  </si>
  <si>
    <r>
      <rPr>
        <sz val="8.5"/>
        <rFont val="Calibri"/>
        <family val="2"/>
      </rPr>
      <t>Tampa para caixa de inspeção cilíndrica, aço galvanizado</t>
    </r>
  </si>
  <si>
    <r>
      <rPr>
        <sz val="8.5"/>
        <rFont val="Calibri"/>
        <family val="2"/>
      </rPr>
      <t>44,40</t>
    </r>
  </si>
  <si>
    <r>
      <rPr>
        <sz val="8.5"/>
        <rFont val="Calibri"/>
        <family val="2"/>
      </rPr>
      <t>46,22</t>
    </r>
  </si>
  <si>
    <r>
      <rPr>
        <sz val="8.5"/>
        <rFont val="Calibri"/>
        <family val="2"/>
      </rPr>
      <t>42.05.310</t>
    </r>
  </si>
  <si>
    <r>
      <rPr>
        <sz val="8.5"/>
        <rFont val="Calibri"/>
        <family val="2"/>
      </rPr>
      <t xml:space="preserve">Caixa de inspeção do terra cilíndrica em PVC rígido, diâmetro de 300 mm
</t>
    </r>
    <r>
      <rPr>
        <sz val="8.5"/>
        <rFont val="Calibri"/>
        <family val="2"/>
      </rPr>
      <t>- h= 250 mm</t>
    </r>
  </si>
  <si>
    <r>
      <rPr>
        <sz val="8.5"/>
        <rFont val="Calibri"/>
        <family val="2"/>
      </rPr>
      <t>22,83</t>
    </r>
  </si>
  <si>
    <r>
      <rPr>
        <sz val="8.5"/>
        <rFont val="Calibri"/>
        <family val="2"/>
      </rPr>
      <t>42.05.320</t>
    </r>
  </si>
  <si>
    <r>
      <rPr>
        <sz val="8.5"/>
        <rFont val="Calibri"/>
        <family val="2"/>
      </rPr>
      <t xml:space="preserve">Caixa de inspeção do terra cilíndrica em PVC rígido, diâmetro de 300 mm
</t>
    </r>
    <r>
      <rPr>
        <sz val="8.5"/>
        <rFont val="Calibri"/>
        <family val="2"/>
      </rPr>
      <t>- h= 400 mm</t>
    </r>
  </si>
  <si>
    <r>
      <rPr>
        <sz val="8.5"/>
        <rFont val="Calibri"/>
        <family val="2"/>
      </rPr>
      <t>42.05.330</t>
    </r>
  </si>
  <si>
    <r>
      <rPr>
        <sz val="8.5"/>
        <rFont val="Calibri"/>
        <family val="2"/>
      </rPr>
      <t xml:space="preserve">Caixa de inspeção do terra cilíndrica em PVC rígido, diâmetro de 300 mm
</t>
    </r>
    <r>
      <rPr>
        <sz val="8.5"/>
        <rFont val="Calibri"/>
        <family val="2"/>
      </rPr>
      <t>- h= 600 mm</t>
    </r>
  </si>
  <si>
    <r>
      <rPr>
        <sz val="8.5"/>
        <rFont val="Calibri"/>
        <family val="2"/>
      </rPr>
      <t>59,33</t>
    </r>
  </si>
  <si>
    <r>
      <rPr>
        <sz val="8.5"/>
        <rFont val="Calibri"/>
        <family val="2"/>
      </rPr>
      <t>42.05.340</t>
    </r>
  </si>
  <si>
    <r>
      <rPr>
        <sz val="8.5"/>
        <rFont val="Calibri"/>
        <family val="2"/>
      </rPr>
      <t xml:space="preserve">Barra condutora chata em cobre de 3/4´ x 3/16´, inclusive acessórios de
</t>
    </r>
    <r>
      <rPr>
        <sz val="8.5"/>
        <rFont val="Calibri"/>
        <family val="2"/>
      </rPr>
      <t>fixação</t>
    </r>
  </si>
  <si>
    <r>
      <rPr>
        <sz val="8.5"/>
        <rFont val="Calibri"/>
        <family val="2"/>
      </rPr>
      <t>157,33</t>
    </r>
  </si>
  <si>
    <r>
      <rPr>
        <sz val="8.5"/>
        <rFont val="Calibri"/>
        <family val="2"/>
      </rPr>
      <t>42.05.370</t>
    </r>
  </si>
  <si>
    <r>
      <rPr>
        <sz val="8.5"/>
        <rFont val="Calibri"/>
        <family val="2"/>
      </rPr>
      <t xml:space="preserve">Caixa de equalização, de embutir, em aço com barramento, de 400 x 400
</t>
    </r>
    <r>
      <rPr>
        <sz val="8.5"/>
        <rFont val="Calibri"/>
        <family val="2"/>
      </rPr>
      <t>mm e tampa</t>
    </r>
  </si>
  <si>
    <r>
      <rPr>
        <sz val="8.5"/>
        <rFont val="Calibri"/>
        <family val="2"/>
      </rPr>
      <t>550,65</t>
    </r>
  </si>
  <si>
    <r>
      <rPr>
        <sz val="8.5"/>
        <rFont val="Calibri"/>
        <family val="2"/>
      </rPr>
      <t>587,04</t>
    </r>
  </si>
  <si>
    <r>
      <rPr>
        <sz val="8.5"/>
        <rFont val="Calibri"/>
        <family val="2"/>
      </rPr>
      <t>42.05.380</t>
    </r>
  </si>
  <si>
    <r>
      <rPr>
        <sz val="8.5"/>
        <rFont val="Calibri"/>
        <family val="2"/>
      </rPr>
      <t xml:space="preserve">Caixa de equalização, de embutir, em aço com barramento, de 200 x 200
</t>
    </r>
    <r>
      <rPr>
        <sz val="8.5"/>
        <rFont val="Calibri"/>
        <family val="2"/>
      </rPr>
      <t>mm e tampa</t>
    </r>
  </si>
  <si>
    <r>
      <rPr>
        <sz val="8.5"/>
        <rFont val="Calibri"/>
        <family val="2"/>
      </rPr>
      <t>370,80</t>
    </r>
  </si>
  <si>
    <r>
      <rPr>
        <sz val="8.5"/>
        <rFont val="Calibri"/>
        <family val="2"/>
      </rPr>
      <t>407,19</t>
    </r>
  </si>
  <si>
    <r>
      <rPr>
        <sz val="8.5"/>
        <rFont val="Calibri"/>
        <family val="2"/>
      </rPr>
      <t>42.05.390</t>
    </r>
  </si>
  <si>
    <r>
      <rPr>
        <sz val="8.5"/>
        <rFont val="Calibri"/>
        <family val="2"/>
      </rPr>
      <t>Presilha em latão para cabos de 16 até 50 mm²</t>
    </r>
  </si>
  <si>
    <r>
      <rPr>
        <sz val="8.5"/>
        <rFont val="Calibri"/>
        <family val="2"/>
      </rPr>
      <t>1,38</t>
    </r>
  </si>
  <si>
    <r>
      <rPr>
        <sz val="8.5"/>
        <rFont val="Calibri"/>
        <family val="2"/>
      </rPr>
      <t>2,83</t>
    </r>
  </si>
  <si>
    <r>
      <rPr>
        <sz val="8.5"/>
        <rFont val="Calibri"/>
        <family val="2"/>
      </rPr>
      <t>42.05.410</t>
    </r>
  </si>
  <si>
    <r>
      <rPr>
        <sz val="8.5"/>
        <rFont val="Calibri"/>
        <family val="2"/>
      </rPr>
      <t xml:space="preserve">Suporte para fixação de terminal aéreo e/ou de cabo de cobre nu, com
</t>
    </r>
    <r>
      <rPr>
        <sz val="8.5"/>
        <rFont val="Calibri"/>
        <family val="2"/>
      </rPr>
      <t>base ondulada</t>
    </r>
  </si>
  <si>
    <r>
      <rPr>
        <sz val="8.5"/>
        <rFont val="Calibri"/>
        <family val="2"/>
      </rPr>
      <t>5,55</t>
    </r>
  </si>
  <si>
    <r>
      <rPr>
        <sz val="8.5"/>
        <rFont val="Calibri"/>
        <family val="2"/>
      </rPr>
      <t>42.05.440</t>
    </r>
  </si>
  <si>
    <r>
      <rPr>
        <sz val="8.5"/>
        <rFont val="Calibri"/>
        <family val="2"/>
      </rPr>
      <t xml:space="preserve">Barra condutora chata em alumínio de 7/8´ x 1/8´, inclusive acessórios
</t>
    </r>
    <r>
      <rPr>
        <sz val="8.5"/>
        <rFont val="Calibri"/>
        <family val="2"/>
      </rPr>
      <t>de fixação</t>
    </r>
  </si>
  <si>
    <r>
      <rPr>
        <sz val="8.5"/>
        <rFont val="Calibri"/>
        <family val="2"/>
      </rPr>
      <t>6,94</t>
    </r>
  </si>
  <si>
    <r>
      <rPr>
        <sz val="8.5"/>
        <rFont val="Calibri"/>
        <family val="2"/>
      </rPr>
      <t>42.05.450</t>
    </r>
  </si>
  <si>
    <r>
      <rPr>
        <sz val="8.5"/>
        <rFont val="Calibri"/>
        <family val="2"/>
      </rPr>
      <t>Conector com rabicho e porca em latão para cabo de 16 a 35 mm²</t>
    </r>
  </si>
  <si>
    <r>
      <rPr>
        <sz val="8.5"/>
        <rFont val="Calibri"/>
        <family val="2"/>
      </rPr>
      <t>15,14</t>
    </r>
  </si>
  <si>
    <r>
      <rPr>
        <sz val="8.5"/>
        <rFont val="Calibri"/>
        <family val="2"/>
      </rPr>
      <t>42.05.510</t>
    </r>
  </si>
  <si>
    <r>
      <rPr>
        <sz val="8.5"/>
        <rFont val="Calibri"/>
        <family val="2"/>
      </rPr>
      <t xml:space="preserve">Suporte para fixação de fita de alumínio 7/8" x 1/8" e/ou cabo de cobre
</t>
    </r>
    <r>
      <rPr>
        <sz val="8.5"/>
        <rFont val="Calibri"/>
        <family val="2"/>
      </rPr>
      <t>nu, com base ondulada</t>
    </r>
  </si>
  <si>
    <r>
      <rPr>
        <sz val="8.5"/>
        <rFont val="Calibri"/>
        <family val="2"/>
      </rPr>
      <t>42.05.520</t>
    </r>
  </si>
  <si>
    <r>
      <rPr>
        <sz val="8.5"/>
        <rFont val="Calibri"/>
        <family val="2"/>
      </rPr>
      <t>Suporte para fixação de fita de alumínio 7/8" x 1/8", com base plana</t>
    </r>
  </si>
  <si>
    <r>
      <rPr>
        <sz val="8.5"/>
        <rFont val="Calibri"/>
        <family val="2"/>
      </rPr>
      <t>4,34</t>
    </r>
  </si>
  <si>
    <r>
      <rPr>
        <sz val="8.5"/>
        <rFont val="Calibri"/>
        <family val="2"/>
      </rPr>
      <t>13,44</t>
    </r>
  </si>
  <si>
    <r>
      <rPr>
        <sz val="8.5"/>
        <rFont val="Calibri"/>
        <family val="2"/>
      </rPr>
      <t>42.05.542</t>
    </r>
  </si>
  <si>
    <r>
      <rPr>
        <sz val="8.5"/>
        <rFont val="Calibri"/>
        <family val="2"/>
      </rPr>
      <t xml:space="preserve">Tela equipotencial em aço inoxidável, largura de 200 mm, espessura de
</t>
    </r>
    <r>
      <rPr>
        <sz val="8.5"/>
        <rFont val="Calibri"/>
        <family val="2"/>
      </rPr>
      <t>1,4 mm</t>
    </r>
  </si>
  <si>
    <r>
      <rPr>
        <sz val="8.5"/>
        <rFont val="Calibri"/>
        <family val="2"/>
      </rPr>
      <t>67,80</t>
    </r>
  </si>
  <si>
    <r>
      <rPr>
        <sz val="8.5"/>
        <rFont val="Calibri"/>
        <family val="2"/>
      </rPr>
      <t>76,90</t>
    </r>
  </si>
  <si>
    <r>
      <rPr>
        <sz val="8.5"/>
        <rFont val="Calibri"/>
        <family val="2"/>
      </rPr>
      <t>42.05.550</t>
    </r>
  </si>
  <si>
    <r>
      <rPr>
        <sz val="8.5"/>
        <rFont val="Calibri"/>
        <family val="2"/>
      </rPr>
      <t>Cordoalha flexível "Jumpers" de 25 x 235 mm, com 4 furos de 11 mm</t>
    </r>
  </si>
  <si>
    <r>
      <rPr>
        <sz val="8.5"/>
        <rFont val="Calibri"/>
        <family val="2"/>
      </rPr>
      <t>59,10</t>
    </r>
  </si>
  <si>
    <r>
      <rPr>
        <sz val="8.5"/>
        <rFont val="Calibri"/>
        <family val="2"/>
      </rPr>
      <t>68,20</t>
    </r>
  </si>
  <si>
    <r>
      <rPr>
        <sz val="8.5"/>
        <rFont val="Calibri"/>
        <family val="2"/>
      </rPr>
      <t>42.05.560</t>
    </r>
  </si>
  <si>
    <r>
      <rPr>
        <sz val="8.5"/>
        <rFont val="Calibri"/>
        <family val="2"/>
      </rPr>
      <t>Cordoalha flexível "Jumpers" de 25 x 300 mm, com 4 furos de 11 mm</t>
    </r>
  </si>
  <si>
    <r>
      <rPr>
        <sz val="8.5"/>
        <rFont val="Calibri"/>
        <family val="2"/>
      </rPr>
      <t>68,21</t>
    </r>
  </si>
  <si>
    <r>
      <rPr>
        <sz val="8.5"/>
        <rFont val="Calibri"/>
        <family val="2"/>
      </rPr>
      <t>42.05.570</t>
    </r>
  </si>
  <si>
    <r>
      <rPr>
        <sz val="8.5"/>
        <rFont val="Calibri"/>
        <family val="2"/>
      </rPr>
      <t>Terminal estanhado com 1 furo e 1 compressão - 16 mm²</t>
    </r>
  </si>
  <si>
    <r>
      <rPr>
        <sz val="8.5"/>
        <rFont val="Calibri"/>
        <family val="2"/>
      </rPr>
      <t>14,84</t>
    </r>
  </si>
  <si>
    <r>
      <rPr>
        <sz val="8.5"/>
        <rFont val="Calibri"/>
        <family val="2"/>
      </rPr>
      <t>42.05.580</t>
    </r>
  </si>
  <si>
    <r>
      <rPr>
        <sz val="8.5"/>
        <rFont val="Calibri"/>
        <family val="2"/>
      </rPr>
      <t>Terminal estanhado com 1 furo e 1 compressão - 35 mm²</t>
    </r>
  </si>
  <si>
    <r>
      <rPr>
        <sz val="8.5"/>
        <rFont val="Calibri"/>
        <family val="2"/>
      </rPr>
      <t>42.05.590</t>
    </r>
  </si>
  <si>
    <r>
      <rPr>
        <sz val="8.5"/>
        <rFont val="Calibri"/>
        <family val="2"/>
      </rPr>
      <t>Terminal estanhado com 1 furo e 1 compressão - 50 mm²</t>
    </r>
  </si>
  <si>
    <r>
      <rPr>
        <sz val="8.5"/>
        <rFont val="Calibri"/>
        <family val="2"/>
      </rPr>
      <t>11,12</t>
    </r>
  </si>
  <si>
    <r>
      <rPr>
        <sz val="8.5"/>
        <rFont val="Calibri"/>
        <family val="2"/>
      </rPr>
      <t>20,22</t>
    </r>
  </si>
  <si>
    <r>
      <rPr>
        <sz val="8.5"/>
        <rFont val="Calibri"/>
        <family val="2"/>
      </rPr>
      <t>42.05.620</t>
    </r>
  </si>
  <si>
    <r>
      <rPr>
        <sz val="8.5"/>
        <rFont val="Calibri"/>
        <family val="2"/>
      </rPr>
      <t>Terminal estanhado com 2 furos e 1 compressão - 50 mm²</t>
    </r>
  </si>
  <si>
    <r>
      <rPr>
        <sz val="8.5"/>
        <rFont val="Calibri"/>
        <family val="2"/>
      </rPr>
      <t>20,07</t>
    </r>
  </si>
  <si>
    <r>
      <rPr>
        <sz val="8.5"/>
        <rFont val="Calibri"/>
        <family val="2"/>
      </rPr>
      <t>42.05.630</t>
    </r>
  </si>
  <si>
    <r>
      <rPr>
        <sz val="8.5"/>
        <rFont val="Calibri"/>
        <family val="2"/>
      </rPr>
      <t xml:space="preserve">Conector tipo ´X´ para aterramento de telas, acabamento estanhado,
</t>
    </r>
    <r>
      <rPr>
        <sz val="8.5"/>
        <rFont val="Calibri"/>
        <family val="2"/>
      </rPr>
      <t>para cabo de 16 - 50 mm²</t>
    </r>
  </si>
  <si>
    <r>
      <rPr>
        <sz val="8.5"/>
        <rFont val="Calibri"/>
        <family val="2"/>
      </rPr>
      <t>76,82</t>
    </r>
  </si>
  <si>
    <r>
      <rPr>
        <sz val="8.5"/>
        <rFont val="Calibri"/>
        <family val="2"/>
      </rPr>
      <t>85,92</t>
    </r>
  </si>
  <si>
    <r>
      <rPr>
        <sz val="8.5"/>
        <rFont val="Calibri"/>
        <family val="2"/>
      </rPr>
      <t>42.05.650</t>
    </r>
  </si>
  <si>
    <r>
      <rPr>
        <sz val="8.5"/>
        <rFont val="Calibri"/>
        <family val="2"/>
      </rPr>
      <t xml:space="preserve">Malha fechada pré-fabricada em fio de cobre de 16mm e mesch 30 x
</t>
    </r>
    <r>
      <rPr>
        <sz val="8.5"/>
        <rFont val="Calibri"/>
        <family val="2"/>
      </rPr>
      <t>30cm para aterramento</t>
    </r>
  </si>
  <si>
    <r>
      <rPr>
        <sz val="8.5"/>
        <rFont val="Calibri"/>
        <family val="2"/>
      </rPr>
      <t>165,78</t>
    </r>
  </si>
  <si>
    <r>
      <rPr>
        <sz val="8.5"/>
        <rFont val="Calibri"/>
        <family val="2"/>
      </rPr>
      <t>169,41</t>
    </r>
  </si>
  <si>
    <r>
      <rPr>
        <sz val="8.5"/>
        <rFont val="Calibri"/>
        <family val="2"/>
      </rPr>
      <t>Reparos, conservacoes e complementos - GRUPO 42</t>
    </r>
  </si>
  <si>
    <r>
      <rPr>
        <sz val="8.5"/>
        <rFont val="Calibri"/>
        <family val="2"/>
      </rPr>
      <t>42.20.080</t>
    </r>
  </si>
  <si>
    <r>
      <rPr>
        <sz val="8.5"/>
        <rFont val="Calibri"/>
        <family val="2"/>
      </rPr>
      <t xml:space="preserve">Solda exotérmica conexão cabo-cabo horizontal em X, bitola do cabo de
</t>
    </r>
    <r>
      <rPr>
        <sz val="8.5"/>
        <rFont val="Calibri"/>
        <family val="2"/>
      </rPr>
      <t>16-16mm² a 35-35mm²</t>
    </r>
  </si>
  <si>
    <r>
      <rPr>
        <sz val="8.5"/>
        <rFont val="Calibri"/>
        <family val="2"/>
      </rPr>
      <t>7,25</t>
    </r>
  </si>
  <si>
    <r>
      <rPr>
        <sz val="8.5"/>
        <rFont val="Calibri"/>
        <family val="2"/>
      </rPr>
      <t>25,45</t>
    </r>
  </si>
  <si>
    <r>
      <rPr>
        <sz val="8.5"/>
        <rFont val="Calibri"/>
        <family val="2"/>
      </rPr>
      <t>42.20.090</t>
    </r>
  </si>
  <si>
    <r>
      <rPr>
        <sz val="8.5"/>
        <rFont val="Calibri"/>
        <family val="2"/>
      </rPr>
      <t xml:space="preserve">Solda exotérmica conexão cabo-cabo horizontal em X, bitola do cabo de
</t>
    </r>
    <r>
      <rPr>
        <sz val="8.5"/>
        <rFont val="Calibri"/>
        <family val="2"/>
      </rPr>
      <t>50-25mm² a 95-50mm²</t>
    </r>
  </si>
  <si>
    <r>
      <rPr>
        <sz val="8.5"/>
        <rFont val="Calibri"/>
        <family val="2"/>
      </rPr>
      <t>14,29</t>
    </r>
  </si>
  <si>
    <r>
      <rPr>
        <sz val="8.5"/>
        <rFont val="Calibri"/>
        <family val="2"/>
      </rPr>
      <t>32,49</t>
    </r>
  </si>
  <si>
    <r>
      <rPr>
        <sz val="8.5"/>
        <rFont val="Calibri"/>
        <family val="2"/>
      </rPr>
      <t>42.20.120</t>
    </r>
  </si>
  <si>
    <r>
      <rPr>
        <sz val="8.5"/>
        <rFont val="Calibri"/>
        <family val="2"/>
      </rPr>
      <t xml:space="preserve">Solda exotérmica conexão cabo-cabo horizontal em X sobreposto, bitola
</t>
    </r>
    <r>
      <rPr>
        <sz val="8.5"/>
        <rFont val="Calibri"/>
        <family val="2"/>
      </rPr>
      <t>do cabo de 35-35mm² a 50-35mm²</t>
    </r>
  </si>
  <si>
    <r>
      <rPr>
        <sz val="8.5"/>
        <rFont val="Calibri"/>
        <family val="2"/>
      </rPr>
      <t>32,46</t>
    </r>
  </si>
  <si>
    <r>
      <rPr>
        <sz val="8.5"/>
        <rFont val="Calibri"/>
        <family val="2"/>
      </rPr>
      <t>42.20.130</t>
    </r>
  </si>
  <si>
    <r>
      <rPr>
        <sz val="8.5"/>
        <rFont val="Calibri"/>
        <family val="2"/>
      </rPr>
      <t xml:space="preserve">Solda exotérmica conexão cabo-cabo horizontal em X sobreposto, bitola
</t>
    </r>
    <r>
      <rPr>
        <sz val="8.5"/>
        <rFont val="Calibri"/>
        <family val="2"/>
      </rPr>
      <t>do cabo de 50-50mm² a 95-50mm²</t>
    </r>
  </si>
  <si>
    <r>
      <rPr>
        <sz val="8.5"/>
        <rFont val="Calibri"/>
        <family val="2"/>
      </rPr>
      <t>25,34</t>
    </r>
  </si>
  <si>
    <r>
      <rPr>
        <sz val="8.5"/>
        <rFont val="Calibri"/>
        <family val="2"/>
      </rPr>
      <t>43,54</t>
    </r>
  </si>
  <si>
    <r>
      <rPr>
        <sz val="8.5"/>
        <rFont val="Calibri"/>
        <family val="2"/>
      </rPr>
      <t>42.20.150</t>
    </r>
  </si>
  <si>
    <r>
      <rPr>
        <sz val="8.5"/>
        <rFont val="Calibri"/>
        <family val="2"/>
      </rPr>
      <t xml:space="preserve">Solda exotérmica conexão cabo-cabo horizontal em T, bitola do cabo de
</t>
    </r>
    <r>
      <rPr>
        <sz val="8.5"/>
        <rFont val="Calibri"/>
        <family val="2"/>
      </rPr>
      <t>16-16mm² a 50-35mm², 70-35mm² e 95-35mm²</t>
    </r>
  </si>
  <si>
    <r>
      <rPr>
        <sz val="8.5"/>
        <rFont val="Calibri"/>
        <family val="2"/>
      </rPr>
      <t>42.20.160</t>
    </r>
  </si>
  <si>
    <r>
      <rPr>
        <sz val="8.5"/>
        <rFont val="Calibri"/>
        <family val="2"/>
      </rPr>
      <t xml:space="preserve">Solda exotérmica conexão cabo-cabo horizontal em T, bitola do cabo de
</t>
    </r>
    <r>
      <rPr>
        <sz val="8.5"/>
        <rFont val="Calibri"/>
        <family val="2"/>
      </rPr>
      <t>50-50mm² a 95-50mm²</t>
    </r>
  </si>
  <si>
    <r>
      <rPr>
        <sz val="8.5"/>
        <rFont val="Calibri"/>
        <family val="2"/>
      </rPr>
      <t>32,42</t>
    </r>
  </si>
  <si>
    <r>
      <rPr>
        <sz val="8.5"/>
        <rFont val="Calibri"/>
        <family val="2"/>
      </rPr>
      <t>42.20.170</t>
    </r>
  </si>
  <si>
    <r>
      <rPr>
        <sz val="8.5"/>
        <rFont val="Calibri"/>
        <family val="2"/>
      </rPr>
      <t xml:space="preserve">Solda exotérmica conexão cabo-cabo horizontal reto, bitola do cabo de
</t>
    </r>
    <r>
      <rPr>
        <sz val="8.5"/>
        <rFont val="Calibri"/>
        <family val="2"/>
      </rPr>
      <t>16mm² a 70mm²</t>
    </r>
  </si>
  <si>
    <r>
      <rPr>
        <sz val="8.5"/>
        <rFont val="Calibri"/>
        <family val="2"/>
      </rPr>
      <t>42.20.190</t>
    </r>
  </si>
  <si>
    <r>
      <rPr>
        <sz val="8.5"/>
        <rFont val="Calibri"/>
        <family val="2"/>
      </rPr>
      <t xml:space="preserve">Solda exotérmica conexão cabo-haste em X sobreposto, bitola do cabo
</t>
    </r>
    <r>
      <rPr>
        <sz val="8.5"/>
        <rFont val="Calibri"/>
        <family val="2"/>
      </rPr>
      <t>de 35mm² a 50mm² para haste de 5/8" e 3/4"</t>
    </r>
  </si>
  <si>
    <r>
      <rPr>
        <sz val="8.5"/>
        <rFont val="Calibri"/>
        <family val="2"/>
      </rPr>
      <t>43,79</t>
    </r>
  </si>
  <si>
    <r>
      <rPr>
        <sz val="8.5"/>
        <rFont val="Calibri"/>
        <family val="2"/>
      </rPr>
      <t>42.20.210</t>
    </r>
  </si>
  <si>
    <r>
      <rPr>
        <sz val="8.5"/>
        <rFont val="Calibri"/>
        <family val="2"/>
      </rPr>
      <t xml:space="preserve">Solda exotérmica conexão cabo-haste em T, bitola do cabo de 35mm²
</t>
    </r>
    <r>
      <rPr>
        <sz val="8.5"/>
        <rFont val="Calibri"/>
        <family val="2"/>
      </rPr>
      <t>para haste de 5/8" e 3/4"</t>
    </r>
  </si>
  <si>
    <r>
      <rPr>
        <sz val="8.5"/>
        <rFont val="Calibri"/>
        <family val="2"/>
      </rPr>
      <t>14,49</t>
    </r>
  </si>
  <si>
    <r>
      <rPr>
        <sz val="8.5"/>
        <rFont val="Calibri"/>
        <family val="2"/>
      </rPr>
      <t>32,69</t>
    </r>
  </si>
  <si>
    <r>
      <rPr>
        <sz val="8.5"/>
        <rFont val="Calibri"/>
        <family val="2"/>
      </rPr>
      <t>42.20.220</t>
    </r>
  </si>
  <si>
    <r>
      <rPr>
        <sz val="8.5"/>
        <rFont val="Calibri"/>
        <family val="2"/>
      </rPr>
      <t xml:space="preserve">Solda exotérmica conexão cabo-haste em T, bitola do cabo de 50mm² a
</t>
    </r>
    <r>
      <rPr>
        <sz val="8.5"/>
        <rFont val="Calibri"/>
        <family val="2"/>
      </rPr>
      <t>95mm² para haste de 5/8" e 3/4"</t>
    </r>
  </si>
  <si>
    <r>
      <rPr>
        <sz val="8.5"/>
        <rFont val="Calibri"/>
        <family val="2"/>
      </rPr>
      <t>25,50</t>
    </r>
  </si>
  <si>
    <r>
      <rPr>
        <sz val="8.5"/>
        <rFont val="Calibri"/>
        <family val="2"/>
      </rPr>
      <t>43,70</t>
    </r>
  </si>
  <si>
    <r>
      <rPr>
        <sz val="8.5"/>
        <rFont val="Calibri"/>
        <family val="2"/>
      </rPr>
      <t>42.20.230</t>
    </r>
  </si>
  <si>
    <r>
      <rPr>
        <sz val="8.5"/>
        <rFont val="Calibri"/>
        <family val="2"/>
      </rPr>
      <t xml:space="preserve">Solda exotérmica conexão cabo-haste na lateral, bitola do cabo de
</t>
    </r>
    <r>
      <rPr>
        <sz val="8.5"/>
        <rFont val="Calibri"/>
        <family val="2"/>
      </rPr>
      <t>25mm² a 70mm² para haste de 5/8" e 3/4"</t>
    </r>
  </si>
  <si>
    <r>
      <rPr>
        <sz val="8.5"/>
        <rFont val="Calibri"/>
        <family val="2"/>
      </rPr>
      <t>32,97</t>
    </r>
  </si>
  <si>
    <r>
      <rPr>
        <sz val="8.5"/>
        <rFont val="Calibri"/>
        <family val="2"/>
      </rPr>
      <t>42.20.240</t>
    </r>
  </si>
  <si>
    <r>
      <rPr>
        <sz val="8.5"/>
        <rFont val="Calibri"/>
        <family val="2"/>
      </rPr>
      <t xml:space="preserve">Solda exotérmica conexão cabo-haste no topo, bitola do cabo de 25mm²
</t>
    </r>
    <r>
      <rPr>
        <sz val="8.5"/>
        <rFont val="Calibri"/>
        <family val="2"/>
      </rPr>
      <t>a 35mm² para haste de 5/8"</t>
    </r>
  </si>
  <si>
    <r>
      <rPr>
        <sz val="8.5"/>
        <rFont val="Calibri"/>
        <family val="2"/>
      </rPr>
      <t>13,72</t>
    </r>
  </si>
  <si>
    <r>
      <rPr>
        <sz val="8.5"/>
        <rFont val="Calibri"/>
        <family val="2"/>
      </rPr>
      <t>31,92</t>
    </r>
  </si>
  <si>
    <r>
      <rPr>
        <sz val="8.5"/>
        <rFont val="Calibri"/>
        <family val="2"/>
      </rPr>
      <t>42.20.250</t>
    </r>
  </si>
  <si>
    <r>
      <rPr>
        <sz val="8.5"/>
        <rFont val="Calibri"/>
        <family val="2"/>
      </rPr>
      <t xml:space="preserve">Solda exotérmica conexão cabo-haste no topo, bitola do cabo de 50mm²
</t>
    </r>
    <r>
      <rPr>
        <sz val="8.5"/>
        <rFont val="Calibri"/>
        <family val="2"/>
      </rPr>
      <t>a 95mm² para haste de 5/8" e 3/4"</t>
    </r>
  </si>
  <si>
    <r>
      <rPr>
        <sz val="8.5"/>
        <rFont val="Calibri"/>
        <family val="2"/>
      </rPr>
      <t>14,30</t>
    </r>
  </si>
  <si>
    <r>
      <rPr>
        <sz val="8.5"/>
        <rFont val="Calibri"/>
        <family val="2"/>
      </rPr>
      <t>32,50</t>
    </r>
  </si>
  <si>
    <r>
      <rPr>
        <sz val="8.5"/>
        <rFont val="Calibri"/>
        <family val="2"/>
      </rPr>
      <t>42.20.260</t>
    </r>
  </si>
  <si>
    <r>
      <rPr>
        <sz val="8.5"/>
        <rFont val="Calibri"/>
        <family val="2"/>
      </rPr>
      <t xml:space="preserve">Solda exotérmica conexão cabo-ferro de construção com cabo paralelo,
</t>
    </r>
    <r>
      <rPr>
        <sz val="8.5"/>
        <rFont val="Calibri"/>
        <family val="2"/>
      </rPr>
      <t>bitola do cabo de 35mm² para haste de 5/8" e 3/4"</t>
    </r>
  </si>
  <si>
    <r>
      <rPr>
        <sz val="8.5"/>
        <rFont val="Calibri"/>
        <family val="2"/>
      </rPr>
      <t>7,50</t>
    </r>
  </si>
  <si>
    <r>
      <rPr>
        <sz val="8.5"/>
        <rFont val="Calibri"/>
        <family val="2"/>
      </rPr>
      <t>25,70</t>
    </r>
  </si>
  <si>
    <r>
      <rPr>
        <sz val="8.5"/>
        <rFont val="Calibri"/>
        <family val="2"/>
      </rPr>
      <t>42.20.270</t>
    </r>
  </si>
  <si>
    <r>
      <rPr>
        <sz val="8.5"/>
        <rFont val="Calibri"/>
        <family val="2"/>
      </rPr>
      <t>Solda exotérmica conexão cabo-ferro de construção com cabo paralelo, bitola do cabo de 50mm² a 70mm² para haste de 5/8" e 3/4"</t>
    </r>
  </si>
  <si>
    <r>
      <rPr>
        <sz val="8.5"/>
        <rFont val="Calibri"/>
        <family val="2"/>
      </rPr>
      <t>15,65</t>
    </r>
  </si>
  <si>
    <r>
      <rPr>
        <sz val="8.5"/>
        <rFont val="Calibri"/>
        <family val="2"/>
      </rPr>
      <t>33,85</t>
    </r>
  </si>
  <si>
    <r>
      <rPr>
        <sz val="8.5"/>
        <rFont val="Calibri"/>
        <family val="2"/>
      </rPr>
      <t>42.20.280</t>
    </r>
  </si>
  <si>
    <r>
      <rPr>
        <sz val="8.5"/>
        <rFont val="Calibri"/>
        <family val="2"/>
      </rPr>
      <t>Solda exotérmica conexão cabo-ferro de construção com cabo em X sobreposto, bitola do cabo de 35mm² a 70mm² para haste de 5/8"</t>
    </r>
  </si>
  <si>
    <r>
      <rPr>
        <sz val="8.5"/>
        <rFont val="Calibri"/>
        <family val="2"/>
      </rPr>
      <t>32,57</t>
    </r>
  </si>
  <si>
    <r>
      <rPr>
        <sz val="8.5"/>
        <rFont val="Calibri"/>
        <family val="2"/>
      </rPr>
      <t>42.20.290</t>
    </r>
  </si>
  <si>
    <r>
      <rPr>
        <sz val="8.5"/>
        <rFont val="Calibri"/>
        <family val="2"/>
      </rPr>
      <t>Solda exotérmica conexão cabo-ferro de construção com cabo em X sobreposto, bitola do cabo de 35mm² a 70mm² para haste de 3/8"</t>
    </r>
  </si>
  <si>
    <r>
      <rPr>
        <sz val="8.5"/>
        <rFont val="Calibri"/>
        <family val="2"/>
      </rPr>
      <t>14,38</t>
    </r>
  </si>
  <si>
    <r>
      <rPr>
        <sz val="8.5"/>
        <rFont val="Calibri"/>
        <family val="2"/>
      </rPr>
      <t>32,58</t>
    </r>
  </si>
  <si>
    <r>
      <rPr>
        <sz val="8.5"/>
        <rFont val="Calibri"/>
        <family val="2"/>
      </rPr>
      <t>42.20.300</t>
    </r>
  </si>
  <si>
    <r>
      <rPr>
        <sz val="8.5"/>
        <rFont val="Calibri"/>
        <family val="2"/>
      </rPr>
      <t xml:space="preserve">Solda exotérmica conexão cabo-terminal com duas fixações, bitola do
</t>
    </r>
    <r>
      <rPr>
        <sz val="8.5"/>
        <rFont val="Calibri"/>
        <family val="2"/>
      </rPr>
      <t>cabo de 25mm² a 50mm² para terminal 3x25</t>
    </r>
  </si>
  <si>
    <r>
      <rPr>
        <sz val="8.5"/>
        <rFont val="Calibri"/>
        <family val="2"/>
      </rPr>
      <t>25,37</t>
    </r>
  </si>
  <si>
    <r>
      <rPr>
        <sz val="8.5"/>
        <rFont val="Calibri"/>
        <family val="2"/>
      </rPr>
      <t>42.20.310</t>
    </r>
  </si>
  <si>
    <r>
      <rPr>
        <sz val="8.5"/>
        <rFont val="Calibri"/>
        <family val="2"/>
      </rPr>
      <t xml:space="preserve">Solda exotérmica conexão cabo-superfície de aço, bitola do cabo de
</t>
    </r>
    <r>
      <rPr>
        <sz val="8.5"/>
        <rFont val="Calibri"/>
        <family val="2"/>
      </rPr>
      <t>16mm² a 35mm²</t>
    </r>
  </si>
  <si>
    <r>
      <rPr>
        <sz val="8.5"/>
        <rFont val="Calibri"/>
        <family val="2"/>
      </rPr>
      <t>25,82</t>
    </r>
  </si>
  <si>
    <r>
      <rPr>
        <sz val="8.5"/>
        <rFont val="Calibri"/>
        <family val="2"/>
      </rPr>
      <t>42.20.320</t>
    </r>
  </si>
  <si>
    <r>
      <rPr>
        <sz val="8.5"/>
        <rFont val="Calibri"/>
        <family val="2"/>
      </rPr>
      <t xml:space="preserve">Solda exotérmica conexão cabo-superfície de aço, bitola do cabo de
</t>
    </r>
    <r>
      <rPr>
        <sz val="8.5"/>
        <rFont val="Calibri"/>
        <family val="2"/>
      </rPr>
      <t>50mm² a 95mm²</t>
    </r>
  </si>
  <si>
    <r>
      <rPr>
        <sz val="8.5"/>
        <rFont val="Calibri"/>
        <family val="2"/>
      </rPr>
      <t>14,45</t>
    </r>
  </si>
  <si>
    <r>
      <rPr>
        <sz val="8.5"/>
        <rFont val="Calibri"/>
        <family val="2"/>
      </rPr>
      <t>32,65</t>
    </r>
  </si>
  <si>
    <r>
      <rPr>
        <sz val="8.5"/>
        <rFont val="Calibri"/>
        <family val="2"/>
      </rPr>
      <t>APARELHOS ELETRICOS, HIDRAULICOS E A GAS.</t>
    </r>
  </si>
  <si>
    <r>
      <rPr>
        <sz val="8.5"/>
        <rFont val="Calibri"/>
        <family val="2"/>
      </rPr>
      <t>Bebedouros</t>
    </r>
  </si>
  <si>
    <r>
      <rPr>
        <sz val="8.5"/>
        <rFont val="Calibri"/>
        <family val="2"/>
      </rPr>
      <t>43.01.012</t>
    </r>
  </si>
  <si>
    <r>
      <rPr>
        <sz val="8.5"/>
        <rFont val="Calibri"/>
        <family val="2"/>
      </rPr>
      <t xml:space="preserve">Purificador de pressão elétrico em chapa eletrozincado pré-pintada e tampo em aço inoxidável, tipo coluna, capacidade de refrigeração de 2
</t>
    </r>
    <r>
      <rPr>
        <sz val="8.5"/>
        <rFont val="Calibri"/>
        <family val="2"/>
      </rPr>
      <t>l/h - simples</t>
    </r>
  </si>
  <si>
    <r>
      <rPr>
        <sz val="8.5"/>
        <rFont val="Calibri"/>
        <family val="2"/>
      </rPr>
      <t>1.213,15</t>
    </r>
  </si>
  <si>
    <r>
      <rPr>
        <sz val="8.5"/>
        <rFont val="Calibri"/>
        <family val="2"/>
      </rPr>
      <t>1.264,06</t>
    </r>
  </si>
  <si>
    <r>
      <rPr>
        <sz val="8.5"/>
        <rFont val="Calibri"/>
        <family val="2"/>
      </rPr>
      <t>43.01.032</t>
    </r>
  </si>
  <si>
    <r>
      <rPr>
        <sz val="8.5"/>
        <rFont val="Calibri"/>
        <family val="2"/>
      </rPr>
      <t xml:space="preserve">Purificador de pressão elétrico em chapa eletrozincado pré-pintada e
</t>
    </r>
    <r>
      <rPr>
        <sz val="8.5"/>
        <rFont val="Calibri"/>
        <family val="2"/>
      </rPr>
      <t>tampo em aço inoxidável, tipo coluna, capacidade de refrigeração de 2 l/h - conjugado</t>
    </r>
  </si>
  <si>
    <r>
      <rPr>
        <sz val="8.5"/>
        <rFont val="Calibri"/>
        <family val="2"/>
      </rPr>
      <t>1.371,97</t>
    </r>
  </si>
  <si>
    <r>
      <rPr>
        <sz val="8.5"/>
        <rFont val="Calibri"/>
        <family val="2"/>
      </rPr>
      <t>1.422,88</t>
    </r>
  </si>
  <si>
    <r>
      <rPr>
        <sz val="8.5"/>
        <rFont val="Calibri"/>
        <family val="2"/>
      </rPr>
      <t>Chuveiros</t>
    </r>
  </si>
  <si>
    <r>
      <rPr>
        <sz val="8.5"/>
        <rFont val="Calibri"/>
        <family val="2"/>
      </rPr>
      <t>43.02.010</t>
    </r>
  </si>
  <si>
    <r>
      <rPr>
        <sz val="8.5"/>
        <rFont val="Calibri"/>
        <family val="2"/>
      </rPr>
      <t>Chuveiro frio em PVC, diâmetro de 10 cm</t>
    </r>
  </si>
  <si>
    <r>
      <rPr>
        <sz val="8.5"/>
        <rFont val="Calibri"/>
        <family val="2"/>
      </rPr>
      <t>9,54</t>
    </r>
  </si>
  <si>
    <r>
      <rPr>
        <sz val="8.5"/>
        <rFont val="Calibri"/>
        <family val="2"/>
      </rPr>
      <t>27,74</t>
    </r>
  </si>
  <si>
    <r>
      <rPr>
        <sz val="8.5"/>
        <rFont val="Calibri"/>
        <family val="2"/>
      </rPr>
      <t>43.02.070</t>
    </r>
  </si>
  <si>
    <r>
      <rPr>
        <sz val="8.5"/>
        <rFont val="Calibri"/>
        <family val="2"/>
      </rPr>
      <t>Chuveiro com válvula de acionamento antivandalismo, DN= 3/4´</t>
    </r>
  </si>
  <si>
    <r>
      <rPr>
        <sz val="8.5"/>
        <rFont val="Calibri"/>
        <family val="2"/>
      </rPr>
      <t>607,44</t>
    </r>
  </si>
  <si>
    <r>
      <rPr>
        <sz val="8.5"/>
        <rFont val="Calibri"/>
        <family val="2"/>
      </rPr>
      <t>34,57</t>
    </r>
  </si>
  <si>
    <r>
      <rPr>
        <sz val="8.5"/>
        <rFont val="Calibri"/>
        <family val="2"/>
      </rPr>
      <t>642,01</t>
    </r>
  </si>
  <si>
    <r>
      <rPr>
        <sz val="8.5"/>
        <rFont val="Calibri"/>
        <family val="2"/>
      </rPr>
      <t>43.02.080</t>
    </r>
  </si>
  <si>
    <r>
      <rPr>
        <sz val="8.5"/>
        <rFont val="Calibri"/>
        <family val="2"/>
      </rPr>
      <t>Chuveiro elétrico de 6.500W / 220V com resistência blindada</t>
    </r>
  </si>
  <si>
    <r>
      <rPr>
        <sz val="8.5"/>
        <rFont val="Calibri"/>
        <family val="2"/>
      </rPr>
      <t>399,66</t>
    </r>
  </si>
  <si>
    <r>
      <rPr>
        <sz val="8.5"/>
        <rFont val="Calibri"/>
        <family val="2"/>
      </rPr>
      <t>29,14</t>
    </r>
  </si>
  <si>
    <r>
      <rPr>
        <sz val="8.5"/>
        <rFont val="Calibri"/>
        <family val="2"/>
      </rPr>
      <t>43.02.100</t>
    </r>
  </si>
  <si>
    <r>
      <rPr>
        <sz val="8.5"/>
        <rFont val="Calibri"/>
        <family val="2"/>
      </rPr>
      <t>Chuveiro com jato regulável em metal com acabamento cromado</t>
    </r>
  </si>
  <si>
    <r>
      <rPr>
        <sz val="8.5"/>
        <rFont val="Calibri"/>
        <family val="2"/>
      </rPr>
      <t>152,78</t>
    </r>
  </si>
  <si>
    <r>
      <rPr>
        <sz val="8.5"/>
        <rFont val="Calibri"/>
        <family val="2"/>
      </rPr>
      <t>170,98</t>
    </r>
  </si>
  <si>
    <r>
      <rPr>
        <sz val="8.5"/>
        <rFont val="Calibri"/>
        <family val="2"/>
      </rPr>
      <t>43.02.122</t>
    </r>
  </si>
  <si>
    <r>
      <rPr>
        <sz val="8.5"/>
        <rFont val="Calibri"/>
        <family val="2"/>
      </rPr>
      <t>Chuveiro frio em PVC, com registro e tubo de ligação acoplados</t>
    </r>
  </si>
  <si>
    <r>
      <rPr>
        <sz val="8.5"/>
        <rFont val="Calibri"/>
        <family val="2"/>
      </rPr>
      <t>43.02.140</t>
    </r>
  </si>
  <si>
    <r>
      <rPr>
        <sz val="8.5"/>
        <rFont val="Calibri"/>
        <family val="2"/>
      </rPr>
      <t>Chuveiro elétrico de 5.500 W / 220 V em PVC</t>
    </r>
  </si>
  <si>
    <r>
      <rPr>
        <sz val="8.5"/>
        <rFont val="Calibri"/>
        <family val="2"/>
      </rPr>
      <t>74,13</t>
    </r>
  </si>
  <si>
    <r>
      <rPr>
        <sz val="8.5"/>
        <rFont val="Calibri"/>
        <family val="2"/>
      </rPr>
      <t>103,27</t>
    </r>
  </si>
  <si>
    <r>
      <rPr>
        <sz val="8.5"/>
        <rFont val="Calibri"/>
        <family val="2"/>
      </rPr>
      <t>43.02.160</t>
    </r>
  </si>
  <si>
    <r>
      <rPr>
        <sz val="8.5"/>
        <rFont val="Calibri"/>
        <family val="2"/>
      </rPr>
      <t xml:space="preserve">Chuveiro lava-olhos, acionamento manual, tubulação em ferro
</t>
    </r>
    <r>
      <rPr>
        <sz val="8.5"/>
        <rFont val="Calibri"/>
        <family val="2"/>
      </rPr>
      <t>galvanizado com pintura epóxi cor verde</t>
    </r>
  </si>
  <si>
    <r>
      <rPr>
        <sz val="8.5"/>
        <rFont val="Calibri"/>
        <family val="2"/>
      </rPr>
      <t>3.024,48</t>
    </r>
  </si>
  <si>
    <r>
      <rPr>
        <sz val="8.5"/>
        <rFont val="Calibri"/>
        <family val="2"/>
      </rPr>
      <t>3.097,26</t>
    </r>
  </si>
  <si>
    <r>
      <rPr>
        <sz val="8.5"/>
        <rFont val="Calibri"/>
        <family val="2"/>
      </rPr>
      <t>43.02.170</t>
    </r>
  </si>
  <si>
    <r>
      <rPr>
        <sz val="8.5"/>
        <rFont val="Calibri"/>
        <family val="2"/>
      </rPr>
      <t>Chuveiro elétrico de 7.500W / 220 V, com resistência blindada</t>
    </r>
  </si>
  <si>
    <r>
      <rPr>
        <sz val="8.5"/>
        <rFont val="Calibri"/>
        <family val="2"/>
      </rPr>
      <t>440,35</t>
    </r>
  </si>
  <si>
    <r>
      <rPr>
        <sz val="8.5"/>
        <rFont val="Calibri"/>
        <family val="2"/>
      </rPr>
      <t>469,49</t>
    </r>
  </si>
  <si>
    <r>
      <rPr>
        <sz val="8.5"/>
        <rFont val="Calibri"/>
        <family val="2"/>
      </rPr>
      <t>43.02.180</t>
    </r>
  </si>
  <si>
    <r>
      <rPr>
        <sz val="8.5"/>
        <rFont val="Calibri"/>
        <family val="2"/>
      </rPr>
      <t>Ducha eletrônica de 6.800W até 7.900 W / 220 V</t>
    </r>
  </si>
  <si>
    <r>
      <rPr>
        <sz val="8.5"/>
        <rFont val="Calibri"/>
        <family val="2"/>
      </rPr>
      <t>144,64</t>
    </r>
  </si>
  <si>
    <r>
      <rPr>
        <sz val="8.5"/>
        <rFont val="Calibri"/>
        <family val="2"/>
      </rPr>
      <t>173,78</t>
    </r>
  </si>
  <si>
    <r>
      <rPr>
        <sz val="8.5"/>
        <rFont val="Calibri"/>
        <family val="2"/>
      </rPr>
      <t>Aquecedores</t>
    </r>
  </si>
  <si>
    <r>
      <rPr>
        <sz val="8.5"/>
        <rFont val="Calibri"/>
        <family val="2"/>
      </rPr>
      <t>43.03.050</t>
    </r>
  </si>
  <si>
    <r>
      <rPr>
        <sz val="8.5"/>
        <rFont val="Calibri"/>
        <family val="2"/>
      </rPr>
      <t>Aquecedor a gás de acumulação, capacidade 300 l</t>
    </r>
  </si>
  <si>
    <r>
      <rPr>
        <sz val="8.5"/>
        <rFont val="Calibri"/>
        <family val="2"/>
      </rPr>
      <t>14.520,16</t>
    </r>
  </si>
  <si>
    <r>
      <rPr>
        <sz val="8.5"/>
        <rFont val="Calibri"/>
        <family val="2"/>
      </rPr>
      <t>14.665,72</t>
    </r>
  </si>
  <si>
    <r>
      <rPr>
        <sz val="8.5"/>
        <rFont val="Calibri"/>
        <family val="2"/>
      </rPr>
      <t>43.03.130</t>
    </r>
  </si>
  <si>
    <r>
      <rPr>
        <sz val="8.5"/>
        <rFont val="Calibri"/>
        <family val="2"/>
      </rPr>
      <t>Aquecedor a gás de acumulação, capacidade 500 l</t>
    </r>
  </si>
  <si>
    <r>
      <rPr>
        <sz val="8.5"/>
        <rFont val="Calibri"/>
        <family val="2"/>
      </rPr>
      <t>12.700,34</t>
    </r>
  </si>
  <si>
    <r>
      <rPr>
        <sz val="8.5"/>
        <rFont val="Calibri"/>
        <family val="2"/>
      </rPr>
      <t>163,76</t>
    </r>
  </si>
  <si>
    <r>
      <rPr>
        <sz val="8.5"/>
        <rFont val="Calibri"/>
        <family val="2"/>
      </rPr>
      <t>12.864,10</t>
    </r>
  </si>
  <si>
    <r>
      <rPr>
        <sz val="8.5"/>
        <rFont val="Calibri"/>
        <family val="2"/>
      </rPr>
      <t>43.03.212</t>
    </r>
  </si>
  <si>
    <r>
      <rPr>
        <sz val="8.5"/>
        <rFont val="Calibri"/>
        <family val="2"/>
      </rPr>
      <t xml:space="preserve">Aquecedor de passagem elétrico individual, baixa pressão - 5.000 W /
</t>
    </r>
    <r>
      <rPr>
        <sz val="8.5"/>
        <rFont val="Calibri"/>
        <family val="2"/>
      </rPr>
      <t>6.400 W</t>
    </r>
  </si>
  <si>
    <r>
      <rPr>
        <sz val="8.5"/>
        <rFont val="Calibri"/>
        <family val="2"/>
      </rPr>
      <t>529,30</t>
    </r>
  </si>
  <si>
    <r>
      <rPr>
        <sz val="8.5"/>
        <rFont val="Calibri"/>
        <family val="2"/>
      </rPr>
      <t>711,25</t>
    </r>
  </si>
  <si>
    <r>
      <rPr>
        <sz val="8.5"/>
        <rFont val="Calibri"/>
        <family val="2"/>
      </rPr>
      <t>43.03.220</t>
    </r>
  </si>
  <si>
    <r>
      <rPr>
        <sz val="8.5"/>
        <rFont val="Calibri"/>
        <family val="2"/>
      </rPr>
      <t xml:space="preserve">Sistema de aquecimento de passagem a gás com sistema misturador
</t>
    </r>
    <r>
      <rPr>
        <sz val="8.5"/>
        <rFont val="Calibri"/>
        <family val="2"/>
      </rPr>
      <t>para abastecimento de até 08 duchas</t>
    </r>
  </si>
  <si>
    <r>
      <rPr>
        <sz val="8.5"/>
        <rFont val="Calibri"/>
        <family val="2"/>
      </rPr>
      <t>11.149,81</t>
    </r>
  </si>
  <si>
    <r>
      <rPr>
        <sz val="8.5"/>
        <rFont val="Calibri"/>
        <family val="2"/>
      </rPr>
      <t>3.840,48</t>
    </r>
  </si>
  <si>
    <r>
      <rPr>
        <sz val="8.5"/>
        <rFont val="Calibri"/>
        <family val="2"/>
      </rPr>
      <t>14.990,29</t>
    </r>
  </si>
  <si>
    <r>
      <rPr>
        <sz val="8.5"/>
        <rFont val="Calibri"/>
        <family val="2"/>
      </rPr>
      <t>43.03.230</t>
    </r>
  </si>
  <si>
    <r>
      <rPr>
        <sz val="8.5"/>
        <rFont val="Calibri"/>
        <family val="2"/>
      </rPr>
      <t xml:space="preserve">Sistema de aquecimento de passagem a gás com sistema misturador
</t>
    </r>
    <r>
      <rPr>
        <sz val="8.5"/>
        <rFont val="Calibri"/>
        <family val="2"/>
      </rPr>
      <t>para abastecimento de até 16 duchas</t>
    </r>
  </si>
  <si>
    <r>
      <rPr>
        <sz val="8.5"/>
        <rFont val="Calibri"/>
        <family val="2"/>
      </rPr>
      <t>20.091,47</t>
    </r>
  </si>
  <si>
    <r>
      <rPr>
        <sz val="8.5"/>
        <rFont val="Calibri"/>
        <family val="2"/>
      </rPr>
      <t>4.320,54</t>
    </r>
  </si>
  <si>
    <r>
      <rPr>
        <sz val="8.5"/>
        <rFont val="Calibri"/>
        <family val="2"/>
      </rPr>
      <t>24.412,01</t>
    </r>
  </si>
  <si>
    <r>
      <rPr>
        <sz val="8.5"/>
        <rFont val="Calibri"/>
        <family val="2"/>
      </rPr>
      <t>43.03.240</t>
    </r>
  </si>
  <si>
    <r>
      <rPr>
        <sz val="8.5"/>
        <rFont val="Calibri"/>
        <family val="2"/>
      </rPr>
      <t xml:space="preserve">Sistema de aquecimento de passagem a gás com sistema misturador
</t>
    </r>
    <r>
      <rPr>
        <sz val="8.5"/>
        <rFont val="Calibri"/>
        <family val="2"/>
      </rPr>
      <t>para abastecimento de até 24 duchas</t>
    </r>
  </si>
  <si>
    <r>
      <rPr>
        <sz val="8.5"/>
        <rFont val="Calibri"/>
        <family val="2"/>
      </rPr>
      <t>25.086,65</t>
    </r>
  </si>
  <si>
    <r>
      <rPr>
        <sz val="8.5"/>
        <rFont val="Calibri"/>
        <family val="2"/>
      </rPr>
      <t>5.080,73</t>
    </r>
  </si>
  <si>
    <r>
      <rPr>
        <sz val="8.5"/>
        <rFont val="Calibri"/>
        <family val="2"/>
      </rPr>
      <t>30.167,38</t>
    </r>
  </si>
  <si>
    <r>
      <rPr>
        <sz val="8.5"/>
        <rFont val="Calibri"/>
        <family val="2"/>
      </rPr>
      <t>43.03.500</t>
    </r>
  </si>
  <si>
    <r>
      <rPr>
        <sz val="8.5"/>
        <rFont val="Calibri"/>
        <family val="2"/>
      </rPr>
      <t xml:space="preserve">Coletor em alumínio para sistema de aquecimento solar com área
</t>
    </r>
    <r>
      <rPr>
        <sz val="8.5"/>
        <rFont val="Calibri"/>
        <family val="2"/>
      </rPr>
      <t>coletora até 1,60 m²</t>
    </r>
  </si>
  <si>
    <r>
      <rPr>
        <sz val="8.5"/>
        <rFont val="Calibri"/>
        <family val="2"/>
      </rPr>
      <t>1.050,35</t>
    </r>
  </si>
  <si>
    <r>
      <rPr>
        <sz val="8.5"/>
        <rFont val="Calibri"/>
        <family val="2"/>
      </rPr>
      <t>37,87</t>
    </r>
  </si>
  <si>
    <r>
      <rPr>
        <sz val="8.5"/>
        <rFont val="Calibri"/>
        <family val="2"/>
      </rPr>
      <t>1.088,22</t>
    </r>
  </si>
  <si>
    <r>
      <rPr>
        <sz val="8.5"/>
        <rFont val="Calibri"/>
        <family val="2"/>
      </rPr>
      <t>43.03.510</t>
    </r>
  </si>
  <si>
    <r>
      <rPr>
        <sz val="8.5"/>
        <rFont val="Calibri"/>
        <family val="2"/>
      </rPr>
      <t xml:space="preserve">Coletor em alumínio para sistema de aquecimento solar com área
</t>
    </r>
    <r>
      <rPr>
        <sz val="8.5"/>
        <rFont val="Calibri"/>
        <family val="2"/>
      </rPr>
      <t>coletora até 2,00 m²</t>
    </r>
  </si>
  <si>
    <r>
      <rPr>
        <sz val="8.5"/>
        <rFont val="Calibri"/>
        <family val="2"/>
      </rPr>
      <t>1.330,22</t>
    </r>
  </si>
  <si>
    <r>
      <rPr>
        <sz val="8.5"/>
        <rFont val="Calibri"/>
        <family val="2"/>
      </rPr>
      <t>47,33</t>
    </r>
  </si>
  <si>
    <r>
      <rPr>
        <sz val="8.5"/>
        <rFont val="Calibri"/>
        <family val="2"/>
      </rPr>
      <t>1.377,55</t>
    </r>
  </si>
  <si>
    <r>
      <rPr>
        <sz val="8.5"/>
        <rFont val="Calibri"/>
        <family val="2"/>
      </rPr>
      <t>43.03.550</t>
    </r>
  </si>
  <si>
    <r>
      <rPr>
        <sz val="8.5"/>
        <rFont val="Calibri"/>
        <family val="2"/>
      </rPr>
      <t xml:space="preserve">Reservatório térmico horizontal em aço inoxidável AISI 304, capacidade
</t>
    </r>
    <r>
      <rPr>
        <sz val="8.5"/>
        <rFont val="Calibri"/>
        <family val="2"/>
      </rPr>
      <t>de 500 litros</t>
    </r>
  </si>
  <si>
    <r>
      <rPr>
        <sz val="8.5"/>
        <rFont val="Calibri"/>
        <family val="2"/>
      </rPr>
      <t>2.677,52</t>
    </r>
  </si>
  <si>
    <r>
      <rPr>
        <sz val="8.5"/>
        <rFont val="Calibri"/>
        <family val="2"/>
      </rPr>
      <t>2.728,43</t>
    </r>
  </si>
  <si>
    <r>
      <rPr>
        <sz val="8.5"/>
        <rFont val="Calibri"/>
        <family val="2"/>
      </rPr>
      <t>Torneiras eletricas</t>
    </r>
  </si>
  <si>
    <r>
      <rPr>
        <sz val="8.5"/>
        <rFont val="Calibri"/>
        <family val="2"/>
      </rPr>
      <t>43.04.020</t>
    </r>
  </si>
  <si>
    <r>
      <rPr>
        <sz val="8.5"/>
        <rFont val="Calibri"/>
        <family val="2"/>
      </rPr>
      <t>Torneira elétrica</t>
    </r>
  </si>
  <si>
    <r>
      <rPr>
        <sz val="8.5"/>
        <rFont val="Calibri"/>
        <family val="2"/>
      </rPr>
      <t>176,00</t>
    </r>
  </si>
  <si>
    <r>
      <rPr>
        <sz val="8.5"/>
        <rFont val="Calibri"/>
        <family val="2"/>
      </rPr>
      <t>205,14</t>
    </r>
  </si>
  <si>
    <r>
      <rPr>
        <sz val="8.5"/>
        <rFont val="Calibri"/>
        <family val="2"/>
      </rPr>
      <t>Exaustor, ventilador e circulador de ar</t>
    </r>
  </si>
  <si>
    <r>
      <rPr>
        <sz val="8.5"/>
        <rFont val="Calibri"/>
        <family val="2"/>
      </rPr>
      <t>43.05.030</t>
    </r>
  </si>
  <si>
    <r>
      <rPr>
        <sz val="8.5"/>
        <rFont val="Calibri"/>
        <family val="2"/>
      </rPr>
      <t>Exaustor elétrico em plástico, vazão de 150 a 190m³/h</t>
    </r>
  </si>
  <si>
    <r>
      <rPr>
        <sz val="8.5"/>
        <rFont val="Calibri"/>
        <family val="2"/>
      </rPr>
      <t>381,03</t>
    </r>
  </si>
  <si>
    <r>
      <rPr>
        <sz val="8.5"/>
        <rFont val="Calibri"/>
        <family val="2"/>
      </rPr>
      <t>417,42</t>
    </r>
  </si>
  <si>
    <r>
      <rPr>
        <sz val="8.5"/>
        <rFont val="Calibri"/>
        <family val="2"/>
      </rPr>
      <t>43.05.100</t>
    </r>
  </si>
  <si>
    <r>
      <rPr>
        <sz val="8.5"/>
        <rFont val="Calibri"/>
        <family val="2"/>
      </rPr>
      <t xml:space="preserve">Insuflador de ar compacto, para renovação de ar em ambientes, vazão
</t>
    </r>
    <r>
      <rPr>
        <sz val="8.5"/>
        <rFont val="Calibri"/>
        <family val="2"/>
      </rPr>
      <t>máxima 93 m³/h</t>
    </r>
  </si>
  <si>
    <r>
      <rPr>
        <sz val="8.5"/>
        <rFont val="Calibri"/>
        <family val="2"/>
      </rPr>
      <t>289,48</t>
    </r>
  </si>
  <si>
    <r>
      <rPr>
        <sz val="8.5"/>
        <rFont val="Calibri"/>
        <family val="2"/>
      </rPr>
      <t>325,87</t>
    </r>
  </si>
  <si>
    <r>
      <rPr>
        <sz val="8.5"/>
        <rFont val="Calibri"/>
        <family val="2"/>
      </rPr>
      <t>Emissores de som</t>
    </r>
  </si>
  <si>
    <r>
      <rPr>
        <sz val="8.5"/>
        <rFont val="Calibri"/>
        <family val="2"/>
      </rPr>
      <t>43.06.010</t>
    </r>
  </si>
  <si>
    <r>
      <rPr>
        <sz val="8.5"/>
        <rFont val="Calibri"/>
        <family val="2"/>
      </rPr>
      <t>Cigarra de embutir 50/60HZ até 127V, com placa</t>
    </r>
  </si>
  <si>
    <r>
      <rPr>
        <sz val="8.5"/>
        <rFont val="Calibri"/>
        <family val="2"/>
      </rPr>
      <t>33,18</t>
    </r>
  </si>
  <si>
    <r>
      <rPr>
        <sz val="8.5"/>
        <rFont val="Calibri"/>
        <family val="2"/>
      </rPr>
      <t>51,38</t>
    </r>
  </si>
  <si>
    <r>
      <rPr>
        <sz val="8.5"/>
        <rFont val="Calibri"/>
        <family val="2"/>
      </rPr>
      <t>Aparelho condicionador de ar</t>
    </r>
  </si>
  <si>
    <r>
      <rPr>
        <sz val="8.5"/>
        <rFont val="Calibri"/>
        <family val="2"/>
      </rPr>
      <t>43.07.070</t>
    </r>
  </si>
  <si>
    <r>
      <rPr>
        <sz val="8.5"/>
        <rFont val="Calibri"/>
        <family val="2"/>
      </rPr>
      <t xml:space="preserve">Ar condicionado a frio, tipo split piso teto com capacidade de 48.000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</si>
  <si>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7.222,21</t>
    </r>
  </si>
  <si>
    <r>
      <rPr>
        <sz val="8.5"/>
        <rFont val="Calibri"/>
        <family val="2"/>
      </rPr>
      <t>297,69</t>
    </r>
  </si>
  <si>
    <r>
      <rPr>
        <sz val="8.5"/>
        <rFont val="Calibri"/>
        <family val="2"/>
      </rPr>
      <t>7.519,90</t>
    </r>
  </si>
  <si>
    <r>
      <rPr>
        <sz val="8.5"/>
        <rFont val="Calibri"/>
        <family val="2"/>
      </rPr>
      <t>43.07.300</t>
    </r>
  </si>
  <si>
    <r>
      <rPr>
        <sz val="8.5"/>
        <rFont val="Calibri"/>
        <family val="2"/>
      </rPr>
      <t xml:space="preserve">Ar condicionado a frio, tipo split cassete com capacidade de 18.000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</si>
  <si>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6.410,82</t>
    </r>
  </si>
  <si>
    <r>
      <rPr>
        <sz val="8.5"/>
        <rFont val="Calibri"/>
        <family val="2"/>
      </rPr>
      <t>288,41</t>
    </r>
  </si>
  <si>
    <r>
      <rPr>
        <sz val="8.5"/>
        <rFont val="Calibri"/>
        <family val="2"/>
      </rPr>
      <t>6.699,23</t>
    </r>
  </si>
  <si>
    <r>
      <rPr>
        <sz val="8.5"/>
        <rFont val="Calibri"/>
        <family val="2"/>
      </rPr>
      <t>43.07.310</t>
    </r>
  </si>
  <si>
    <r>
      <rPr>
        <sz val="8.5"/>
        <rFont val="Calibri"/>
        <family val="2"/>
      </rPr>
      <t xml:space="preserve">Ar condicionado a frio, tipo split cassete com capacidade de 24.000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</si>
  <si>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7.766,26</t>
    </r>
  </si>
  <si>
    <r>
      <rPr>
        <sz val="8.5"/>
        <rFont val="Calibri"/>
        <family val="2"/>
      </rPr>
      <t>8.063,95</t>
    </r>
  </si>
  <si>
    <r>
      <rPr>
        <sz val="8.5"/>
        <rFont val="Calibri"/>
        <family val="2"/>
      </rPr>
      <t>43.07.320</t>
    </r>
  </si>
  <si>
    <r>
      <rPr>
        <sz val="8.5"/>
        <rFont val="Calibri"/>
        <family val="2"/>
      </rPr>
      <t xml:space="preserve">Ar condicionado a frio, tipo split cassete com capacidade de 36.000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</si>
  <si>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11.307,54</t>
    </r>
  </si>
  <si>
    <r>
      <rPr>
        <sz val="8.5"/>
        <rFont val="Calibri"/>
        <family val="2"/>
      </rPr>
      <t>11.605,23</t>
    </r>
  </si>
  <si>
    <r>
      <rPr>
        <sz val="8.5"/>
        <rFont val="Calibri"/>
        <family val="2"/>
      </rPr>
      <t>43.07.330</t>
    </r>
  </si>
  <si>
    <r>
      <rPr>
        <sz val="8.5"/>
        <rFont val="Calibri"/>
        <family val="2"/>
      </rPr>
      <t>Ar condicionado a frio, tipo split parede com capacidade de 12.000 BTU/h</t>
    </r>
  </si>
  <si>
    <r>
      <rPr>
        <sz val="8.5"/>
        <rFont val="Calibri"/>
        <family val="2"/>
      </rPr>
      <t>2.775,19</t>
    </r>
  </si>
  <si>
    <r>
      <rPr>
        <sz val="8.5"/>
        <rFont val="Calibri"/>
        <family val="2"/>
      </rPr>
      <t>3.063,60</t>
    </r>
  </si>
  <si>
    <r>
      <rPr>
        <sz val="8.5"/>
        <rFont val="Calibri"/>
        <family val="2"/>
      </rPr>
      <t>43.07.340</t>
    </r>
  </si>
  <si>
    <r>
      <rPr>
        <sz val="8.5"/>
        <rFont val="Calibri"/>
        <family val="2"/>
      </rPr>
      <t>Ar condicionado a frio, tipo split parede com capacidade de 18.000 BTU/h</t>
    </r>
  </si>
  <si>
    <r>
      <rPr>
        <sz val="8.5"/>
        <rFont val="Calibri"/>
        <family val="2"/>
      </rPr>
      <t>3.755,95</t>
    </r>
  </si>
  <si>
    <r>
      <rPr>
        <sz val="8.5"/>
        <rFont val="Calibri"/>
        <family val="2"/>
      </rPr>
      <t>4.044,36</t>
    </r>
  </si>
  <si>
    <r>
      <rPr>
        <sz val="8.5"/>
        <rFont val="Calibri"/>
        <family val="2"/>
      </rPr>
      <t>43.07.350</t>
    </r>
  </si>
  <si>
    <r>
      <rPr>
        <sz val="8.5"/>
        <rFont val="Calibri"/>
        <family val="2"/>
      </rPr>
      <t>Ar condicionado a frio, tipo split parede com capacidade de 24.000 BTU/h</t>
    </r>
  </si>
  <si>
    <r>
      <rPr>
        <sz val="8.5"/>
        <rFont val="Calibri"/>
        <family val="2"/>
      </rPr>
      <t>5.673,03</t>
    </r>
  </si>
  <si>
    <r>
      <rPr>
        <sz val="8.5"/>
        <rFont val="Calibri"/>
        <family val="2"/>
      </rPr>
      <t>5.970,72</t>
    </r>
  </si>
  <si>
    <r>
      <rPr>
        <sz val="8.5"/>
        <rFont val="Calibri"/>
        <family val="2"/>
      </rPr>
      <t>43.07.360</t>
    </r>
  </si>
  <si>
    <r>
      <rPr>
        <sz val="8.5"/>
        <rFont val="Calibri"/>
        <family val="2"/>
      </rPr>
      <t>Ar condicionado a frio, tipo split parede com capacidade de 30.000 BTU/h</t>
    </r>
  </si>
  <si>
    <r>
      <rPr>
        <sz val="8.5"/>
        <rFont val="Calibri"/>
        <family val="2"/>
      </rPr>
      <t>6.177,44</t>
    </r>
  </si>
  <si>
    <r>
      <rPr>
        <sz val="8.5"/>
        <rFont val="Calibri"/>
        <family val="2"/>
      </rPr>
      <t>6.475,13</t>
    </r>
  </si>
  <si>
    <r>
      <rPr>
        <sz val="8.5"/>
        <rFont val="Calibri"/>
        <family val="2"/>
      </rPr>
      <t>43.07.380</t>
    </r>
  </si>
  <si>
    <r>
      <rPr>
        <sz val="8.5"/>
        <rFont val="Calibri"/>
        <family val="2"/>
      </rPr>
      <t xml:space="preserve">Ar condicionado a frio, tipo split piso teto com capacidade de 24.000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</si>
  <si>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6.221,08</t>
    </r>
  </si>
  <si>
    <r>
      <rPr>
        <sz val="8.5"/>
        <rFont val="Calibri"/>
        <family val="2"/>
      </rPr>
      <t>6.518,77</t>
    </r>
  </si>
  <si>
    <r>
      <rPr>
        <sz val="8.5"/>
        <rFont val="Calibri"/>
        <family val="2"/>
      </rPr>
      <t>43.07.390</t>
    </r>
  </si>
  <si>
    <r>
      <rPr>
        <sz val="8.5"/>
        <rFont val="Calibri"/>
        <family val="2"/>
      </rPr>
      <t xml:space="preserve">Ar condicionado a frio, tipo split piso teto com capacidade de 36.000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</si>
  <si>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9.321,46</t>
    </r>
  </si>
  <si>
    <r>
      <rPr>
        <sz val="8.5"/>
        <rFont val="Calibri"/>
        <family val="2"/>
      </rPr>
      <t>9.619,15</t>
    </r>
  </si>
  <si>
    <r>
      <rPr>
        <sz val="8.5"/>
        <rFont val="Calibri"/>
        <family val="2"/>
      </rPr>
      <t>Equipamentos para sistema VRF ar condicionado</t>
    </r>
  </si>
  <si>
    <r>
      <rPr>
        <sz val="8.5"/>
        <rFont val="Calibri"/>
        <family val="2"/>
      </rPr>
      <t>43.08.001</t>
    </r>
  </si>
  <si>
    <r>
      <rPr>
        <sz val="8.5"/>
        <rFont val="Calibri"/>
        <family val="2"/>
      </rPr>
      <t>Condensador para sistema VRF de ar condicionado, capacidade até 6 TR</t>
    </r>
  </si>
  <si>
    <r>
      <rPr>
        <sz val="8.5"/>
        <rFont val="Calibri"/>
        <family val="2"/>
      </rPr>
      <t>36.238,23</t>
    </r>
  </si>
  <si>
    <r>
      <rPr>
        <sz val="8.5"/>
        <rFont val="Calibri"/>
        <family val="2"/>
      </rPr>
      <t>675,44</t>
    </r>
  </si>
  <si>
    <r>
      <rPr>
        <sz val="8.5"/>
        <rFont val="Calibri"/>
        <family val="2"/>
      </rPr>
      <t>36.913,67</t>
    </r>
  </si>
  <si>
    <r>
      <rPr>
        <sz val="8.5"/>
        <rFont val="Calibri"/>
        <family val="2"/>
      </rPr>
      <t>43.08.002</t>
    </r>
  </si>
  <si>
    <r>
      <rPr>
        <sz val="8.5"/>
        <rFont val="Calibri"/>
        <family val="2"/>
      </rPr>
      <t xml:space="preserve">Condensador para sistema VRF de ar condicionado, capacidade de 8 TR a
</t>
    </r>
    <r>
      <rPr>
        <sz val="8.5"/>
        <rFont val="Calibri"/>
        <family val="2"/>
      </rPr>
      <t>10 TR</t>
    </r>
  </si>
  <si>
    <r>
      <rPr>
        <sz val="8.5"/>
        <rFont val="Calibri"/>
        <family val="2"/>
      </rPr>
      <t>41.889,77</t>
    </r>
  </si>
  <si>
    <r>
      <rPr>
        <sz val="8.5"/>
        <rFont val="Calibri"/>
        <family val="2"/>
      </rPr>
      <t>42.565,21</t>
    </r>
  </si>
  <si>
    <r>
      <rPr>
        <sz val="8.5"/>
        <rFont val="Calibri"/>
        <family val="2"/>
      </rPr>
      <t>43.08.003</t>
    </r>
  </si>
  <si>
    <r>
      <rPr>
        <sz val="8.5"/>
        <rFont val="Calibri"/>
        <family val="2"/>
      </rPr>
      <t xml:space="preserve">Condensador para sistema VRF de ar condicionado, capacidade de 11 TR
</t>
    </r>
    <r>
      <rPr>
        <sz val="8.5"/>
        <rFont val="Calibri"/>
        <family val="2"/>
      </rPr>
      <t>a 13 TR</t>
    </r>
  </si>
  <si>
    <r>
      <rPr>
        <sz val="8.5"/>
        <rFont val="Calibri"/>
        <family val="2"/>
      </rPr>
      <t>48.400,55</t>
    </r>
  </si>
  <si>
    <r>
      <rPr>
        <sz val="8.5"/>
        <rFont val="Calibri"/>
        <family val="2"/>
      </rPr>
      <t>49.075,99</t>
    </r>
  </si>
  <si>
    <r>
      <rPr>
        <sz val="8.5"/>
        <rFont val="Calibri"/>
        <family val="2"/>
      </rPr>
      <t>43.08.004</t>
    </r>
  </si>
  <si>
    <r>
      <rPr>
        <sz val="8.5"/>
        <rFont val="Calibri"/>
        <family val="2"/>
      </rPr>
      <t xml:space="preserve">Condensador para sistema VRF de ar condicionado, capacidade de 14 TR
</t>
    </r>
    <r>
      <rPr>
        <sz val="8.5"/>
        <rFont val="Calibri"/>
        <family val="2"/>
      </rPr>
      <t>a 16 TR</t>
    </r>
  </si>
  <si>
    <r>
      <rPr>
        <sz val="8.5"/>
        <rFont val="Calibri"/>
        <family val="2"/>
      </rPr>
      <t>53.936,94</t>
    </r>
  </si>
  <si>
    <r>
      <rPr>
        <sz val="8.5"/>
        <rFont val="Calibri"/>
        <family val="2"/>
      </rPr>
      <t>54.612,38</t>
    </r>
  </si>
  <si>
    <r>
      <rPr>
        <sz val="8.5"/>
        <rFont val="Calibri"/>
        <family val="2"/>
      </rPr>
      <t>43.08.020</t>
    </r>
  </si>
  <si>
    <r>
      <rPr>
        <sz val="8.5"/>
        <rFont val="Calibri"/>
        <family val="2"/>
      </rPr>
      <t xml:space="preserve">Evaporador para sistema VRF de ar condicionado, tipo parede,
</t>
    </r>
    <r>
      <rPr>
        <sz val="8.5"/>
        <rFont val="Calibri"/>
        <family val="2"/>
      </rPr>
      <t>capacidade de 1 TR</t>
    </r>
  </si>
  <si>
    <r>
      <rPr>
        <sz val="8.5"/>
        <rFont val="Calibri"/>
        <family val="2"/>
      </rPr>
      <t>3.484,32</t>
    </r>
  </si>
  <si>
    <r>
      <rPr>
        <sz val="8.5"/>
        <rFont val="Calibri"/>
        <family val="2"/>
      </rPr>
      <t>591,01</t>
    </r>
  </si>
  <si>
    <r>
      <rPr>
        <sz val="8.5"/>
        <rFont val="Calibri"/>
        <family val="2"/>
      </rPr>
      <t>4.075,33</t>
    </r>
  </si>
  <si>
    <r>
      <rPr>
        <sz val="8.5"/>
        <rFont val="Calibri"/>
        <family val="2"/>
      </rPr>
      <t>43.08.021</t>
    </r>
  </si>
  <si>
    <r>
      <rPr>
        <sz val="8.5"/>
        <rFont val="Calibri"/>
        <family val="2"/>
      </rPr>
      <t xml:space="preserve">Evaporador para sistema VRF de ar condicionado, tipo parede,
</t>
    </r>
    <r>
      <rPr>
        <sz val="8.5"/>
        <rFont val="Calibri"/>
        <family val="2"/>
      </rPr>
      <t>capacidade de 2 TR</t>
    </r>
  </si>
  <si>
    <r>
      <rPr>
        <sz val="8.5"/>
        <rFont val="Calibri"/>
        <family val="2"/>
      </rPr>
      <t>4.504,61</t>
    </r>
  </si>
  <si>
    <r>
      <rPr>
        <sz val="8.5"/>
        <rFont val="Calibri"/>
        <family val="2"/>
      </rPr>
      <t>5.095,62</t>
    </r>
  </si>
  <si>
    <r>
      <rPr>
        <sz val="8.5"/>
        <rFont val="Calibri"/>
        <family val="2"/>
      </rPr>
      <t>43.08.022</t>
    </r>
  </si>
  <si>
    <r>
      <rPr>
        <sz val="8.5"/>
        <rFont val="Calibri"/>
        <family val="2"/>
      </rPr>
      <t xml:space="preserve">Evaporador para sistema VRF de ar condicionado, tipo parede,
</t>
    </r>
    <r>
      <rPr>
        <sz val="8.5"/>
        <rFont val="Calibri"/>
        <family val="2"/>
      </rPr>
      <t>capacidade de 3 TR</t>
    </r>
  </si>
  <si>
    <r>
      <rPr>
        <sz val="8.5"/>
        <rFont val="Calibri"/>
        <family val="2"/>
      </rPr>
      <t>6.056,92</t>
    </r>
  </si>
  <si>
    <r>
      <rPr>
        <sz val="8.5"/>
        <rFont val="Calibri"/>
        <family val="2"/>
      </rPr>
      <t>6.647,93</t>
    </r>
  </si>
  <si>
    <r>
      <rPr>
        <sz val="8.5"/>
        <rFont val="Calibri"/>
        <family val="2"/>
      </rPr>
      <t>43.08.030</t>
    </r>
  </si>
  <si>
    <r>
      <rPr>
        <sz val="8.5"/>
        <rFont val="Calibri"/>
        <family val="2"/>
      </rPr>
      <t xml:space="preserve">Evaporador para sistema VRF de ar condicionado, tipo piso teto,
</t>
    </r>
    <r>
      <rPr>
        <sz val="8.5"/>
        <rFont val="Calibri"/>
        <family val="2"/>
      </rPr>
      <t>capacidade de 1 TR</t>
    </r>
  </si>
  <si>
    <r>
      <rPr>
        <sz val="8.5"/>
        <rFont val="Calibri"/>
        <family val="2"/>
      </rPr>
      <t>3.878,83</t>
    </r>
  </si>
  <si>
    <r>
      <rPr>
        <sz val="8.5"/>
        <rFont val="Calibri"/>
        <family val="2"/>
      </rPr>
      <t>4.469,84</t>
    </r>
  </si>
  <si>
    <r>
      <rPr>
        <sz val="8.5"/>
        <rFont val="Calibri"/>
        <family val="2"/>
      </rPr>
      <t>43.08.031</t>
    </r>
  </si>
  <si>
    <r>
      <rPr>
        <sz val="8.5"/>
        <rFont val="Calibri"/>
        <family val="2"/>
      </rPr>
      <t xml:space="preserve">Evaporador para sistema VRF de ar condicionado, tipo piso teto,
</t>
    </r>
    <r>
      <rPr>
        <sz val="8.5"/>
        <rFont val="Calibri"/>
        <family val="2"/>
      </rPr>
      <t>capacidade de 2 TR</t>
    </r>
  </si>
  <si>
    <r>
      <rPr>
        <sz val="8.5"/>
        <rFont val="Calibri"/>
        <family val="2"/>
      </rPr>
      <t>4.466,35</t>
    </r>
  </si>
  <si>
    <r>
      <rPr>
        <sz val="8.5"/>
        <rFont val="Calibri"/>
        <family val="2"/>
      </rPr>
      <t>5.057,36</t>
    </r>
  </si>
  <si>
    <r>
      <rPr>
        <sz val="8.5"/>
        <rFont val="Calibri"/>
        <family val="2"/>
      </rPr>
      <t>43.08.032</t>
    </r>
  </si>
  <si>
    <r>
      <rPr>
        <sz val="8.5"/>
        <rFont val="Calibri"/>
        <family val="2"/>
      </rPr>
      <t xml:space="preserve">Evaporador para sistema VRF de ar condicionado, tipo piso teto,
</t>
    </r>
    <r>
      <rPr>
        <sz val="8.5"/>
        <rFont val="Calibri"/>
        <family val="2"/>
      </rPr>
      <t>capacidade de 3 TR</t>
    </r>
  </si>
  <si>
    <r>
      <rPr>
        <sz val="8.5"/>
        <rFont val="Calibri"/>
        <family val="2"/>
      </rPr>
      <t>5.302,67</t>
    </r>
  </si>
  <si>
    <r>
      <rPr>
        <sz val="8.5"/>
        <rFont val="Calibri"/>
        <family val="2"/>
      </rPr>
      <t>5.893,68</t>
    </r>
  </si>
  <si>
    <r>
      <rPr>
        <sz val="8.5"/>
        <rFont val="Calibri"/>
        <family val="2"/>
      </rPr>
      <t>43.08.033</t>
    </r>
  </si>
  <si>
    <r>
      <rPr>
        <sz val="8.5"/>
        <rFont val="Calibri"/>
        <family val="2"/>
      </rPr>
      <t xml:space="preserve">Evaporador para sistema VRF de ar condicionado, tipo piso teto,
</t>
    </r>
    <r>
      <rPr>
        <sz val="8.5"/>
        <rFont val="Calibri"/>
        <family val="2"/>
      </rPr>
      <t>capacidade de 4 TR</t>
    </r>
  </si>
  <si>
    <r>
      <rPr>
        <sz val="8.5"/>
        <rFont val="Calibri"/>
        <family val="2"/>
      </rPr>
      <t>6.141,67</t>
    </r>
  </si>
  <si>
    <r>
      <rPr>
        <sz val="8.5"/>
        <rFont val="Calibri"/>
        <family val="2"/>
      </rPr>
      <t>6.732,68</t>
    </r>
  </si>
  <si>
    <r>
      <rPr>
        <sz val="8.5"/>
        <rFont val="Calibri"/>
        <family val="2"/>
      </rPr>
      <t>43.08.040</t>
    </r>
  </si>
  <si>
    <r>
      <rPr>
        <sz val="8.5"/>
        <rFont val="Calibri"/>
        <family val="2"/>
      </rPr>
      <t xml:space="preserve">Evaporador para sistema VRF de ar condicionado, tipo cassete,
</t>
    </r>
    <r>
      <rPr>
        <sz val="8.5"/>
        <rFont val="Calibri"/>
        <family val="2"/>
      </rPr>
      <t>capacidade de 1 TR</t>
    </r>
  </si>
  <si>
    <r>
      <rPr>
        <sz val="8.5"/>
        <rFont val="Calibri"/>
        <family val="2"/>
      </rPr>
      <t>3.579,83</t>
    </r>
  </si>
  <si>
    <r>
      <rPr>
        <sz val="8.5"/>
        <rFont val="Calibri"/>
        <family val="2"/>
      </rPr>
      <t>4.170,84</t>
    </r>
  </si>
  <si>
    <r>
      <rPr>
        <sz val="8.5"/>
        <rFont val="Calibri"/>
        <family val="2"/>
      </rPr>
      <t>43.08.041</t>
    </r>
  </si>
  <si>
    <r>
      <rPr>
        <sz val="8.5"/>
        <rFont val="Calibri"/>
        <family val="2"/>
      </rPr>
      <t xml:space="preserve">Evaporador para sistema VRF de ar condicionado, tipo cassete,
</t>
    </r>
    <r>
      <rPr>
        <sz val="8.5"/>
        <rFont val="Calibri"/>
        <family val="2"/>
      </rPr>
      <t>capacidade de 2 TR</t>
    </r>
  </si>
  <si>
    <r>
      <rPr>
        <sz val="8.5"/>
        <rFont val="Calibri"/>
        <family val="2"/>
      </rPr>
      <t>4.067,14</t>
    </r>
  </si>
  <si>
    <r>
      <rPr>
        <sz val="8.5"/>
        <rFont val="Calibri"/>
        <family val="2"/>
      </rPr>
      <t>4.658,15</t>
    </r>
  </si>
  <si>
    <r>
      <rPr>
        <sz val="8.5"/>
        <rFont val="Calibri"/>
        <family val="2"/>
      </rPr>
      <t>43.08.042</t>
    </r>
  </si>
  <si>
    <r>
      <rPr>
        <sz val="8.5"/>
        <rFont val="Calibri"/>
        <family val="2"/>
      </rPr>
      <t xml:space="preserve">Evaporador para sistema VRF de ar condicionado, tipo cassete,
</t>
    </r>
    <r>
      <rPr>
        <sz val="8.5"/>
        <rFont val="Calibri"/>
        <family val="2"/>
      </rPr>
      <t>capacidade de 3 TR</t>
    </r>
  </si>
  <si>
    <r>
      <rPr>
        <sz val="8.5"/>
        <rFont val="Calibri"/>
        <family val="2"/>
      </rPr>
      <t>4.414,43</t>
    </r>
  </si>
  <si>
    <r>
      <rPr>
        <sz val="8.5"/>
        <rFont val="Calibri"/>
        <family val="2"/>
      </rPr>
      <t>5.005,44</t>
    </r>
  </si>
  <si>
    <r>
      <rPr>
        <sz val="8.5"/>
        <rFont val="Calibri"/>
        <family val="2"/>
      </rPr>
      <t>43.08.043</t>
    </r>
  </si>
  <si>
    <r>
      <rPr>
        <sz val="8.5"/>
        <rFont val="Calibri"/>
        <family val="2"/>
      </rPr>
      <t xml:space="preserve">Evaporador para sistema VRF de ar condicionado, tipo cassete,
</t>
    </r>
    <r>
      <rPr>
        <sz val="8.5"/>
        <rFont val="Calibri"/>
        <family val="2"/>
      </rPr>
      <t>capacidade de 4 TR</t>
    </r>
  </si>
  <si>
    <r>
      <rPr>
        <sz val="8.5"/>
        <rFont val="Calibri"/>
        <family val="2"/>
      </rPr>
      <t>4.559,24</t>
    </r>
  </si>
  <si>
    <r>
      <rPr>
        <sz val="8.5"/>
        <rFont val="Calibri"/>
        <family val="2"/>
      </rPr>
      <t>5.150,25</t>
    </r>
  </si>
  <si>
    <r>
      <rPr>
        <sz val="8.5"/>
        <rFont val="Calibri"/>
        <family val="2"/>
      </rPr>
      <t>Bombas centrifugas, uso geral</t>
    </r>
  </si>
  <si>
    <r>
      <rPr>
        <sz val="8.5"/>
        <rFont val="Calibri"/>
        <family val="2"/>
      </rPr>
      <t>43.10.050</t>
    </r>
  </si>
  <si>
    <r>
      <rPr>
        <sz val="8.5"/>
        <rFont val="Calibri"/>
        <family val="2"/>
      </rPr>
      <t xml:space="preserve">Conjunto motor-bomba (centrífuga) 10 cv, monoestágio, Hman= 24 a 36
</t>
    </r>
    <r>
      <rPr>
        <sz val="8.5"/>
        <rFont val="Calibri"/>
        <family val="2"/>
      </rPr>
      <t>mca, Q= 53 a 45 m³/h</t>
    </r>
  </si>
  <si>
    <r>
      <rPr>
        <sz val="8.5"/>
        <rFont val="Calibri"/>
        <family val="2"/>
      </rPr>
      <t>7.451,83</t>
    </r>
  </si>
  <si>
    <r>
      <rPr>
        <sz val="8.5"/>
        <rFont val="Calibri"/>
        <family val="2"/>
      </rPr>
      <t>7.655,47</t>
    </r>
  </si>
  <si>
    <r>
      <rPr>
        <sz val="8.5"/>
        <rFont val="Calibri"/>
        <family val="2"/>
      </rPr>
      <t>43.10.090</t>
    </r>
  </si>
  <si>
    <r>
      <rPr>
        <sz val="8.5"/>
        <rFont val="Calibri"/>
        <family val="2"/>
      </rPr>
      <t xml:space="preserve">Conjunto motor-bomba (centrífuga) 20 cv, monoestágio, Hman= 40 a 70
</t>
    </r>
    <r>
      <rPr>
        <sz val="8.5"/>
        <rFont val="Calibri"/>
        <family val="2"/>
      </rPr>
      <t>mca, Q= 76 a 28 m³/h</t>
    </r>
  </si>
  <si>
    <r>
      <rPr>
        <sz val="8.5"/>
        <rFont val="Calibri"/>
        <family val="2"/>
      </rPr>
      <t>13.123,81</t>
    </r>
  </si>
  <si>
    <r>
      <rPr>
        <sz val="8.5"/>
        <rFont val="Calibri"/>
        <family val="2"/>
      </rPr>
      <t>13.327,45</t>
    </r>
  </si>
  <si>
    <r>
      <rPr>
        <sz val="8.5"/>
        <rFont val="Calibri"/>
        <family val="2"/>
      </rPr>
      <t>43.10.110</t>
    </r>
  </si>
  <si>
    <r>
      <rPr>
        <sz val="8.5"/>
        <rFont val="Calibri"/>
        <family val="2"/>
      </rPr>
      <t xml:space="preserve">Conjunto motor-bomba (centrífuga) 5 cv, monoestágio, Hmam= 14 a 26
</t>
    </r>
    <r>
      <rPr>
        <sz val="8.5"/>
        <rFont val="Calibri"/>
        <family val="2"/>
      </rPr>
      <t>mca, Q= 56 a 30 m³/h</t>
    </r>
  </si>
  <si>
    <r>
      <rPr>
        <sz val="8.5"/>
        <rFont val="Calibri"/>
        <family val="2"/>
      </rPr>
      <t>3.600,62</t>
    </r>
  </si>
  <si>
    <r>
      <rPr>
        <sz val="8.5"/>
        <rFont val="Calibri"/>
        <family val="2"/>
      </rPr>
      <t>3.804,26</t>
    </r>
  </si>
  <si>
    <r>
      <rPr>
        <sz val="8.5"/>
        <rFont val="Calibri"/>
        <family val="2"/>
      </rPr>
      <t>43.10.130</t>
    </r>
  </si>
  <si>
    <r>
      <rPr>
        <sz val="8.5"/>
        <rFont val="Calibri"/>
        <family val="2"/>
      </rPr>
      <t xml:space="preserve">Conjunto motor-bomba (centrífuga) 3/4 cv, monoestágio, Hman= 10 a 16
</t>
    </r>
    <r>
      <rPr>
        <sz val="8.5"/>
        <rFont val="Calibri"/>
        <family val="2"/>
      </rPr>
      <t>mca, Q= 12,7 a 8 m³/h</t>
    </r>
  </si>
  <si>
    <r>
      <rPr>
        <sz val="8.5"/>
        <rFont val="Calibri"/>
        <family val="2"/>
      </rPr>
      <t>1.924,37</t>
    </r>
  </si>
  <si>
    <r>
      <rPr>
        <sz val="8.5"/>
        <rFont val="Calibri"/>
        <family val="2"/>
      </rPr>
      <t>2.128,01</t>
    </r>
  </si>
  <si>
    <r>
      <rPr>
        <sz val="8.5"/>
        <rFont val="Calibri"/>
        <family val="2"/>
      </rPr>
      <t>43.10.210</t>
    </r>
  </si>
  <si>
    <r>
      <rPr>
        <sz val="8.5"/>
        <rFont val="Calibri"/>
        <family val="2"/>
      </rPr>
      <t xml:space="preserve">Conjunto motor-bomba (centrífuga) 60 cv, monoestágio, Hman= 90 a
</t>
    </r>
    <r>
      <rPr>
        <sz val="8.5"/>
        <rFont val="Calibri"/>
        <family val="2"/>
      </rPr>
      <t>125 mca, Q= 115 a 50 m³/h</t>
    </r>
  </si>
  <si>
    <r>
      <rPr>
        <sz val="8.5"/>
        <rFont val="Calibri"/>
        <family val="2"/>
      </rPr>
      <t>34.874,95</t>
    </r>
  </si>
  <si>
    <r>
      <rPr>
        <sz val="8.5"/>
        <rFont val="Calibri"/>
        <family val="2"/>
      </rPr>
      <t>35.078,59</t>
    </r>
  </si>
  <si>
    <r>
      <rPr>
        <sz val="8.5"/>
        <rFont val="Calibri"/>
        <family val="2"/>
      </rPr>
      <t>43.10.230</t>
    </r>
  </si>
  <si>
    <r>
      <rPr>
        <sz val="8.5"/>
        <rFont val="Calibri"/>
        <family val="2"/>
      </rPr>
      <t xml:space="preserve">Conjunto motor-bomba (centrífuga) 2 cv, monoestágio, Hman= 12 a 27
</t>
    </r>
    <r>
      <rPr>
        <sz val="8.5"/>
        <rFont val="Calibri"/>
        <family val="2"/>
      </rPr>
      <t>mca, Q= 25 a 8 m³/h</t>
    </r>
  </si>
  <si>
    <r>
      <rPr>
        <sz val="8.5"/>
        <rFont val="Calibri"/>
        <family val="2"/>
      </rPr>
      <t>2.380,16</t>
    </r>
  </si>
  <si>
    <r>
      <rPr>
        <sz val="8.5"/>
        <rFont val="Calibri"/>
        <family val="2"/>
      </rPr>
      <t>2.583,80</t>
    </r>
  </si>
  <si>
    <r>
      <rPr>
        <sz val="8.5"/>
        <rFont val="Calibri"/>
        <family val="2"/>
      </rPr>
      <t>43.10.250</t>
    </r>
  </si>
  <si>
    <r>
      <rPr>
        <sz val="8.5"/>
        <rFont val="Calibri"/>
        <family val="2"/>
      </rPr>
      <t xml:space="preserve">Conjunto motor-bomba (centrífuga) 15 cv, monoestágio, Hman= 30 a 60
</t>
    </r>
    <r>
      <rPr>
        <sz val="8.5"/>
        <rFont val="Calibri"/>
        <family val="2"/>
      </rPr>
      <t>mca, Q= 82 a 20 m³/h</t>
    </r>
  </si>
  <si>
    <r>
      <rPr>
        <sz val="8.5"/>
        <rFont val="Calibri"/>
        <family val="2"/>
      </rPr>
      <t>7.656,78</t>
    </r>
  </si>
  <si>
    <r>
      <rPr>
        <sz val="8.5"/>
        <rFont val="Calibri"/>
        <family val="2"/>
      </rPr>
      <t>7.860,42</t>
    </r>
  </si>
  <si>
    <r>
      <rPr>
        <sz val="8.5"/>
        <rFont val="Calibri"/>
        <family val="2"/>
      </rPr>
      <t>43.10.290</t>
    </r>
  </si>
  <si>
    <r>
      <rPr>
        <sz val="8.5"/>
        <rFont val="Calibri"/>
        <family val="2"/>
      </rPr>
      <t xml:space="preserve">Conjunto motor-bomba (centrífuga) 5 cv, monoestágio, Hman= 24 a 33
</t>
    </r>
    <r>
      <rPr>
        <sz val="8.5"/>
        <rFont val="Calibri"/>
        <family val="2"/>
      </rPr>
      <t>mca, Q= 41,6 a 35,2 m³/h</t>
    </r>
  </si>
  <si>
    <r>
      <rPr>
        <sz val="8.5"/>
        <rFont val="Calibri"/>
        <family val="2"/>
      </rPr>
      <t>3.669,46</t>
    </r>
  </si>
  <si>
    <r>
      <rPr>
        <sz val="8.5"/>
        <rFont val="Calibri"/>
        <family val="2"/>
      </rPr>
      <t>3.873,10</t>
    </r>
  </si>
  <si>
    <r>
      <rPr>
        <sz val="8.5"/>
        <rFont val="Calibri"/>
        <family val="2"/>
      </rPr>
      <t>43.10.450</t>
    </r>
  </si>
  <si>
    <r>
      <rPr>
        <sz val="8.5"/>
        <rFont val="Calibri"/>
        <family val="2"/>
      </rPr>
      <t xml:space="preserve">Conjunto motor-bomba (centrífuga) 30 cv, monoestágio, Hman= 20 a 50
</t>
    </r>
    <r>
      <rPr>
        <sz val="8.5"/>
        <rFont val="Calibri"/>
        <family val="2"/>
      </rPr>
      <t>mca, Q= 197 a 112 m³/h</t>
    </r>
  </si>
  <si>
    <r>
      <rPr>
        <sz val="8.5"/>
        <rFont val="Calibri"/>
        <family val="2"/>
      </rPr>
      <t>13.958,95</t>
    </r>
  </si>
  <si>
    <r>
      <rPr>
        <sz val="8.5"/>
        <rFont val="Calibri"/>
        <family val="2"/>
      </rPr>
      <t>14.162,59</t>
    </r>
  </si>
  <si>
    <r>
      <rPr>
        <sz val="8.5"/>
        <rFont val="Calibri"/>
        <family val="2"/>
      </rPr>
      <t>43.10.452</t>
    </r>
  </si>
  <si>
    <r>
      <rPr>
        <sz val="8.5"/>
        <rFont val="Calibri"/>
        <family val="2"/>
      </rPr>
      <t xml:space="preserve">Conjunto motor-bomba (centrífuga) 1,5 cv, multiestágio, Hman= 20 a 35
</t>
    </r>
    <r>
      <rPr>
        <sz val="8.5"/>
        <rFont val="Calibri"/>
        <family val="2"/>
      </rPr>
      <t>mca, Q= 7,1 a 4,5 m³/h</t>
    </r>
  </si>
  <si>
    <r>
      <rPr>
        <sz val="8.5"/>
        <rFont val="Calibri"/>
        <family val="2"/>
      </rPr>
      <t>2.953,74</t>
    </r>
  </si>
  <si>
    <r>
      <rPr>
        <sz val="8.5"/>
        <rFont val="Calibri"/>
        <family val="2"/>
      </rPr>
      <t>3.157,38</t>
    </r>
  </si>
  <si>
    <r>
      <rPr>
        <sz val="8.5"/>
        <rFont val="Calibri"/>
        <family val="2"/>
      </rPr>
      <t>43.10.454</t>
    </r>
  </si>
  <si>
    <r>
      <rPr>
        <sz val="8.5"/>
        <rFont val="Calibri"/>
        <family val="2"/>
      </rPr>
      <t xml:space="preserve">Conjunto motor-bomba (centrífuga) 3 cv, multiestágio, Hman= 30 a 45
</t>
    </r>
    <r>
      <rPr>
        <sz val="8.5"/>
        <rFont val="Calibri"/>
        <family val="2"/>
      </rPr>
      <t>mca, Q= 12,4 a 8,4 m³/h</t>
    </r>
  </si>
  <si>
    <r>
      <rPr>
        <sz val="8.5"/>
        <rFont val="Calibri"/>
        <family val="2"/>
      </rPr>
      <t>4.070,81</t>
    </r>
  </si>
  <si>
    <r>
      <rPr>
        <sz val="8.5"/>
        <rFont val="Calibri"/>
        <family val="2"/>
      </rPr>
      <t>4.274,45</t>
    </r>
  </si>
  <si>
    <r>
      <rPr>
        <sz val="8.5"/>
        <rFont val="Calibri"/>
        <family val="2"/>
      </rPr>
      <t>43.10.456</t>
    </r>
  </si>
  <si>
    <r>
      <rPr>
        <sz val="8.5"/>
        <rFont val="Calibri"/>
        <family val="2"/>
      </rPr>
      <t xml:space="preserve">Conjunto motor-bomba (centrífuga) 3 cv, multiestágio, Hman= 35 a 60
</t>
    </r>
    <r>
      <rPr>
        <sz val="8.5"/>
        <rFont val="Calibri"/>
        <family val="2"/>
      </rPr>
      <t>mca, Q= 7,8 a 5,8 m³/h</t>
    </r>
  </si>
  <si>
    <r>
      <rPr>
        <sz val="8.5"/>
        <rFont val="Calibri"/>
        <family val="2"/>
      </rPr>
      <t>4.510,05</t>
    </r>
  </si>
  <si>
    <r>
      <rPr>
        <sz val="8.5"/>
        <rFont val="Calibri"/>
        <family val="2"/>
      </rPr>
      <t>4.713,69</t>
    </r>
  </si>
  <si>
    <r>
      <rPr>
        <sz val="8.5"/>
        <rFont val="Calibri"/>
        <family val="2"/>
      </rPr>
      <t>43.10.480</t>
    </r>
  </si>
  <si>
    <r>
      <rPr>
        <sz val="8.5"/>
        <rFont val="Calibri"/>
        <family val="2"/>
      </rPr>
      <t xml:space="preserve">Conjunto motor-bomba (centrífuga) 7,5 cv, multiestágio, Hman= 30 a 80
</t>
    </r>
    <r>
      <rPr>
        <sz val="8.5"/>
        <rFont val="Calibri"/>
        <family val="2"/>
      </rPr>
      <t>mca, Q= 21,6 a 12,0 m³/h</t>
    </r>
  </si>
  <si>
    <r>
      <rPr>
        <sz val="8.5"/>
        <rFont val="Calibri"/>
        <family val="2"/>
      </rPr>
      <t>6.210,39</t>
    </r>
  </si>
  <si>
    <r>
      <rPr>
        <sz val="8.5"/>
        <rFont val="Calibri"/>
        <family val="2"/>
      </rPr>
      <t>6.414,03</t>
    </r>
  </si>
  <si>
    <r>
      <rPr>
        <sz val="8.5"/>
        <rFont val="Calibri"/>
        <family val="2"/>
      </rPr>
      <t>43.10.490</t>
    </r>
  </si>
  <si>
    <r>
      <rPr>
        <sz val="8.5"/>
        <rFont val="Calibri"/>
        <family val="2"/>
      </rPr>
      <t xml:space="preserve">Conjunto motor-bomba (centrífuga) 5 cv, multiestágio, Hman= 25 a 50
</t>
    </r>
    <r>
      <rPr>
        <sz val="8.5"/>
        <rFont val="Calibri"/>
        <family val="2"/>
      </rPr>
      <t>mca, Q= 21,0 a 13,3 m³/h</t>
    </r>
  </si>
  <si>
    <r>
      <rPr>
        <sz val="8.5"/>
        <rFont val="Calibri"/>
        <family val="2"/>
      </rPr>
      <t>4.733,93</t>
    </r>
  </si>
  <si>
    <r>
      <rPr>
        <sz val="8.5"/>
        <rFont val="Calibri"/>
        <family val="2"/>
      </rPr>
      <t>4.937,57</t>
    </r>
  </si>
  <si>
    <r>
      <rPr>
        <sz val="8.5"/>
        <rFont val="Calibri"/>
        <family val="2"/>
      </rPr>
      <t>43.10.620</t>
    </r>
  </si>
  <si>
    <r>
      <rPr>
        <sz val="8.5"/>
        <rFont val="Calibri"/>
        <family val="2"/>
      </rPr>
      <t xml:space="preserve">Conjunto motor-bomba (centrífuga), 0,5 cv, monoestágio, Hman= 10 a
</t>
    </r>
    <r>
      <rPr>
        <sz val="8.5"/>
        <rFont val="Calibri"/>
        <family val="2"/>
      </rPr>
      <t>20 mca, Q= 7,5 a 1,5 m³/h</t>
    </r>
  </si>
  <si>
    <r>
      <rPr>
        <sz val="8.5"/>
        <rFont val="Calibri"/>
        <family val="2"/>
      </rPr>
      <t>1.194,72</t>
    </r>
  </si>
  <si>
    <r>
      <rPr>
        <sz val="8.5"/>
        <rFont val="Calibri"/>
        <family val="2"/>
      </rPr>
      <t>1.398,36</t>
    </r>
  </si>
  <si>
    <r>
      <rPr>
        <sz val="8.5"/>
        <rFont val="Calibri"/>
        <family val="2"/>
      </rPr>
      <t>43.10.670</t>
    </r>
  </si>
  <si>
    <r>
      <rPr>
        <sz val="8.5"/>
        <rFont val="Calibri"/>
        <family val="2"/>
      </rPr>
      <t xml:space="preserve">Conjunto motor-bomba (centrífuga) 0,5 cv, monoestágio, trifásico,
</t>
    </r>
    <r>
      <rPr>
        <sz val="8.5"/>
        <rFont val="Calibri"/>
        <family val="2"/>
      </rPr>
      <t>Hman= 9 a 21 mca, Q= 8,3 a 2,0 m³/h</t>
    </r>
  </si>
  <si>
    <r>
      <rPr>
        <sz val="8.5"/>
        <rFont val="Calibri"/>
        <family val="2"/>
      </rPr>
      <t>976,61</t>
    </r>
  </si>
  <si>
    <r>
      <rPr>
        <sz val="8.5"/>
        <rFont val="Calibri"/>
        <family val="2"/>
      </rPr>
      <t>1.180,25</t>
    </r>
  </si>
  <si>
    <r>
      <rPr>
        <sz val="8.5"/>
        <rFont val="Calibri"/>
        <family val="2"/>
      </rPr>
      <t>43.10.730</t>
    </r>
  </si>
  <si>
    <r>
      <rPr>
        <sz val="8.5"/>
        <rFont val="Calibri"/>
        <family val="2"/>
      </rPr>
      <t xml:space="preserve">Conjunto motor-bomba (centrífuga) 30 cv, monoestágio trifásico, Hman=
</t>
    </r>
    <r>
      <rPr>
        <sz val="8.5"/>
        <rFont val="Calibri"/>
        <family val="2"/>
      </rPr>
      <t>70 a 94 mca, Q= 34,80 a 61,7 m³/h</t>
    </r>
  </si>
  <si>
    <r>
      <rPr>
        <sz val="8.5"/>
        <rFont val="Calibri"/>
        <family val="2"/>
      </rPr>
      <t>13.217,39</t>
    </r>
  </si>
  <si>
    <r>
      <rPr>
        <sz val="8.5"/>
        <rFont val="Calibri"/>
        <family val="2"/>
      </rPr>
      <t>13.421,03</t>
    </r>
  </si>
  <si>
    <r>
      <rPr>
        <sz val="8.5"/>
        <rFont val="Calibri"/>
        <family val="2"/>
      </rPr>
      <t>43.10.740</t>
    </r>
  </si>
  <si>
    <r>
      <rPr>
        <sz val="8.5"/>
        <rFont val="Calibri"/>
        <family val="2"/>
      </rPr>
      <t xml:space="preserve">Conjunto motor-bomba (centrífuga) 20 cv, monoestágio trifásico, Hman=
</t>
    </r>
    <r>
      <rPr>
        <sz val="8.5"/>
        <rFont val="Calibri"/>
        <family val="2"/>
      </rPr>
      <t>62 a 90 mca, Q= 21,1 a 43,8 m³/h</t>
    </r>
  </si>
  <si>
    <r>
      <rPr>
        <sz val="8.5"/>
        <rFont val="Calibri"/>
        <family val="2"/>
      </rPr>
      <t>9.600,03</t>
    </r>
  </si>
  <si>
    <r>
      <rPr>
        <sz val="8.5"/>
        <rFont val="Calibri"/>
        <family val="2"/>
      </rPr>
      <t>9.803,67</t>
    </r>
  </si>
  <si>
    <r>
      <rPr>
        <sz val="8.5"/>
        <rFont val="Calibri"/>
        <family val="2"/>
      </rPr>
      <t>43.10.750</t>
    </r>
  </si>
  <si>
    <r>
      <rPr>
        <sz val="8.5"/>
        <rFont val="Calibri"/>
        <family val="2"/>
      </rPr>
      <t xml:space="preserve">Conjunto motor-bomba (centrífuga) 1 cv, monoestágio trifásico, Hman=
</t>
    </r>
    <r>
      <rPr>
        <sz val="8.5"/>
        <rFont val="Calibri"/>
        <family val="2"/>
      </rPr>
      <t>8 a 25 mca e Q= 11 a 1,50 m³/h</t>
    </r>
  </si>
  <si>
    <r>
      <rPr>
        <sz val="8.5"/>
        <rFont val="Calibri"/>
        <family val="2"/>
      </rPr>
      <t>1.210,62</t>
    </r>
  </si>
  <si>
    <r>
      <rPr>
        <sz val="8.5"/>
        <rFont val="Calibri"/>
        <family val="2"/>
      </rPr>
      <t>1.414,26</t>
    </r>
  </si>
  <si>
    <r>
      <rPr>
        <sz val="8.5"/>
        <rFont val="Calibri"/>
        <family val="2"/>
      </rPr>
      <t>43.10.770</t>
    </r>
  </si>
  <si>
    <r>
      <rPr>
        <sz val="8.5"/>
        <rFont val="Calibri"/>
        <family val="2"/>
      </rPr>
      <t xml:space="preserve">Conjunto motor-bomba (centrífuga) 40 cv, monoestágio trifásico, Hman=
</t>
    </r>
    <r>
      <rPr>
        <sz val="8.5"/>
        <rFont val="Calibri"/>
        <family val="2"/>
      </rPr>
      <t>45 a 75 mca e Q= 120 a 75 m³/h</t>
    </r>
  </si>
  <si>
    <r>
      <rPr>
        <sz val="8.5"/>
        <rFont val="Calibri"/>
        <family val="2"/>
      </rPr>
      <t>24.621,32</t>
    </r>
  </si>
  <si>
    <r>
      <rPr>
        <sz val="8.5"/>
        <rFont val="Calibri"/>
        <family val="2"/>
      </rPr>
      <t>24.824,96</t>
    </r>
  </si>
  <si>
    <r>
      <rPr>
        <sz val="8.5"/>
        <rFont val="Calibri"/>
        <family val="2"/>
      </rPr>
      <t>43.10.780</t>
    </r>
  </si>
  <si>
    <r>
      <rPr>
        <sz val="8.5"/>
        <rFont val="Calibri"/>
        <family val="2"/>
      </rPr>
      <t xml:space="preserve">Conjunto motor-bomba (centrífuga) 50 cv, monoestágio trifásico, Hman=
</t>
    </r>
    <r>
      <rPr>
        <sz val="8.5"/>
        <rFont val="Calibri"/>
        <family val="2"/>
      </rPr>
      <t>61 a 81 mca e Q= 170 a 80 m³/h</t>
    </r>
  </si>
  <si>
    <r>
      <rPr>
        <sz val="8.5"/>
        <rFont val="Calibri"/>
        <family val="2"/>
      </rPr>
      <t>27.760,82</t>
    </r>
  </si>
  <si>
    <r>
      <rPr>
        <sz val="8.5"/>
        <rFont val="Calibri"/>
        <family val="2"/>
      </rPr>
      <t>27.964,46</t>
    </r>
  </si>
  <si>
    <r>
      <rPr>
        <sz val="8.5"/>
        <rFont val="Calibri"/>
        <family val="2"/>
      </rPr>
      <t>43.10.790</t>
    </r>
  </si>
  <si>
    <r>
      <rPr>
        <sz val="8.5"/>
        <rFont val="Calibri"/>
        <family val="2"/>
      </rPr>
      <t xml:space="preserve">Conjunto motor-bomba (centrífuga) 1 cv, multiestágio trifásico, Hman=
</t>
    </r>
    <r>
      <rPr>
        <sz val="8.5"/>
        <rFont val="Calibri"/>
        <family val="2"/>
      </rPr>
      <t>15 a 30 mca, Q= 6,5 a 4,2 m³/h</t>
    </r>
  </si>
  <si>
    <r>
      <rPr>
        <sz val="8.5"/>
        <rFont val="Calibri"/>
        <family val="2"/>
      </rPr>
      <t>1.692,76</t>
    </r>
  </si>
  <si>
    <r>
      <rPr>
        <sz val="8.5"/>
        <rFont val="Calibri"/>
        <family val="2"/>
      </rPr>
      <t>1.896,40</t>
    </r>
  </si>
  <si>
    <r>
      <rPr>
        <sz val="8.5"/>
        <rFont val="Calibri"/>
        <family val="2"/>
      </rPr>
      <t>43.10.794</t>
    </r>
  </si>
  <si>
    <r>
      <rPr>
        <sz val="8.5"/>
        <rFont val="Calibri"/>
        <family val="2"/>
      </rPr>
      <t xml:space="preserve">Conjunto motor-bomba (centrífuga) 1 cv, multiestágio trifásico, Hman=
</t>
    </r>
    <r>
      <rPr>
        <sz val="8.5"/>
        <rFont val="Calibri"/>
        <family val="2"/>
      </rPr>
      <t>70 a 115 mca e Q= 1,0 a 1,6 m³/h</t>
    </r>
  </si>
  <si>
    <r>
      <rPr>
        <sz val="8.5"/>
        <rFont val="Calibri"/>
        <family val="2"/>
      </rPr>
      <t>2.522,86</t>
    </r>
  </si>
  <si>
    <r>
      <rPr>
        <sz val="8.5"/>
        <rFont val="Calibri"/>
        <family val="2"/>
      </rPr>
      <t>2.726,50</t>
    </r>
  </si>
  <si>
    <r>
      <rPr>
        <sz val="8.5"/>
        <rFont val="Calibri"/>
        <family val="2"/>
      </rPr>
      <t>Bombas submersiveis</t>
    </r>
  </si>
  <si>
    <r>
      <rPr>
        <sz val="8.5"/>
        <rFont val="Calibri"/>
        <family val="2"/>
      </rPr>
      <t>43.11.050</t>
    </r>
  </si>
  <si>
    <r>
      <rPr>
        <sz val="8.5"/>
        <rFont val="Calibri"/>
        <family val="2"/>
      </rPr>
      <t xml:space="preserve">Conjunto motor-bomba submersível para poço profundo de 6´, Q= 10 a
</t>
    </r>
    <r>
      <rPr>
        <sz val="8.5"/>
        <rFont val="Calibri"/>
        <family val="2"/>
      </rPr>
      <t>20m³/h, Hman= 80 a 48 mca, até 6 HP</t>
    </r>
  </si>
  <si>
    <r>
      <rPr>
        <sz val="8.5"/>
        <rFont val="Calibri"/>
        <family val="2"/>
      </rPr>
      <t>6.589,24</t>
    </r>
  </si>
  <si>
    <r>
      <rPr>
        <sz val="8.5"/>
        <rFont val="Calibri"/>
        <family val="2"/>
      </rPr>
      <t>436,68</t>
    </r>
  </si>
  <si>
    <r>
      <rPr>
        <sz val="8.5"/>
        <rFont val="Calibri"/>
        <family val="2"/>
      </rPr>
      <t>7.025,92</t>
    </r>
  </si>
  <si>
    <r>
      <rPr>
        <sz val="8.5"/>
        <rFont val="Calibri"/>
        <family val="2"/>
      </rPr>
      <t>43.11.060</t>
    </r>
  </si>
  <si>
    <r>
      <rPr>
        <sz val="8.5"/>
        <rFont val="Calibri"/>
        <family val="2"/>
      </rPr>
      <t xml:space="preserve">Conjunto motor-bomba submersível para poço profundo de 6´, Q= 10 a
</t>
    </r>
    <r>
      <rPr>
        <sz val="8.5"/>
        <rFont val="Calibri"/>
        <family val="2"/>
      </rPr>
      <t>20m³/h, Hman= 108 a 64,5 mca, 8 HP</t>
    </r>
  </si>
  <si>
    <r>
      <rPr>
        <sz val="8.5"/>
        <rFont val="Calibri"/>
        <family val="2"/>
      </rPr>
      <t>7.420,76</t>
    </r>
  </si>
  <si>
    <r>
      <rPr>
        <sz val="8.5"/>
        <rFont val="Calibri"/>
        <family val="2"/>
      </rPr>
      <t>7.857,44</t>
    </r>
  </si>
  <si>
    <r>
      <rPr>
        <sz val="8.5"/>
        <rFont val="Calibri"/>
        <family val="2"/>
      </rPr>
      <t>43.11.100</t>
    </r>
  </si>
  <si>
    <r>
      <rPr>
        <sz val="8.5"/>
        <rFont val="Calibri"/>
        <family val="2"/>
      </rPr>
      <t xml:space="preserve">Conjunto motor-bomba submersível para poço profundo de 6´, Q= 10 a
</t>
    </r>
    <r>
      <rPr>
        <sz val="8.5"/>
        <rFont val="Calibri"/>
        <family val="2"/>
      </rPr>
      <t>20m³/h, Hman= 274 a 170 mca, 20 HP</t>
    </r>
  </si>
  <si>
    <r>
      <rPr>
        <sz val="8.5"/>
        <rFont val="Calibri"/>
        <family val="2"/>
      </rPr>
      <t>16.370,61</t>
    </r>
  </si>
  <si>
    <r>
      <rPr>
        <sz val="8.5"/>
        <rFont val="Calibri"/>
        <family val="2"/>
      </rPr>
      <t>16.807,29</t>
    </r>
  </si>
  <si>
    <r>
      <rPr>
        <sz val="8.5"/>
        <rFont val="Calibri"/>
        <family val="2"/>
      </rPr>
      <t>43.11.110</t>
    </r>
  </si>
  <si>
    <r>
      <rPr>
        <sz val="8.5"/>
        <rFont val="Calibri"/>
        <family val="2"/>
      </rPr>
      <t xml:space="preserve">Conjunto motor-bomba submersível para poço profundo de 6´, Q= 20 a
</t>
    </r>
    <r>
      <rPr>
        <sz val="8.5"/>
        <rFont val="Calibri"/>
        <family val="2"/>
      </rPr>
      <t>34m³/h, Hman= 56,5 a 32 mca, até 8 HP</t>
    </r>
  </si>
  <si>
    <r>
      <rPr>
        <sz val="8.5"/>
        <rFont val="Calibri"/>
        <family val="2"/>
      </rPr>
      <t>6.985,16</t>
    </r>
  </si>
  <si>
    <r>
      <rPr>
        <sz val="8.5"/>
        <rFont val="Calibri"/>
        <family val="2"/>
      </rPr>
      <t>7.421,84</t>
    </r>
  </si>
  <si>
    <r>
      <rPr>
        <sz val="8.5"/>
        <rFont val="Calibri"/>
        <family val="2"/>
      </rPr>
      <t>43.11.130</t>
    </r>
  </si>
  <si>
    <r>
      <rPr>
        <sz val="8.5"/>
        <rFont val="Calibri"/>
        <family val="2"/>
      </rPr>
      <t xml:space="preserve">Conjunto motor-bomba submersível para poço profundo de 6´, Q= 20 a
</t>
    </r>
    <r>
      <rPr>
        <sz val="8.5"/>
        <rFont val="Calibri"/>
        <family val="2"/>
      </rPr>
      <t>34m³/h, Hman= 92,5 a 53 mca, 12,5 HP</t>
    </r>
  </si>
  <si>
    <r>
      <rPr>
        <sz val="8.5"/>
        <rFont val="Calibri"/>
        <family val="2"/>
      </rPr>
      <t>8.243,17</t>
    </r>
  </si>
  <si>
    <r>
      <rPr>
        <sz val="8.5"/>
        <rFont val="Calibri"/>
        <family val="2"/>
      </rPr>
      <t>8.679,85</t>
    </r>
  </si>
  <si>
    <r>
      <rPr>
        <sz val="8.5"/>
        <rFont val="Calibri"/>
        <family val="2"/>
      </rPr>
      <t>43.11.150</t>
    </r>
  </si>
  <si>
    <r>
      <rPr>
        <sz val="8.5"/>
        <rFont val="Calibri"/>
        <family val="2"/>
      </rPr>
      <t xml:space="preserve">Conjunto motor-bomba submersível para poço profundo de 6´, Q= 20 a
</t>
    </r>
    <r>
      <rPr>
        <sz val="8.5"/>
        <rFont val="Calibri"/>
        <family val="2"/>
      </rPr>
      <t>34m³/h, Hman= 152 a 88 mca, 20 HP</t>
    </r>
  </si>
  <si>
    <r>
      <rPr>
        <sz val="8.5"/>
        <rFont val="Calibri"/>
        <family val="2"/>
      </rPr>
      <t>14.656,60</t>
    </r>
  </si>
  <si>
    <r>
      <rPr>
        <sz val="8.5"/>
        <rFont val="Calibri"/>
        <family val="2"/>
      </rPr>
      <t>15.093,28</t>
    </r>
  </si>
  <si>
    <r>
      <rPr>
        <sz val="8.5"/>
        <rFont val="Calibri"/>
        <family val="2"/>
      </rPr>
      <t>43.11.320</t>
    </r>
  </si>
  <si>
    <r>
      <rPr>
        <sz val="8.5"/>
        <rFont val="Calibri"/>
        <family val="2"/>
      </rPr>
      <t>Conjunto motor-bomba submersível vertical para esgoto, Q= 4,8 a 25,8 m³/h, Hmam= 19 a 5 mca, potência 1 cv, diâmetro de sólidos até 20mm</t>
    </r>
  </si>
  <si>
    <r>
      <rPr>
        <sz val="8.5"/>
        <rFont val="Calibri"/>
        <family val="2"/>
      </rPr>
      <t>5.079,14</t>
    </r>
  </si>
  <si>
    <r>
      <rPr>
        <sz val="8.5"/>
        <rFont val="Calibri"/>
        <family val="2"/>
      </rPr>
      <t>5.370,26</t>
    </r>
  </si>
  <si>
    <r>
      <rPr>
        <sz val="8.5"/>
        <rFont val="Calibri"/>
        <family val="2"/>
      </rPr>
      <t>43.11.330</t>
    </r>
  </si>
  <si>
    <r>
      <rPr>
        <sz val="8.5"/>
        <rFont val="Calibri"/>
        <family val="2"/>
      </rPr>
      <t xml:space="preserve">Conjunto motor-bomba submersível vertical para esgoto, Q= 4,6 a 57,2
</t>
    </r>
    <r>
      <rPr>
        <sz val="8.5"/>
        <rFont val="Calibri"/>
        <family val="2"/>
      </rPr>
      <t>m³/h, Hman= 13 a 4 mca, potência 2 a 3,5 cv, diâmetro de sólidos até 50mm</t>
    </r>
  </si>
  <si>
    <r>
      <rPr>
        <sz val="8.5"/>
        <rFont val="Calibri"/>
        <family val="2"/>
      </rPr>
      <t>6.801,57</t>
    </r>
  </si>
  <si>
    <r>
      <rPr>
        <sz val="8.5"/>
        <rFont val="Calibri"/>
        <family val="2"/>
      </rPr>
      <t>7.092,69</t>
    </r>
  </si>
  <si>
    <r>
      <rPr>
        <sz val="8.5"/>
        <rFont val="Calibri"/>
        <family val="2"/>
      </rPr>
      <t>43.11.360</t>
    </r>
  </si>
  <si>
    <r>
      <rPr>
        <sz val="8.5"/>
        <rFont val="Calibri"/>
        <family val="2"/>
      </rPr>
      <t xml:space="preserve">Conjunto motor-bomba submersível vertical para águas residuais, Q= 2
</t>
    </r>
    <r>
      <rPr>
        <sz val="8.5"/>
        <rFont val="Calibri"/>
        <family val="2"/>
      </rPr>
      <t>a16 m³/h, Hman= 12 a 2 mca, potência de 0,5 cv</t>
    </r>
  </si>
  <si>
    <r>
      <rPr>
        <sz val="8.5"/>
        <rFont val="Calibri"/>
        <family val="2"/>
      </rPr>
      <t>2.025,31</t>
    </r>
  </si>
  <si>
    <r>
      <rPr>
        <sz val="8.5"/>
        <rFont val="Calibri"/>
        <family val="2"/>
      </rPr>
      <t>2.316,43</t>
    </r>
  </si>
  <si>
    <r>
      <rPr>
        <sz val="8.5"/>
        <rFont val="Calibri"/>
        <family val="2"/>
      </rPr>
      <t>43.11.370</t>
    </r>
  </si>
  <si>
    <r>
      <rPr>
        <sz val="8.5"/>
        <rFont val="Calibri"/>
        <family val="2"/>
      </rPr>
      <t xml:space="preserve">Conjunto motor-bomba submersível vertical para águas residuais, Q= 3 a
</t>
    </r>
    <r>
      <rPr>
        <sz val="8.5"/>
        <rFont val="Calibri"/>
        <family val="2"/>
      </rPr>
      <t>20 m³/h, Hman= 13 a 5 mca, potência de 1 cv</t>
    </r>
  </si>
  <si>
    <r>
      <rPr>
        <sz val="8.5"/>
        <rFont val="Calibri"/>
        <family val="2"/>
      </rPr>
      <t>2.458,10</t>
    </r>
  </si>
  <si>
    <r>
      <rPr>
        <sz val="8.5"/>
        <rFont val="Calibri"/>
        <family val="2"/>
      </rPr>
      <t>2.749,22</t>
    </r>
  </si>
  <si>
    <r>
      <rPr>
        <sz val="8.5"/>
        <rFont val="Calibri"/>
        <family val="2"/>
      </rPr>
      <t>43.11.380</t>
    </r>
  </si>
  <si>
    <r>
      <rPr>
        <sz val="8.5"/>
        <rFont val="Calibri"/>
        <family val="2"/>
      </rPr>
      <t xml:space="preserve">Conjunto motor-bomba submersível vertical para águas residuais, Q= 10
</t>
    </r>
    <r>
      <rPr>
        <sz val="8.5"/>
        <rFont val="Calibri"/>
        <family val="2"/>
      </rPr>
      <t>a 50 m³/h, Hman= 22 a 4 mca, potência 4 cv</t>
    </r>
  </si>
  <si>
    <r>
      <rPr>
        <sz val="8.5"/>
        <rFont val="Calibri"/>
        <family val="2"/>
      </rPr>
      <t>5.243,17</t>
    </r>
  </si>
  <si>
    <r>
      <rPr>
        <sz val="8.5"/>
        <rFont val="Calibri"/>
        <family val="2"/>
      </rPr>
      <t>5.534,29</t>
    </r>
  </si>
  <si>
    <r>
      <rPr>
        <sz val="8.5"/>
        <rFont val="Calibri"/>
        <family val="2"/>
      </rPr>
      <t>43.11.390</t>
    </r>
  </si>
  <si>
    <r>
      <rPr>
        <sz val="8.5"/>
        <rFont val="Calibri"/>
        <family val="2"/>
      </rPr>
      <t xml:space="preserve">Conjunto motor-bomba submersível vertical para águas residuais, Q= 8 a
</t>
    </r>
    <r>
      <rPr>
        <sz val="8.5"/>
        <rFont val="Calibri"/>
        <family val="2"/>
      </rPr>
      <t>45 m³/h, Hman= 10,5 a 3,5 mca, potência 1,5 cv</t>
    </r>
  </si>
  <si>
    <r>
      <rPr>
        <sz val="8.5"/>
        <rFont val="Calibri"/>
        <family val="2"/>
      </rPr>
      <t>3.418,20</t>
    </r>
  </si>
  <si>
    <r>
      <rPr>
        <sz val="8.5"/>
        <rFont val="Calibri"/>
        <family val="2"/>
      </rPr>
      <t>3.709,32</t>
    </r>
  </si>
  <si>
    <r>
      <rPr>
        <sz val="8.5"/>
        <rFont val="Calibri"/>
        <family val="2"/>
      </rPr>
      <t>43.11.400</t>
    </r>
  </si>
  <si>
    <r>
      <rPr>
        <sz val="8.5"/>
        <rFont val="Calibri"/>
        <family val="2"/>
      </rPr>
      <t xml:space="preserve">Conjunto motor-bomba submersível vertical para esgoto, Q= 3,4 a 86,3
</t>
    </r>
    <r>
      <rPr>
        <sz val="8.5"/>
        <rFont val="Calibri"/>
        <family val="2"/>
      </rPr>
      <t>m³/h, Hman= 14 a 5 mca, potência 5 cv</t>
    </r>
  </si>
  <si>
    <r>
      <rPr>
        <sz val="8.5"/>
        <rFont val="Calibri"/>
        <family val="2"/>
      </rPr>
      <t>12.599,53</t>
    </r>
  </si>
  <si>
    <r>
      <rPr>
        <sz val="8.5"/>
        <rFont val="Calibri"/>
        <family val="2"/>
      </rPr>
      <t>12.890,65</t>
    </r>
  </si>
  <si>
    <r>
      <rPr>
        <sz val="8.5"/>
        <rFont val="Calibri"/>
        <family val="2"/>
      </rPr>
      <t>43.11.410</t>
    </r>
  </si>
  <si>
    <r>
      <rPr>
        <sz val="8.5"/>
        <rFont val="Calibri"/>
        <family val="2"/>
      </rPr>
      <t xml:space="preserve">Conjunto motor-bomba submersível vertical para esgoto, Q= 9,1 a
</t>
    </r>
    <r>
      <rPr>
        <sz val="8.5"/>
        <rFont val="Calibri"/>
        <family val="2"/>
      </rPr>
      <t>113,6m³/h, Hman= 20 a 15 mca, potência 10 cv</t>
    </r>
  </si>
  <si>
    <r>
      <rPr>
        <sz val="8.5"/>
        <rFont val="Calibri"/>
        <family val="2"/>
      </rPr>
      <t>19.878,96</t>
    </r>
  </si>
  <si>
    <r>
      <rPr>
        <sz val="8.5"/>
        <rFont val="Calibri"/>
        <family val="2"/>
      </rPr>
      <t>20.170,08</t>
    </r>
  </si>
  <si>
    <r>
      <rPr>
        <sz val="8.5"/>
        <rFont val="Calibri"/>
        <family val="2"/>
      </rPr>
      <t>43.11.420</t>
    </r>
  </si>
  <si>
    <r>
      <rPr>
        <sz val="8.5"/>
        <rFont val="Calibri"/>
        <family val="2"/>
      </rPr>
      <t>Conjunto motor-bomba submersível vertical para esgoto, Q=9,3 a 69,0 m³/h, Hman=15 a 7 mca, potência 3cv, diâmetro de sólidos 50/65mm</t>
    </r>
  </si>
  <si>
    <r>
      <rPr>
        <sz val="8.5"/>
        <rFont val="Calibri"/>
        <family val="2"/>
      </rPr>
      <t>6.195,44</t>
    </r>
  </si>
  <si>
    <r>
      <rPr>
        <sz val="8.5"/>
        <rFont val="Calibri"/>
        <family val="2"/>
      </rPr>
      <t>6.486,56</t>
    </r>
  </si>
  <si>
    <r>
      <rPr>
        <sz val="8.5"/>
        <rFont val="Calibri"/>
        <family val="2"/>
      </rPr>
      <t>43.11.460</t>
    </r>
  </si>
  <si>
    <r>
      <rPr>
        <sz val="8.5"/>
        <rFont val="Calibri"/>
        <family val="2"/>
      </rPr>
      <t xml:space="preserve">Conjunto motor-bomba submersível vertical para esgoto, Q= 40 m³/h,
</t>
    </r>
    <r>
      <rPr>
        <sz val="8.5"/>
        <rFont val="Calibri"/>
        <family val="2"/>
      </rPr>
      <t>Hman= 40 mca, diâmetro de sólidos até 50 mm</t>
    </r>
  </si>
  <si>
    <r>
      <rPr>
        <sz val="8.5"/>
        <rFont val="Calibri"/>
        <family val="2"/>
      </rPr>
      <t>22.108,59</t>
    </r>
  </si>
  <si>
    <r>
      <rPr>
        <sz val="8.5"/>
        <rFont val="Calibri"/>
        <family val="2"/>
      </rPr>
      <t>22.399,71</t>
    </r>
  </si>
  <si>
    <r>
      <rPr>
        <sz val="8.5"/>
        <rFont val="Calibri"/>
        <family val="2"/>
      </rPr>
      <t>Bombas especiais, uso industrial</t>
    </r>
  </si>
  <si>
    <r>
      <rPr>
        <sz val="8.5"/>
        <rFont val="Calibri"/>
        <family val="2"/>
      </rPr>
      <t>43.12.500</t>
    </r>
  </si>
  <si>
    <r>
      <rPr>
        <sz val="8.5"/>
        <rFont val="Calibri"/>
        <family val="2"/>
      </rPr>
      <t>Filtro de areia com carga de areia filtrante, vazão de 16,9 m³/h</t>
    </r>
  </si>
  <si>
    <r>
      <rPr>
        <sz val="8.5"/>
        <rFont val="Calibri"/>
        <family val="2"/>
      </rPr>
      <t>3.052,41</t>
    </r>
  </si>
  <si>
    <r>
      <rPr>
        <sz val="8.5"/>
        <rFont val="Calibri"/>
        <family val="2"/>
      </rPr>
      <t>3.154,23</t>
    </r>
  </si>
  <si>
    <r>
      <rPr>
        <sz val="8.5"/>
        <rFont val="Calibri"/>
        <family val="2"/>
      </rPr>
      <t>Reparos, conservacoes e complementos - GRUPO 43</t>
    </r>
  </si>
  <si>
    <r>
      <rPr>
        <sz val="8.5"/>
        <rFont val="Calibri"/>
        <family val="2"/>
      </rPr>
      <t>43.20.130</t>
    </r>
  </si>
  <si>
    <r>
      <rPr>
        <sz val="8.5"/>
        <rFont val="Calibri"/>
        <family val="2"/>
      </rPr>
      <t xml:space="preserve">Caixa de passagem para condicionamento de ar tipo Split, com saída de
</t>
    </r>
    <r>
      <rPr>
        <sz val="8.5"/>
        <rFont val="Calibri"/>
        <family val="2"/>
      </rPr>
      <t>dreno único na vertical - 39 x 22 x 6 cm</t>
    </r>
  </si>
  <si>
    <r>
      <rPr>
        <sz val="8.5"/>
        <rFont val="Calibri"/>
        <family val="2"/>
      </rPr>
      <t>36,47</t>
    </r>
  </si>
  <si>
    <r>
      <rPr>
        <sz val="8.5"/>
        <rFont val="Calibri"/>
        <family val="2"/>
      </rPr>
      <t>43.20.140</t>
    </r>
  </si>
  <si>
    <r>
      <rPr>
        <sz val="8.5"/>
        <rFont val="Calibri"/>
        <family val="2"/>
      </rPr>
      <t>Bomba de remoção de condensados para condicionadores de ar</t>
    </r>
  </si>
  <si>
    <r>
      <rPr>
        <sz val="8.5"/>
        <rFont val="Calibri"/>
        <family val="2"/>
      </rPr>
      <t>649,45</t>
    </r>
  </si>
  <si>
    <r>
      <rPr>
        <sz val="8.5"/>
        <rFont val="Calibri"/>
        <family val="2"/>
      </rPr>
      <t>685,84</t>
    </r>
  </si>
  <si>
    <r>
      <rPr>
        <sz val="8.5"/>
        <rFont val="Calibri"/>
        <family val="2"/>
      </rPr>
      <t>43.20.200</t>
    </r>
  </si>
  <si>
    <r>
      <rPr>
        <sz val="8.5"/>
        <rFont val="Calibri"/>
        <family val="2"/>
      </rPr>
      <t>Controlador de temperatura analógico</t>
    </r>
  </si>
  <si>
    <r>
      <rPr>
        <sz val="8.5"/>
        <rFont val="Calibri"/>
        <family val="2"/>
      </rPr>
      <t>280,49</t>
    </r>
  </si>
  <si>
    <r>
      <rPr>
        <sz val="8.5"/>
        <rFont val="Calibri"/>
        <family val="2"/>
      </rPr>
      <t>298,69</t>
    </r>
  </si>
  <si>
    <r>
      <rPr>
        <sz val="8.5"/>
        <rFont val="Calibri"/>
        <family val="2"/>
      </rPr>
      <t>43.20.210</t>
    </r>
  </si>
  <si>
    <r>
      <rPr>
        <sz val="8.5"/>
        <rFont val="Calibri"/>
        <family val="2"/>
      </rPr>
      <t>Bomba de circulação para água quente</t>
    </r>
  </si>
  <si>
    <r>
      <rPr>
        <sz val="8.5"/>
        <rFont val="Calibri"/>
        <family val="2"/>
      </rPr>
      <t>633,54</t>
    </r>
  </si>
  <si>
    <r>
      <rPr>
        <sz val="8.5"/>
        <rFont val="Calibri"/>
        <family val="2"/>
      </rPr>
      <t>651,74</t>
    </r>
  </si>
  <si>
    <r>
      <rPr>
        <sz val="8.5"/>
        <rFont val="Calibri"/>
        <family val="2"/>
      </rPr>
      <t>43.20.250</t>
    </r>
  </si>
  <si>
    <r>
      <rPr>
        <sz val="8.5"/>
        <rFont val="Calibri"/>
        <family val="2"/>
      </rPr>
      <t>Poço termométrico em alumínio, com haste de 30mm e rosca 1/2" npt</t>
    </r>
  </si>
  <si>
    <r>
      <rPr>
        <sz val="8.5"/>
        <rFont val="Calibri"/>
        <family val="2"/>
      </rPr>
      <t>55,99</t>
    </r>
  </si>
  <si>
    <r>
      <rPr>
        <sz val="8.5"/>
        <rFont val="Calibri"/>
        <family val="2"/>
      </rPr>
      <t>63,26</t>
    </r>
  </si>
  <si>
    <r>
      <rPr>
        <sz val="8.5"/>
        <rFont val="Calibri"/>
        <family val="2"/>
      </rPr>
      <t>APARELHOS E METAIS HIDRAULICOS</t>
    </r>
  </si>
  <si>
    <r>
      <rPr>
        <sz val="8.5"/>
        <rFont val="Calibri"/>
        <family val="2"/>
      </rPr>
      <t>Aparelhos e loucas</t>
    </r>
  </si>
  <si>
    <r>
      <rPr>
        <sz val="8.5"/>
        <rFont val="Calibri"/>
        <family val="2"/>
      </rPr>
      <t>44.01.030</t>
    </r>
  </si>
  <si>
    <r>
      <rPr>
        <sz val="8.5"/>
        <rFont val="Calibri"/>
        <family val="2"/>
      </rPr>
      <t>Bacia turca de louça - 6 litros</t>
    </r>
  </si>
  <si>
    <r>
      <rPr>
        <sz val="8.5"/>
        <rFont val="Calibri"/>
        <family val="2"/>
      </rPr>
      <t>495,47</t>
    </r>
  </si>
  <si>
    <r>
      <rPr>
        <sz val="8.5"/>
        <rFont val="Calibri"/>
        <family val="2"/>
      </rPr>
      <t>539,12</t>
    </r>
  </si>
  <si>
    <r>
      <rPr>
        <sz val="8.5"/>
        <rFont val="Calibri"/>
        <family val="2"/>
      </rPr>
      <t>44.01.040</t>
    </r>
  </si>
  <si>
    <r>
      <rPr>
        <sz val="8.5"/>
        <rFont val="Calibri"/>
        <family val="2"/>
      </rPr>
      <t>Bacia sifonada com caixa de descarga acoplada e tampa - infantil</t>
    </r>
  </si>
  <si>
    <r>
      <rPr>
        <sz val="8.5"/>
        <rFont val="Calibri"/>
        <family val="2"/>
      </rPr>
      <t>730,73</t>
    </r>
  </si>
  <si>
    <r>
      <rPr>
        <sz val="8.5"/>
        <rFont val="Calibri"/>
        <family val="2"/>
      </rPr>
      <t>781,64</t>
    </r>
  </si>
  <si>
    <r>
      <rPr>
        <sz val="8.5"/>
        <rFont val="Calibri"/>
        <family val="2"/>
      </rPr>
      <t>44.01.050</t>
    </r>
  </si>
  <si>
    <r>
      <rPr>
        <sz val="8.5"/>
        <rFont val="Calibri"/>
        <family val="2"/>
      </rPr>
      <t>Bacia sifonada de louça sem tampa - 6 litros</t>
    </r>
  </si>
  <si>
    <r>
      <rPr>
        <sz val="8.5"/>
        <rFont val="Calibri"/>
        <family val="2"/>
      </rPr>
      <t>202,33</t>
    </r>
  </si>
  <si>
    <r>
      <rPr>
        <sz val="8.5"/>
        <rFont val="Calibri"/>
        <family val="2"/>
      </rPr>
      <t>245,98</t>
    </r>
  </si>
  <si>
    <r>
      <rPr>
        <sz val="8.5"/>
        <rFont val="Calibri"/>
        <family val="2"/>
      </rPr>
      <t>44.01.070</t>
    </r>
  </si>
  <si>
    <r>
      <rPr>
        <sz val="8.5"/>
        <rFont val="Calibri"/>
        <family val="2"/>
      </rPr>
      <t>Bacia sifonada de louça sem tampa com saída horizontal - 6 litros</t>
    </r>
  </si>
  <si>
    <r>
      <rPr>
        <sz val="8.5"/>
        <rFont val="Calibri"/>
        <family val="2"/>
      </rPr>
      <t>385,07</t>
    </r>
  </si>
  <si>
    <r>
      <rPr>
        <sz val="8.5"/>
        <rFont val="Calibri"/>
        <family val="2"/>
      </rPr>
      <t>428,72</t>
    </r>
  </si>
  <si>
    <r>
      <rPr>
        <sz val="8.5"/>
        <rFont val="Calibri"/>
        <family val="2"/>
      </rPr>
      <t>44.01.100</t>
    </r>
  </si>
  <si>
    <r>
      <rPr>
        <sz val="8.5"/>
        <rFont val="Calibri"/>
        <family val="2"/>
      </rPr>
      <t>Lavatório de louça sem coluna</t>
    </r>
  </si>
  <si>
    <r>
      <rPr>
        <sz val="8.5"/>
        <rFont val="Calibri"/>
        <family val="2"/>
      </rPr>
      <t>120,92</t>
    </r>
  </si>
  <si>
    <r>
      <rPr>
        <sz val="8.5"/>
        <rFont val="Calibri"/>
        <family val="2"/>
      </rPr>
      <t>44.01.110</t>
    </r>
  </si>
  <si>
    <r>
      <rPr>
        <sz val="8.5"/>
        <rFont val="Calibri"/>
        <family val="2"/>
      </rPr>
      <t>Lavatório de louça com coluna</t>
    </r>
  </si>
  <si>
    <r>
      <rPr>
        <sz val="8.5"/>
        <rFont val="Calibri"/>
        <family val="2"/>
      </rPr>
      <t>187,80</t>
    </r>
  </si>
  <si>
    <r>
      <rPr>
        <sz val="8.5"/>
        <rFont val="Calibri"/>
        <family val="2"/>
      </rPr>
      <t>238,71</t>
    </r>
  </si>
  <si>
    <r>
      <rPr>
        <sz val="8.5"/>
        <rFont val="Calibri"/>
        <family val="2"/>
      </rPr>
      <t>44.01.160</t>
    </r>
  </si>
  <si>
    <r>
      <rPr>
        <sz val="8.5"/>
        <rFont val="Calibri"/>
        <family val="2"/>
      </rPr>
      <t>Lavatório de louça pequeno com coluna suspensa - linha especial</t>
    </r>
  </si>
  <si>
    <r>
      <rPr>
        <sz val="8.5"/>
        <rFont val="Calibri"/>
        <family val="2"/>
      </rPr>
      <t>551,88</t>
    </r>
  </si>
  <si>
    <r>
      <rPr>
        <sz val="8.5"/>
        <rFont val="Calibri"/>
        <family val="2"/>
      </rPr>
      <t>602,79</t>
    </r>
  </si>
  <si>
    <r>
      <rPr>
        <sz val="8.5"/>
        <rFont val="Calibri"/>
        <family val="2"/>
      </rPr>
      <t>44.01.170</t>
    </r>
  </si>
  <si>
    <r>
      <rPr>
        <sz val="8.5"/>
        <rFont val="Calibri"/>
        <family val="2"/>
      </rPr>
      <t>Lavatório em polipropileno</t>
    </r>
  </si>
  <si>
    <r>
      <rPr>
        <sz val="8.5"/>
        <rFont val="Calibri"/>
        <family val="2"/>
      </rPr>
      <t>54,15</t>
    </r>
  </si>
  <si>
    <r>
      <rPr>
        <sz val="8.5"/>
        <rFont val="Calibri"/>
        <family val="2"/>
      </rPr>
      <t>44.01.200</t>
    </r>
  </si>
  <si>
    <r>
      <rPr>
        <sz val="8.5"/>
        <rFont val="Calibri"/>
        <family val="2"/>
      </rPr>
      <t>Mictório de louça sifonado auto aspirante</t>
    </r>
  </si>
  <si>
    <r>
      <rPr>
        <sz val="8.5"/>
        <rFont val="Calibri"/>
        <family val="2"/>
      </rPr>
      <t>336,77</t>
    </r>
  </si>
  <si>
    <r>
      <rPr>
        <sz val="8.5"/>
        <rFont val="Calibri"/>
        <family val="2"/>
      </rPr>
      <t>387,68</t>
    </r>
  </si>
  <si>
    <r>
      <rPr>
        <sz val="8.5"/>
        <rFont val="Calibri"/>
        <family val="2"/>
      </rPr>
      <t>44.01.240</t>
    </r>
  </si>
  <si>
    <r>
      <rPr>
        <sz val="8.5"/>
        <rFont val="Calibri"/>
        <family val="2"/>
      </rPr>
      <t>Lavatório em louça com coluna suspensa</t>
    </r>
  </si>
  <si>
    <r>
      <rPr>
        <sz val="8.5"/>
        <rFont val="Calibri"/>
        <family val="2"/>
      </rPr>
      <t>411,98</t>
    </r>
  </si>
  <si>
    <r>
      <rPr>
        <sz val="8.5"/>
        <rFont val="Calibri"/>
        <family val="2"/>
      </rPr>
      <t>462,89</t>
    </r>
  </si>
  <si>
    <r>
      <rPr>
        <sz val="8.5"/>
        <rFont val="Calibri"/>
        <family val="2"/>
      </rPr>
      <t>44.01.270</t>
    </r>
  </si>
  <si>
    <r>
      <rPr>
        <sz val="8.5"/>
        <rFont val="Calibri"/>
        <family val="2"/>
      </rPr>
      <t>Cuba de louça de embutir oval</t>
    </r>
  </si>
  <si>
    <r>
      <rPr>
        <sz val="8.5"/>
        <rFont val="Calibri"/>
        <family val="2"/>
      </rPr>
      <t>82,86</t>
    </r>
  </si>
  <si>
    <r>
      <rPr>
        <sz val="8.5"/>
        <rFont val="Calibri"/>
        <family val="2"/>
      </rPr>
      <t>101,06</t>
    </r>
  </si>
  <si>
    <r>
      <rPr>
        <sz val="8.5"/>
        <rFont val="Calibri"/>
        <family val="2"/>
      </rPr>
      <t>44.01.310</t>
    </r>
  </si>
  <si>
    <r>
      <rPr>
        <sz val="8.5"/>
        <rFont val="Calibri"/>
        <family val="2"/>
      </rPr>
      <t>Tanque de louça com coluna de 30 litros</t>
    </r>
  </si>
  <si>
    <r>
      <rPr>
        <sz val="8.5"/>
        <rFont val="Calibri"/>
        <family val="2"/>
      </rPr>
      <t>576,38</t>
    </r>
  </si>
  <si>
    <r>
      <rPr>
        <sz val="8.5"/>
        <rFont val="Calibri"/>
        <family val="2"/>
      </rPr>
      <t>685,55</t>
    </r>
  </si>
  <si>
    <r>
      <rPr>
        <sz val="8.5"/>
        <rFont val="Calibri"/>
        <family val="2"/>
      </rPr>
      <t>44.01.360</t>
    </r>
  </si>
  <si>
    <r>
      <rPr>
        <sz val="8.5"/>
        <rFont val="Calibri"/>
        <family val="2"/>
      </rPr>
      <t>Tanque de louça com coluna de 18 a 20 litros</t>
    </r>
  </si>
  <si>
    <r>
      <rPr>
        <sz val="8.5"/>
        <rFont val="Calibri"/>
        <family val="2"/>
      </rPr>
      <t>468,14</t>
    </r>
  </si>
  <si>
    <r>
      <rPr>
        <sz val="8.5"/>
        <rFont val="Calibri"/>
        <family val="2"/>
      </rPr>
      <t>577,31</t>
    </r>
  </si>
  <si>
    <r>
      <rPr>
        <sz val="8.5"/>
        <rFont val="Calibri"/>
        <family val="2"/>
      </rPr>
      <t>44.01.370</t>
    </r>
  </si>
  <si>
    <r>
      <rPr>
        <sz val="8.5"/>
        <rFont val="Calibri"/>
        <family val="2"/>
      </rPr>
      <t>Tanque em granito sintético, linha comercial - sem pertences</t>
    </r>
  </si>
  <si>
    <r>
      <rPr>
        <sz val="8.5"/>
        <rFont val="Calibri"/>
        <family val="2"/>
      </rPr>
      <t>199,76</t>
    </r>
  </si>
  <si>
    <r>
      <rPr>
        <sz val="8.5"/>
        <rFont val="Calibri"/>
        <family val="2"/>
      </rPr>
      <t>236,15</t>
    </r>
  </si>
  <si>
    <r>
      <rPr>
        <sz val="8.5"/>
        <rFont val="Calibri"/>
        <family val="2"/>
      </rPr>
      <t>44.01.610</t>
    </r>
  </si>
  <si>
    <r>
      <rPr>
        <sz val="8.5"/>
        <rFont val="Calibri"/>
        <family val="2"/>
      </rPr>
      <t>Lavatório de louça para canto, sem coluna - sem pertences</t>
    </r>
  </si>
  <si>
    <r>
      <rPr>
        <sz val="8.5"/>
        <rFont val="Calibri"/>
        <family val="2"/>
      </rPr>
      <t>161,70</t>
    </r>
  </si>
  <si>
    <r>
      <rPr>
        <sz val="8.5"/>
        <rFont val="Calibri"/>
        <family val="2"/>
      </rPr>
      <t>179,90</t>
    </r>
  </si>
  <si>
    <r>
      <rPr>
        <sz val="8.5"/>
        <rFont val="Calibri"/>
        <family val="2"/>
      </rPr>
      <t>44.01.680</t>
    </r>
  </si>
  <si>
    <r>
      <rPr>
        <sz val="8.5"/>
        <rFont val="Calibri"/>
        <family val="2"/>
      </rPr>
      <t xml:space="preserve">Caixa de descarga em plástico, de sobrepor, capacidade 9 litros com
</t>
    </r>
    <r>
      <rPr>
        <sz val="8.5"/>
        <rFont val="Calibri"/>
        <family val="2"/>
      </rPr>
      <t>engate flexível</t>
    </r>
  </si>
  <si>
    <r>
      <rPr>
        <sz val="8.5"/>
        <rFont val="Calibri"/>
        <family val="2"/>
      </rPr>
      <t>76,68</t>
    </r>
  </si>
  <si>
    <r>
      <rPr>
        <sz val="8.5"/>
        <rFont val="Calibri"/>
        <family val="2"/>
      </rPr>
      <t>12,01</t>
    </r>
  </si>
  <si>
    <r>
      <rPr>
        <sz val="8.5"/>
        <rFont val="Calibri"/>
        <family val="2"/>
      </rPr>
      <t>88,69</t>
    </r>
  </si>
  <si>
    <r>
      <rPr>
        <sz val="8.5"/>
        <rFont val="Calibri"/>
        <family val="2"/>
      </rPr>
      <t>44.01.690</t>
    </r>
  </si>
  <si>
    <r>
      <rPr>
        <sz val="8.5"/>
        <rFont val="Calibri"/>
        <family val="2"/>
      </rPr>
      <t>Tanque de louça sem coluna de 30 litros</t>
    </r>
  </si>
  <si>
    <r>
      <rPr>
        <sz val="8.5"/>
        <rFont val="Calibri"/>
        <family val="2"/>
      </rPr>
      <t>451,18</t>
    </r>
  </si>
  <si>
    <r>
      <rPr>
        <sz val="8.5"/>
        <rFont val="Calibri"/>
        <family val="2"/>
      </rPr>
      <t>560,35</t>
    </r>
  </si>
  <si>
    <r>
      <rPr>
        <sz val="8.5"/>
        <rFont val="Calibri"/>
        <family val="2"/>
      </rPr>
      <t>44.01.800</t>
    </r>
  </si>
  <si>
    <r>
      <rPr>
        <sz val="8.5"/>
        <rFont val="Calibri"/>
        <family val="2"/>
      </rPr>
      <t>Bacia sifonada com caixa de descarga acoplada sem tampa - 6 litros</t>
    </r>
  </si>
  <si>
    <r>
      <rPr>
        <sz val="8.5"/>
        <rFont val="Calibri"/>
        <family val="2"/>
      </rPr>
      <t>545,58</t>
    </r>
  </si>
  <si>
    <r>
      <rPr>
        <sz val="8.5"/>
        <rFont val="Calibri"/>
        <family val="2"/>
      </rPr>
      <t>589,23</t>
    </r>
  </si>
  <si>
    <r>
      <rPr>
        <sz val="8.5"/>
        <rFont val="Calibri"/>
        <family val="2"/>
      </rPr>
      <t>44.01.850</t>
    </r>
  </si>
  <si>
    <r>
      <rPr>
        <sz val="8.5"/>
        <rFont val="Calibri"/>
        <family val="2"/>
      </rPr>
      <t>Cuba de louça de embutir redonda</t>
    </r>
  </si>
  <si>
    <r>
      <rPr>
        <sz val="8.5"/>
        <rFont val="Calibri"/>
        <family val="2"/>
      </rPr>
      <t>90,25</t>
    </r>
  </si>
  <si>
    <r>
      <rPr>
        <sz val="8.5"/>
        <rFont val="Calibri"/>
        <family val="2"/>
      </rPr>
      <t>Bancadas e tampos</t>
    </r>
  </si>
  <si>
    <r>
      <rPr>
        <sz val="8.5"/>
        <rFont val="Calibri"/>
        <family val="2"/>
      </rPr>
      <t>44.02.062</t>
    </r>
  </si>
  <si>
    <r>
      <rPr>
        <sz val="8.5"/>
        <rFont val="Calibri"/>
        <family val="2"/>
      </rPr>
      <t xml:space="preserve">Tampo/bancada em granito, com frontão, espessura de 2 cm,
</t>
    </r>
    <r>
      <rPr>
        <sz val="8.5"/>
        <rFont val="Calibri"/>
        <family val="2"/>
      </rPr>
      <t>acabamento polido</t>
    </r>
  </si>
  <si>
    <r>
      <rPr>
        <sz val="8.5"/>
        <rFont val="Calibri"/>
        <family val="2"/>
      </rPr>
      <t>477,25</t>
    </r>
  </si>
  <si>
    <r>
      <rPr>
        <sz val="8.5"/>
        <rFont val="Calibri"/>
        <family val="2"/>
      </rPr>
      <t>537,54</t>
    </r>
  </si>
  <si>
    <r>
      <rPr>
        <sz val="8.5"/>
        <rFont val="Calibri"/>
        <family val="2"/>
      </rPr>
      <t>44.02.100</t>
    </r>
  </si>
  <si>
    <r>
      <rPr>
        <sz val="8.5"/>
        <rFont val="Calibri"/>
        <family val="2"/>
      </rPr>
      <t>Tampo/bancada em mármore nacional espessura de 3 cm</t>
    </r>
  </si>
  <si>
    <r>
      <rPr>
        <sz val="8.5"/>
        <rFont val="Calibri"/>
        <family val="2"/>
      </rPr>
      <t>986,06</t>
    </r>
  </si>
  <si>
    <r>
      <rPr>
        <sz val="8.5"/>
        <rFont val="Calibri"/>
        <family val="2"/>
      </rPr>
      <t>1.050,38</t>
    </r>
  </si>
  <si>
    <r>
      <rPr>
        <sz val="8.5"/>
        <rFont val="Calibri"/>
        <family val="2"/>
      </rPr>
      <t>44.02.200</t>
    </r>
  </si>
  <si>
    <r>
      <rPr>
        <sz val="8.5"/>
        <rFont val="Calibri"/>
        <family val="2"/>
      </rPr>
      <t xml:space="preserve">Tampo/bancada em concreto armado, revestido em aço inoxidável fosco
</t>
    </r>
    <r>
      <rPr>
        <sz val="8.5"/>
        <rFont val="Calibri"/>
        <family val="2"/>
      </rPr>
      <t>polido</t>
    </r>
  </si>
  <si>
    <r>
      <rPr>
        <sz val="8.5"/>
        <rFont val="Calibri"/>
        <family val="2"/>
      </rPr>
      <t>1.104,77</t>
    </r>
  </si>
  <si>
    <r>
      <rPr>
        <sz val="8.5"/>
        <rFont val="Calibri"/>
        <family val="2"/>
      </rPr>
      <t>1.235,06</t>
    </r>
  </si>
  <si>
    <r>
      <rPr>
        <sz val="8.5"/>
        <rFont val="Calibri"/>
        <family val="2"/>
      </rPr>
      <t>44.02.300</t>
    </r>
  </si>
  <si>
    <r>
      <rPr>
        <sz val="8.5"/>
        <rFont val="Calibri"/>
        <family val="2"/>
      </rPr>
      <t>Superfície sólido mineral para bancadas, saias, frontões e/ou cubas</t>
    </r>
  </si>
  <si>
    <r>
      <rPr>
        <sz val="8.5"/>
        <rFont val="Calibri"/>
        <family val="2"/>
      </rPr>
      <t>2.274,74</t>
    </r>
  </si>
  <si>
    <r>
      <rPr>
        <sz val="8.5"/>
        <rFont val="Calibri"/>
        <family val="2"/>
      </rPr>
      <t>Acessorios e metais</t>
    </r>
  </si>
  <si>
    <r>
      <rPr>
        <sz val="8.5"/>
        <rFont val="Calibri"/>
        <family val="2"/>
      </rPr>
      <t>44.03.010</t>
    </r>
  </si>
  <si>
    <r>
      <rPr>
        <sz val="8.5"/>
        <rFont val="Calibri"/>
        <family val="2"/>
      </rPr>
      <t xml:space="preserve">Dispenser toalheiro em ABS e policarbonato para bobina de 20 cm x 200
</t>
    </r>
    <r>
      <rPr>
        <sz val="8.5"/>
        <rFont val="Calibri"/>
        <family val="2"/>
      </rPr>
      <t>m, com alavanca</t>
    </r>
  </si>
  <si>
    <r>
      <rPr>
        <sz val="8.5"/>
        <rFont val="Calibri"/>
        <family val="2"/>
      </rPr>
      <t>235,00</t>
    </r>
  </si>
  <si>
    <r>
      <rPr>
        <sz val="8.5"/>
        <rFont val="Calibri"/>
        <family val="2"/>
      </rPr>
      <t>239,41</t>
    </r>
  </si>
  <si>
    <r>
      <rPr>
        <sz val="8.5"/>
        <rFont val="Calibri"/>
        <family val="2"/>
      </rPr>
      <t>44.03.020</t>
    </r>
  </si>
  <si>
    <r>
      <rPr>
        <sz val="8.5"/>
        <rFont val="Calibri"/>
        <family val="2"/>
      </rPr>
      <t>Meia saboneteira de louça de embutir</t>
    </r>
  </si>
  <si>
    <r>
      <rPr>
        <sz val="8.5"/>
        <rFont val="Calibri"/>
        <family val="2"/>
      </rPr>
      <t>44.03.030</t>
    </r>
  </si>
  <si>
    <r>
      <rPr>
        <sz val="8.5"/>
        <rFont val="Calibri"/>
        <family val="2"/>
      </rPr>
      <t xml:space="preserve">Dispenser toalheiro metálico esmaltado para bobina de 25cm x 50m,
</t>
    </r>
    <r>
      <rPr>
        <sz val="8.5"/>
        <rFont val="Calibri"/>
        <family val="2"/>
      </rPr>
      <t>sem alavanca</t>
    </r>
  </si>
  <si>
    <r>
      <rPr>
        <sz val="8.5"/>
        <rFont val="Calibri"/>
        <family val="2"/>
      </rPr>
      <t>51,48</t>
    </r>
  </si>
  <si>
    <r>
      <rPr>
        <sz val="8.5"/>
        <rFont val="Calibri"/>
        <family val="2"/>
      </rPr>
      <t>55,89</t>
    </r>
  </si>
  <si>
    <r>
      <rPr>
        <sz val="8.5"/>
        <rFont val="Calibri"/>
        <family val="2"/>
      </rPr>
      <t>44.03.040</t>
    </r>
  </si>
  <si>
    <r>
      <rPr>
        <sz val="8.5"/>
        <rFont val="Calibri"/>
        <family val="2"/>
      </rPr>
      <t>Saboneteira de louça de embutir</t>
    </r>
  </si>
  <si>
    <r>
      <rPr>
        <sz val="8.5"/>
        <rFont val="Calibri"/>
        <family val="2"/>
      </rPr>
      <t>43,46</t>
    </r>
  </si>
  <si>
    <r>
      <rPr>
        <sz val="8.5"/>
        <rFont val="Calibri"/>
        <family val="2"/>
      </rPr>
      <t>54,07</t>
    </r>
  </si>
  <si>
    <r>
      <rPr>
        <sz val="8.5"/>
        <rFont val="Calibri"/>
        <family val="2"/>
      </rPr>
      <t>44.03.050</t>
    </r>
  </si>
  <si>
    <r>
      <rPr>
        <sz val="8.5"/>
        <rFont val="Calibri"/>
        <family val="2"/>
      </rPr>
      <t>Dispenser papel higiênico em ABS para rolão 300 / 600 m, com visor</t>
    </r>
  </si>
  <si>
    <r>
      <rPr>
        <sz val="8.5"/>
        <rFont val="Calibri"/>
        <family val="2"/>
      </rPr>
      <t>76,09</t>
    </r>
  </si>
  <si>
    <r>
      <rPr>
        <sz val="8.5"/>
        <rFont val="Calibri"/>
        <family val="2"/>
      </rPr>
      <t>80,50</t>
    </r>
  </si>
  <si>
    <r>
      <rPr>
        <sz val="8.5"/>
        <rFont val="Calibri"/>
        <family val="2"/>
      </rPr>
      <t>44.03.080</t>
    </r>
  </si>
  <si>
    <r>
      <rPr>
        <sz val="8.5"/>
        <rFont val="Calibri"/>
        <family val="2"/>
      </rPr>
      <t>Porta-papel de louça de embutir</t>
    </r>
  </si>
  <si>
    <r>
      <rPr>
        <sz val="8.5"/>
        <rFont val="Calibri"/>
        <family val="2"/>
      </rPr>
      <t>43,30</t>
    </r>
  </si>
  <si>
    <r>
      <rPr>
        <sz val="8.5"/>
        <rFont val="Calibri"/>
        <family val="2"/>
      </rPr>
      <t>53,91</t>
    </r>
  </si>
  <si>
    <r>
      <rPr>
        <sz val="8.5"/>
        <rFont val="Calibri"/>
        <family val="2"/>
      </rPr>
      <t>44.03.090</t>
    </r>
  </si>
  <si>
    <r>
      <rPr>
        <sz val="8.5"/>
        <rFont val="Calibri"/>
        <family val="2"/>
      </rPr>
      <t>Cabide cromado para banheiro</t>
    </r>
  </si>
  <si>
    <r>
      <rPr>
        <sz val="8.5"/>
        <rFont val="Calibri"/>
        <family val="2"/>
      </rPr>
      <t>45,29</t>
    </r>
  </si>
  <si>
    <r>
      <rPr>
        <sz val="8.5"/>
        <rFont val="Calibri"/>
        <family val="2"/>
      </rPr>
      <t>44.03.130</t>
    </r>
  </si>
  <si>
    <r>
      <rPr>
        <sz val="8.5"/>
        <rFont val="Calibri"/>
        <family val="2"/>
      </rPr>
      <t>Saboneteira tipo dispenser, para refil de 800 ml</t>
    </r>
  </si>
  <si>
    <r>
      <rPr>
        <sz val="8.5"/>
        <rFont val="Calibri"/>
        <family val="2"/>
      </rPr>
      <t>37,88</t>
    </r>
  </si>
  <si>
    <r>
      <rPr>
        <sz val="8.5"/>
        <rFont val="Calibri"/>
        <family val="2"/>
      </rPr>
      <t>42,29</t>
    </r>
  </si>
  <si>
    <r>
      <rPr>
        <sz val="8.5"/>
        <rFont val="Calibri"/>
        <family val="2"/>
      </rPr>
      <t>44.03.180</t>
    </r>
  </si>
  <si>
    <r>
      <rPr>
        <sz val="8.5"/>
        <rFont val="Calibri"/>
        <family val="2"/>
      </rPr>
      <t>Dispenser toalheiro em ABS, para folhas</t>
    </r>
  </si>
  <si>
    <r>
      <rPr>
        <sz val="8.5"/>
        <rFont val="Calibri"/>
        <family val="2"/>
      </rPr>
      <t>54,49</t>
    </r>
  </si>
  <si>
    <r>
      <rPr>
        <sz val="8.5"/>
        <rFont val="Calibri"/>
        <family val="2"/>
      </rPr>
      <t>58,90</t>
    </r>
  </si>
  <si>
    <r>
      <rPr>
        <sz val="8.5"/>
        <rFont val="Calibri"/>
        <family val="2"/>
      </rPr>
      <t>44.03.210</t>
    </r>
  </si>
  <si>
    <r>
      <rPr>
        <sz val="8.5"/>
        <rFont val="Calibri"/>
        <family val="2"/>
      </rPr>
      <t>Ducha cromada simples</t>
    </r>
  </si>
  <si>
    <r>
      <rPr>
        <sz val="8.5"/>
        <rFont val="Calibri"/>
        <family val="2"/>
      </rPr>
      <t>57,72</t>
    </r>
  </si>
  <si>
    <r>
      <rPr>
        <sz val="8.5"/>
        <rFont val="Calibri"/>
        <family val="2"/>
      </rPr>
      <t>75,92</t>
    </r>
  </si>
  <si>
    <r>
      <rPr>
        <sz val="8.5"/>
        <rFont val="Calibri"/>
        <family val="2"/>
      </rPr>
      <t>44.03.260</t>
    </r>
  </si>
  <si>
    <r>
      <rPr>
        <sz val="8.5"/>
        <rFont val="Calibri"/>
        <family val="2"/>
      </rPr>
      <t>Armário de plástico de embutir, para lavatório</t>
    </r>
  </si>
  <si>
    <r>
      <rPr>
        <sz val="8.5"/>
        <rFont val="Calibri"/>
        <family val="2"/>
      </rPr>
      <t>143,87</t>
    </r>
  </si>
  <si>
    <r>
      <rPr>
        <sz val="8.5"/>
        <rFont val="Calibri"/>
        <family val="2"/>
      </rPr>
      <t>44.03.300</t>
    </r>
  </si>
  <si>
    <r>
      <rPr>
        <sz val="8.5"/>
        <rFont val="Calibri"/>
        <family val="2"/>
      </rPr>
      <t>Torneira volante tipo alavanca</t>
    </r>
  </si>
  <si>
    <r>
      <rPr>
        <sz val="8.5"/>
        <rFont val="Calibri"/>
        <family val="2"/>
      </rPr>
      <t>177,64</t>
    </r>
  </si>
  <si>
    <r>
      <rPr>
        <sz val="8.5"/>
        <rFont val="Calibri"/>
        <family val="2"/>
      </rPr>
      <t>191,46</t>
    </r>
  </si>
  <si>
    <r>
      <rPr>
        <sz val="8.5"/>
        <rFont val="Calibri"/>
        <family val="2"/>
      </rPr>
      <t>44.03.310</t>
    </r>
  </si>
  <si>
    <r>
      <rPr>
        <sz val="8.5"/>
        <rFont val="Calibri"/>
        <family val="2"/>
      </rPr>
      <t>Torneira de mesa para lavatório, acionamento hidromecânico, com registro integrado regulador de vazão, em latão cromado, DN= 1/2´</t>
    </r>
  </si>
  <si>
    <r>
      <rPr>
        <sz val="8.5"/>
        <rFont val="Calibri"/>
        <family val="2"/>
      </rPr>
      <t>843,96</t>
    </r>
  </si>
  <si>
    <r>
      <rPr>
        <sz val="8.5"/>
        <rFont val="Calibri"/>
        <family val="2"/>
      </rPr>
      <t>857,78</t>
    </r>
  </si>
  <si>
    <r>
      <rPr>
        <sz val="8.5"/>
        <rFont val="Calibri"/>
        <family val="2"/>
      </rPr>
      <t>44.03.315</t>
    </r>
  </si>
  <si>
    <r>
      <rPr>
        <sz val="8.5"/>
        <rFont val="Calibri"/>
        <family val="2"/>
      </rPr>
      <t>Torneira de mesa com bica móvel e alavanca</t>
    </r>
  </si>
  <si>
    <r>
      <rPr>
        <sz val="8.5"/>
        <rFont val="Calibri"/>
        <family val="2"/>
      </rPr>
      <t>44.03.316</t>
    </r>
  </si>
  <si>
    <r>
      <rPr>
        <sz val="8.5"/>
        <rFont val="Calibri"/>
        <family val="2"/>
      </rPr>
      <t xml:space="preserve">Torneira misturador clínica de mesa com arejador articulado,
</t>
    </r>
    <r>
      <rPr>
        <sz val="8.5"/>
        <rFont val="Calibri"/>
        <family val="2"/>
      </rPr>
      <t>acionamento cotovelo</t>
    </r>
  </si>
  <si>
    <r>
      <rPr>
        <sz val="8.5"/>
        <rFont val="Calibri"/>
        <family val="2"/>
      </rPr>
      <t>405,10</t>
    </r>
  </si>
  <si>
    <r>
      <rPr>
        <sz val="8.5"/>
        <rFont val="Calibri"/>
        <family val="2"/>
      </rPr>
      <t>456,05</t>
    </r>
  </si>
  <si>
    <r>
      <rPr>
        <sz val="8.5"/>
        <rFont val="Calibri"/>
        <family val="2"/>
      </rPr>
      <t>44.03.360</t>
    </r>
  </si>
  <si>
    <r>
      <rPr>
        <sz val="8.5"/>
        <rFont val="Calibri"/>
        <family val="2"/>
      </rPr>
      <t>Ducha higiênica cromada</t>
    </r>
  </si>
  <si>
    <r>
      <rPr>
        <sz val="8.5"/>
        <rFont val="Calibri"/>
        <family val="2"/>
      </rPr>
      <t>435,94</t>
    </r>
  </si>
  <si>
    <r>
      <rPr>
        <sz val="8.5"/>
        <rFont val="Calibri"/>
        <family val="2"/>
      </rPr>
      <t>454,14</t>
    </r>
  </si>
  <si>
    <r>
      <rPr>
        <sz val="8.5"/>
        <rFont val="Calibri"/>
        <family val="2"/>
      </rPr>
      <t>44.03.370</t>
    </r>
  </si>
  <si>
    <r>
      <rPr>
        <sz val="8.5"/>
        <rFont val="Calibri"/>
        <family val="2"/>
      </rPr>
      <t xml:space="preserve">Torneira curta com rosca para uso geral, em latão fundido sem
</t>
    </r>
    <r>
      <rPr>
        <sz val="8.5"/>
        <rFont val="Calibri"/>
        <family val="2"/>
      </rPr>
      <t>acabamento, DN= 1/2´</t>
    </r>
  </si>
  <si>
    <r>
      <rPr>
        <sz val="8.5"/>
        <rFont val="Calibri"/>
        <family val="2"/>
      </rPr>
      <t>27,97</t>
    </r>
  </si>
  <si>
    <r>
      <rPr>
        <sz val="8.5"/>
        <rFont val="Calibri"/>
        <family val="2"/>
      </rPr>
      <t>40,70</t>
    </r>
  </si>
  <si>
    <r>
      <rPr>
        <sz val="8.5"/>
        <rFont val="Calibri"/>
        <family val="2"/>
      </rPr>
      <t>44.03.380</t>
    </r>
  </si>
  <si>
    <r>
      <rPr>
        <sz val="8.5"/>
        <rFont val="Calibri"/>
        <family val="2"/>
      </rPr>
      <t xml:space="preserve">Torneira curta com rosca para uso geral, em latão fundido sem
</t>
    </r>
    <r>
      <rPr>
        <sz val="8.5"/>
        <rFont val="Calibri"/>
        <family val="2"/>
      </rPr>
      <t>acabamento, DN= 3/4´</t>
    </r>
  </si>
  <si>
    <r>
      <rPr>
        <sz val="8.5"/>
        <rFont val="Calibri"/>
        <family val="2"/>
      </rPr>
      <t>40,42</t>
    </r>
  </si>
  <si>
    <r>
      <rPr>
        <sz val="8.5"/>
        <rFont val="Calibri"/>
        <family val="2"/>
      </rPr>
      <t>44.03.400</t>
    </r>
  </si>
  <si>
    <r>
      <rPr>
        <sz val="8.5"/>
        <rFont val="Calibri"/>
        <family val="2"/>
      </rPr>
      <t xml:space="preserve">Torneira curta com rosca para uso geral, em latão fundido cromado, DN=
</t>
    </r>
    <r>
      <rPr>
        <sz val="8.5"/>
        <rFont val="Calibri"/>
        <family val="2"/>
      </rPr>
      <t>3/4´</t>
    </r>
  </si>
  <si>
    <r>
      <rPr>
        <sz val="8.5"/>
        <rFont val="Calibri"/>
        <family val="2"/>
      </rPr>
      <t>35,40</t>
    </r>
  </si>
  <si>
    <r>
      <rPr>
        <sz val="8.5"/>
        <rFont val="Calibri"/>
        <family val="2"/>
      </rPr>
      <t>48,13</t>
    </r>
  </si>
  <si>
    <r>
      <rPr>
        <sz val="8.5"/>
        <rFont val="Calibri"/>
        <family val="2"/>
      </rPr>
      <t>44.03.420</t>
    </r>
  </si>
  <si>
    <r>
      <rPr>
        <sz val="8.5"/>
        <rFont val="Calibri"/>
        <family val="2"/>
      </rPr>
      <t xml:space="preserve">Torneira curta sem rosca para uso geral, em latão fundido sem
</t>
    </r>
    <r>
      <rPr>
        <sz val="8.5"/>
        <rFont val="Calibri"/>
        <family val="2"/>
      </rPr>
      <t>acabamento, DN= 3/4´</t>
    </r>
  </si>
  <si>
    <r>
      <rPr>
        <sz val="8.5"/>
        <rFont val="Calibri"/>
        <family val="2"/>
      </rPr>
      <t>20,45</t>
    </r>
  </si>
  <si>
    <r>
      <rPr>
        <sz val="8.5"/>
        <rFont val="Calibri"/>
        <family val="2"/>
      </rPr>
      <t>44.03.430</t>
    </r>
  </si>
  <si>
    <r>
      <rPr>
        <sz val="8.5"/>
        <rFont val="Calibri"/>
        <family val="2"/>
      </rPr>
      <t xml:space="preserve">Torneira curta sem rosca para uso geral, em latão fundido cromado, DN=
</t>
    </r>
    <r>
      <rPr>
        <sz val="8.5"/>
        <rFont val="Calibri"/>
        <family val="2"/>
      </rPr>
      <t>1/2´</t>
    </r>
  </si>
  <si>
    <r>
      <rPr>
        <sz val="8.5"/>
        <rFont val="Calibri"/>
        <family val="2"/>
      </rPr>
      <t>24,81</t>
    </r>
  </si>
  <si>
    <r>
      <rPr>
        <sz val="8.5"/>
        <rFont val="Calibri"/>
        <family val="2"/>
      </rPr>
      <t>37,54</t>
    </r>
  </si>
  <si>
    <r>
      <rPr>
        <sz val="8.5"/>
        <rFont val="Calibri"/>
        <family val="2"/>
      </rPr>
      <t>44.03.440</t>
    </r>
  </si>
  <si>
    <r>
      <rPr>
        <sz val="8.5"/>
        <rFont val="Calibri"/>
        <family val="2"/>
      </rPr>
      <t xml:space="preserve">Torneira curta sem rosca para uso geral, em latão fundido cromado, DN=
</t>
    </r>
    <r>
      <rPr>
        <sz val="8.5"/>
        <rFont val="Calibri"/>
        <family val="2"/>
      </rPr>
      <t>3/4´</t>
    </r>
  </si>
  <si>
    <r>
      <rPr>
        <sz val="8.5"/>
        <rFont val="Calibri"/>
        <family val="2"/>
      </rPr>
      <t>26,42</t>
    </r>
  </si>
  <si>
    <r>
      <rPr>
        <sz val="8.5"/>
        <rFont val="Calibri"/>
        <family val="2"/>
      </rPr>
      <t>39,15</t>
    </r>
  </si>
  <si>
    <r>
      <rPr>
        <sz val="8.5"/>
        <rFont val="Calibri"/>
        <family val="2"/>
      </rPr>
      <t>44.03.450</t>
    </r>
  </si>
  <si>
    <r>
      <rPr>
        <sz val="8.5"/>
        <rFont val="Calibri"/>
        <family val="2"/>
      </rPr>
      <t>Torneira longa sem rosca para uso geral, em latão fundido cromado</t>
    </r>
  </si>
  <si>
    <r>
      <rPr>
        <sz val="8.5"/>
        <rFont val="Calibri"/>
        <family val="2"/>
      </rPr>
      <t>47,80</t>
    </r>
  </si>
  <si>
    <r>
      <rPr>
        <sz val="8.5"/>
        <rFont val="Calibri"/>
        <family val="2"/>
      </rPr>
      <t>60,53</t>
    </r>
  </si>
  <si>
    <r>
      <rPr>
        <sz val="8.5"/>
        <rFont val="Calibri"/>
        <family val="2"/>
      </rPr>
      <t>44.03.470</t>
    </r>
  </si>
  <si>
    <r>
      <rPr>
        <sz val="8.5"/>
        <rFont val="Calibri"/>
        <family val="2"/>
      </rPr>
      <t xml:space="preserve">Torneira de parede para pia com bica móvel e arejador, em latão fundido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</si>
  <si>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74,86</t>
    </r>
  </si>
  <si>
    <r>
      <rPr>
        <sz val="8.5"/>
        <rFont val="Calibri"/>
        <family val="2"/>
      </rPr>
      <t>87,59</t>
    </r>
  </si>
  <si>
    <r>
      <rPr>
        <sz val="8.5"/>
        <rFont val="Calibri"/>
        <family val="2"/>
      </rPr>
      <t>44.03.480</t>
    </r>
  </si>
  <si>
    <r>
      <rPr>
        <sz val="8.5"/>
        <rFont val="Calibri"/>
        <family val="2"/>
      </rPr>
      <t xml:space="preserve">Torneira de mesa para lavatório compacta, acionamento hidromecânico,
</t>
    </r>
    <r>
      <rPr>
        <sz val="8.5"/>
        <rFont val="Calibri"/>
        <family val="2"/>
      </rPr>
      <t>em latão cromado, DN= 1/2´</t>
    </r>
  </si>
  <si>
    <r>
      <rPr>
        <sz val="8.5"/>
        <rFont val="Calibri"/>
        <family val="2"/>
      </rPr>
      <t>180,73</t>
    </r>
  </si>
  <si>
    <r>
      <rPr>
        <sz val="8.5"/>
        <rFont val="Calibri"/>
        <family val="2"/>
      </rPr>
      <t>194,55</t>
    </r>
  </si>
  <si>
    <r>
      <rPr>
        <sz val="8.5"/>
        <rFont val="Calibri"/>
        <family val="2"/>
      </rPr>
      <t>44.03.500</t>
    </r>
  </si>
  <si>
    <r>
      <rPr>
        <sz val="8.5"/>
        <rFont val="Calibri"/>
        <family val="2"/>
      </rPr>
      <t xml:space="preserve">Aparelho misturador de parede, para pia, com bica móvel, acabamento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</si>
  <si>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495,34</t>
    </r>
  </si>
  <si>
    <r>
      <rPr>
        <sz val="8.5"/>
        <rFont val="Calibri"/>
        <family val="2"/>
      </rPr>
      <t>546,29</t>
    </r>
  </si>
  <si>
    <r>
      <rPr>
        <sz val="8.5"/>
        <rFont val="Calibri"/>
        <family val="2"/>
      </rPr>
      <t>44.03.510</t>
    </r>
  </si>
  <si>
    <r>
      <rPr>
        <sz val="8.5"/>
        <rFont val="Calibri"/>
        <family val="2"/>
      </rPr>
      <t>Torneira de parede antivandalismo, DN= 3/4´</t>
    </r>
  </si>
  <si>
    <r>
      <rPr>
        <sz val="8.5"/>
        <rFont val="Calibri"/>
        <family val="2"/>
      </rPr>
      <t>371,51</t>
    </r>
  </si>
  <si>
    <r>
      <rPr>
        <sz val="8.5"/>
        <rFont val="Calibri"/>
        <family val="2"/>
      </rPr>
      <t>29,10</t>
    </r>
  </si>
  <si>
    <r>
      <rPr>
        <sz val="8.5"/>
        <rFont val="Calibri"/>
        <family val="2"/>
      </rPr>
      <t>400,61</t>
    </r>
  </si>
  <si>
    <r>
      <rPr>
        <sz val="8.5"/>
        <rFont val="Calibri"/>
        <family val="2"/>
      </rPr>
      <t>44.03.590</t>
    </r>
  </si>
  <si>
    <r>
      <rPr>
        <sz val="8.5"/>
        <rFont val="Calibri"/>
        <family val="2"/>
      </rPr>
      <t xml:space="preserve">Torneira de mesa para pia com bica móvel e arejador em latão fundido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</si>
  <si>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169,68</t>
    </r>
  </si>
  <si>
    <r>
      <rPr>
        <sz val="8.5"/>
        <rFont val="Calibri"/>
        <family val="2"/>
      </rPr>
      <t>183,50</t>
    </r>
  </si>
  <si>
    <r>
      <rPr>
        <sz val="8.5"/>
        <rFont val="Calibri"/>
        <family val="2"/>
      </rPr>
      <t>44.03.630</t>
    </r>
  </si>
  <si>
    <r>
      <rPr>
        <sz val="8.5"/>
        <rFont val="Calibri"/>
        <family val="2"/>
      </rPr>
      <t xml:space="preserve">Torneira de acionamento restrito em latão cromado, DN= 1/2´ com
</t>
    </r>
    <r>
      <rPr>
        <sz val="8.5"/>
        <rFont val="Calibri"/>
        <family val="2"/>
      </rPr>
      <t>adaptador para 3/4´</t>
    </r>
  </si>
  <si>
    <r>
      <rPr>
        <sz val="8.5"/>
        <rFont val="Calibri"/>
        <family val="2"/>
      </rPr>
      <t>51,30</t>
    </r>
  </si>
  <si>
    <r>
      <rPr>
        <sz val="8.5"/>
        <rFont val="Calibri"/>
        <family val="2"/>
      </rPr>
      <t>64,03</t>
    </r>
  </si>
  <si>
    <r>
      <rPr>
        <sz val="8.5"/>
        <rFont val="Calibri"/>
        <family val="2"/>
      </rPr>
      <t>44.03.640</t>
    </r>
  </si>
  <si>
    <r>
      <rPr>
        <sz val="8.5"/>
        <rFont val="Calibri"/>
        <family val="2"/>
      </rPr>
      <t xml:space="preserve">Torneira de parede acionamento hidromecânico, em latão cromado, DN=
</t>
    </r>
    <r>
      <rPr>
        <sz val="8.5"/>
        <rFont val="Calibri"/>
        <family val="2"/>
      </rPr>
      <t>1/2´ ou 3/4´</t>
    </r>
  </si>
  <si>
    <r>
      <rPr>
        <sz val="8.5"/>
        <rFont val="Calibri"/>
        <family val="2"/>
      </rPr>
      <t>360,33</t>
    </r>
  </si>
  <si>
    <r>
      <rPr>
        <sz val="8.5"/>
        <rFont val="Calibri"/>
        <family val="2"/>
      </rPr>
      <t>373,06</t>
    </r>
  </si>
  <si>
    <r>
      <rPr>
        <sz val="8.5"/>
        <rFont val="Calibri"/>
        <family val="2"/>
      </rPr>
      <t>44.03.670</t>
    </r>
  </si>
  <si>
    <r>
      <rPr>
        <sz val="8.5"/>
        <rFont val="Calibri"/>
        <family val="2"/>
      </rPr>
      <t>Caixa de descarga de embutir, acionamento frontal, completa</t>
    </r>
  </si>
  <si>
    <r>
      <rPr>
        <sz val="8.5"/>
        <rFont val="Calibri"/>
        <family val="2"/>
      </rPr>
      <t>808,87</t>
    </r>
  </si>
  <si>
    <r>
      <rPr>
        <sz val="8.5"/>
        <rFont val="Calibri"/>
        <family val="2"/>
      </rPr>
      <t>50,36</t>
    </r>
  </si>
  <si>
    <r>
      <rPr>
        <sz val="8.5"/>
        <rFont val="Calibri"/>
        <family val="2"/>
      </rPr>
      <t>859,23</t>
    </r>
  </si>
  <si>
    <r>
      <rPr>
        <sz val="8.5"/>
        <rFont val="Calibri"/>
        <family val="2"/>
      </rPr>
      <t>44.03.690</t>
    </r>
  </si>
  <si>
    <r>
      <rPr>
        <sz val="8.5"/>
        <rFont val="Calibri"/>
        <family val="2"/>
      </rPr>
      <t>Torneira de parede em ABS, DN 1/2´ ou 3/4´, 10cm</t>
    </r>
  </si>
  <si>
    <r>
      <rPr>
        <sz val="8.5"/>
        <rFont val="Calibri"/>
        <family val="2"/>
      </rPr>
      <t>16,41</t>
    </r>
  </si>
  <si>
    <r>
      <rPr>
        <sz val="8.5"/>
        <rFont val="Calibri"/>
        <family val="2"/>
      </rPr>
      <t>44.03.700</t>
    </r>
  </si>
  <si>
    <r>
      <rPr>
        <sz val="8.5"/>
        <rFont val="Calibri"/>
        <family val="2"/>
      </rPr>
      <t>Torneira de parede em ABS, DN 1/2´ ou 3/4´, 15cm</t>
    </r>
  </si>
  <si>
    <r>
      <rPr>
        <sz val="8.5"/>
        <rFont val="Calibri"/>
        <family val="2"/>
      </rPr>
      <t>4,08</t>
    </r>
  </si>
  <si>
    <r>
      <rPr>
        <sz val="8.5"/>
        <rFont val="Calibri"/>
        <family val="2"/>
      </rPr>
      <t>16,81</t>
    </r>
  </si>
  <si>
    <r>
      <rPr>
        <sz val="8.5"/>
        <rFont val="Calibri"/>
        <family val="2"/>
      </rPr>
      <t>44.03.720</t>
    </r>
  </si>
  <si>
    <r>
      <rPr>
        <sz val="8.5"/>
        <rFont val="Calibri"/>
        <family val="2"/>
      </rPr>
      <t xml:space="preserve">Torneira de mesa para lavatório, acionamento hidromecânico com alavanca, registro integrado regulador de vazão, em latão cromado, DN=
</t>
    </r>
    <r>
      <rPr>
        <sz val="8.5"/>
        <rFont val="Calibri"/>
        <family val="2"/>
      </rPr>
      <t>1/2´</t>
    </r>
  </si>
  <si>
    <r>
      <rPr>
        <sz val="8.5"/>
        <rFont val="Calibri"/>
        <family val="2"/>
      </rPr>
      <t>604,60</t>
    </r>
  </si>
  <si>
    <r>
      <rPr>
        <sz val="8.5"/>
        <rFont val="Calibri"/>
        <family val="2"/>
      </rPr>
      <t>618,42</t>
    </r>
  </si>
  <si>
    <r>
      <rPr>
        <sz val="8.5"/>
        <rFont val="Calibri"/>
        <family val="2"/>
      </rPr>
      <t>44.03.810</t>
    </r>
  </si>
  <si>
    <r>
      <rPr>
        <sz val="8.5"/>
        <rFont val="Calibri"/>
        <family val="2"/>
      </rPr>
      <t xml:space="preserve">Aparelho misturador de mesa para pia com bica móvel, acabamento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</si>
  <si>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590,11</t>
    </r>
  </si>
  <si>
    <r>
      <rPr>
        <sz val="8.5"/>
        <rFont val="Calibri"/>
        <family val="2"/>
      </rPr>
      <t>641,06</t>
    </r>
  </si>
  <si>
    <r>
      <rPr>
        <sz val="8.5"/>
        <rFont val="Calibri"/>
        <family val="2"/>
      </rPr>
      <t>44.03.825</t>
    </r>
  </si>
  <si>
    <r>
      <rPr>
        <sz val="8.5"/>
        <rFont val="Calibri"/>
        <family val="2"/>
      </rPr>
      <t>Misturador termostato para chuveiro ou ducha, acabamento cromado</t>
    </r>
  </si>
  <si>
    <r>
      <rPr>
        <sz val="8.5"/>
        <rFont val="Calibri"/>
        <family val="2"/>
      </rPr>
      <t>1.380,22</t>
    </r>
  </si>
  <si>
    <r>
      <rPr>
        <sz val="8.5"/>
        <rFont val="Calibri"/>
        <family val="2"/>
      </rPr>
      <t>1.431,17</t>
    </r>
  </si>
  <si>
    <r>
      <rPr>
        <sz val="8.5"/>
        <rFont val="Calibri"/>
        <family val="2"/>
      </rPr>
      <t>44.03.900</t>
    </r>
  </si>
  <si>
    <r>
      <rPr>
        <sz val="8.5"/>
        <rFont val="Calibri"/>
        <family val="2"/>
      </rPr>
      <t>Secador de mãos em ABS</t>
    </r>
  </si>
  <si>
    <r>
      <rPr>
        <sz val="8.5"/>
        <rFont val="Calibri"/>
        <family val="2"/>
      </rPr>
      <t>1.131,82</t>
    </r>
  </si>
  <si>
    <r>
      <rPr>
        <sz val="8.5"/>
        <rFont val="Calibri"/>
        <family val="2"/>
      </rPr>
      <t>1.136,23</t>
    </r>
  </si>
  <si>
    <r>
      <rPr>
        <sz val="8.5"/>
        <rFont val="Calibri"/>
        <family val="2"/>
      </rPr>
      <t>44.03.920</t>
    </r>
  </si>
  <si>
    <r>
      <rPr>
        <sz val="8.5"/>
        <rFont val="Calibri"/>
        <family val="2"/>
      </rPr>
      <t>Ducha higiênica com registro</t>
    </r>
  </si>
  <si>
    <r>
      <rPr>
        <sz val="8.5"/>
        <rFont val="Calibri"/>
        <family val="2"/>
      </rPr>
      <t>352,02</t>
    </r>
  </si>
  <si>
    <r>
      <rPr>
        <sz val="8.5"/>
        <rFont val="Calibri"/>
        <family val="2"/>
      </rPr>
      <t>370,22</t>
    </r>
  </si>
  <si>
    <r>
      <rPr>
        <sz val="8.5"/>
        <rFont val="Calibri"/>
        <family val="2"/>
      </rPr>
      <t>44.03.931</t>
    </r>
  </si>
  <si>
    <r>
      <rPr>
        <sz val="8.5"/>
        <rFont val="Calibri"/>
        <family val="2"/>
      </rPr>
      <t>Desviador para duchas e chuveiros</t>
    </r>
  </si>
  <si>
    <r>
      <rPr>
        <sz val="8.5"/>
        <rFont val="Calibri"/>
        <family val="2"/>
      </rPr>
      <t>66,27</t>
    </r>
  </si>
  <si>
    <r>
      <rPr>
        <sz val="8.5"/>
        <rFont val="Calibri"/>
        <family val="2"/>
      </rPr>
      <t>44.03.940</t>
    </r>
  </si>
  <si>
    <r>
      <rPr>
        <sz val="8.5"/>
        <rFont val="Calibri"/>
        <family val="2"/>
      </rPr>
      <t xml:space="preserve">Válvula dupla para bancada de laboratório, uso em GLP, com bico para
</t>
    </r>
    <r>
      <rPr>
        <sz val="8.5"/>
        <rFont val="Calibri"/>
        <family val="2"/>
      </rPr>
      <t>mangueira - diâmetro de 1/4´ a 1/2´</t>
    </r>
  </si>
  <si>
    <r>
      <rPr>
        <sz val="8.5"/>
        <rFont val="Calibri"/>
        <family val="2"/>
      </rPr>
      <t>266,35</t>
    </r>
  </si>
  <si>
    <r>
      <rPr>
        <sz val="8.5"/>
        <rFont val="Calibri"/>
        <family val="2"/>
      </rPr>
      <t>284,55</t>
    </r>
  </si>
  <si>
    <r>
      <rPr>
        <sz val="8.5"/>
        <rFont val="Calibri"/>
        <family val="2"/>
      </rPr>
      <t>44.03.950</t>
    </r>
  </si>
  <si>
    <r>
      <rPr>
        <sz val="8.5"/>
        <rFont val="Calibri"/>
        <family val="2"/>
      </rPr>
      <t xml:space="preserve">Válvula para cuba de laboratório, com nuca giratória e bico escalonado
</t>
    </r>
    <r>
      <rPr>
        <sz val="8.5"/>
        <rFont val="Calibri"/>
        <family val="2"/>
      </rPr>
      <t>para mangueira</t>
    </r>
  </si>
  <si>
    <r>
      <rPr>
        <sz val="8.5"/>
        <rFont val="Calibri"/>
        <family val="2"/>
      </rPr>
      <t>428,67</t>
    </r>
  </si>
  <si>
    <r>
      <rPr>
        <sz val="8.5"/>
        <rFont val="Calibri"/>
        <family val="2"/>
      </rPr>
      <t>446,87</t>
    </r>
  </si>
  <si>
    <r>
      <rPr>
        <sz val="8.5"/>
        <rFont val="Calibri"/>
        <family val="2"/>
      </rPr>
      <t>Prateleiras</t>
    </r>
  </si>
  <si>
    <r>
      <rPr>
        <sz val="8.5"/>
        <rFont val="Calibri"/>
        <family val="2"/>
      </rPr>
      <t>44.04.030</t>
    </r>
  </si>
  <si>
    <r>
      <rPr>
        <sz val="8.5"/>
        <rFont val="Calibri"/>
        <family val="2"/>
      </rPr>
      <t>Prateleira em granito com espessura de 2 cm</t>
    </r>
  </si>
  <si>
    <r>
      <rPr>
        <sz val="8.5"/>
        <rFont val="Calibri"/>
        <family val="2"/>
      </rPr>
      <t>375,35</t>
    </r>
  </si>
  <si>
    <r>
      <rPr>
        <sz val="8.5"/>
        <rFont val="Calibri"/>
        <family val="2"/>
      </rPr>
      <t>396,26</t>
    </r>
  </si>
  <si>
    <r>
      <rPr>
        <sz val="8.5"/>
        <rFont val="Calibri"/>
        <family val="2"/>
      </rPr>
      <t>44.04.040</t>
    </r>
  </si>
  <si>
    <r>
      <rPr>
        <sz val="8.5"/>
        <rFont val="Calibri"/>
        <family val="2"/>
      </rPr>
      <t>Prateleira em granilite</t>
    </r>
  </si>
  <si>
    <r>
      <rPr>
        <sz val="8.5"/>
        <rFont val="Calibri"/>
        <family val="2"/>
      </rPr>
      <t>199,59</t>
    </r>
  </si>
  <si>
    <r>
      <rPr>
        <sz val="8.5"/>
        <rFont val="Calibri"/>
        <family val="2"/>
      </rPr>
      <t>263,91</t>
    </r>
  </si>
  <si>
    <r>
      <rPr>
        <sz val="8.5"/>
        <rFont val="Calibri"/>
        <family val="2"/>
      </rPr>
      <t>44.04.050</t>
    </r>
  </si>
  <si>
    <r>
      <rPr>
        <sz val="8.5"/>
        <rFont val="Calibri"/>
        <family val="2"/>
      </rPr>
      <t>Prateleira em granito com espessura de 3 cm</t>
    </r>
  </si>
  <si>
    <r>
      <rPr>
        <sz val="8.5"/>
        <rFont val="Calibri"/>
        <family val="2"/>
      </rPr>
      <t>723,70</t>
    </r>
  </si>
  <si>
    <r>
      <rPr>
        <sz val="8.5"/>
        <rFont val="Calibri"/>
        <family val="2"/>
      </rPr>
      <t>744,61</t>
    </r>
  </si>
  <si>
    <r>
      <rPr>
        <sz val="8.5"/>
        <rFont val="Calibri"/>
        <family val="2"/>
      </rPr>
      <t>Aparelhos de aco inoxidavel</t>
    </r>
  </si>
  <si>
    <r>
      <rPr>
        <sz val="8.5"/>
        <rFont val="Calibri"/>
        <family val="2"/>
      </rPr>
      <t>44.06.010</t>
    </r>
  </si>
  <si>
    <r>
      <rPr>
        <sz val="8.5"/>
        <rFont val="Calibri"/>
        <family val="2"/>
      </rPr>
      <t>Lavatório coletivo em aço inoxidável</t>
    </r>
  </si>
  <si>
    <r>
      <rPr>
        <sz val="8.5"/>
        <rFont val="Calibri"/>
        <family val="2"/>
      </rPr>
      <t>1.154,31</t>
    </r>
  </si>
  <si>
    <r>
      <rPr>
        <sz val="8.5"/>
        <rFont val="Calibri"/>
        <family val="2"/>
      </rPr>
      <t>1.205,22</t>
    </r>
  </si>
  <si>
    <r>
      <rPr>
        <sz val="8.5"/>
        <rFont val="Calibri"/>
        <family val="2"/>
      </rPr>
      <t>44.06.100</t>
    </r>
  </si>
  <si>
    <r>
      <rPr>
        <sz val="8.5"/>
        <rFont val="Calibri"/>
        <family val="2"/>
      </rPr>
      <t>Mictório coletivo em aço inoxidável</t>
    </r>
  </si>
  <si>
    <r>
      <rPr>
        <sz val="8.5"/>
        <rFont val="Calibri"/>
        <family val="2"/>
      </rPr>
      <t>708,87</t>
    </r>
  </si>
  <si>
    <r>
      <rPr>
        <sz val="8.5"/>
        <rFont val="Calibri"/>
        <family val="2"/>
      </rPr>
      <t>759,78</t>
    </r>
  </si>
  <si>
    <r>
      <rPr>
        <sz val="8.5"/>
        <rFont val="Calibri"/>
        <family val="2"/>
      </rPr>
      <t>44.06.200</t>
    </r>
  </si>
  <si>
    <r>
      <rPr>
        <sz val="8.5"/>
        <rFont val="Calibri"/>
        <family val="2"/>
      </rPr>
      <t>Tanque em aço inoxidável</t>
    </r>
  </si>
  <si>
    <r>
      <rPr>
        <sz val="8.5"/>
        <rFont val="Calibri"/>
        <family val="2"/>
      </rPr>
      <t>891,14</t>
    </r>
  </si>
  <si>
    <r>
      <rPr>
        <sz val="8.5"/>
        <rFont val="Calibri"/>
        <family val="2"/>
      </rPr>
      <t>1.000,31</t>
    </r>
  </si>
  <si>
    <r>
      <rPr>
        <sz val="8.5"/>
        <rFont val="Calibri"/>
        <family val="2"/>
      </rPr>
      <t>44.06.250</t>
    </r>
  </si>
  <si>
    <r>
      <rPr>
        <sz val="8.5"/>
        <rFont val="Calibri"/>
        <family val="2"/>
      </rPr>
      <t>Cuba em aço inoxidável simples de 300 x 140mm</t>
    </r>
  </si>
  <si>
    <r>
      <rPr>
        <sz val="8.5"/>
        <rFont val="Calibri"/>
        <family val="2"/>
      </rPr>
      <t>145,57</t>
    </r>
  </si>
  <si>
    <r>
      <rPr>
        <sz val="8.5"/>
        <rFont val="Calibri"/>
        <family val="2"/>
      </rPr>
      <t>163,77</t>
    </r>
  </si>
  <si>
    <r>
      <rPr>
        <sz val="8.5"/>
        <rFont val="Calibri"/>
        <family val="2"/>
      </rPr>
      <t>44.06.300</t>
    </r>
  </si>
  <si>
    <r>
      <rPr>
        <sz val="8.5"/>
        <rFont val="Calibri"/>
        <family val="2"/>
      </rPr>
      <t>Cuba em aço inoxidável simples de 400x340x140mm</t>
    </r>
  </si>
  <si>
    <r>
      <rPr>
        <sz val="8.5"/>
        <rFont val="Calibri"/>
        <family val="2"/>
      </rPr>
      <t>194,13</t>
    </r>
  </si>
  <si>
    <r>
      <rPr>
        <sz val="8.5"/>
        <rFont val="Calibri"/>
        <family val="2"/>
      </rPr>
      <t>212,33</t>
    </r>
  </si>
  <si>
    <r>
      <rPr>
        <sz val="8.5"/>
        <rFont val="Calibri"/>
        <family val="2"/>
      </rPr>
      <t>44.06.310</t>
    </r>
  </si>
  <si>
    <r>
      <rPr>
        <sz val="8.5"/>
        <rFont val="Calibri"/>
        <family val="2"/>
      </rPr>
      <t>Cuba em aço inoxidável simples de 465x300x140mm</t>
    </r>
  </si>
  <si>
    <r>
      <rPr>
        <sz val="8.5"/>
        <rFont val="Calibri"/>
        <family val="2"/>
      </rPr>
      <t>219,70</t>
    </r>
  </si>
  <si>
    <r>
      <rPr>
        <sz val="8.5"/>
        <rFont val="Calibri"/>
        <family val="2"/>
      </rPr>
      <t>237,90</t>
    </r>
  </si>
  <si>
    <r>
      <rPr>
        <sz val="8.5"/>
        <rFont val="Calibri"/>
        <family val="2"/>
      </rPr>
      <t>44.06.320</t>
    </r>
  </si>
  <si>
    <r>
      <rPr>
        <sz val="8.5"/>
        <rFont val="Calibri"/>
        <family val="2"/>
      </rPr>
      <t>Cuba em aço inoxidável simples de 560x330x140mm</t>
    </r>
  </si>
  <si>
    <r>
      <rPr>
        <sz val="8.5"/>
        <rFont val="Calibri"/>
        <family val="2"/>
      </rPr>
      <t>274,45</t>
    </r>
  </si>
  <si>
    <r>
      <rPr>
        <sz val="8.5"/>
        <rFont val="Calibri"/>
        <family val="2"/>
      </rPr>
      <t>292,65</t>
    </r>
  </si>
  <si>
    <r>
      <rPr>
        <sz val="8.5"/>
        <rFont val="Calibri"/>
        <family val="2"/>
      </rPr>
      <t>44.06.330</t>
    </r>
  </si>
  <si>
    <r>
      <rPr>
        <sz val="8.5"/>
        <rFont val="Calibri"/>
        <family val="2"/>
      </rPr>
      <t>Cuba em aço inoxidável simples de 500x400x400mm</t>
    </r>
  </si>
  <si>
    <r>
      <rPr>
        <sz val="8.5"/>
        <rFont val="Calibri"/>
        <family val="2"/>
      </rPr>
      <t>639,01</t>
    </r>
  </si>
  <si>
    <r>
      <rPr>
        <sz val="8.5"/>
        <rFont val="Calibri"/>
        <family val="2"/>
      </rPr>
      <t>657,21</t>
    </r>
  </si>
  <si>
    <r>
      <rPr>
        <sz val="8.5"/>
        <rFont val="Calibri"/>
        <family val="2"/>
      </rPr>
      <t>44.06.360</t>
    </r>
  </si>
  <si>
    <r>
      <rPr>
        <sz val="8.5"/>
        <rFont val="Calibri"/>
        <family val="2"/>
      </rPr>
      <t>Cuba em aço inoxidável simples de 500x400x200mm</t>
    </r>
  </si>
  <si>
    <r>
      <rPr>
        <sz val="8.5"/>
        <rFont val="Calibri"/>
        <family val="2"/>
      </rPr>
      <t>336,27</t>
    </r>
  </si>
  <si>
    <r>
      <rPr>
        <sz val="8.5"/>
        <rFont val="Calibri"/>
        <family val="2"/>
      </rPr>
      <t>354,47</t>
    </r>
  </si>
  <si>
    <r>
      <rPr>
        <sz val="8.5"/>
        <rFont val="Calibri"/>
        <family val="2"/>
      </rPr>
      <t>44.06.370</t>
    </r>
  </si>
  <si>
    <r>
      <rPr>
        <sz val="8.5"/>
        <rFont val="Calibri"/>
        <family val="2"/>
      </rPr>
      <t>Cuba em aço inoxidável simples de 500x400x250mm</t>
    </r>
  </si>
  <si>
    <r>
      <rPr>
        <sz val="8.5"/>
        <rFont val="Calibri"/>
        <family val="2"/>
      </rPr>
      <t>469,38</t>
    </r>
  </si>
  <si>
    <r>
      <rPr>
        <sz val="8.5"/>
        <rFont val="Calibri"/>
        <family val="2"/>
      </rPr>
      <t>487,58</t>
    </r>
  </si>
  <si>
    <r>
      <rPr>
        <sz val="8.5"/>
        <rFont val="Calibri"/>
        <family val="2"/>
      </rPr>
      <t>44.06.400</t>
    </r>
  </si>
  <si>
    <r>
      <rPr>
        <sz val="8.5"/>
        <rFont val="Calibri"/>
        <family val="2"/>
      </rPr>
      <t>Cuba em aço inoxidável simples de 500x400x300mm</t>
    </r>
  </si>
  <si>
    <r>
      <rPr>
        <sz val="8.5"/>
        <rFont val="Calibri"/>
        <family val="2"/>
      </rPr>
      <t>562,23</t>
    </r>
  </si>
  <si>
    <r>
      <rPr>
        <sz val="8.5"/>
        <rFont val="Calibri"/>
        <family val="2"/>
      </rPr>
      <t>580,43</t>
    </r>
  </si>
  <si>
    <r>
      <rPr>
        <sz val="8.5"/>
        <rFont val="Calibri"/>
        <family val="2"/>
      </rPr>
      <t>44.06.410</t>
    </r>
  </si>
  <si>
    <r>
      <rPr>
        <sz val="8.5"/>
        <rFont val="Calibri"/>
        <family val="2"/>
      </rPr>
      <t>Cuba em aço inoxidável simples de 600x500x300mm</t>
    </r>
  </si>
  <si>
    <r>
      <rPr>
        <sz val="8.5"/>
        <rFont val="Calibri"/>
        <family val="2"/>
      </rPr>
      <t>715,92</t>
    </r>
  </si>
  <si>
    <r>
      <rPr>
        <sz val="8.5"/>
        <rFont val="Calibri"/>
        <family val="2"/>
      </rPr>
      <t>734,12</t>
    </r>
  </si>
  <si>
    <r>
      <rPr>
        <sz val="8.5"/>
        <rFont val="Calibri"/>
        <family val="2"/>
      </rPr>
      <t>44.06.470</t>
    </r>
  </si>
  <si>
    <r>
      <rPr>
        <sz val="8.5"/>
        <rFont val="Calibri"/>
        <family val="2"/>
      </rPr>
      <t>Cuba em aço inoxidável simples de 600x500x350mm</t>
    </r>
  </si>
  <si>
    <r>
      <rPr>
        <sz val="8.5"/>
        <rFont val="Calibri"/>
        <family val="2"/>
      </rPr>
      <t>874,59</t>
    </r>
  </si>
  <si>
    <r>
      <rPr>
        <sz val="8.5"/>
        <rFont val="Calibri"/>
        <family val="2"/>
      </rPr>
      <t>892,79</t>
    </r>
  </si>
  <si>
    <r>
      <rPr>
        <sz val="8.5"/>
        <rFont val="Calibri"/>
        <family val="2"/>
      </rPr>
      <t>44.06.520</t>
    </r>
  </si>
  <si>
    <r>
      <rPr>
        <sz val="8.5"/>
        <rFont val="Calibri"/>
        <family val="2"/>
      </rPr>
      <t>Cuba em aço inoxidável simples de 600x500x400mm</t>
    </r>
  </si>
  <si>
    <r>
      <rPr>
        <sz val="8.5"/>
        <rFont val="Calibri"/>
        <family val="2"/>
      </rPr>
      <t>939,21</t>
    </r>
  </si>
  <si>
    <r>
      <rPr>
        <sz val="8.5"/>
        <rFont val="Calibri"/>
        <family val="2"/>
      </rPr>
      <t>957,41</t>
    </r>
  </si>
  <si>
    <r>
      <rPr>
        <sz val="8.5"/>
        <rFont val="Calibri"/>
        <family val="2"/>
      </rPr>
      <t>44.06.570</t>
    </r>
  </si>
  <si>
    <r>
      <rPr>
        <sz val="8.5"/>
        <rFont val="Calibri"/>
        <family val="2"/>
      </rPr>
      <t>Cuba em aço inoxidável simples de 700x600x450mm</t>
    </r>
  </si>
  <si>
    <r>
      <rPr>
        <sz val="8.5"/>
        <rFont val="Calibri"/>
        <family val="2"/>
      </rPr>
      <t>1.409,48</t>
    </r>
  </si>
  <si>
    <r>
      <rPr>
        <sz val="8.5"/>
        <rFont val="Calibri"/>
        <family val="2"/>
      </rPr>
      <t>1.427,68</t>
    </r>
  </si>
  <si>
    <r>
      <rPr>
        <sz val="8.5"/>
        <rFont val="Calibri"/>
        <family val="2"/>
      </rPr>
      <t>44.06.600</t>
    </r>
  </si>
  <si>
    <r>
      <rPr>
        <sz val="8.5"/>
        <rFont val="Calibri"/>
        <family val="2"/>
      </rPr>
      <t>Cuba em aço inoxidável simples de 1400x900x500mm</t>
    </r>
  </si>
  <si>
    <r>
      <rPr>
        <sz val="8.5"/>
        <rFont val="Calibri"/>
        <family val="2"/>
      </rPr>
      <t>3.838,28</t>
    </r>
  </si>
  <si>
    <r>
      <rPr>
        <sz val="8.5"/>
        <rFont val="Calibri"/>
        <family val="2"/>
      </rPr>
      <t>3.856,48</t>
    </r>
  </si>
  <si>
    <r>
      <rPr>
        <sz val="8.5"/>
        <rFont val="Calibri"/>
        <family val="2"/>
      </rPr>
      <t>44.06.610</t>
    </r>
  </si>
  <si>
    <r>
      <rPr>
        <sz val="8.5"/>
        <rFont val="Calibri"/>
        <family val="2"/>
      </rPr>
      <t>Cuba em aço inoxidável simples de 1100x600x400mm</t>
    </r>
  </si>
  <si>
    <r>
      <rPr>
        <sz val="8.5"/>
        <rFont val="Calibri"/>
        <family val="2"/>
      </rPr>
      <t>1.622,87</t>
    </r>
  </si>
  <si>
    <r>
      <rPr>
        <sz val="8.5"/>
        <rFont val="Calibri"/>
        <family val="2"/>
      </rPr>
      <t>1.641,07</t>
    </r>
  </si>
  <si>
    <r>
      <rPr>
        <sz val="8.5"/>
        <rFont val="Calibri"/>
        <family val="2"/>
      </rPr>
      <t>44.06.700</t>
    </r>
  </si>
  <si>
    <r>
      <rPr>
        <sz val="8.5"/>
        <rFont val="Calibri"/>
        <family val="2"/>
      </rPr>
      <t>Cuba em aço inoxidável dupla de 715x400x140mm</t>
    </r>
  </si>
  <si>
    <r>
      <rPr>
        <sz val="8.5"/>
        <rFont val="Calibri"/>
        <family val="2"/>
      </rPr>
      <t>598,54</t>
    </r>
  </si>
  <si>
    <r>
      <rPr>
        <sz val="8.5"/>
        <rFont val="Calibri"/>
        <family val="2"/>
      </rPr>
      <t>616,74</t>
    </r>
  </si>
  <si>
    <r>
      <rPr>
        <sz val="8.5"/>
        <rFont val="Calibri"/>
        <family val="2"/>
      </rPr>
      <t>44.06.710</t>
    </r>
  </si>
  <si>
    <r>
      <rPr>
        <sz val="8.5"/>
        <rFont val="Calibri"/>
        <family val="2"/>
      </rPr>
      <t>Cuba em aço inoxidável dupla de 835x340x140mm</t>
    </r>
  </si>
  <si>
    <r>
      <rPr>
        <sz val="8.5"/>
        <rFont val="Calibri"/>
        <family val="2"/>
      </rPr>
      <t>561,25</t>
    </r>
  </si>
  <si>
    <r>
      <rPr>
        <sz val="8.5"/>
        <rFont val="Calibri"/>
        <family val="2"/>
      </rPr>
      <t>579,45</t>
    </r>
  </si>
  <si>
    <r>
      <rPr>
        <sz val="8.5"/>
        <rFont val="Calibri"/>
        <family val="2"/>
      </rPr>
      <t>44.06.750</t>
    </r>
  </si>
  <si>
    <r>
      <rPr>
        <sz val="8.5"/>
        <rFont val="Calibri"/>
        <family val="2"/>
      </rPr>
      <t>Cuba em aço inoxidável dupla de 1020x400x250mm</t>
    </r>
  </si>
  <si>
    <r>
      <rPr>
        <sz val="8.5"/>
        <rFont val="Calibri"/>
        <family val="2"/>
      </rPr>
      <t>1.011,31</t>
    </r>
  </si>
  <si>
    <r>
      <rPr>
        <sz val="8.5"/>
        <rFont val="Calibri"/>
        <family val="2"/>
      </rPr>
      <t>1.029,51</t>
    </r>
  </si>
  <si>
    <r>
      <rPr>
        <sz val="8.5"/>
        <rFont val="Calibri"/>
        <family val="2"/>
      </rPr>
      <t>Reparos, conservacoes e complementos - GRUPO 44</t>
    </r>
  </si>
  <si>
    <r>
      <rPr>
        <sz val="8.5"/>
        <rFont val="Calibri"/>
        <family val="2"/>
      </rPr>
      <t>44.20.010</t>
    </r>
  </si>
  <si>
    <r>
      <rPr>
        <sz val="8.5"/>
        <rFont val="Calibri"/>
        <family val="2"/>
      </rPr>
      <t>Sifão plástico sanfonado universal de 1´</t>
    </r>
  </si>
  <si>
    <r>
      <rPr>
        <sz val="8.5"/>
        <rFont val="Calibri"/>
        <family val="2"/>
      </rPr>
      <t>15,18</t>
    </r>
  </si>
  <si>
    <r>
      <rPr>
        <sz val="8.5"/>
        <rFont val="Calibri"/>
        <family val="2"/>
      </rPr>
      <t>29,74</t>
    </r>
  </si>
  <si>
    <r>
      <rPr>
        <sz val="8.5"/>
        <rFont val="Calibri"/>
        <family val="2"/>
      </rPr>
      <t>44.20.020</t>
    </r>
  </si>
  <si>
    <r>
      <rPr>
        <sz val="8.5"/>
        <rFont val="Calibri"/>
        <family val="2"/>
      </rPr>
      <t>Recolocação de torneiras</t>
    </r>
  </si>
  <si>
    <r>
      <rPr>
        <sz val="8.5"/>
        <rFont val="Calibri"/>
        <family val="2"/>
      </rPr>
      <t>0,05</t>
    </r>
  </si>
  <si>
    <r>
      <rPr>
        <sz val="8.5"/>
        <rFont val="Calibri"/>
        <family val="2"/>
      </rPr>
      <t>18,25</t>
    </r>
  </si>
  <si>
    <r>
      <rPr>
        <sz val="8.5"/>
        <rFont val="Calibri"/>
        <family val="2"/>
      </rPr>
      <t>44.20.040</t>
    </r>
  </si>
  <si>
    <r>
      <rPr>
        <sz val="8.5"/>
        <rFont val="Calibri"/>
        <family val="2"/>
      </rPr>
      <t>Recolocação de sifões</t>
    </r>
  </si>
  <si>
    <r>
      <rPr>
        <sz val="8.5"/>
        <rFont val="Calibri"/>
        <family val="2"/>
      </rPr>
      <t>0,06</t>
    </r>
  </si>
  <si>
    <r>
      <rPr>
        <sz val="8.5"/>
        <rFont val="Calibri"/>
        <family val="2"/>
      </rPr>
      <t>18,26</t>
    </r>
  </si>
  <si>
    <r>
      <rPr>
        <sz val="8.5"/>
        <rFont val="Calibri"/>
        <family val="2"/>
      </rPr>
      <t>44.20.060</t>
    </r>
  </si>
  <si>
    <r>
      <rPr>
        <sz val="8.5"/>
        <rFont val="Calibri"/>
        <family val="2"/>
      </rPr>
      <t>Recolocação de aparelhos sanitários, incluindo acessórios</t>
    </r>
  </si>
  <si>
    <r>
      <rPr>
        <sz val="8.5"/>
        <rFont val="Calibri"/>
        <family val="2"/>
      </rPr>
      <t>0,75</t>
    </r>
  </si>
  <si>
    <r>
      <rPr>
        <sz val="8.5"/>
        <rFont val="Calibri"/>
        <family val="2"/>
      </rPr>
      <t>51,66</t>
    </r>
  </si>
  <si>
    <r>
      <rPr>
        <sz val="8.5"/>
        <rFont val="Calibri"/>
        <family val="2"/>
      </rPr>
      <t>44.20.080</t>
    </r>
  </si>
  <si>
    <r>
      <rPr>
        <sz val="8.5"/>
        <rFont val="Calibri"/>
        <family val="2"/>
      </rPr>
      <t>Recolocação de caixas de descarga de sobrepor</t>
    </r>
  </si>
  <si>
    <r>
      <rPr>
        <sz val="8.5"/>
        <rFont val="Calibri"/>
        <family val="2"/>
      </rPr>
      <t>44.20.100</t>
    </r>
  </si>
  <si>
    <r>
      <rPr>
        <sz val="8.5"/>
        <rFont val="Calibri"/>
        <family val="2"/>
      </rPr>
      <t>Engate flexível metálico DN= 1/2´</t>
    </r>
  </si>
  <si>
    <r>
      <rPr>
        <sz val="8.5"/>
        <rFont val="Calibri"/>
        <family val="2"/>
      </rPr>
      <t>35,17</t>
    </r>
  </si>
  <si>
    <r>
      <rPr>
        <sz val="8.5"/>
        <rFont val="Calibri"/>
        <family val="2"/>
      </rPr>
      <t>39,53</t>
    </r>
  </si>
  <si>
    <r>
      <rPr>
        <sz val="8.5"/>
        <rFont val="Calibri"/>
        <family val="2"/>
      </rPr>
      <t>44.20.110</t>
    </r>
  </si>
  <si>
    <r>
      <rPr>
        <sz val="8.5"/>
        <rFont val="Calibri"/>
        <family val="2"/>
      </rPr>
      <t>Engate flexível de PVC DN= 1/2´</t>
    </r>
  </si>
  <si>
    <r>
      <rPr>
        <sz val="8.5"/>
        <rFont val="Calibri"/>
        <family val="2"/>
      </rPr>
      <t>12,20</t>
    </r>
  </si>
  <si>
    <r>
      <rPr>
        <sz val="8.5"/>
        <rFont val="Calibri"/>
        <family val="2"/>
      </rPr>
      <t>44.20.120</t>
    </r>
  </si>
  <si>
    <r>
      <rPr>
        <sz val="8.5"/>
        <rFont val="Calibri"/>
        <family val="2"/>
      </rPr>
      <t>Canopla para válvula de descarga</t>
    </r>
  </si>
  <si>
    <r>
      <rPr>
        <sz val="8.5"/>
        <rFont val="Calibri"/>
        <family val="2"/>
      </rPr>
      <t>113,38</t>
    </r>
  </si>
  <si>
    <r>
      <rPr>
        <sz val="8.5"/>
        <rFont val="Calibri"/>
        <family val="2"/>
      </rPr>
      <t>2,47</t>
    </r>
  </si>
  <si>
    <r>
      <rPr>
        <sz val="8.5"/>
        <rFont val="Calibri"/>
        <family val="2"/>
      </rPr>
      <t>115,85</t>
    </r>
  </si>
  <si>
    <r>
      <rPr>
        <sz val="8.5"/>
        <rFont val="Calibri"/>
        <family val="2"/>
      </rPr>
      <t>44.20.121</t>
    </r>
  </si>
  <si>
    <r>
      <rPr>
        <sz val="8.5"/>
        <rFont val="Calibri"/>
        <family val="2"/>
      </rPr>
      <t xml:space="preserve">Arejador com articulador em ABS cromado para torneira padrão,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</si>
  <si>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34,03</t>
    </r>
  </si>
  <si>
    <r>
      <rPr>
        <sz val="8.5"/>
        <rFont val="Calibri"/>
        <family val="2"/>
      </rPr>
      <t>44.20.130</t>
    </r>
  </si>
  <si>
    <r>
      <rPr>
        <sz val="8.5"/>
        <rFont val="Calibri"/>
        <family val="2"/>
      </rPr>
      <t>Tubo de ligação para mictório, DN= 1/2´</t>
    </r>
  </si>
  <si>
    <r>
      <rPr>
        <sz val="8.5"/>
        <rFont val="Calibri"/>
        <family val="2"/>
      </rPr>
      <t>60,36</t>
    </r>
  </si>
  <si>
    <r>
      <rPr>
        <sz val="8.5"/>
        <rFont val="Calibri"/>
        <family val="2"/>
      </rPr>
      <t>64,72</t>
    </r>
  </si>
  <si>
    <r>
      <rPr>
        <sz val="8.5"/>
        <rFont val="Calibri"/>
        <family val="2"/>
      </rPr>
      <t>44.20.150</t>
    </r>
  </si>
  <si>
    <r>
      <rPr>
        <sz val="8.5"/>
        <rFont val="Calibri"/>
        <family val="2"/>
      </rPr>
      <t>Acabamento cromado para registro</t>
    </r>
  </si>
  <si>
    <r>
      <rPr>
        <sz val="8.5"/>
        <rFont val="Calibri"/>
        <family val="2"/>
      </rPr>
      <t>47,66</t>
    </r>
  </si>
  <si>
    <r>
      <rPr>
        <sz val="8.5"/>
        <rFont val="Calibri"/>
        <family val="2"/>
      </rPr>
      <t>50,13</t>
    </r>
  </si>
  <si>
    <r>
      <rPr>
        <sz val="8.5"/>
        <rFont val="Calibri"/>
        <family val="2"/>
      </rPr>
      <t>44.20.160</t>
    </r>
  </si>
  <si>
    <r>
      <rPr>
        <sz val="8.5"/>
        <rFont val="Calibri"/>
        <family val="2"/>
      </rPr>
      <t>Botão para válvula de descarga</t>
    </r>
  </si>
  <si>
    <r>
      <rPr>
        <sz val="8.5"/>
        <rFont val="Calibri"/>
        <family val="2"/>
      </rPr>
      <t>53,79</t>
    </r>
  </si>
  <si>
    <r>
      <rPr>
        <sz val="8.5"/>
        <rFont val="Calibri"/>
        <family val="2"/>
      </rPr>
      <t>56,26</t>
    </r>
  </si>
  <si>
    <r>
      <rPr>
        <sz val="8.5"/>
        <rFont val="Calibri"/>
        <family val="2"/>
      </rPr>
      <t>44.20.180</t>
    </r>
  </si>
  <si>
    <r>
      <rPr>
        <sz val="8.5"/>
        <rFont val="Calibri"/>
        <family val="2"/>
      </rPr>
      <t>Reparo para válvula de descarga</t>
    </r>
  </si>
  <si>
    <r>
      <rPr>
        <sz val="8.5"/>
        <rFont val="Calibri"/>
        <family val="2"/>
      </rPr>
      <t>59,31</t>
    </r>
  </si>
  <si>
    <r>
      <rPr>
        <sz val="8.5"/>
        <rFont val="Calibri"/>
        <family val="2"/>
      </rPr>
      <t>92,06</t>
    </r>
  </si>
  <si>
    <r>
      <rPr>
        <sz val="8.5"/>
        <rFont val="Calibri"/>
        <family val="2"/>
      </rPr>
      <t>44.20.200</t>
    </r>
  </si>
  <si>
    <r>
      <rPr>
        <sz val="8.5"/>
        <rFont val="Calibri"/>
        <family val="2"/>
      </rPr>
      <t>Sifão de metal cromado de 1 1/2´ x 2´</t>
    </r>
  </si>
  <si>
    <r>
      <rPr>
        <sz val="8.5"/>
        <rFont val="Calibri"/>
        <family val="2"/>
      </rPr>
      <t>148,87</t>
    </r>
  </si>
  <si>
    <r>
      <rPr>
        <sz val="8.5"/>
        <rFont val="Calibri"/>
        <family val="2"/>
      </rPr>
      <t>167,07</t>
    </r>
  </si>
  <si>
    <r>
      <rPr>
        <sz val="8.5"/>
        <rFont val="Calibri"/>
        <family val="2"/>
      </rPr>
      <t>44.20.220</t>
    </r>
  </si>
  <si>
    <r>
      <rPr>
        <sz val="8.5"/>
        <rFont val="Calibri"/>
        <family val="2"/>
      </rPr>
      <t>Sifão de metal cromado de 1´ x 1 1/2´</t>
    </r>
  </si>
  <si>
    <r>
      <rPr>
        <sz val="8.5"/>
        <rFont val="Calibri"/>
        <family val="2"/>
      </rPr>
      <t>146,06</t>
    </r>
  </si>
  <si>
    <r>
      <rPr>
        <sz val="8.5"/>
        <rFont val="Calibri"/>
        <family val="2"/>
      </rPr>
      <t>164,26</t>
    </r>
  </si>
  <si>
    <r>
      <rPr>
        <sz val="8.5"/>
        <rFont val="Calibri"/>
        <family val="2"/>
      </rPr>
      <t>44.20.230</t>
    </r>
  </si>
  <si>
    <r>
      <rPr>
        <sz val="8.5"/>
        <rFont val="Calibri"/>
        <family val="2"/>
      </rPr>
      <t>Tubo de ligação para sanitário</t>
    </r>
  </si>
  <si>
    <r>
      <rPr>
        <sz val="8.5"/>
        <rFont val="Calibri"/>
        <family val="2"/>
      </rPr>
      <t>42,38</t>
    </r>
  </si>
  <si>
    <r>
      <rPr>
        <sz val="8.5"/>
        <rFont val="Calibri"/>
        <family val="2"/>
      </rPr>
      <t>46,74</t>
    </r>
  </si>
  <si>
    <r>
      <rPr>
        <sz val="8.5"/>
        <rFont val="Calibri"/>
        <family val="2"/>
      </rPr>
      <t>44.20.240</t>
    </r>
  </si>
  <si>
    <r>
      <rPr>
        <sz val="8.5"/>
        <rFont val="Calibri"/>
        <family val="2"/>
      </rPr>
      <t>Sifão plástico com copo, rígido, de 1´ x 1 1/2´</t>
    </r>
  </si>
  <si>
    <r>
      <rPr>
        <sz val="8.5"/>
        <rFont val="Calibri"/>
        <family val="2"/>
      </rPr>
      <t>25,74</t>
    </r>
  </si>
  <si>
    <r>
      <rPr>
        <sz val="8.5"/>
        <rFont val="Calibri"/>
        <family val="2"/>
      </rPr>
      <t>40,30</t>
    </r>
  </si>
  <si>
    <r>
      <rPr>
        <sz val="8.5"/>
        <rFont val="Calibri"/>
        <family val="2"/>
      </rPr>
      <t>44.20.260</t>
    </r>
  </si>
  <si>
    <r>
      <rPr>
        <sz val="8.5"/>
        <rFont val="Calibri"/>
        <family val="2"/>
      </rPr>
      <t>Sifão plástico com copo, rígido, de 1 1/4´ x 2´</t>
    </r>
  </si>
  <si>
    <r>
      <rPr>
        <sz val="8.5"/>
        <rFont val="Calibri"/>
        <family val="2"/>
      </rPr>
      <t>15,12</t>
    </r>
  </si>
  <si>
    <r>
      <rPr>
        <sz val="8.5"/>
        <rFont val="Calibri"/>
        <family val="2"/>
      </rPr>
      <t>29,68</t>
    </r>
  </si>
  <si>
    <r>
      <rPr>
        <sz val="8.5"/>
        <rFont val="Calibri"/>
        <family val="2"/>
      </rPr>
      <t>44.20.280</t>
    </r>
  </si>
  <si>
    <r>
      <rPr>
        <sz val="8.5"/>
        <rFont val="Calibri"/>
        <family val="2"/>
      </rPr>
      <t>Tampa de plástico para bacia sanitária</t>
    </r>
  </si>
  <si>
    <r>
      <rPr>
        <sz val="8.5"/>
        <rFont val="Calibri"/>
        <family val="2"/>
      </rPr>
      <t>44.20.300</t>
    </r>
  </si>
  <si>
    <r>
      <rPr>
        <sz val="8.5"/>
        <rFont val="Calibri"/>
        <family val="2"/>
      </rPr>
      <t>Bolsa para bacia sanitária</t>
    </r>
  </si>
  <si>
    <r>
      <rPr>
        <sz val="8.5"/>
        <rFont val="Calibri"/>
        <family val="2"/>
      </rPr>
      <t>6,19</t>
    </r>
  </si>
  <si>
    <r>
      <rPr>
        <sz val="8.5"/>
        <rFont val="Calibri"/>
        <family val="2"/>
      </rPr>
      <t>12,74</t>
    </r>
  </si>
  <si>
    <r>
      <rPr>
        <sz val="8.5"/>
        <rFont val="Calibri"/>
        <family val="2"/>
      </rPr>
      <t>44.20.310</t>
    </r>
  </si>
  <si>
    <r>
      <rPr>
        <sz val="8.5"/>
        <rFont val="Calibri"/>
        <family val="2"/>
      </rPr>
      <t>Filtro de pressão em ABS, para 360 l/h</t>
    </r>
  </si>
  <si>
    <r>
      <rPr>
        <sz val="8.5"/>
        <rFont val="Calibri"/>
        <family val="2"/>
      </rPr>
      <t>295,13</t>
    </r>
  </si>
  <si>
    <r>
      <rPr>
        <sz val="8.5"/>
        <rFont val="Calibri"/>
        <family val="2"/>
      </rPr>
      <t>320,59</t>
    </r>
  </si>
  <si>
    <r>
      <rPr>
        <sz val="8.5"/>
        <rFont val="Calibri"/>
        <family val="2"/>
      </rPr>
      <t>44.20.390</t>
    </r>
  </si>
  <si>
    <r>
      <rPr>
        <sz val="8.5"/>
        <rFont val="Calibri"/>
        <family val="2"/>
      </rPr>
      <t>Válvula de PVC para lavatório</t>
    </r>
  </si>
  <si>
    <r>
      <rPr>
        <sz val="8.5"/>
        <rFont val="Calibri"/>
        <family val="2"/>
      </rPr>
      <t>6,16</t>
    </r>
  </si>
  <si>
    <r>
      <rPr>
        <sz val="8.5"/>
        <rFont val="Calibri"/>
        <family val="2"/>
      </rPr>
      <t>44.20.620</t>
    </r>
  </si>
  <si>
    <r>
      <rPr>
        <sz val="8.5"/>
        <rFont val="Calibri"/>
        <family val="2"/>
      </rPr>
      <t>Válvula americana</t>
    </r>
  </si>
  <si>
    <r>
      <rPr>
        <sz val="8.5"/>
        <rFont val="Calibri"/>
        <family val="2"/>
      </rPr>
      <t>50,02</t>
    </r>
  </si>
  <si>
    <r>
      <rPr>
        <sz val="8.5"/>
        <rFont val="Calibri"/>
        <family val="2"/>
      </rPr>
      <t>51,47</t>
    </r>
  </si>
  <si>
    <r>
      <rPr>
        <sz val="8.5"/>
        <rFont val="Calibri"/>
        <family val="2"/>
      </rPr>
      <t>44.20.640</t>
    </r>
  </si>
  <si>
    <r>
      <rPr>
        <sz val="8.5"/>
        <rFont val="Calibri"/>
        <family val="2"/>
      </rPr>
      <t>Válvula de metal cromado de 1 1/2´</t>
    </r>
  </si>
  <si>
    <r>
      <rPr>
        <sz val="8.5"/>
        <rFont val="Calibri"/>
        <family val="2"/>
      </rPr>
      <t>101,49</t>
    </r>
  </si>
  <si>
    <r>
      <rPr>
        <sz val="8.5"/>
        <rFont val="Calibri"/>
        <family val="2"/>
      </rPr>
      <t>108,76</t>
    </r>
  </si>
  <si>
    <r>
      <rPr>
        <sz val="8.5"/>
        <rFont val="Calibri"/>
        <family val="2"/>
      </rPr>
      <t>44.20.650</t>
    </r>
  </si>
  <si>
    <r>
      <rPr>
        <sz val="8.5"/>
        <rFont val="Calibri"/>
        <family val="2"/>
      </rPr>
      <t>Válvula de metal cromado de 1´</t>
    </r>
  </si>
  <si>
    <r>
      <rPr>
        <sz val="8.5"/>
        <rFont val="Calibri"/>
        <family val="2"/>
      </rPr>
      <t>35,47</t>
    </r>
  </si>
  <si>
    <r>
      <rPr>
        <sz val="8.5"/>
        <rFont val="Calibri"/>
        <family val="2"/>
      </rPr>
      <t>ENTRADA DE AGUA, INCÊNDIO E GAS</t>
    </r>
  </si>
  <si>
    <r>
      <rPr>
        <sz val="8.5"/>
        <rFont val="Calibri"/>
        <family val="2"/>
      </rPr>
      <t>Entrada de agua</t>
    </r>
  </si>
  <si>
    <r>
      <rPr>
        <sz val="8.5"/>
        <rFont val="Calibri"/>
        <family val="2"/>
      </rPr>
      <t>45.01.020</t>
    </r>
  </si>
  <si>
    <r>
      <rPr>
        <sz val="8.5"/>
        <rFont val="Calibri"/>
        <family val="2"/>
      </rPr>
      <t>Entrada completa de água com abrigo e registro de gaveta, DN= 3/4´</t>
    </r>
  </si>
  <si>
    <r>
      <rPr>
        <sz val="8.5"/>
        <rFont val="Calibri"/>
        <family val="2"/>
      </rPr>
      <t>845,46</t>
    </r>
  </si>
  <si>
    <r>
      <rPr>
        <sz val="8.5"/>
        <rFont val="Calibri"/>
        <family val="2"/>
      </rPr>
      <t>441,73</t>
    </r>
  </si>
  <si>
    <r>
      <rPr>
        <sz val="8.5"/>
        <rFont val="Calibri"/>
        <family val="2"/>
      </rPr>
      <t>1.287,19</t>
    </r>
  </si>
  <si>
    <r>
      <rPr>
        <sz val="8.5"/>
        <rFont val="Calibri"/>
        <family val="2"/>
      </rPr>
      <t>45.01.040</t>
    </r>
  </si>
  <si>
    <r>
      <rPr>
        <sz val="8.5"/>
        <rFont val="Calibri"/>
        <family val="2"/>
      </rPr>
      <t>Entrada completa de água com abrigo e registro de gaveta, DN= 1´</t>
    </r>
  </si>
  <si>
    <r>
      <rPr>
        <sz val="8.5"/>
        <rFont val="Calibri"/>
        <family val="2"/>
      </rPr>
      <t>907,28</t>
    </r>
  </si>
  <si>
    <r>
      <rPr>
        <sz val="8.5"/>
        <rFont val="Calibri"/>
        <family val="2"/>
      </rPr>
      <t>1.349,01</t>
    </r>
  </si>
  <si>
    <r>
      <rPr>
        <sz val="8.5"/>
        <rFont val="Calibri"/>
        <family val="2"/>
      </rPr>
      <t>45.01.060</t>
    </r>
  </si>
  <si>
    <r>
      <rPr>
        <sz val="8.5"/>
        <rFont val="Calibri"/>
        <family val="2"/>
      </rPr>
      <t>Entrada completa de água com abrigo e registro de gaveta, DN= 1 1/2´</t>
    </r>
  </si>
  <si>
    <r>
      <rPr>
        <sz val="8.5"/>
        <rFont val="Calibri"/>
        <family val="2"/>
      </rPr>
      <t>2.510,15</t>
    </r>
  </si>
  <si>
    <r>
      <rPr>
        <sz val="8.5"/>
        <rFont val="Calibri"/>
        <family val="2"/>
      </rPr>
      <t>776,76</t>
    </r>
  </si>
  <si>
    <r>
      <rPr>
        <sz val="8.5"/>
        <rFont val="Calibri"/>
        <family val="2"/>
      </rPr>
      <t>3.286,91</t>
    </r>
  </si>
  <si>
    <r>
      <rPr>
        <sz val="8.5"/>
        <rFont val="Calibri"/>
        <family val="2"/>
      </rPr>
      <t>45.01.066</t>
    </r>
  </si>
  <si>
    <r>
      <rPr>
        <sz val="8.5"/>
        <rFont val="Calibri"/>
        <family val="2"/>
      </rPr>
      <t>Entrada completa de água com abrigo e registro de gaveta, DN= 2´</t>
    </r>
  </si>
  <si>
    <r>
      <rPr>
        <sz val="8.5"/>
        <rFont val="Calibri"/>
        <family val="2"/>
      </rPr>
      <t>2.783,08</t>
    </r>
  </si>
  <si>
    <r>
      <rPr>
        <sz val="8.5"/>
        <rFont val="Calibri"/>
        <family val="2"/>
      </rPr>
      <t>3.559,84</t>
    </r>
  </si>
  <si>
    <r>
      <rPr>
        <sz val="8.5"/>
        <rFont val="Calibri"/>
        <family val="2"/>
      </rPr>
      <t>45.01.080</t>
    </r>
  </si>
  <si>
    <r>
      <rPr>
        <sz val="8.5"/>
        <rFont val="Calibri"/>
        <family val="2"/>
      </rPr>
      <t>Entrada completa de água com abrigo e registro de gaveta, DN= 2 1/2´</t>
    </r>
  </si>
  <si>
    <r>
      <rPr>
        <sz val="8.5"/>
        <rFont val="Calibri"/>
        <family val="2"/>
      </rPr>
      <t>3.077,70</t>
    </r>
  </si>
  <si>
    <r>
      <rPr>
        <sz val="8.5"/>
        <rFont val="Calibri"/>
        <family val="2"/>
      </rPr>
      <t>3.854,46</t>
    </r>
  </si>
  <si>
    <r>
      <rPr>
        <sz val="8.5"/>
        <rFont val="Calibri"/>
        <family val="2"/>
      </rPr>
      <t>45.01.082</t>
    </r>
  </si>
  <si>
    <r>
      <rPr>
        <sz val="8.5"/>
        <rFont val="Calibri"/>
        <family val="2"/>
      </rPr>
      <t>Entrada completa de água com abrigo e registro de gaveta, DN= 3´</t>
    </r>
  </si>
  <si>
    <r>
      <rPr>
        <sz val="8.5"/>
        <rFont val="Calibri"/>
        <family val="2"/>
      </rPr>
      <t>3.363,26</t>
    </r>
  </si>
  <si>
    <r>
      <rPr>
        <sz val="8.5"/>
        <rFont val="Calibri"/>
        <family val="2"/>
      </rPr>
      <t>4.140,02</t>
    </r>
  </si>
  <si>
    <r>
      <rPr>
        <sz val="8.5"/>
        <rFont val="Calibri"/>
        <family val="2"/>
      </rPr>
      <t>Entrada de gas</t>
    </r>
  </si>
  <si>
    <r>
      <rPr>
        <sz val="8.5"/>
        <rFont val="Calibri"/>
        <family val="2"/>
      </rPr>
      <t>45.02.020</t>
    </r>
  </si>
  <si>
    <r>
      <rPr>
        <sz val="8.5"/>
        <rFont val="Calibri"/>
        <family val="2"/>
      </rPr>
      <t>Entrada completa de gás GLP domiciliar com 2 bujões de 13 kg</t>
    </r>
  </si>
  <si>
    <r>
      <rPr>
        <sz val="8.5"/>
        <rFont val="Calibri"/>
        <family val="2"/>
      </rPr>
      <t>1.923,63</t>
    </r>
  </si>
  <si>
    <r>
      <rPr>
        <sz val="8.5"/>
        <rFont val="Calibri"/>
        <family val="2"/>
      </rPr>
      <t>559,37</t>
    </r>
  </si>
  <si>
    <r>
      <rPr>
        <sz val="8.5"/>
        <rFont val="Calibri"/>
        <family val="2"/>
      </rPr>
      <t>2.483,00</t>
    </r>
  </si>
  <si>
    <r>
      <rPr>
        <sz val="8.5"/>
        <rFont val="Calibri"/>
        <family val="2"/>
      </rPr>
      <t>45.02.040</t>
    </r>
  </si>
  <si>
    <r>
      <rPr>
        <sz val="8.5"/>
        <rFont val="Calibri"/>
        <family val="2"/>
      </rPr>
      <t>Entrada completa de gás GLP com 2 cilindros de 45 kg</t>
    </r>
  </si>
  <si>
    <r>
      <rPr>
        <sz val="8.5"/>
        <rFont val="Calibri"/>
        <family val="2"/>
      </rPr>
      <t>4.189,01</t>
    </r>
  </si>
  <si>
    <r>
      <rPr>
        <sz val="8.5"/>
        <rFont val="Calibri"/>
        <family val="2"/>
      </rPr>
      <t>1.196,87</t>
    </r>
  </si>
  <si>
    <r>
      <rPr>
        <sz val="8.5"/>
        <rFont val="Calibri"/>
        <family val="2"/>
      </rPr>
      <t>5.385,88</t>
    </r>
  </si>
  <si>
    <r>
      <rPr>
        <sz val="8.5"/>
        <rFont val="Calibri"/>
        <family val="2"/>
      </rPr>
      <t>45.02.060</t>
    </r>
  </si>
  <si>
    <r>
      <rPr>
        <sz val="8.5"/>
        <rFont val="Calibri"/>
        <family val="2"/>
      </rPr>
      <t>Entrada completa de gás GLP com 4 cilindros de 45 kg</t>
    </r>
  </si>
  <si>
    <r>
      <rPr>
        <sz val="8.5"/>
        <rFont val="Calibri"/>
        <family val="2"/>
      </rPr>
      <t>6.967,93</t>
    </r>
  </si>
  <si>
    <r>
      <rPr>
        <sz val="8.5"/>
        <rFont val="Calibri"/>
        <family val="2"/>
      </rPr>
      <t>1.577,67</t>
    </r>
  </si>
  <si>
    <r>
      <rPr>
        <sz val="8.5"/>
        <rFont val="Calibri"/>
        <family val="2"/>
      </rPr>
      <t>8.545,60</t>
    </r>
  </si>
  <si>
    <r>
      <rPr>
        <sz val="8.5"/>
        <rFont val="Calibri"/>
        <family val="2"/>
      </rPr>
      <t>45.02.080</t>
    </r>
  </si>
  <si>
    <r>
      <rPr>
        <sz val="8.5"/>
        <rFont val="Calibri"/>
        <family val="2"/>
      </rPr>
      <t>Entrada completa de gás GLP com 6 cilindros de 45 kg</t>
    </r>
  </si>
  <si>
    <r>
      <rPr>
        <sz val="8.5"/>
        <rFont val="Calibri"/>
        <family val="2"/>
      </rPr>
      <t>9.724,41</t>
    </r>
  </si>
  <si>
    <r>
      <rPr>
        <sz val="8.5"/>
        <rFont val="Calibri"/>
        <family val="2"/>
      </rPr>
      <t>1.912,88</t>
    </r>
  </si>
  <si>
    <r>
      <rPr>
        <sz val="8.5"/>
        <rFont val="Calibri"/>
        <family val="2"/>
      </rPr>
      <t>11.637,29</t>
    </r>
  </si>
  <si>
    <r>
      <rPr>
        <sz val="8.5"/>
        <rFont val="Calibri"/>
        <family val="2"/>
      </rPr>
      <t>45.02.200</t>
    </r>
  </si>
  <si>
    <r>
      <rPr>
        <sz val="8.5"/>
        <rFont val="Calibri"/>
        <family val="2"/>
      </rPr>
      <t>Abrigo padronizado de gás GLP encanado</t>
    </r>
  </si>
  <si>
    <r>
      <rPr>
        <sz val="8.5"/>
        <rFont val="Calibri"/>
        <family val="2"/>
      </rPr>
      <t>657,89</t>
    </r>
  </si>
  <si>
    <r>
      <rPr>
        <sz val="8.5"/>
        <rFont val="Calibri"/>
        <family val="2"/>
      </rPr>
      <t>382,09</t>
    </r>
  </si>
  <si>
    <r>
      <rPr>
        <sz val="8.5"/>
        <rFont val="Calibri"/>
        <family val="2"/>
      </rPr>
      <t>1.039,98</t>
    </r>
  </si>
  <si>
    <r>
      <rPr>
        <sz val="8.5"/>
        <rFont val="Calibri"/>
        <family val="2"/>
      </rPr>
      <t>Hidrômetro</t>
    </r>
  </si>
  <si>
    <r>
      <rPr>
        <sz val="8.5"/>
        <rFont val="Calibri"/>
        <family val="2"/>
      </rPr>
      <t>45.03.010</t>
    </r>
  </si>
  <si>
    <r>
      <rPr>
        <sz val="8.5"/>
        <rFont val="Calibri"/>
        <family val="2"/>
      </rPr>
      <t>Hidrômetro em ferro fundido, diâmetro 50 mm (2´)</t>
    </r>
  </si>
  <si>
    <r>
      <rPr>
        <sz val="8.5"/>
        <rFont val="Calibri"/>
        <family val="2"/>
      </rPr>
      <t>2.438,34</t>
    </r>
  </si>
  <si>
    <r>
      <rPr>
        <sz val="8.5"/>
        <rFont val="Calibri"/>
        <family val="2"/>
      </rPr>
      <t>2.465,63</t>
    </r>
  </si>
  <si>
    <r>
      <rPr>
        <sz val="8.5"/>
        <rFont val="Calibri"/>
        <family val="2"/>
      </rPr>
      <t>45.03.030</t>
    </r>
  </si>
  <si>
    <r>
      <rPr>
        <sz val="8.5"/>
        <rFont val="Calibri"/>
        <family val="2"/>
      </rPr>
      <t>Hidrômetro em ferro fundido, diâmetro 100 mm (4´)</t>
    </r>
  </si>
  <si>
    <r>
      <rPr>
        <sz val="8.5"/>
        <rFont val="Calibri"/>
        <family val="2"/>
      </rPr>
      <t>3.393,99</t>
    </r>
  </si>
  <si>
    <r>
      <rPr>
        <sz val="8.5"/>
        <rFont val="Calibri"/>
        <family val="2"/>
      </rPr>
      <t>3.421,28</t>
    </r>
  </si>
  <si>
    <r>
      <rPr>
        <sz val="8.5"/>
        <rFont val="Calibri"/>
        <family val="2"/>
      </rPr>
      <t>45.03.100</t>
    </r>
  </si>
  <si>
    <r>
      <rPr>
        <sz val="8.5"/>
        <rFont val="Calibri"/>
        <family val="2"/>
      </rPr>
      <t>Hidrômetro em bronze, diâmetro de 25 mm (1´)</t>
    </r>
  </si>
  <si>
    <r>
      <rPr>
        <sz val="8.5"/>
        <rFont val="Calibri"/>
        <family val="2"/>
      </rPr>
      <t>553,27</t>
    </r>
  </si>
  <si>
    <r>
      <rPr>
        <sz val="8.5"/>
        <rFont val="Calibri"/>
        <family val="2"/>
      </rPr>
      <t>596,93</t>
    </r>
  </si>
  <si>
    <r>
      <rPr>
        <sz val="8.5"/>
        <rFont val="Calibri"/>
        <family val="2"/>
      </rPr>
      <t>45.03.110</t>
    </r>
  </si>
  <si>
    <r>
      <rPr>
        <sz val="8.5"/>
        <rFont val="Calibri"/>
        <family val="2"/>
      </rPr>
      <t>Hidrômetro em bronze, diâmetro de 40 mm (1 1/2´)</t>
    </r>
  </si>
  <si>
    <r>
      <rPr>
        <sz val="8.5"/>
        <rFont val="Calibri"/>
        <family val="2"/>
      </rPr>
      <t>855,50</t>
    </r>
  </si>
  <si>
    <r>
      <rPr>
        <sz val="8.5"/>
        <rFont val="Calibri"/>
        <family val="2"/>
      </rPr>
      <t>899,16</t>
    </r>
  </si>
  <si>
    <r>
      <rPr>
        <sz val="8.5"/>
        <rFont val="Calibri"/>
        <family val="2"/>
      </rPr>
      <t>45.03.200</t>
    </r>
  </si>
  <si>
    <r>
      <rPr>
        <sz val="8.5"/>
        <rFont val="Calibri"/>
        <family val="2"/>
      </rPr>
      <t>Filtro tipo cesto para hidrômetro de 50 mm (2´)</t>
    </r>
  </si>
  <si>
    <r>
      <rPr>
        <sz val="8.5"/>
        <rFont val="Calibri"/>
        <family val="2"/>
      </rPr>
      <t>2.230,31</t>
    </r>
  </si>
  <si>
    <r>
      <rPr>
        <sz val="8.5"/>
        <rFont val="Calibri"/>
        <family val="2"/>
      </rPr>
      <t>2.257,60</t>
    </r>
  </si>
  <si>
    <r>
      <rPr>
        <sz val="8.5"/>
        <rFont val="Calibri"/>
        <family val="2"/>
      </rPr>
      <t>Reparos, conservacoes e complementos - GRUPO 45</t>
    </r>
  </si>
  <si>
    <r>
      <rPr>
        <sz val="8.5"/>
        <rFont val="Calibri"/>
        <family val="2"/>
      </rPr>
      <t>45.20.020</t>
    </r>
  </si>
  <si>
    <r>
      <rPr>
        <sz val="8.5"/>
        <rFont val="Calibri"/>
        <family val="2"/>
      </rPr>
      <t>Cilindro de gás (GLP) de 45 kg, com carga</t>
    </r>
  </si>
  <si>
    <r>
      <rPr>
        <sz val="8.5"/>
        <rFont val="Calibri"/>
        <family val="2"/>
      </rPr>
      <t>827,38</t>
    </r>
  </si>
  <si>
    <r>
      <rPr>
        <sz val="8.5"/>
        <rFont val="Calibri"/>
        <family val="2"/>
      </rPr>
      <t>TUBULACAO E CONDUTORES PARA LIQUIDOS E GASES.</t>
    </r>
  </si>
  <si>
    <r>
      <rPr>
        <sz val="8.5"/>
        <rFont val="Calibri"/>
        <family val="2"/>
      </rPr>
      <t>Tubulacao em PVC rigido marrom para sistemas prediais de agua fria</t>
    </r>
  </si>
  <si>
    <r>
      <rPr>
        <sz val="8.5"/>
        <rFont val="Calibri"/>
        <family val="2"/>
      </rPr>
      <t>46.01.010</t>
    </r>
  </si>
  <si>
    <r>
      <rPr>
        <sz val="8.5"/>
        <rFont val="Calibri"/>
        <family val="2"/>
      </rPr>
      <t xml:space="preserve">Tubo de PVC rígido soldável marrom, DN= 20 mm, (1/2´),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</si>
  <si>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24,42</t>
    </r>
  </si>
  <si>
    <r>
      <rPr>
        <sz val="8.5"/>
        <rFont val="Calibri"/>
        <family val="2"/>
      </rPr>
      <t>46.01.020</t>
    </r>
  </si>
  <si>
    <r>
      <rPr>
        <sz val="8.5"/>
        <rFont val="Calibri"/>
        <family val="2"/>
      </rPr>
      <t xml:space="preserve">Tubo de PVC rígido soldável marrom, DN= 25 mm, (3/4´),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</si>
  <si>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46.01.030</t>
    </r>
  </si>
  <si>
    <r>
      <rPr>
        <sz val="8.5"/>
        <rFont val="Calibri"/>
        <family val="2"/>
      </rPr>
      <t xml:space="preserve">Tubo de PVC rígido soldável marrom, DN= 32 mm, (1´),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</si>
  <si>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15,71</t>
    </r>
  </si>
  <si>
    <r>
      <rPr>
        <sz val="8.5"/>
        <rFont val="Calibri"/>
        <family val="2"/>
      </rPr>
      <t>33,91</t>
    </r>
  </si>
  <si>
    <r>
      <rPr>
        <sz val="8.5"/>
        <rFont val="Calibri"/>
        <family val="2"/>
      </rPr>
      <t>46.01.040</t>
    </r>
  </si>
  <si>
    <r>
      <rPr>
        <sz val="8.5"/>
        <rFont val="Calibri"/>
        <family val="2"/>
      </rPr>
      <t xml:space="preserve">Tubo de PVC rígido soldável marrom, DN= 40 mm, (1 1/4´),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</si>
  <si>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23,36</t>
    </r>
  </si>
  <si>
    <r>
      <rPr>
        <sz val="8.5"/>
        <rFont val="Calibri"/>
        <family val="2"/>
      </rPr>
      <t>41,56</t>
    </r>
  </si>
  <si>
    <r>
      <rPr>
        <sz val="8.5"/>
        <rFont val="Calibri"/>
        <family val="2"/>
      </rPr>
      <t>46.01.050</t>
    </r>
  </si>
  <si>
    <r>
      <rPr>
        <sz val="8.5"/>
        <rFont val="Calibri"/>
        <family val="2"/>
      </rPr>
      <t xml:space="preserve">Tubo de PVC rígido soldável marrom, DN= 50 mm, (1 1/2´),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</si>
  <si>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45,75</t>
    </r>
  </si>
  <si>
    <r>
      <rPr>
        <sz val="8.5"/>
        <rFont val="Calibri"/>
        <family val="2"/>
      </rPr>
      <t>46.01.060</t>
    </r>
  </si>
  <si>
    <r>
      <rPr>
        <sz val="8.5"/>
        <rFont val="Calibri"/>
        <family val="2"/>
      </rPr>
      <t xml:space="preserve">Tubo de PVC rígido soldável marrom, DN= 60 mm, (2´),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</si>
  <si>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42,45</t>
    </r>
  </si>
  <si>
    <r>
      <rPr>
        <sz val="8.5"/>
        <rFont val="Calibri"/>
        <family val="2"/>
      </rPr>
      <t>67,92</t>
    </r>
  </si>
  <si>
    <r>
      <rPr>
        <sz val="8.5"/>
        <rFont val="Calibri"/>
        <family val="2"/>
      </rPr>
      <t>46.01.070</t>
    </r>
  </si>
  <si>
    <r>
      <rPr>
        <sz val="8.5"/>
        <rFont val="Calibri"/>
        <family val="2"/>
      </rPr>
      <t xml:space="preserve">Tubo de PVC rígido soldável marrom, DN= 75 mm, (2 1/2´),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</si>
  <si>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65,02</t>
    </r>
  </si>
  <si>
    <r>
      <rPr>
        <sz val="8.5"/>
        <rFont val="Calibri"/>
        <family val="2"/>
      </rPr>
      <t>97,77</t>
    </r>
  </si>
  <si>
    <r>
      <rPr>
        <sz val="8.5"/>
        <rFont val="Calibri"/>
        <family val="2"/>
      </rPr>
      <t>46.01.080</t>
    </r>
  </si>
  <si>
    <r>
      <rPr>
        <sz val="8.5"/>
        <rFont val="Calibri"/>
        <family val="2"/>
      </rPr>
      <t xml:space="preserve">Tubo de PVC rígido soldável marrom, DN= 85 mm, (3´),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</si>
  <si>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79,01</t>
    </r>
  </si>
  <si>
    <r>
      <rPr>
        <sz val="8.5"/>
        <rFont val="Calibri"/>
        <family val="2"/>
      </rPr>
      <t>115,40</t>
    </r>
  </si>
  <si>
    <r>
      <rPr>
        <sz val="8.5"/>
        <rFont val="Calibri"/>
        <family val="2"/>
      </rPr>
      <t>46.01.090</t>
    </r>
  </si>
  <si>
    <r>
      <rPr>
        <sz val="8.5"/>
        <rFont val="Calibri"/>
        <family val="2"/>
      </rPr>
      <t xml:space="preserve">Tubo de PVC rígido soldável marrom, DN= 110 mm, (4´),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</si>
  <si>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143,95</t>
    </r>
  </si>
  <si>
    <r>
      <rPr>
        <sz val="8.5"/>
        <rFont val="Calibri"/>
        <family val="2"/>
      </rPr>
      <t>183,98</t>
    </r>
  </si>
  <si>
    <r>
      <rPr>
        <sz val="8.5"/>
        <rFont val="Calibri"/>
        <family val="2"/>
      </rPr>
      <t>Tubulacao em PVC rigido branco para esgoto domiciliar</t>
    </r>
  </si>
  <si>
    <r>
      <rPr>
        <sz val="8.5"/>
        <rFont val="Calibri"/>
        <family val="2"/>
      </rPr>
      <t>46.02.010</t>
    </r>
  </si>
  <si>
    <r>
      <rPr>
        <sz val="8.5"/>
        <rFont val="Calibri"/>
        <family val="2"/>
      </rPr>
      <t xml:space="preserve">Tubo de PVC rígido branco, pontas lisas, soldável, linha esgoto série
</t>
    </r>
    <r>
      <rPr>
        <sz val="8.5"/>
        <rFont val="Calibri"/>
        <family val="2"/>
      </rPr>
      <t>normal, DN= 40 mm, inclusive conexões</t>
    </r>
  </si>
  <si>
    <r>
      <rPr>
        <sz val="8.5"/>
        <rFont val="Calibri"/>
        <family val="2"/>
      </rPr>
      <t>29,97</t>
    </r>
  </si>
  <si>
    <r>
      <rPr>
        <sz val="8.5"/>
        <rFont val="Calibri"/>
        <family val="2"/>
      </rPr>
      <t>46.02.050</t>
    </r>
  </si>
  <si>
    <r>
      <rPr>
        <sz val="8.5"/>
        <rFont val="Calibri"/>
        <family val="2"/>
      </rPr>
      <t xml:space="preserve">Tubo de PVC rígido branco PxB com virola e anel de borracha, linha
</t>
    </r>
    <r>
      <rPr>
        <sz val="8.5"/>
        <rFont val="Calibri"/>
        <family val="2"/>
      </rPr>
      <t>esgoto série normal, DN= 50 mm, inclusive conexões</t>
    </r>
  </si>
  <si>
    <r>
      <rPr>
        <sz val="8.5"/>
        <rFont val="Calibri"/>
        <family val="2"/>
      </rPr>
      <t>38,81</t>
    </r>
  </si>
  <si>
    <r>
      <rPr>
        <sz val="8.5"/>
        <rFont val="Calibri"/>
        <family val="2"/>
      </rPr>
      <t>46.02.060</t>
    </r>
  </si>
  <si>
    <r>
      <rPr>
        <sz val="8.5"/>
        <rFont val="Calibri"/>
        <family val="2"/>
      </rPr>
      <t xml:space="preserve">Tubo de PVC rígido branco PxB com virola e anel de borracha, linha
</t>
    </r>
    <r>
      <rPr>
        <sz val="8.5"/>
        <rFont val="Calibri"/>
        <family val="2"/>
      </rPr>
      <t>esgoto série normal, DN= 75 mm, inclusive conexões</t>
    </r>
  </si>
  <si>
    <r>
      <rPr>
        <sz val="8.5"/>
        <rFont val="Calibri"/>
        <family val="2"/>
      </rPr>
      <t>28,29</t>
    </r>
  </si>
  <si>
    <r>
      <rPr>
        <sz val="8.5"/>
        <rFont val="Calibri"/>
        <family val="2"/>
      </rPr>
      <t>61,04</t>
    </r>
  </si>
  <si>
    <r>
      <rPr>
        <sz val="8.5"/>
        <rFont val="Calibri"/>
        <family val="2"/>
      </rPr>
      <t>46.02.070</t>
    </r>
  </si>
  <si>
    <r>
      <rPr>
        <sz val="8.5"/>
        <rFont val="Calibri"/>
        <family val="2"/>
      </rPr>
      <t xml:space="preserve">Tubo de PVC rígido branco PxB com virola e anel de borracha, linha
</t>
    </r>
    <r>
      <rPr>
        <sz val="8.5"/>
        <rFont val="Calibri"/>
        <family val="2"/>
      </rPr>
      <t>esgoto série normal, DN= 100 mm, inclusive conexões</t>
    </r>
  </si>
  <si>
    <r>
      <rPr>
        <sz val="8.5"/>
        <rFont val="Calibri"/>
        <family val="2"/>
      </rPr>
      <t>24,97</t>
    </r>
  </si>
  <si>
    <r>
      <rPr>
        <sz val="8.5"/>
        <rFont val="Calibri"/>
        <family val="2"/>
      </rPr>
      <t>65,00</t>
    </r>
  </si>
  <si>
    <r>
      <rPr>
        <sz val="8.5"/>
        <rFont val="Calibri"/>
        <family val="2"/>
      </rPr>
      <t>Tubulacao em PVC rigido branco serie R - A.P e esgoto domiciliar</t>
    </r>
  </si>
  <si>
    <r>
      <rPr>
        <sz val="8.5"/>
        <rFont val="Calibri"/>
        <family val="2"/>
      </rPr>
      <t>46.03.038</t>
    </r>
  </si>
  <si>
    <r>
      <rPr>
        <sz val="8.5"/>
        <rFont val="Calibri"/>
        <family val="2"/>
      </rPr>
      <t xml:space="preserve">Tubo de PVC rígido PxB com virola e anel de borracha, linha esgoto série
</t>
    </r>
    <r>
      <rPr>
        <sz val="8.5"/>
        <rFont val="Calibri"/>
        <family val="2"/>
      </rPr>
      <t>reforçada ´R´, DN= 50 mm, inclusive conexões</t>
    </r>
  </si>
  <si>
    <r>
      <rPr>
        <sz val="8.5"/>
        <rFont val="Calibri"/>
        <family val="2"/>
      </rPr>
      <t>44,97</t>
    </r>
  </si>
  <si>
    <r>
      <rPr>
        <sz val="8.5"/>
        <rFont val="Calibri"/>
        <family val="2"/>
      </rPr>
      <t>46.03.040</t>
    </r>
  </si>
  <si>
    <r>
      <rPr>
        <sz val="8.5"/>
        <rFont val="Calibri"/>
        <family val="2"/>
      </rPr>
      <t xml:space="preserve">Tubo de PVC rígido PxB com virola e anel de borracha, linha esgoto série
</t>
    </r>
    <r>
      <rPr>
        <sz val="8.5"/>
        <rFont val="Calibri"/>
        <family val="2"/>
      </rPr>
      <t>reforçada ´R´, DN= 75 mm, inclusive conexões</t>
    </r>
  </si>
  <si>
    <r>
      <rPr>
        <sz val="8.5"/>
        <rFont val="Calibri"/>
        <family val="2"/>
      </rPr>
      <t>35,08</t>
    </r>
  </si>
  <si>
    <r>
      <rPr>
        <sz val="8.5"/>
        <rFont val="Calibri"/>
        <family val="2"/>
      </rPr>
      <t>67,83</t>
    </r>
  </si>
  <si>
    <r>
      <rPr>
        <sz val="8.5"/>
        <rFont val="Calibri"/>
        <family val="2"/>
      </rPr>
      <t>46.03.050</t>
    </r>
  </si>
  <si>
    <r>
      <rPr>
        <sz val="8.5"/>
        <rFont val="Calibri"/>
        <family val="2"/>
      </rPr>
      <t xml:space="preserve">Tubo de PVC rígido PxB com virola e anel de borracha, linha esgoto série
</t>
    </r>
    <r>
      <rPr>
        <sz val="8.5"/>
        <rFont val="Calibri"/>
        <family val="2"/>
      </rPr>
      <t>reforçada ´R´, DN= 100 mm, inclusive conexões</t>
    </r>
  </si>
  <si>
    <r>
      <rPr>
        <sz val="8.5"/>
        <rFont val="Calibri"/>
        <family val="2"/>
      </rPr>
      <t>90,55</t>
    </r>
  </si>
  <si>
    <r>
      <rPr>
        <sz val="8.5"/>
        <rFont val="Calibri"/>
        <family val="2"/>
      </rPr>
      <t>46.03.060</t>
    </r>
  </si>
  <si>
    <r>
      <rPr>
        <sz val="8.5"/>
        <rFont val="Calibri"/>
        <family val="2"/>
      </rPr>
      <t xml:space="preserve">Tubo de PVC rígido PxB com virola e anel de borracha, linha esgoto série
</t>
    </r>
    <r>
      <rPr>
        <sz val="8.5"/>
        <rFont val="Calibri"/>
        <family val="2"/>
      </rPr>
      <t>reforçada ´R´. DN= 150 mm, inclusive conexões</t>
    </r>
  </si>
  <si>
    <r>
      <rPr>
        <sz val="8.5"/>
        <rFont val="Calibri"/>
        <family val="2"/>
      </rPr>
      <t>94,75</t>
    </r>
  </si>
  <si>
    <r>
      <rPr>
        <sz val="8.5"/>
        <rFont val="Calibri"/>
        <family val="2"/>
      </rPr>
      <t>134,78</t>
    </r>
  </si>
  <si>
    <r>
      <rPr>
        <sz val="8.5"/>
        <rFont val="Calibri"/>
        <family val="2"/>
      </rPr>
      <t>46.03.080</t>
    </r>
  </si>
  <si>
    <r>
      <rPr>
        <sz val="8.5"/>
        <rFont val="Calibri"/>
        <family val="2"/>
      </rPr>
      <t xml:space="preserve">Tubo de PVC rígido, pontas lisas, soldável, linha esgoto série reforçada
</t>
    </r>
    <r>
      <rPr>
        <sz val="8.5"/>
        <rFont val="Calibri"/>
        <family val="2"/>
      </rPr>
      <t>´R´, DN= 40 mm, inclusive conexões</t>
    </r>
  </si>
  <si>
    <r>
      <rPr>
        <sz val="8.5"/>
        <rFont val="Calibri"/>
        <family val="2"/>
      </rPr>
      <t>19,58</t>
    </r>
  </si>
  <si>
    <r>
      <rPr>
        <sz val="8.5"/>
        <rFont val="Calibri"/>
        <family val="2"/>
      </rPr>
      <t>37,78</t>
    </r>
  </si>
  <si>
    <r>
      <rPr>
        <sz val="8.5"/>
        <rFont val="Calibri"/>
        <family val="2"/>
      </rPr>
      <t xml:space="preserve">Tubulacao em PVC rigido com junta elastica - aducao e distribuicao de
</t>
    </r>
    <r>
      <rPr>
        <sz val="8.5"/>
        <rFont val="Calibri"/>
        <family val="2"/>
      </rPr>
      <t>agua</t>
    </r>
  </si>
  <si>
    <r>
      <rPr>
        <sz val="8.5"/>
        <rFont val="Calibri"/>
        <family val="2"/>
      </rPr>
      <t>46.04.010</t>
    </r>
  </si>
  <si>
    <r>
      <rPr>
        <sz val="8.5"/>
        <rFont val="Calibri"/>
        <family val="2"/>
      </rPr>
      <t xml:space="preserve">Tubo de PVC rígido tipo PBA classe 15, DN= 50mm, (DE= 60mm),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</si>
  <si>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24,85</t>
    </r>
  </si>
  <si>
    <r>
      <rPr>
        <sz val="8.5"/>
        <rFont val="Calibri"/>
        <family val="2"/>
      </rPr>
      <t>37,58</t>
    </r>
  </si>
  <si>
    <r>
      <rPr>
        <sz val="8.5"/>
        <rFont val="Calibri"/>
        <family val="2"/>
      </rPr>
      <t>46.04.020</t>
    </r>
  </si>
  <si>
    <r>
      <rPr>
        <sz val="8.5"/>
        <rFont val="Calibri"/>
        <family val="2"/>
      </rPr>
      <t xml:space="preserve">Tubo de PVC rígido tipo PBA classe 15, DN= 75mm, (DE= 85mm),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</si>
  <si>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45,33</t>
    </r>
  </si>
  <si>
    <r>
      <rPr>
        <sz val="8.5"/>
        <rFont val="Calibri"/>
        <family val="2"/>
      </rPr>
      <t>58,06</t>
    </r>
  </si>
  <si>
    <r>
      <rPr>
        <sz val="8.5"/>
        <rFont val="Calibri"/>
        <family val="2"/>
      </rPr>
      <t>46.04.030</t>
    </r>
  </si>
  <si>
    <r>
      <rPr>
        <sz val="8.5"/>
        <rFont val="Calibri"/>
        <family val="2"/>
      </rPr>
      <t xml:space="preserve">Tubo de PVC rígido tipo PBA classe 15, DN= 100mm, (DE= 110mm),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</si>
  <si>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86,48</t>
    </r>
  </si>
  <si>
    <r>
      <rPr>
        <sz val="8.5"/>
        <rFont val="Calibri"/>
        <family val="2"/>
      </rPr>
      <t>99,21</t>
    </r>
  </si>
  <si>
    <r>
      <rPr>
        <sz val="8.5"/>
        <rFont val="Calibri"/>
        <family val="2"/>
      </rPr>
      <t>46.04.040</t>
    </r>
  </si>
  <si>
    <r>
      <rPr>
        <sz val="8.5"/>
        <rFont val="Calibri"/>
        <family val="2"/>
      </rPr>
      <t xml:space="preserve">Tubo de PVC rígido DEFoFo, DN= 100mm (DE= 118mm),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</si>
  <si>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73,71</t>
    </r>
  </si>
  <si>
    <r>
      <rPr>
        <sz val="8.5"/>
        <rFont val="Calibri"/>
        <family val="2"/>
      </rPr>
      <t>46.04.050</t>
    </r>
  </si>
  <si>
    <r>
      <rPr>
        <sz val="8.5"/>
        <rFont val="Calibri"/>
        <family val="2"/>
      </rPr>
      <t xml:space="preserve">Tubo de PVC rígido DEFoFo, DN= 150mm (DE= 170mm),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</si>
  <si>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188,36</t>
    </r>
  </si>
  <si>
    <r>
      <rPr>
        <sz val="8.5"/>
        <rFont val="Calibri"/>
        <family val="2"/>
      </rPr>
      <t>201,09</t>
    </r>
  </si>
  <si>
    <r>
      <rPr>
        <sz val="8.5"/>
        <rFont val="Calibri"/>
        <family val="2"/>
      </rPr>
      <t>46.04.070</t>
    </r>
  </si>
  <si>
    <r>
      <rPr>
        <sz val="8.5"/>
        <rFont val="Calibri"/>
        <family val="2"/>
      </rPr>
      <t xml:space="preserve">Tubo de PVC rígido DEFoFo, DN= 200mm (DE= 222mm),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</si>
  <si>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252,02</t>
    </r>
  </si>
  <si>
    <r>
      <rPr>
        <sz val="8.5"/>
        <rFont val="Calibri"/>
        <family val="2"/>
      </rPr>
      <t>277,48</t>
    </r>
  </si>
  <si>
    <r>
      <rPr>
        <sz val="8.5"/>
        <rFont val="Calibri"/>
        <family val="2"/>
      </rPr>
      <t>46.04.080</t>
    </r>
  </si>
  <si>
    <r>
      <rPr>
        <sz val="8.5"/>
        <rFont val="Calibri"/>
        <family val="2"/>
      </rPr>
      <t xml:space="preserve">Tubo de PVC rígido DEFoFo, DN= 250mm (DE= 274mm),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</si>
  <si>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382,79</t>
    </r>
  </si>
  <si>
    <r>
      <rPr>
        <sz val="8.5"/>
        <rFont val="Calibri"/>
        <family val="2"/>
      </rPr>
      <t>408,25</t>
    </r>
  </si>
  <si>
    <r>
      <rPr>
        <sz val="8.5"/>
        <rFont val="Calibri"/>
        <family val="2"/>
      </rPr>
      <t>46.04.090</t>
    </r>
  </si>
  <si>
    <r>
      <rPr>
        <sz val="8.5"/>
        <rFont val="Calibri"/>
        <family val="2"/>
      </rPr>
      <t xml:space="preserve">Tubo de PVC rígido DEFoFo, DN= 300mm (DE= 326mm),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</si>
  <si>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603,67</t>
    </r>
  </si>
  <si>
    <r>
      <rPr>
        <sz val="8.5"/>
        <rFont val="Calibri"/>
        <family val="2"/>
      </rPr>
      <t>Tubulacao em PVC rigido com junta elastica - rede de esgoto</t>
    </r>
  </si>
  <si>
    <r>
      <rPr>
        <sz val="8.5"/>
        <rFont val="Calibri"/>
        <family val="2"/>
      </rPr>
      <t>46.05.020</t>
    </r>
  </si>
  <si>
    <r>
      <rPr>
        <sz val="8.5"/>
        <rFont val="Calibri"/>
        <family val="2"/>
      </rPr>
      <t xml:space="preserve">Tubo PVC rígido, tipo Coletor Esgoto, junta elástica, DN= 100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</si>
  <si>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46.05.040</t>
    </r>
  </si>
  <si>
    <r>
      <rPr>
        <sz val="8.5"/>
        <rFont val="Calibri"/>
        <family val="2"/>
      </rPr>
      <t xml:space="preserve">Tubo PVC rígido, tipo Coletor Esgoto, junta elástica, DN= 150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</si>
  <si>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64,83</t>
    </r>
  </si>
  <si>
    <r>
      <rPr>
        <sz val="8.5"/>
        <rFont val="Calibri"/>
        <family val="2"/>
      </rPr>
      <t>77,56</t>
    </r>
  </si>
  <si>
    <r>
      <rPr>
        <sz val="8.5"/>
        <rFont val="Calibri"/>
        <family val="2"/>
      </rPr>
      <t>46.05.050</t>
    </r>
  </si>
  <si>
    <r>
      <rPr>
        <sz val="8.5"/>
        <rFont val="Calibri"/>
        <family val="2"/>
      </rPr>
      <t xml:space="preserve">Tubo PVC rígido, tipo Coletor Esgoto, junta elástica, DN= 200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</si>
  <si>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101,31</t>
    </r>
  </si>
  <si>
    <r>
      <rPr>
        <sz val="8.5"/>
        <rFont val="Calibri"/>
        <family val="2"/>
      </rPr>
      <t>126,77</t>
    </r>
  </si>
  <si>
    <r>
      <rPr>
        <sz val="8.5"/>
        <rFont val="Calibri"/>
        <family val="2"/>
      </rPr>
      <t>46.05.060</t>
    </r>
  </si>
  <si>
    <r>
      <rPr>
        <sz val="8.5"/>
        <rFont val="Calibri"/>
        <family val="2"/>
      </rPr>
      <t xml:space="preserve">Tubo PVC rígido, tipo Coletor Esgoto, junta elástica, DN= 250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</si>
  <si>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170,01</t>
    </r>
  </si>
  <si>
    <r>
      <rPr>
        <sz val="8.5"/>
        <rFont val="Calibri"/>
        <family val="2"/>
      </rPr>
      <t>195,47</t>
    </r>
  </si>
  <si>
    <r>
      <rPr>
        <sz val="8.5"/>
        <rFont val="Calibri"/>
        <family val="2"/>
      </rPr>
      <t>46.05.070</t>
    </r>
  </si>
  <si>
    <r>
      <rPr>
        <sz val="8.5"/>
        <rFont val="Calibri"/>
        <family val="2"/>
      </rPr>
      <t xml:space="preserve">Tubo PVC rígido, tipo Coletor Esgoto, junta elástica, DN= 300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</si>
  <si>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284,69</t>
    </r>
  </si>
  <si>
    <r>
      <rPr>
        <sz val="8.5"/>
        <rFont val="Calibri"/>
        <family val="2"/>
      </rPr>
      <t>310,15</t>
    </r>
  </si>
  <si>
    <r>
      <rPr>
        <sz val="8.5"/>
        <rFont val="Calibri"/>
        <family val="2"/>
      </rPr>
      <t>46.05.090</t>
    </r>
  </si>
  <si>
    <r>
      <rPr>
        <sz val="8.5"/>
        <rFont val="Calibri"/>
        <family val="2"/>
      </rPr>
      <t xml:space="preserve">Tubo PVC rígido, tipo Coletor Esgoto, junta elástica, DN= 400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</si>
  <si>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448,23</t>
    </r>
  </si>
  <si>
    <r>
      <rPr>
        <sz val="8.5"/>
        <rFont val="Calibri"/>
        <family val="2"/>
      </rPr>
      <t>473,69</t>
    </r>
  </si>
  <si>
    <r>
      <rPr>
        <sz val="8.5"/>
        <rFont val="Calibri"/>
        <family val="2"/>
      </rPr>
      <t>Tubulacao galvanizado</t>
    </r>
  </si>
  <si>
    <r>
      <rPr>
        <sz val="8.5"/>
        <rFont val="Calibri"/>
        <family val="2"/>
      </rPr>
      <t>46.07.010</t>
    </r>
  </si>
  <si>
    <r>
      <rPr>
        <sz val="8.5"/>
        <rFont val="Calibri"/>
        <family val="2"/>
      </rPr>
      <t>Tubo galvanizado DN= 1/2´, inclusive conexões</t>
    </r>
  </si>
  <si>
    <r>
      <rPr>
        <sz val="8.5"/>
        <rFont val="Calibri"/>
        <family val="2"/>
      </rPr>
      <t>35,98</t>
    </r>
  </si>
  <si>
    <r>
      <rPr>
        <sz val="8.5"/>
        <rFont val="Calibri"/>
        <family val="2"/>
      </rPr>
      <t>46.07.020</t>
    </r>
  </si>
  <si>
    <r>
      <rPr>
        <sz val="8.5"/>
        <rFont val="Calibri"/>
        <family val="2"/>
      </rPr>
      <t>Tubo galvanizado DN= 3/4´, inclusive conexões</t>
    </r>
  </si>
  <si>
    <r>
      <rPr>
        <sz val="8.5"/>
        <rFont val="Calibri"/>
        <family val="2"/>
      </rPr>
      <t>60,57</t>
    </r>
  </si>
  <si>
    <r>
      <rPr>
        <sz val="8.5"/>
        <rFont val="Calibri"/>
        <family val="2"/>
      </rPr>
      <t>100,60</t>
    </r>
  </si>
  <si>
    <r>
      <rPr>
        <sz val="8.5"/>
        <rFont val="Calibri"/>
        <family val="2"/>
      </rPr>
      <t>46.07.030</t>
    </r>
  </si>
  <si>
    <r>
      <rPr>
        <sz val="8.5"/>
        <rFont val="Calibri"/>
        <family val="2"/>
      </rPr>
      <t>Tubo galvanizado DN= 1´, inclusive conexões</t>
    </r>
  </si>
  <si>
    <r>
      <rPr>
        <sz val="8.5"/>
        <rFont val="Calibri"/>
        <family val="2"/>
      </rPr>
      <t>87,47</t>
    </r>
  </si>
  <si>
    <r>
      <rPr>
        <sz val="8.5"/>
        <rFont val="Calibri"/>
        <family val="2"/>
      </rPr>
      <t>46.07.040</t>
    </r>
  </si>
  <si>
    <r>
      <rPr>
        <sz val="8.5"/>
        <rFont val="Calibri"/>
        <family val="2"/>
      </rPr>
      <t>Tubo galvanizado DN= 1 1/4´, inclusive conexões</t>
    </r>
  </si>
  <si>
    <r>
      <rPr>
        <sz val="8.5"/>
        <rFont val="Calibri"/>
        <family val="2"/>
      </rPr>
      <t>110,64</t>
    </r>
  </si>
  <si>
    <r>
      <rPr>
        <sz val="8.5"/>
        <rFont val="Calibri"/>
        <family val="2"/>
      </rPr>
      <t>161,59</t>
    </r>
  </si>
  <si>
    <r>
      <rPr>
        <sz val="8.5"/>
        <rFont val="Calibri"/>
        <family val="2"/>
      </rPr>
      <t>46.07.050</t>
    </r>
  </si>
  <si>
    <r>
      <rPr>
        <sz val="8.5"/>
        <rFont val="Calibri"/>
        <family val="2"/>
      </rPr>
      <t>Tubo galvanizado DN= 1 1/2´, inclusive conexões</t>
    </r>
  </si>
  <si>
    <r>
      <rPr>
        <sz val="8.5"/>
        <rFont val="Calibri"/>
        <family val="2"/>
      </rPr>
      <t>85,36</t>
    </r>
  </si>
  <si>
    <r>
      <rPr>
        <sz val="8.5"/>
        <rFont val="Calibri"/>
        <family val="2"/>
      </rPr>
      <t>58,22</t>
    </r>
  </si>
  <si>
    <r>
      <rPr>
        <sz val="8.5"/>
        <rFont val="Calibri"/>
        <family val="2"/>
      </rPr>
      <t>143,58</t>
    </r>
  </si>
  <si>
    <r>
      <rPr>
        <sz val="8.5"/>
        <rFont val="Calibri"/>
        <family val="2"/>
      </rPr>
      <t>46.07.060</t>
    </r>
  </si>
  <si>
    <r>
      <rPr>
        <sz val="8.5"/>
        <rFont val="Calibri"/>
        <family val="2"/>
      </rPr>
      <t>Tubo galvanizado DN= 2´, inclusive conexões</t>
    </r>
  </si>
  <si>
    <r>
      <rPr>
        <sz val="8.5"/>
        <rFont val="Calibri"/>
        <family val="2"/>
      </rPr>
      <t>165,14</t>
    </r>
  </si>
  <si>
    <r>
      <rPr>
        <sz val="8.5"/>
        <rFont val="Calibri"/>
        <family val="2"/>
      </rPr>
      <t>230,65</t>
    </r>
  </si>
  <si>
    <r>
      <rPr>
        <sz val="8.5"/>
        <rFont val="Calibri"/>
        <family val="2"/>
      </rPr>
      <t>46.07.070</t>
    </r>
  </si>
  <si>
    <r>
      <rPr>
        <sz val="8.5"/>
        <rFont val="Calibri"/>
        <family val="2"/>
      </rPr>
      <t>Tubo galvanizado DN= 2 1/2´, inclusive conexões</t>
    </r>
  </si>
  <si>
    <r>
      <rPr>
        <sz val="8.5"/>
        <rFont val="Calibri"/>
        <family val="2"/>
      </rPr>
      <t>213,71</t>
    </r>
  </si>
  <si>
    <r>
      <rPr>
        <sz val="8.5"/>
        <rFont val="Calibri"/>
        <family val="2"/>
      </rPr>
      <t>286,49</t>
    </r>
  </si>
  <si>
    <r>
      <rPr>
        <sz val="8.5"/>
        <rFont val="Calibri"/>
        <family val="2"/>
      </rPr>
      <t>46.07.080</t>
    </r>
  </si>
  <si>
    <r>
      <rPr>
        <sz val="8.5"/>
        <rFont val="Calibri"/>
        <family val="2"/>
      </rPr>
      <t>Tubo galvanizado DN= 3´, inclusive conexões</t>
    </r>
  </si>
  <si>
    <r>
      <rPr>
        <sz val="8.5"/>
        <rFont val="Calibri"/>
        <family val="2"/>
      </rPr>
      <t>244,72</t>
    </r>
  </si>
  <si>
    <r>
      <rPr>
        <sz val="8.5"/>
        <rFont val="Calibri"/>
        <family val="2"/>
      </rPr>
      <t>326,60</t>
    </r>
  </si>
  <si>
    <r>
      <rPr>
        <sz val="8.5"/>
        <rFont val="Calibri"/>
        <family val="2"/>
      </rPr>
      <t>46.07.090</t>
    </r>
  </si>
  <si>
    <r>
      <rPr>
        <sz val="8.5"/>
        <rFont val="Calibri"/>
        <family val="2"/>
      </rPr>
      <t>Tubo galvanizado DN= 4´, inclusive conexões</t>
    </r>
  </si>
  <si>
    <r>
      <rPr>
        <sz val="8.5"/>
        <rFont val="Calibri"/>
        <family val="2"/>
      </rPr>
      <t>356,03</t>
    </r>
  </si>
  <si>
    <r>
      <rPr>
        <sz val="8.5"/>
        <rFont val="Calibri"/>
        <family val="2"/>
      </rPr>
      <t>447,01</t>
    </r>
  </si>
  <si>
    <r>
      <rPr>
        <sz val="8.5"/>
        <rFont val="Calibri"/>
        <family val="2"/>
      </rPr>
      <t>46.07.100</t>
    </r>
  </si>
  <si>
    <r>
      <rPr>
        <sz val="8.5"/>
        <rFont val="Calibri"/>
        <family val="2"/>
      </rPr>
      <t>Tubo galvanizado DN= 6´, inclusive conexões</t>
    </r>
  </si>
  <si>
    <r>
      <rPr>
        <sz val="8.5"/>
        <rFont val="Calibri"/>
        <family val="2"/>
      </rPr>
      <t>414,43</t>
    </r>
  </si>
  <si>
    <r>
      <rPr>
        <sz val="8.5"/>
        <rFont val="Calibri"/>
        <family val="2"/>
      </rPr>
      <t>100,07</t>
    </r>
  </si>
  <si>
    <r>
      <rPr>
        <sz val="8.5"/>
        <rFont val="Calibri"/>
        <family val="2"/>
      </rPr>
      <t>514,50</t>
    </r>
  </si>
  <si>
    <r>
      <rPr>
        <sz val="8.5"/>
        <rFont val="Calibri"/>
        <family val="2"/>
      </rPr>
      <t>Tubulacao em aco carbono galvanizado classe schedule</t>
    </r>
  </si>
  <si>
    <r>
      <rPr>
        <sz val="8.5"/>
        <rFont val="Calibri"/>
        <family val="2"/>
      </rPr>
      <t>46.08.006</t>
    </r>
  </si>
  <si>
    <r>
      <rPr>
        <sz val="8.5"/>
        <rFont val="Calibri"/>
        <family val="2"/>
      </rPr>
      <t>Tubo galvanizado sem costura schedule 40, DN= 1/2´, inclusive conexões</t>
    </r>
  </si>
  <si>
    <r>
      <rPr>
        <sz val="8.5"/>
        <rFont val="Calibri"/>
        <family val="2"/>
      </rPr>
      <t>102,90</t>
    </r>
  </si>
  <si>
    <r>
      <rPr>
        <sz val="8.5"/>
        <rFont val="Calibri"/>
        <family val="2"/>
      </rPr>
      <t>46.08.010</t>
    </r>
  </si>
  <si>
    <r>
      <rPr>
        <sz val="8.5"/>
        <rFont val="Calibri"/>
        <family val="2"/>
      </rPr>
      <t>Tubo galvanizado sem costura schedule 40, DN= 3/4´, inclusive conexões</t>
    </r>
  </si>
  <si>
    <r>
      <rPr>
        <sz val="8.5"/>
        <rFont val="Calibri"/>
        <family val="2"/>
      </rPr>
      <t>84,88</t>
    </r>
  </si>
  <si>
    <r>
      <rPr>
        <sz val="8.5"/>
        <rFont val="Calibri"/>
        <family val="2"/>
      </rPr>
      <t>124,91</t>
    </r>
  </si>
  <si>
    <r>
      <rPr>
        <sz val="8.5"/>
        <rFont val="Calibri"/>
        <family val="2"/>
      </rPr>
      <t>46.08.020</t>
    </r>
  </si>
  <si>
    <r>
      <rPr>
        <sz val="8.5"/>
        <rFont val="Calibri"/>
        <family val="2"/>
      </rPr>
      <t>Tubo galvanizado sem costura schedule 40, DN= 1´, inclusive conexões</t>
    </r>
  </si>
  <si>
    <r>
      <rPr>
        <sz val="8.5"/>
        <rFont val="Calibri"/>
        <family val="2"/>
      </rPr>
      <t>93,44</t>
    </r>
  </si>
  <si>
    <r>
      <rPr>
        <sz val="8.5"/>
        <rFont val="Calibri"/>
        <family val="2"/>
      </rPr>
      <t>140,75</t>
    </r>
  </si>
  <si>
    <r>
      <rPr>
        <sz val="8.5"/>
        <rFont val="Calibri"/>
        <family val="2"/>
      </rPr>
      <t>46.08.030</t>
    </r>
  </si>
  <si>
    <r>
      <rPr>
        <sz val="8.5"/>
        <rFont val="Calibri"/>
        <family val="2"/>
      </rPr>
      <t xml:space="preserve">Tubo galvanizado sem costura schedule 40, DN= 1 1/4´,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</si>
  <si>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125,46</t>
    </r>
  </si>
  <si>
    <r>
      <rPr>
        <sz val="8.5"/>
        <rFont val="Calibri"/>
        <family val="2"/>
      </rPr>
      <t>176,41</t>
    </r>
  </si>
  <si>
    <r>
      <rPr>
        <sz val="8.5"/>
        <rFont val="Calibri"/>
        <family val="2"/>
      </rPr>
      <t>46.08.040</t>
    </r>
  </si>
  <si>
    <r>
      <rPr>
        <sz val="8.5"/>
        <rFont val="Calibri"/>
        <family val="2"/>
      </rPr>
      <t xml:space="preserve">Tubo galvanizado sem costura schedule 40, DN= 1 1/2´,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</si>
  <si>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150,65</t>
    </r>
  </si>
  <si>
    <r>
      <rPr>
        <sz val="8.5"/>
        <rFont val="Calibri"/>
        <family val="2"/>
      </rPr>
      <t>208,87</t>
    </r>
  </si>
  <si>
    <r>
      <rPr>
        <sz val="8.5"/>
        <rFont val="Calibri"/>
        <family val="2"/>
      </rPr>
      <t>46.08.050</t>
    </r>
  </si>
  <si>
    <r>
      <rPr>
        <sz val="8.5"/>
        <rFont val="Calibri"/>
        <family val="2"/>
      </rPr>
      <t>Tubo galvanizado sem costura schedule 40, DN= 2´, inclusive conexões</t>
    </r>
  </si>
  <si>
    <r>
      <rPr>
        <sz val="8.5"/>
        <rFont val="Calibri"/>
        <family val="2"/>
      </rPr>
      <t>166,17</t>
    </r>
  </si>
  <si>
    <r>
      <rPr>
        <sz val="8.5"/>
        <rFont val="Calibri"/>
        <family val="2"/>
      </rPr>
      <t>231,68</t>
    </r>
  </si>
  <si>
    <r>
      <rPr>
        <sz val="8.5"/>
        <rFont val="Calibri"/>
        <family val="2"/>
      </rPr>
      <t>46.08.070</t>
    </r>
  </si>
  <si>
    <r>
      <rPr>
        <sz val="8.5"/>
        <rFont val="Calibri"/>
        <family val="2"/>
      </rPr>
      <t xml:space="preserve">Tubo galvanizado sem costura schedule 40, DN= 2 1/2´,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</si>
  <si>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258,40</t>
    </r>
  </si>
  <si>
    <r>
      <rPr>
        <sz val="8.5"/>
        <rFont val="Calibri"/>
        <family val="2"/>
      </rPr>
      <t>331,18</t>
    </r>
  </si>
  <si>
    <r>
      <rPr>
        <sz val="8.5"/>
        <rFont val="Calibri"/>
        <family val="2"/>
      </rPr>
      <t>46.08.080</t>
    </r>
  </si>
  <si>
    <r>
      <rPr>
        <sz val="8.5"/>
        <rFont val="Calibri"/>
        <family val="2"/>
      </rPr>
      <t>Tubo galvanizado sem costura schedule 40, DN= 3´, inclusive conexões</t>
    </r>
  </si>
  <si>
    <r>
      <rPr>
        <sz val="8.5"/>
        <rFont val="Calibri"/>
        <family val="2"/>
      </rPr>
      <t>325,78</t>
    </r>
  </si>
  <si>
    <r>
      <rPr>
        <sz val="8.5"/>
        <rFont val="Calibri"/>
        <family val="2"/>
      </rPr>
      <t>407,66</t>
    </r>
  </si>
  <si>
    <r>
      <rPr>
        <sz val="8.5"/>
        <rFont val="Calibri"/>
        <family val="2"/>
      </rPr>
      <t>46.08.100</t>
    </r>
  </si>
  <si>
    <r>
      <rPr>
        <sz val="8.5"/>
        <rFont val="Calibri"/>
        <family val="2"/>
      </rPr>
      <t>Tubo galvanizado sem costura schedule 40, DN= 4´, inclusive conexões</t>
    </r>
  </si>
  <si>
    <r>
      <rPr>
        <sz val="8.5"/>
        <rFont val="Calibri"/>
        <family val="2"/>
      </rPr>
      <t>446,29</t>
    </r>
  </si>
  <si>
    <r>
      <rPr>
        <sz val="8.5"/>
        <rFont val="Calibri"/>
        <family val="2"/>
      </rPr>
      <t>537,27</t>
    </r>
  </si>
  <si>
    <r>
      <rPr>
        <sz val="8.5"/>
        <rFont val="Calibri"/>
        <family val="2"/>
      </rPr>
      <t>46.08.110</t>
    </r>
  </si>
  <si>
    <r>
      <rPr>
        <sz val="8.5"/>
        <rFont val="Calibri"/>
        <family val="2"/>
      </rPr>
      <t>Tubo galvanizado sem costura schedule 40, DN= 6´, inclusive conexões</t>
    </r>
  </si>
  <si>
    <r>
      <rPr>
        <sz val="8.5"/>
        <rFont val="Calibri"/>
        <family val="2"/>
      </rPr>
      <t>772,27</t>
    </r>
  </si>
  <si>
    <r>
      <rPr>
        <sz val="8.5"/>
        <rFont val="Calibri"/>
        <family val="2"/>
      </rPr>
      <t>872,34</t>
    </r>
  </si>
  <si>
    <r>
      <rPr>
        <sz val="8.5"/>
        <rFont val="Calibri"/>
        <family val="2"/>
      </rPr>
      <t xml:space="preserve">Conexoes e acessorios em ferro fundido, predial e tradicional, esgoto e
</t>
    </r>
    <r>
      <rPr>
        <sz val="8.5"/>
        <rFont val="Calibri"/>
        <family val="2"/>
      </rPr>
      <t>pluvial</t>
    </r>
  </si>
  <si>
    <r>
      <rPr>
        <sz val="8.5"/>
        <rFont val="Calibri"/>
        <family val="2"/>
      </rPr>
      <t>46.09.050</t>
    </r>
  </si>
  <si>
    <r>
      <rPr>
        <sz val="8.5"/>
        <rFont val="Calibri"/>
        <family val="2"/>
      </rPr>
      <t>Joelho 45° em ferro fundido, linha predial tradicional, DN= 50 mm</t>
    </r>
  </si>
  <si>
    <r>
      <rPr>
        <sz val="8.5"/>
        <rFont val="Calibri"/>
        <family val="2"/>
      </rPr>
      <t>71,75</t>
    </r>
  </si>
  <si>
    <r>
      <rPr>
        <sz val="8.5"/>
        <rFont val="Calibri"/>
        <family val="2"/>
      </rPr>
      <t>82,67</t>
    </r>
  </si>
  <si>
    <r>
      <rPr>
        <sz val="8.5"/>
        <rFont val="Calibri"/>
        <family val="2"/>
      </rPr>
      <t>46.09.060</t>
    </r>
  </si>
  <si>
    <r>
      <rPr>
        <sz val="8.5"/>
        <rFont val="Calibri"/>
        <family val="2"/>
      </rPr>
      <t>Joelho 45° em ferro fundido, linha predial tradicional, DN= 75 mm</t>
    </r>
  </si>
  <si>
    <r>
      <rPr>
        <sz val="8.5"/>
        <rFont val="Calibri"/>
        <family val="2"/>
      </rPr>
      <t>94,47</t>
    </r>
  </si>
  <si>
    <r>
      <rPr>
        <sz val="8.5"/>
        <rFont val="Calibri"/>
        <family val="2"/>
      </rPr>
      <t>105,39</t>
    </r>
  </si>
  <si>
    <r>
      <rPr>
        <sz val="8.5"/>
        <rFont val="Calibri"/>
        <family val="2"/>
      </rPr>
      <t>46.09.070</t>
    </r>
  </si>
  <si>
    <r>
      <rPr>
        <sz val="8.5"/>
        <rFont val="Calibri"/>
        <family val="2"/>
      </rPr>
      <t>Joelho 45° em ferro fundido, linha predial tradicional, DN= 100 mm</t>
    </r>
  </si>
  <si>
    <r>
      <rPr>
        <sz val="8.5"/>
        <rFont val="Calibri"/>
        <family val="2"/>
      </rPr>
      <t>108,73</t>
    </r>
  </si>
  <si>
    <r>
      <rPr>
        <sz val="8.5"/>
        <rFont val="Calibri"/>
        <family val="2"/>
      </rPr>
      <t>123,29</t>
    </r>
  </si>
  <si>
    <r>
      <rPr>
        <sz val="8.5"/>
        <rFont val="Calibri"/>
        <family val="2"/>
      </rPr>
      <t>46.09.080</t>
    </r>
  </si>
  <si>
    <r>
      <rPr>
        <sz val="8.5"/>
        <rFont val="Calibri"/>
        <family val="2"/>
      </rPr>
      <t>Joelho 45° em ferro fundido, linha predial tradicional, DN= 150 mm</t>
    </r>
  </si>
  <si>
    <r>
      <rPr>
        <sz val="8.5"/>
        <rFont val="Calibri"/>
        <family val="2"/>
      </rPr>
      <t>180,25</t>
    </r>
  </si>
  <si>
    <r>
      <rPr>
        <sz val="8.5"/>
        <rFont val="Calibri"/>
        <family val="2"/>
      </rPr>
      <t>194,81</t>
    </r>
  </si>
  <si>
    <r>
      <rPr>
        <sz val="8.5"/>
        <rFont val="Calibri"/>
        <family val="2"/>
      </rPr>
      <t>46.09.100</t>
    </r>
  </si>
  <si>
    <r>
      <rPr>
        <sz val="8.5"/>
        <rFont val="Calibri"/>
        <family val="2"/>
      </rPr>
      <t>Joelho 87° 30´ em ferro fundido, linha predial tradicional, DN= 50 mm</t>
    </r>
  </si>
  <si>
    <r>
      <rPr>
        <sz val="8.5"/>
        <rFont val="Calibri"/>
        <family val="2"/>
      </rPr>
      <t>95,36</t>
    </r>
  </si>
  <si>
    <r>
      <rPr>
        <sz val="8.5"/>
        <rFont val="Calibri"/>
        <family val="2"/>
      </rPr>
      <t>106,28</t>
    </r>
  </si>
  <si>
    <r>
      <rPr>
        <sz val="8.5"/>
        <rFont val="Calibri"/>
        <family val="2"/>
      </rPr>
      <t>46.09.110</t>
    </r>
  </si>
  <si>
    <r>
      <rPr>
        <sz val="8.5"/>
        <rFont val="Calibri"/>
        <family val="2"/>
      </rPr>
      <t>Joelho 87° 30´ em ferro fundido, linha predial tradicional, DN= 75 mm</t>
    </r>
  </si>
  <si>
    <r>
      <rPr>
        <sz val="8.5"/>
        <rFont val="Calibri"/>
        <family val="2"/>
      </rPr>
      <t>123,45</t>
    </r>
  </si>
  <si>
    <r>
      <rPr>
        <sz val="8.5"/>
        <rFont val="Calibri"/>
        <family val="2"/>
      </rPr>
      <t>46.09.120</t>
    </r>
  </si>
  <si>
    <r>
      <rPr>
        <sz val="8.5"/>
        <rFont val="Calibri"/>
        <family val="2"/>
      </rPr>
      <t>Joelho 87° 30´ em ferro fundido, linha predial tradicional, DN= 100 mm</t>
    </r>
  </si>
  <si>
    <r>
      <rPr>
        <sz val="8.5"/>
        <rFont val="Calibri"/>
        <family val="2"/>
      </rPr>
      <t>181,41</t>
    </r>
  </si>
  <si>
    <r>
      <rPr>
        <sz val="8.5"/>
        <rFont val="Calibri"/>
        <family val="2"/>
      </rPr>
      <t>46.09.130</t>
    </r>
  </si>
  <si>
    <r>
      <rPr>
        <sz val="8.5"/>
        <rFont val="Calibri"/>
        <family val="2"/>
      </rPr>
      <t>Joelho 87° 30´ em ferro fundido, linha predial tradicional, DN= 150 mm</t>
    </r>
  </si>
  <si>
    <r>
      <rPr>
        <sz val="8.5"/>
        <rFont val="Calibri"/>
        <family val="2"/>
      </rPr>
      <t>299,25</t>
    </r>
  </si>
  <si>
    <r>
      <rPr>
        <sz val="8.5"/>
        <rFont val="Calibri"/>
        <family val="2"/>
      </rPr>
      <t>313,81</t>
    </r>
  </si>
  <si>
    <r>
      <rPr>
        <sz val="8.5"/>
        <rFont val="Calibri"/>
        <family val="2"/>
      </rPr>
      <t>46.09.150</t>
    </r>
  </si>
  <si>
    <r>
      <rPr>
        <sz val="8.5"/>
        <rFont val="Calibri"/>
        <family val="2"/>
      </rPr>
      <t>Luva bolsa e bolsa em ferro fundido, linha predial tradicional, DN= 50 mm</t>
    </r>
  </si>
  <si>
    <r>
      <rPr>
        <sz val="8.5"/>
        <rFont val="Calibri"/>
        <family val="2"/>
      </rPr>
      <t>60,03</t>
    </r>
  </si>
  <si>
    <r>
      <rPr>
        <sz val="8.5"/>
        <rFont val="Calibri"/>
        <family val="2"/>
      </rPr>
      <t>70,95</t>
    </r>
  </si>
  <si>
    <r>
      <rPr>
        <sz val="8.5"/>
        <rFont val="Calibri"/>
        <family val="2"/>
      </rPr>
      <t>46.09.160</t>
    </r>
  </si>
  <si>
    <r>
      <rPr>
        <sz val="8.5"/>
        <rFont val="Calibri"/>
        <family val="2"/>
      </rPr>
      <t>Luva bolsa e bolsa em ferro fundido, linha predial tradicional, DN= 75 mm</t>
    </r>
  </si>
  <si>
    <r>
      <rPr>
        <sz val="8.5"/>
        <rFont val="Calibri"/>
        <family val="2"/>
      </rPr>
      <t>79,31</t>
    </r>
  </si>
  <si>
    <r>
      <rPr>
        <sz val="8.5"/>
        <rFont val="Calibri"/>
        <family val="2"/>
      </rPr>
      <t>90,23</t>
    </r>
  </si>
  <si>
    <r>
      <rPr>
        <sz val="8.5"/>
        <rFont val="Calibri"/>
        <family val="2"/>
      </rPr>
      <t>46.09.170</t>
    </r>
  </si>
  <si>
    <r>
      <rPr>
        <sz val="8.5"/>
        <rFont val="Calibri"/>
        <family val="2"/>
      </rPr>
      <t xml:space="preserve">Luva bolsa e bolsa em ferro fundido, linha predial tradicional, DN= 100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</si>
  <si>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86,87</t>
    </r>
  </si>
  <si>
    <r>
      <rPr>
        <sz val="8.5"/>
        <rFont val="Calibri"/>
        <family val="2"/>
      </rPr>
      <t>101,43</t>
    </r>
  </si>
  <si>
    <r>
      <rPr>
        <sz val="8.5"/>
        <rFont val="Calibri"/>
        <family val="2"/>
      </rPr>
      <t>46.09.180</t>
    </r>
  </si>
  <si>
    <r>
      <rPr>
        <sz val="8.5"/>
        <rFont val="Calibri"/>
        <family val="2"/>
      </rPr>
      <t xml:space="preserve">Luva bolsa e bolsa em ferro fundido, linha predial tradicional, DN= 150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</si>
  <si>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126,35</t>
    </r>
  </si>
  <si>
    <r>
      <rPr>
        <sz val="8.5"/>
        <rFont val="Calibri"/>
        <family val="2"/>
      </rPr>
      <t>140,91</t>
    </r>
  </si>
  <si>
    <r>
      <rPr>
        <sz val="8.5"/>
        <rFont val="Calibri"/>
        <family val="2"/>
      </rPr>
      <t>46.09.200</t>
    </r>
  </si>
  <si>
    <r>
      <rPr>
        <sz val="8.5"/>
        <rFont val="Calibri"/>
        <family val="2"/>
      </rPr>
      <t>Placa cega em ferro fundido, linha predial tradicional, DN= 75 mm</t>
    </r>
  </si>
  <si>
    <r>
      <rPr>
        <sz val="8.5"/>
        <rFont val="Calibri"/>
        <family val="2"/>
      </rPr>
      <t>54,13</t>
    </r>
  </si>
  <si>
    <r>
      <rPr>
        <sz val="8.5"/>
        <rFont val="Calibri"/>
        <family val="2"/>
      </rPr>
      <t>65,05</t>
    </r>
  </si>
  <si>
    <r>
      <rPr>
        <sz val="8.5"/>
        <rFont val="Calibri"/>
        <family val="2"/>
      </rPr>
      <t>46.09.210</t>
    </r>
  </si>
  <si>
    <r>
      <rPr>
        <sz val="8.5"/>
        <rFont val="Calibri"/>
        <family val="2"/>
      </rPr>
      <t>Placa cega em ferro fundido, linha predial tradicional, DN= 100 mm</t>
    </r>
  </si>
  <si>
    <r>
      <rPr>
        <sz val="8.5"/>
        <rFont val="Calibri"/>
        <family val="2"/>
      </rPr>
      <t>65,85</t>
    </r>
  </si>
  <si>
    <r>
      <rPr>
        <sz val="8.5"/>
        <rFont val="Calibri"/>
        <family val="2"/>
      </rPr>
      <t>80,41</t>
    </r>
  </si>
  <si>
    <r>
      <rPr>
        <sz val="8.5"/>
        <rFont val="Calibri"/>
        <family val="2"/>
      </rPr>
      <t>46.09.230</t>
    </r>
  </si>
  <si>
    <r>
      <rPr>
        <sz val="8.5"/>
        <rFont val="Calibri"/>
        <family val="2"/>
      </rPr>
      <t>Junção 45° em ferro fundido, linha predial tradicional, DN= 50 x 50 mm</t>
    </r>
  </si>
  <si>
    <r>
      <rPr>
        <sz val="8.5"/>
        <rFont val="Calibri"/>
        <family val="2"/>
      </rPr>
      <t>125,13</t>
    </r>
  </si>
  <si>
    <r>
      <rPr>
        <sz val="8.5"/>
        <rFont val="Calibri"/>
        <family val="2"/>
      </rPr>
      <t>46.09.240</t>
    </r>
  </si>
  <si>
    <r>
      <rPr>
        <sz val="8.5"/>
        <rFont val="Calibri"/>
        <family val="2"/>
      </rPr>
      <t>Junção 45° em ferro fundido, linha predial tradicional, DN= 75 x 50 mm</t>
    </r>
  </si>
  <si>
    <r>
      <rPr>
        <sz val="8.5"/>
        <rFont val="Calibri"/>
        <family val="2"/>
      </rPr>
      <t>144,52</t>
    </r>
  </si>
  <si>
    <r>
      <rPr>
        <sz val="8.5"/>
        <rFont val="Calibri"/>
        <family val="2"/>
      </rPr>
      <t>159,08</t>
    </r>
  </si>
  <si>
    <r>
      <rPr>
        <sz val="8.5"/>
        <rFont val="Calibri"/>
        <family val="2"/>
      </rPr>
      <t>46.09.250</t>
    </r>
  </si>
  <si>
    <r>
      <rPr>
        <sz val="8.5"/>
        <rFont val="Calibri"/>
        <family val="2"/>
      </rPr>
      <t>Junção 45° em ferro fundido, linha predial tradicional, DN= 75 x 75 mm</t>
    </r>
  </si>
  <si>
    <r>
      <rPr>
        <sz val="8.5"/>
        <rFont val="Calibri"/>
        <family val="2"/>
      </rPr>
      <t>180,69</t>
    </r>
  </si>
  <si>
    <r>
      <rPr>
        <sz val="8.5"/>
        <rFont val="Calibri"/>
        <family val="2"/>
      </rPr>
      <t>195,25</t>
    </r>
  </si>
  <si>
    <r>
      <rPr>
        <sz val="8.5"/>
        <rFont val="Calibri"/>
        <family val="2"/>
      </rPr>
      <t>46.09.260</t>
    </r>
  </si>
  <si>
    <r>
      <rPr>
        <sz val="8.5"/>
        <rFont val="Calibri"/>
        <family val="2"/>
      </rPr>
      <t>Junção 45° em ferro fundido, linha predial tradicional, DN= 100 x 50 mm</t>
    </r>
  </si>
  <si>
    <r>
      <rPr>
        <sz val="8.5"/>
        <rFont val="Calibri"/>
        <family val="2"/>
      </rPr>
      <t>151,66</t>
    </r>
  </si>
  <si>
    <r>
      <rPr>
        <sz val="8.5"/>
        <rFont val="Calibri"/>
        <family val="2"/>
      </rPr>
      <t>166,22</t>
    </r>
  </si>
  <si>
    <r>
      <rPr>
        <sz val="8.5"/>
        <rFont val="Calibri"/>
        <family val="2"/>
      </rPr>
      <t>46.09.270</t>
    </r>
  </si>
  <si>
    <r>
      <rPr>
        <sz val="8.5"/>
        <rFont val="Calibri"/>
        <family val="2"/>
      </rPr>
      <t>Junção 45° em ferro fundido, linha predial tradicional, DN= 100 x 75 mm</t>
    </r>
  </si>
  <si>
    <r>
      <rPr>
        <sz val="8.5"/>
        <rFont val="Calibri"/>
        <family val="2"/>
      </rPr>
      <t>183,48</t>
    </r>
  </si>
  <si>
    <r>
      <rPr>
        <sz val="8.5"/>
        <rFont val="Calibri"/>
        <family val="2"/>
      </rPr>
      <t>198,04</t>
    </r>
  </si>
  <si>
    <r>
      <rPr>
        <sz val="8.5"/>
        <rFont val="Calibri"/>
        <family val="2"/>
      </rPr>
      <t>46.09.280</t>
    </r>
  </si>
  <si>
    <r>
      <rPr>
        <sz val="8.5"/>
        <rFont val="Calibri"/>
        <family val="2"/>
      </rPr>
      <t>Junção 45° em ferro fundido, linha predial tradicional, DN= 100 x 100 mm</t>
    </r>
  </si>
  <si>
    <r>
      <rPr>
        <sz val="8.5"/>
        <rFont val="Calibri"/>
        <family val="2"/>
      </rPr>
      <t>211,13</t>
    </r>
  </si>
  <si>
    <r>
      <rPr>
        <sz val="8.5"/>
        <rFont val="Calibri"/>
        <family val="2"/>
      </rPr>
      <t>225,69</t>
    </r>
  </si>
  <si>
    <r>
      <rPr>
        <sz val="8.5"/>
        <rFont val="Calibri"/>
        <family val="2"/>
      </rPr>
      <t>46.09.290</t>
    </r>
  </si>
  <si>
    <r>
      <rPr>
        <sz val="8.5"/>
        <rFont val="Calibri"/>
        <family val="2"/>
      </rPr>
      <t>Junção 45° em ferro fundido, linha predial tradicional, DN= 150 x 100 mm</t>
    </r>
  </si>
  <si>
    <r>
      <rPr>
        <sz val="8.5"/>
        <rFont val="Calibri"/>
        <family val="2"/>
      </rPr>
      <t>236,30</t>
    </r>
  </si>
  <si>
    <r>
      <rPr>
        <sz val="8.5"/>
        <rFont val="Calibri"/>
        <family val="2"/>
      </rPr>
      <t>254,50</t>
    </r>
  </si>
  <si>
    <r>
      <rPr>
        <sz val="8.5"/>
        <rFont val="Calibri"/>
        <family val="2"/>
      </rPr>
      <t>46.09.300</t>
    </r>
  </si>
  <si>
    <r>
      <rPr>
        <sz val="8.5"/>
        <rFont val="Calibri"/>
        <family val="2"/>
      </rPr>
      <t>Junção dupla 45° em ferro fundido, linha predial tradicional, DN= 100 mm</t>
    </r>
  </si>
  <si>
    <r>
      <rPr>
        <sz val="8.5"/>
        <rFont val="Calibri"/>
        <family val="2"/>
      </rPr>
      <t>296,97</t>
    </r>
  </si>
  <si>
    <r>
      <rPr>
        <sz val="8.5"/>
        <rFont val="Calibri"/>
        <family val="2"/>
      </rPr>
      <t>311,53</t>
    </r>
  </si>
  <si>
    <r>
      <rPr>
        <sz val="8.5"/>
        <rFont val="Calibri"/>
        <family val="2"/>
      </rPr>
      <t>46.09.320</t>
    </r>
  </si>
  <si>
    <r>
      <rPr>
        <sz val="8.5"/>
        <rFont val="Calibri"/>
        <family val="2"/>
      </rPr>
      <t xml:space="preserve">Te sanitário 87° 30´ em ferro fundido, linha predial tradicional, DN= 50 x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</si>
  <si>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107,85</t>
    </r>
  </si>
  <si>
    <r>
      <rPr>
        <sz val="8.5"/>
        <rFont val="Calibri"/>
        <family val="2"/>
      </rPr>
      <t>118,77</t>
    </r>
  </si>
  <si>
    <r>
      <rPr>
        <sz val="8.5"/>
        <rFont val="Calibri"/>
        <family val="2"/>
      </rPr>
      <t>46.09.330</t>
    </r>
  </si>
  <si>
    <r>
      <rPr>
        <sz val="8.5"/>
        <rFont val="Calibri"/>
        <family val="2"/>
      </rPr>
      <t xml:space="preserve">Te sanitário 87° 30´ em ferro fundido, linha predial tradicional, DN= 75 x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</si>
  <si>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125,97</t>
    </r>
  </si>
  <si>
    <r>
      <rPr>
        <sz val="8.5"/>
        <rFont val="Calibri"/>
        <family val="2"/>
      </rPr>
      <t>140,53</t>
    </r>
  </si>
  <si>
    <r>
      <rPr>
        <sz val="8.5"/>
        <rFont val="Calibri"/>
        <family val="2"/>
      </rPr>
      <t>46.09.340</t>
    </r>
  </si>
  <si>
    <r>
      <rPr>
        <sz val="8.5"/>
        <rFont val="Calibri"/>
        <family val="2"/>
      </rPr>
      <t xml:space="preserve">Te sanitário 87° 30´ em ferro fundido, linha predial tradicional, DN= 75 x
</t>
    </r>
    <r>
      <rPr>
        <sz val="8.5"/>
        <rFont val="Calibri"/>
        <family val="2"/>
      </rPr>
      <t>75 mm</t>
    </r>
  </si>
  <si>
    <r>
      <rPr>
        <sz val="8.5"/>
        <rFont val="Calibri"/>
        <family val="2"/>
      </rPr>
      <t>141,59</t>
    </r>
  </si>
  <si>
    <r>
      <rPr>
        <sz val="8.5"/>
        <rFont val="Calibri"/>
        <family val="2"/>
      </rPr>
      <t>156,15</t>
    </r>
  </si>
  <si>
    <r>
      <rPr>
        <sz val="8.5"/>
        <rFont val="Calibri"/>
        <family val="2"/>
      </rPr>
      <t>46.09.350</t>
    </r>
  </si>
  <si>
    <r>
      <rPr>
        <sz val="8.5"/>
        <rFont val="Calibri"/>
        <family val="2"/>
      </rPr>
      <t xml:space="preserve">Te sanitário 87° 30´ em ferro fundido, linha predial tradicional, DN= 100 x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</si>
  <si>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137,77</t>
    </r>
  </si>
  <si>
    <r>
      <rPr>
        <sz val="8.5"/>
        <rFont val="Calibri"/>
        <family val="2"/>
      </rPr>
      <t>152,33</t>
    </r>
  </si>
  <si>
    <r>
      <rPr>
        <sz val="8.5"/>
        <rFont val="Calibri"/>
        <family val="2"/>
      </rPr>
      <t>46.09.360</t>
    </r>
  </si>
  <si>
    <r>
      <rPr>
        <sz val="8.5"/>
        <rFont val="Calibri"/>
        <family val="2"/>
      </rPr>
      <t xml:space="preserve">Te sanitário 87° 30´ em ferro fundido, linha predial tradicional, DN= 100 x
</t>
    </r>
    <r>
      <rPr>
        <sz val="8.5"/>
        <rFont val="Calibri"/>
        <family val="2"/>
      </rPr>
      <t>75 mm</t>
    </r>
  </si>
  <si>
    <r>
      <rPr>
        <sz val="8.5"/>
        <rFont val="Calibri"/>
        <family val="2"/>
      </rPr>
      <t>163,43</t>
    </r>
  </si>
  <si>
    <r>
      <rPr>
        <sz val="8.5"/>
        <rFont val="Calibri"/>
        <family val="2"/>
      </rPr>
      <t>46.09.370</t>
    </r>
  </si>
  <si>
    <r>
      <rPr>
        <sz val="8.5"/>
        <rFont val="Calibri"/>
        <family val="2"/>
      </rPr>
      <t xml:space="preserve">Te sanitário 87° 30´ em ferro fundido, linha predial tradicional, DN= 100 x
</t>
    </r>
    <r>
      <rPr>
        <sz val="8.5"/>
        <rFont val="Calibri"/>
        <family val="2"/>
      </rPr>
      <t>100 mm</t>
    </r>
  </si>
  <si>
    <r>
      <rPr>
        <sz val="8.5"/>
        <rFont val="Calibri"/>
        <family val="2"/>
      </rPr>
      <t>192,79</t>
    </r>
  </si>
  <si>
    <r>
      <rPr>
        <sz val="8.5"/>
        <rFont val="Calibri"/>
        <family val="2"/>
      </rPr>
      <t>207,35</t>
    </r>
  </si>
  <si>
    <r>
      <rPr>
        <sz val="8.5"/>
        <rFont val="Calibri"/>
        <family val="2"/>
      </rPr>
      <t>46.09.400</t>
    </r>
  </si>
  <si>
    <r>
      <rPr>
        <sz val="8.5"/>
        <rFont val="Calibri"/>
        <family val="2"/>
      </rPr>
      <t xml:space="preserve">Bucha de redução em ferro fundido, linha predial tradicional, DN= 75 x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</si>
  <si>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41,79</t>
    </r>
  </si>
  <si>
    <r>
      <rPr>
        <sz val="8.5"/>
        <rFont val="Calibri"/>
        <family val="2"/>
      </rPr>
      <t>46.09.410</t>
    </r>
  </si>
  <si>
    <r>
      <rPr>
        <sz val="8.5"/>
        <rFont val="Calibri"/>
        <family val="2"/>
      </rPr>
      <t xml:space="preserve">Bucha de redução em ferro fundido, linha predial tradicional, DN= 100 x
</t>
    </r>
    <r>
      <rPr>
        <sz val="8.5"/>
        <rFont val="Calibri"/>
        <family val="2"/>
      </rPr>
      <t>75 mm</t>
    </r>
  </si>
  <si>
    <r>
      <rPr>
        <sz val="8.5"/>
        <rFont val="Calibri"/>
        <family val="2"/>
      </rPr>
      <t>52,51</t>
    </r>
  </si>
  <si>
    <r>
      <rPr>
        <sz val="8.5"/>
        <rFont val="Calibri"/>
        <family val="2"/>
      </rPr>
      <t>67,07</t>
    </r>
  </si>
  <si>
    <r>
      <rPr>
        <sz val="8.5"/>
        <rFont val="Calibri"/>
        <family val="2"/>
      </rPr>
      <t>46.09.420</t>
    </r>
  </si>
  <si>
    <r>
      <rPr>
        <sz val="8.5"/>
        <rFont val="Calibri"/>
        <family val="2"/>
      </rPr>
      <t xml:space="preserve">Bucha de redução em ferro fundido, linha predial tradicional, DN= 150 x
</t>
    </r>
    <r>
      <rPr>
        <sz val="8.5"/>
        <rFont val="Calibri"/>
        <family val="2"/>
      </rPr>
      <t>100 mm</t>
    </r>
  </si>
  <si>
    <r>
      <rPr>
        <sz val="8.5"/>
        <rFont val="Calibri"/>
        <family val="2"/>
      </rPr>
      <t>118,50</t>
    </r>
  </si>
  <si>
    <r>
      <rPr>
        <sz val="8.5"/>
        <rFont val="Calibri"/>
        <family val="2"/>
      </rPr>
      <t>136,70</t>
    </r>
  </si>
  <si>
    <r>
      <rPr>
        <sz val="8.5"/>
        <rFont val="Calibri"/>
        <family val="2"/>
      </rPr>
      <t>Tubulacao em cobre para agua quente, gas e vapor</t>
    </r>
  </si>
  <si>
    <r>
      <rPr>
        <sz val="8.5"/>
        <rFont val="Calibri"/>
        <family val="2"/>
      </rPr>
      <t>46.10.010</t>
    </r>
  </si>
  <si>
    <r>
      <rPr>
        <sz val="8.5"/>
        <rFont val="Calibri"/>
        <family val="2"/>
      </rPr>
      <t>Tubo de cobre classe A, DN= 15mm (1/2´), inclusive conexões</t>
    </r>
  </si>
  <si>
    <r>
      <rPr>
        <sz val="8.5"/>
        <rFont val="Calibri"/>
        <family val="2"/>
      </rPr>
      <t>64,25</t>
    </r>
  </si>
  <si>
    <r>
      <rPr>
        <sz val="8.5"/>
        <rFont val="Calibri"/>
        <family val="2"/>
      </rPr>
      <t>46.10.020</t>
    </r>
  </si>
  <si>
    <r>
      <rPr>
        <sz val="8.5"/>
        <rFont val="Calibri"/>
        <family val="2"/>
      </rPr>
      <t>Tubo de cobre classe A, DN= 22mm (3/4´), inclusive conexões</t>
    </r>
  </si>
  <si>
    <r>
      <rPr>
        <sz val="8.5"/>
        <rFont val="Calibri"/>
        <family val="2"/>
      </rPr>
      <t>93,12</t>
    </r>
  </si>
  <si>
    <r>
      <rPr>
        <sz val="8.5"/>
        <rFont val="Calibri"/>
        <family val="2"/>
      </rPr>
      <t>106,22</t>
    </r>
  </si>
  <si>
    <r>
      <rPr>
        <sz val="8.5"/>
        <rFont val="Calibri"/>
        <family val="2"/>
      </rPr>
      <t>46.10.030</t>
    </r>
  </si>
  <si>
    <r>
      <rPr>
        <sz val="8.5"/>
        <rFont val="Calibri"/>
        <family val="2"/>
      </rPr>
      <t>Tubo de cobre classe A, DN= 28mm (1´), inclusive conexões</t>
    </r>
  </si>
  <si>
    <r>
      <rPr>
        <sz val="8.5"/>
        <rFont val="Calibri"/>
        <family val="2"/>
      </rPr>
      <t>114,48</t>
    </r>
  </si>
  <si>
    <r>
      <rPr>
        <sz val="8.5"/>
        <rFont val="Calibri"/>
        <family val="2"/>
      </rPr>
      <t>130,85</t>
    </r>
  </si>
  <si>
    <r>
      <rPr>
        <sz val="8.5"/>
        <rFont val="Calibri"/>
        <family val="2"/>
      </rPr>
      <t>46.10.040</t>
    </r>
  </si>
  <si>
    <r>
      <rPr>
        <sz val="8.5"/>
        <rFont val="Calibri"/>
        <family val="2"/>
      </rPr>
      <t>Tubo de cobre classe A, DN= 35mm (1 1/4´), inclusive conexões</t>
    </r>
  </si>
  <si>
    <r>
      <rPr>
        <sz val="8.5"/>
        <rFont val="Calibri"/>
        <family val="2"/>
      </rPr>
      <t>193,55</t>
    </r>
  </si>
  <si>
    <r>
      <rPr>
        <sz val="8.5"/>
        <rFont val="Calibri"/>
        <family val="2"/>
      </rPr>
      <t>212,11</t>
    </r>
  </si>
  <si>
    <r>
      <rPr>
        <sz val="8.5"/>
        <rFont val="Calibri"/>
        <family val="2"/>
      </rPr>
      <t>46.10.050</t>
    </r>
  </si>
  <si>
    <r>
      <rPr>
        <sz val="8.5"/>
        <rFont val="Calibri"/>
        <family val="2"/>
      </rPr>
      <t>Tubo de cobre classe A, DN= 42mm (1 1/2´), inclusive conexões</t>
    </r>
  </si>
  <si>
    <r>
      <rPr>
        <sz val="8.5"/>
        <rFont val="Calibri"/>
        <family val="2"/>
      </rPr>
      <t>226,29</t>
    </r>
  </si>
  <si>
    <r>
      <rPr>
        <sz val="8.5"/>
        <rFont val="Calibri"/>
        <family val="2"/>
      </rPr>
      <t>244,85</t>
    </r>
  </si>
  <si>
    <r>
      <rPr>
        <sz val="8.5"/>
        <rFont val="Calibri"/>
        <family val="2"/>
      </rPr>
      <t>46.10.060</t>
    </r>
  </si>
  <si>
    <r>
      <rPr>
        <sz val="8.5"/>
        <rFont val="Calibri"/>
        <family val="2"/>
      </rPr>
      <t>Tubo de cobre classe A, DN= 54mm (2´), inclusive conexões</t>
    </r>
  </si>
  <si>
    <r>
      <rPr>
        <sz val="8.5"/>
        <rFont val="Calibri"/>
        <family val="2"/>
      </rPr>
      <t>299,42</t>
    </r>
  </si>
  <si>
    <r>
      <rPr>
        <sz val="8.5"/>
        <rFont val="Calibri"/>
        <family val="2"/>
      </rPr>
      <t>25,11</t>
    </r>
  </si>
  <si>
    <r>
      <rPr>
        <sz val="8.5"/>
        <rFont val="Calibri"/>
        <family val="2"/>
      </rPr>
      <t>324,53</t>
    </r>
  </si>
  <si>
    <r>
      <rPr>
        <sz val="8.5"/>
        <rFont val="Calibri"/>
        <family val="2"/>
      </rPr>
      <t>46.10.070</t>
    </r>
  </si>
  <si>
    <r>
      <rPr>
        <sz val="8.5"/>
        <rFont val="Calibri"/>
        <family val="2"/>
      </rPr>
      <t>Tubo de cobre classe A, DN= 66mm (2 1/2´), inclusive conexões</t>
    </r>
  </si>
  <si>
    <r>
      <rPr>
        <sz val="8.5"/>
        <rFont val="Calibri"/>
        <family val="2"/>
      </rPr>
      <t>388,93</t>
    </r>
  </si>
  <si>
    <r>
      <rPr>
        <sz val="8.5"/>
        <rFont val="Calibri"/>
        <family val="2"/>
      </rPr>
      <t>29,47</t>
    </r>
  </si>
  <si>
    <r>
      <rPr>
        <sz val="8.5"/>
        <rFont val="Calibri"/>
        <family val="2"/>
      </rPr>
      <t>418,40</t>
    </r>
  </si>
  <si>
    <r>
      <rPr>
        <sz val="8.5"/>
        <rFont val="Calibri"/>
        <family val="2"/>
      </rPr>
      <t>46.10.080</t>
    </r>
  </si>
  <si>
    <r>
      <rPr>
        <sz val="8.5"/>
        <rFont val="Calibri"/>
        <family val="2"/>
      </rPr>
      <t>Tubo de cobre classe A, DN= 79mm (3´), inclusive conexões</t>
    </r>
  </si>
  <si>
    <r>
      <rPr>
        <sz val="8.5"/>
        <rFont val="Calibri"/>
        <family val="2"/>
      </rPr>
      <t>498,87</t>
    </r>
  </si>
  <si>
    <r>
      <rPr>
        <sz val="8.5"/>
        <rFont val="Calibri"/>
        <family val="2"/>
      </rPr>
      <t>31,66</t>
    </r>
  </si>
  <si>
    <r>
      <rPr>
        <sz val="8.5"/>
        <rFont val="Calibri"/>
        <family val="2"/>
      </rPr>
      <t>530,53</t>
    </r>
  </si>
  <si>
    <r>
      <rPr>
        <sz val="8.5"/>
        <rFont val="Calibri"/>
        <family val="2"/>
      </rPr>
      <t>46.10.090</t>
    </r>
  </si>
  <si>
    <r>
      <rPr>
        <sz val="8.5"/>
        <rFont val="Calibri"/>
        <family val="2"/>
      </rPr>
      <t>Tubo de cobre classe A, DN= 104mm (4´), inclusive conexões</t>
    </r>
  </si>
  <si>
    <r>
      <rPr>
        <sz val="8.5"/>
        <rFont val="Calibri"/>
        <family val="2"/>
      </rPr>
      <t>642,92</t>
    </r>
  </si>
  <si>
    <r>
      <rPr>
        <sz val="8.5"/>
        <rFont val="Calibri"/>
        <family val="2"/>
      </rPr>
      <t>36,02</t>
    </r>
  </si>
  <si>
    <r>
      <rPr>
        <sz val="8.5"/>
        <rFont val="Calibri"/>
        <family val="2"/>
      </rPr>
      <t>678,94</t>
    </r>
  </si>
  <si>
    <r>
      <rPr>
        <sz val="8.5"/>
        <rFont val="Calibri"/>
        <family val="2"/>
      </rPr>
      <t>46.10.200</t>
    </r>
  </si>
  <si>
    <r>
      <rPr>
        <sz val="8.5"/>
        <rFont val="Calibri"/>
        <family val="2"/>
      </rPr>
      <t>Tubo de cobre classe E, DN= 22mm (3/4´), inclusive conexões</t>
    </r>
  </si>
  <si>
    <r>
      <rPr>
        <sz val="8.5"/>
        <rFont val="Calibri"/>
        <family val="2"/>
      </rPr>
      <t>66,84</t>
    </r>
  </si>
  <si>
    <r>
      <rPr>
        <sz val="8.5"/>
        <rFont val="Calibri"/>
        <family val="2"/>
      </rPr>
      <t>79,94</t>
    </r>
  </si>
  <si>
    <r>
      <rPr>
        <sz val="8.5"/>
        <rFont val="Calibri"/>
        <family val="2"/>
      </rPr>
      <t>46.10.210</t>
    </r>
  </si>
  <si>
    <r>
      <rPr>
        <sz val="8.5"/>
        <rFont val="Calibri"/>
        <family val="2"/>
      </rPr>
      <t>Tubo de cobre classe E, DN= 28mm (1´), inclusive conexões</t>
    </r>
  </si>
  <si>
    <r>
      <rPr>
        <sz val="8.5"/>
        <rFont val="Calibri"/>
        <family val="2"/>
      </rPr>
      <t>80,32</t>
    </r>
  </si>
  <si>
    <r>
      <rPr>
        <sz val="8.5"/>
        <rFont val="Calibri"/>
        <family val="2"/>
      </rPr>
      <t>46.10.220</t>
    </r>
  </si>
  <si>
    <r>
      <rPr>
        <sz val="8.5"/>
        <rFont val="Calibri"/>
        <family val="2"/>
      </rPr>
      <t>Tubo de cobre classe E, DN= 35mm (1 1/4´), inclusive conexões</t>
    </r>
  </si>
  <si>
    <r>
      <rPr>
        <sz val="8.5"/>
        <rFont val="Calibri"/>
        <family val="2"/>
      </rPr>
      <t>137,81</t>
    </r>
  </si>
  <si>
    <r>
      <rPr>
        <sz val="8.5"/>
        <rFont val="Calibri"/>
        <family val="2"/>
      </rPr>
      <t>156,37</t>
    </r>
  </si>
  <si>
    <r>
      <rPr>
        <sz val="8.5"/>
        <rFont val="Calibri"/>
        <family val="2"/>
      </rPr>
      <t>46.10.230</t>
    </r>
  </si>
  <si>
    <r>
      <rPr>
        <sz val="8.5"/>
        <rFont val="Calibri"/>
        <family val="2"/>
      </rPr>
      <t>Tubo de cobre classe E, DN= 42mm (1 1/2´), inclusive conexões</t>
    </r>
  </si>
  <si>
    <r>
      <rPr>
        <sz val="8.5"/>
        <rFont val="Calibri"/>
        <family val="2"/>
      </rPr>
      <t>160,50</t>
    </r>
  </si>
  <si>
    <r>
      <rPr>
        <sz val="8.5"/>
        <rFont val="Calibri"/>
        <family val="2"/>
      </rPr>
      <t>179,06</t>
    </r>
  </si>
  <si>
    <r>
      <rPr>
        <sz val="8.5"/>
        <rFont val="Calibri"/>
        <family val="2"/>
      </rPr>
      <t>46.10.240</t>
    </r>
  </si>
  <si>
    <r>
      <rPr>
        <sz val="8.5"/>
        <rFont val="Calibri"/>
        <family val="2"/>
      </rPr>
      <t>Tubo de cobre classe E, DN= 54mm (2´), inclusive conexões</t>
    </r>
  </si>
  <si>
    <r>
      <rPr>
        <sz val="8.5"/>
        <rFont val="Calibri"/>
        <family val="2"/>
      </rPr>
      <t>231,77</t>
    </r>
  </si>
  <si>
    <r>
      <rPr>
        <sz val="8.5"/>
        <rFont val="Calibri"/>
        <family val="2"/>
      </rPr>
      <t>256,88</t>
    </r>
  </si>
  <si>
    <r>
      <rPr>
        <sz val="8.5"/>
        <rFont val="Calibri"/>
        <family val="2"/>
      </rPr>
      <t>46.10.250</t>
    </r>
  </si>
  <si>
    <r>
      <rPr>
        <sz val="8.5"/>
        <rFont val="Calibri"/>
        <family val="2"/>
      </rPr>
      <t>Tubo de cobre classe E, DN= 66mm (2 1/2´), inclusive conexões</t>
    </r>
  </si>
  <si>
    <r>
      <rPr>
        <sz val="8.5"/>
        <rFont val="Calibri"/>
        <family val="2"/>
      </rPr>
      <t>315,00</t>
    </r>
  </si>
  <si>
    <r>
      <rPr>
        <sz val="8.5"/>
        <rFont val="Calibri"/>
        <family val="2"/>
      </rPr>
      <t>344,47</t>
    </r>
  </si>
  <si>
    <r>
      <rPr>
        <sz val="8.5"/>
        <rFont val="Calibri"/>
        <family val="2"/>
      </rPr>
      <t>Tubulacao em concreto para rede de aguas pluviais</t>
    </r>
  </si>
  <si>
    <r>
      <rPr>
        <sz val="8.5"/>
        <rFont val="Calibri"/>
        <family val="2"/>
      </rPr>
      <t>46.12.010</t>
    </r>
  </si>
  <si>
    <r>
      <rPr>
        <sz val="8.5"/>
        <rFont val="Calibri"/>
        <family val="2"/>
      </rPr>
      <t>Tubo de concreto (PS-1), DN= 300mm</t>
    </r>
  </si>
  <si>
    <r>
      <rPr>
        <sz val="8.5"/>
        <rFont val="Calibri"/>
        <family val="2"/>
      </rPr>
      <t>44,99</t>
    </r>
  </si>
  <si>
    <r>
      <rPr>
        <sz val="8.5"/>
        <rFont val="Calibri"/>
        <family val="2"/>
      </rPr>
      <t>23,59</t>
    </r>
  </si>
  <si>
    <r>
      <rPr>
        <sz val="8.5"/>
        <rFont val="Calibri"/>
        <family val="2"/>
      </rPr>
      <t>68,58</t>
    </r>
  </si>
  <si>
    <r>
      <rPr>
        <sz val="8.5"/>
        <rFont val="Calibri"/>
        <family val="2"/>
      </rPr>
      <t>46.12.020</t>
    </r>
  </si>
  <si>
    <r>
      <rPr>
        <sz val="8.5"/>
        <rFont val="Calibri"/>
        <family val="2"/>
      </rPr>
      <t>Tubo de concreto (PS-1), DN= 400mm</t>
    </r>
  </si>
  <si>
    <r>
      <rPr>
        <sz val="8.5"/>
        <rFont val="Calibri"/>
        <family val="2"/>
      </rPr>
      <t>56,01</t>
    </r>
  </si>
  <si>
    <r>
      <rPr>
        <sz val="8.5"/>
        <rFont val="Calibri"/>
        <family val="2"/>
      </rPr>
      <t>27,39</t>
    </r>
  </si>
  <si>
    <r>
      <rPr>
        <sz val="8.5"/>
        <rFont val="Calibri"/>
        <family val="2"/>
      </rPr>
      <t>83,40</t>
    </r>
  </si>
  <si>
    <r>
      <rPr>
        <sz val="8.5"/>
        <rFont val="Calibri"/>
        <family val="2"/>
      </rPr>
      <t>46.12.050</t>
    </r>
  </si>
  <si>
    <r>
      <rPr>
        <sz val="8.5"/>
        <rFont val="Calibri"/>
        <family val="2"/>
      </rPr>
      <t>Tubo de concreto (PS-2), DN= 300mm</t>
    </r>
  </si>
  <si>
    <r>
      <rPr>
        <sz val="8.5"/>
        <rFont val="Calibri"/>
        <family val="2"/>
      </rPr>
      <t>51,85</t>
    </r>
  </si>
  <si>
    <r>
      <rPr>
        <sz val="8.5"/>
        <rFont val="Calibri"/>
        <family val="2"/>
      </rPr>
      <t>75,44</t>
    </r>
  </si>
  <si>
    <r>
      <rPr>
        <sz val="8.5"/>
        <rFont val="Calibri"/>
        <family val="2"/>
      </rPr>
      <t>46.12.060</t>
    </r>
  </si>
  <si>
    <r>
      <rPr>
        <sz val="8.5"/>
        <rFont val="Calibri"/>
        <family val="2"/>
      </rPr>
      <t>Tubo de concreto (PS-2), DN= 400mm</t>
    </r>
  </si>
  <si>
    <r>
      <rPr>
        <sz val="8.5"/>
        <rFont val="Calibri"/>
        <family val="2"/>
      </rPr>
      <t>64,56</t>
    </r>
  </si>
  <si>
    <r>
      <rPr>
        <sz val="8.5"/>
        <rFont val="Calibri"/>
        <family val="2"/>
      </rPr>
      <t>91,95</t>
    </r>
  </si>
  <si>
    <r>
      <rPr>
        <sz val="8.5"/>
        <rFont val="Calibri"/>
        <family val="2"/>
      </rPr>
      <t>46.12.070</t>
    </r>
  </si>
  <si>
    <r>
      <rPr>
        <sz val="8.5"/>
        <rFont val="Calibri"/>
        <family val="2"/>
      </rPr>
      <t>Tubo de concreto (PS-2), DN= 500mm</t>
    </r>
  </si>
  <si>
    <r>
      <rPr>
        <sz val="8.5"/>
        <rFont val="Calibri"/>
        <family val="2"/>
      </rPr>
      <t>90,88</t>
    </r>
  </si>
  <si>
    <r>
      <rPr>
        <sz val="8.5"/>
        <rFont val="Calibri"/>
        <family val="2"/>
      </rPr>
      <t>33,81</t>
    </r>
  </si>
  <si>
    <r>
      <rPr>
        <sz val="8.5"/>
        <rFont val="Calibri"/>
        <family val="2"/>
      </rPr>
      <t>124,69</t>
    </r>
  </si>
  <si>
    <r>
      <rPr>
        <sz val="8.5"/>
        <rFont val="Calibri"/>
        <family val="2"/>
      </rPr>
      <t>46.12.080</t>
    </r>
  </si>
  <si>
    <r>
      <rPr>
        <sz val="8.5"/>
        <rFont val="Calibri"/>
        <family val="2"/>
      </rPr>
      <t>Tubo de concreto (PA-1), DN= 600mm</t>
    </r>
  </si>
  <si>
    <r>
      <rPr>
        <sz val="8.5"/>
        <rFont val="Calibri"/>
        <family val="2"/>
      </rPr>
      <t>126,31</t>
    </r>
  </si>
  <si>
    <r>
      <rPr>
        <sz val="8.5"/>
        <rFont val="Calibri"/>
        <family val="2"/>
      </rPr>
      <t>38,49</t>
    </r>
  </si>
  <si>
    <r>
      <rPr>
        <sz val="8.5"/>
        <rFont val="Calibri"/>
        <family val="2"/>
      </rPr>
      <t>164,80</t>
    </r>
  </si>
  <si>
    <r>
      <rPr>
        <sz val="8.5"/>
        <rFont val="Calibri"/>
        <family val="2"/>
      </rPr>
      <t>46.12.100</t>
    </r>
  </si>
  <si>
    <r>
      <rPr>
        <sz val="8.5"/>
        <rFont val="Calibri"/>
        <family val="2"/>
      </rPr>
      <t>Tubo de concreto (PA-1), DN= 800mm</t>
    </r>
  </si>
  <si>
    <r>
      <rPr>
        <sz val="8.5"/>
        <rFont val="Calibri"/>
        <family val="2"/>
      </rPr>
      <t>239,89</t>
    </r>
  </si>
  <si>
    <r>
      <rPr>
        <sz val="8.5"/>
        <rFont val="Calibri"/>
        <family val="2"/>
      </rPr>
      <t>289,47</t>
    </r>
  </si>
  <si>
    <r>
      <rPr>
        <sz val="8.5"/>
        <rFont val="Calibri"/>
        <family val="2"/>
      </rPr>
      <t>46.12.120</t>
    </r>
  </si>
  <si>
    <r>
      <rPr>
        <sz val="8.5"/>
        <rFont val="Calibri"/>
        <family val="2"/>
      </rPr>
      <t>Tubo de concreto (PA-1), DN= 1000mm</t>
    </r>
  </si>
  <si>
    <r>
      <rPr>
        <sz val="8.5"/>
        <rFont val="Calibri"/>
        <family val="2"/>
      </rPr>
      <t>327,19</t>
    </r>
  </si>
  <si>
    <r>
      <rPr>
        <sz val="8.5"/>
        <rFont val="Calibri"/>
        <family val="2"/>
      </rPr>
      <t>62,45</t>
    </r>
  </si>
  <si>
    <r>
      <rPr>
        <sz val="8.5"/>
        <rFont val="Calibri"/>
        <family val="2"/>
      </rPr>
      <t>389,64</t>
    </r>
  </si>
  <si>
    <r>
      <rPr>
        <sz val="8.5"/>
        <rFont val="Calibri"/>
        <family val="2"/>
      </rPr>
      <t>46.12.140</t>
    </r>
  </si>
  <si>
    <r>
      <rPr>
        <sz val="8.5"/>
        <rFont val="Calibri"/>
        <family val="2"/>
      </rPr>
      <t>Tubo de concreto (PA-1), DN= 1200mm</t>
    </r>
  </si>
  <si>
    <r>
      <rPr>
        <sz val="8.5"/>
        <rFont val="Calibri"/>
        <family val="2"/>
      </rPr>
      <t>495,54</t>
    </r>
  </si>
  <si>
    <r>
      <rPr>
        <sz val="8.5"/>
        <rFont val="Calibri"/>
        <family val="2"/>
      </rPr>
      <t>588,90</t>
    </r>
  </si>
  <si>
    <r>
      <rPr>
        <sz val="8.5"/>
        <rFont val="Calibri"/>
        <family val="2"/>
      </rPr>
      <t>46.12.150</t>
    </r>
  </si>
  <si>
    <r>
      <rPr>
        <sz val="8.5"/>
        <rFont val="Calibri"/>
        <family val="2"/>
      </rPr>
      <t>Tubo de concreto (PA-2), DN= 600mm</t>
    </r>
  </si>
  <si>
    <r>
      <rPr>
        <sz val="8.5"/>
        <rFont val="Calibri"/>
        <family val="2"/>
      </rPr>
      <t>124,64</t>
    </r>
  </si>
  <si>
    <r>
      <rPr>
        <sz val="8.5"/>
        <rFont val="Calibri"/>
        <family val="2"/>
      </rPr>
      <t>163,13</t>
    </r>
  </si>
  <si>
    <r>
      <rPr>
        <sz val="8.5"/>
        <rFont val="Calibri"/>
        <family val="2"/>
      </rPr>
      <t>46.12.160</t>
    </r>
  </si>
  <si>
    <r>
      <rPr>
        <sz val="8.5"/>
        <rFont val="Calibri"/>
        <family val="2"/>
      </rPr>
      <t>Tubo de concreto (PA-2), DN= 800mm</t>
    </r>
  </si>
  <si>
    <r>
      <rPr>
        <sz val="8.5"/>
        <rFont val="Calibri"/>
        <family val="2"/>
      </rPr>
      <t>310,70</t>
    </r>
  </si>
  <si>
    <r>
      <rPr>
        <sz val="8.5"/>
        <rFont val="Calibri"/>
        <family val="2"/>
      </rPr>
      <t>46.12.170</t>
    </r>
  </si>
  <si>
    <r>
      <rPr>
        <sz val="8.5"/>
        <rFont val="Calibri"/>
        <family val="2"/>
      </rPr>
      <t>Tubo de concreto (PA-2), DN= 1000mm</t>
    </r>
  </si>
  <si>
    <r>
      <rPr>
        <sz val="8.5"/>
        <rFont val="Calibri"/>
        <family val="2"/>
      </rPr>
      <t>366,58</t>
    </r>
  </si>
  <si>
    <r>
      <rPr>
        <sz val="8.5"/>
        <rFont val="Calibri"/>
        <family val="2"/>
      </rPr>
      <t>429,03</t>
    </r>
  </si>
  <si>
    <r>
      <rPr>
        <sz val="8.5"/>
        <rFont val="Calibri"/>
        <family val="2"/>
      </rPr>
      <t>46.12.180</t>
    </r>
  </si>
  <si>
    <r>
      <rPr>
        <sz val="8.5"/>
        <rFont val="Calibri"/>
        <family val="2"/>
      </rPr>
      <t>Tubo de concreto (PA-3), DN= 600mm</t>
    </r>
  </si>
  <si>
    <r>
      <rPr>
        <sz val="8.5"/>
        <rFont val="Calibri"/>
        <family val="2"/>
      </rPr>
      <t>191,53</t>
    </r>
  </si>
  <si>
    <r>
      <rPr>
        <sz val="8.5"/>
        <rFont val="Calibri"/>
        <family val="2"/>
      </rPr>
      <t>230,02</t>
    </r>
  </si>
  <si>
    <r>
      <rPr>
        <sz val="8.5"/>
        <rFont val="Calibri"/>
        <family val="2"/>
      </rPr>
      <t>46.12.190</t>
    </r>
  </si>
  <si>
    <r>
      <rPr>
        <sz val="8.5"/>
        <rFont val="Calibri"/>
        <family val="2"/>
      </rPr>
      <t>Tubo de concreto (PA-3), DN= 800mm</t>
    </r>
  </si>
  <si>
    <r>
      <rPr>
        <sz val="8.5"/>
        <rFont val="Calibri"/>
        <family val="2"/>
      </rPr>
      <t>297,77</t>
    </r>
  </si>
  <si>
    <r>
      <rPr>
        <sz val="8.5"/>
        <rFont val="Calibri"/>
        <family val="2"/>
      </rPr>
      <t>347,35</t>
    </r>
  </si>
  <si>
    <r>
      <rPr>
        <sz val="8.5"/>
        <rFont val="Calibri"/>
        <family val="2"/>
      </rPr>
      <t>46.12.200</t>
    </r>
  </si>
  <si>
    <r>
      <rPr>
        <sz val="8.5"/>
        <rFont val="Calibri"/>
        <family val="2"/>
      </rPr>
      <t>Tubo de concreto (PA-3), DN= 1000mm</t>
    </r>
  </si>
  <si>
    <r>
      <rPr>
        <sz val="8.5"/>
        <rFont val="Calibri"/>
        <family val="2"/>
      </rPr>
      <t>432,77</t>
    </r>
  </si>
  <si>
    <r>
      <rPr>
        <sz val="8.5"/>
        <rFont val="Calibri"/>
        <family val="2"/>
      </rPr>
      <t>495,22</t>
    </r>
  </si>
  <si>
    <r>
      <rPr>
        <sz val="8.5"/>
        <rFont val="Calibri"/>
        <family val="2"/>
      </rPr>
      <t>46.12.210</t>
    </r>
  </si>
  <si>
    <r>
      <rPr>
        <sz val="8.5"/>
        <rFont val="Calibri"/>
        <family val="2"/>
      </rPr>
      <t>Meio tubo de concreto, DN= 300mm</t>
    </r>
  </si>
  <si>
    <r>
      <rPr>
        <sz val="8.5"/>
        <rFont val="Calibri"/>
        <family val="2"/>
      </rPr>
      <t>22,86</t>
    </r>
  </si>
  <si>
    <r>
      <rPr>
        <sz val="8.5"/>
        <rFont val="Calibri"/>
        <family val="2"/>
      </rPr>
      <t>52,00</t>
    </r>
  </si>
  <si>
    <r>
      <rPr>
        <sz val="8.5"/>
        <rFont val="Calibri"/>
        <family val="2"/>
      </rPr>
      <t>46.12.220</t>
    </r>
  </si>
  <si>
    <r>
      <rPr>
        <sz val="8.5"/>
        <rFont val="Calibri"/>
        <family val="2"/>
      </rPr>
      <t>Meio tubo de concreto, DN= 400mm</t>
    </r>
  </si>
  <si>
    <r>
      <rPr>
        <sz val="8.5"/>
        <rFont val="Calibri"/>
        <family val="2"/>
      </rPr>
      <t>29,13</t>
    </r>
  </si>
  <si>
    <r>
      <rPr>
        <sz val="8.5"/>
        <rFont val="Calibri"/>
        <family val="2"/>
      </rPr>
      <t>59,78</t>
    </r>
  </si>
  <si>
    <r>
      <rPr>
        <sz val="8.5"/>
        <rFont val="Calibri"/>
        <family val="2"/>
      </rPr>
      <t>46.12.240</t>
    </r>
  </si>
  <si>
    <r>
      <rPr>
        <sz val="8.5"/>
        <rFont val="Calibri"/>
        <family val="2"/>
      </rPr>
      <t>Meio tubo de concreto, DN= 600mm</t>
    </r>
  </si>
  <si>
    <r>
      <rPr>
        <sz val="8.5"/>
        <rFont val="Calibri"/>
        <family val="2"/>
      </rPr>
      <t>55,76</t>
    </r>
  </si>
  <si>
    <r>
      <rPr>
        <sz val="8.5"/>
        <rFont val="Calibri"/>
        <family val="2"/>
      </rPr>
      <t>49,23</t>
    </r>
  </si>
  <si>
    <r>
      <rPr>
        <sz val="8.5"/>
        <rFont val="Calibri"/>
        <family val="2"/>
      </rPr>
      <t>104,99</t>
    </r>
  </si>
  <si>
    <r>
      <rPr>
        <sz val="8.5"/>
        <rFont val="Calibri"/>
        <family val="2"/>
      </rPr>
      <t>46.12.250</t>
    </r>
  </si>
  <si>
    <r>
      <rPr>
        <sz val="8.5"/>
        <rFont val="Calibri"/>
        <family val="2"/>
      </rPr>
      <t>Tubo de concreto (PA-2), DN= 1500mm</t>
    </r>
  </si>
  <si>
    <r>
      <rPr>
        <sz val="8.5"/>
        <rFont val="Calibri"/>
        <family val="2"/>
      </rPr>
      <t>829,75</t>
    </r>
  </si>
  <si>
    <r>
      <rPr>
        <sz val="8.5"/>
        <rFont val="Calibri"/>
        <family val="2"/>
      </rPr>
      <t>140,04</t>
    </r>
  </si>
  <si>
    <r>
      <rPr>
        <sz val="8.5"/>
        <rFont val="Calibri"/>
        <family val="2"/>
      </rPr>
      <t>969,79</t>
    </r>
  </si>
  <si>
    <r>
      <rPr>
        <sz val="8.5"/>
        <rFont val="Calibri"/>
        <family val="2"/>
      </rPr>
      <t>46.12.260</t>
    </r>
  </si>
  <si>
    <r>
      <rPr>
        <sz val="8.5"/>
        <rFont val="Calibri"/>
        <family val="2"/>
      </rPr>
      <t>Tubo de concreto (PA-1), DN= 400mm</t>
    </r>
  </si>
  <si>
    <r>
      <rPr>
        <sz val="8.5"/>
        <rFont val="Calibri"/>
        <family val="2"/>
      </rPr>
      <t>84,95</t>
    </r>
  </si>
  <si>
    <r>
      <rPr>
        <sz val="8.5"/>
        <rFont val="Calibri"/>
        <family val="2"/>
      </rPr>
      <t>112,34</t>
    </r>
  </si>
  <si>
    <r>
      <rPr>
        <sz val="8.5"/>
        <rFont val="Calibri"/>
        <family val="2"/>
      </rPr>
      <t>46.12.270</t>
    </r>
  </si>
  <si>
    <r>
      <rPr>
        <sz val="8.5"/>
        <rFont val="Calibri"/>
        <family val="2"/>
      </rPr>
      <t>Tubo de concreto (PA-2), DN= 400mm</t>
    </r>
  </si>
  <si>
    <r>
      <rPr>
        <sz val="8.5"/>
        <rFont val="Calibri"/>
        <family val="2"/>
      </rPr>
      <t>73,06</t>
    </r>
  </si>
  <si>
    <r>
      <rPr>
        <sz val="8.5"/>
        <rFont val="Calibri"/>
        <family val="2"/>
      </rPr>
      <t>100,45</t>
    </r>
  </si>
  <si>
    <r>
      <rPr>
        <sz val="8.5"/>
        <rFont val="Calibri"/>
        <family val="2"/>
      </rPr>
      <t>46.12.280</t>
    </r>
  </si>
  <si>
    <r>
      <rPr>
        <sz val="8.5"/>
        <rFont val="Calibri"/>
        <family val="2"/>
      </rPr>
      <t>Tubo de concreto (PA-3), DN= 400mm</t>
    </r>
  </si>
  <si>
    <r>
      <rPr>
        <sz val="8.5"/>
        <rFont val="Calibri"/>
        <family val="2"/>
      </rPr>
      <t>103,26</t>
    </r>
  </si>
  <si>
    <r>
      <rPr>
        <sz val="8.5"/>
        <rFont val="Calibri"/>
        <family val="2"/>
      </rPr>
      <t>130,65</t>
    </r>
  </si>
  <si>
    <r>
      <rPr>
        <sz val="8.5"/>
        <rFont val="Calibri"/>
        <family val="2"/>
      </rPr>
      <t>46.12.290</t>
    </r>
  </si>
  <si>
    <r>
      <rPr>
        <sz val="8.5"/>
        <rFont val="Calibri"/>
        <family val="2"/>
      </rPr>
      <t>Tubo de concreto (PA-2), DN= 700mm</t>
    </r>
  </si>
  <si>
    <r>
      <rPr>
        <sz val="8.5"/>
        <rFont val="Calibri"/>
        <family val="2"/>
      </rPr>
      <t>187,26</t>
    </r>
  </si>
  <si>
    <r>
      <rPr>
        <sz val="8.5"/>
        <rFont val="Calibri"/>
        <family val="2"/>
      </rPr>
      <t>43,15</t>
    </r>
  </si>
  <si>
    <r>
      <rPr>
        <sz val="8.5"/>
        <rFont val="Calibri"/>
        <family val="2"/>
      </rPr>
      <t>230,41</t>
    </r>
  </si>
  <si>
    <r>
      <rPr>
        <sz val="8.5"/>
        <rFont val="Calibri"/>
        <family val="2"/>
      </rPr>
      <t>46.12.300</t>
    </r>
  </si>
  <si>
    <r>
      <rPr>
        <sz val="8.5"/>
        <rFont val="Calibri"/>
        <family val="2"/>
      </rPr>
      <t>Tubo de concreto (PA-2), DN= 500mm</t>
    </r>
  </si>
  <si>
    <r>
      <rPr>
        <sz val="8.5"/>
        <rFont val="Calibri"/>
        <family val="2"/>
      </rPr>
      <t>101,24</t>
    </r>
  </si>
  <si>
    <r>
      <rPr>
        <sz val="8.5"/>
        <rFont val="Calibri"/>
        <family val="2"/>
      </rPr>
      <t>135,05</t>
    </r>
  </si>
  <si>
    <r>
      <rPr>
        <sz val="8.5"/>
        <rFont val="Calibri"/>
        <family val="2"/>
      </rPr>
      <t>46.12.310</t>
    </r>
  </si>
  <si>
    <r>
      <rPr>
        <sz val="8.5"/>
        <rFont val="Calibri"/>
        <family val="2"/>
      </rPr>
      <t>Tubo de concreto (PA-2), DN= 900mm</t>
    </r>
  </si>
  <si>
    <r>
      <rPr>
        <sz val="8.5"/>
        <rFont val="Calibri"/>
        <family val="2"/>
      </rPr>
      <t>314,55</t>
    </r>
  </si>
  <si>
    <r>
      <rPr>
        <sz val="8.5"/>
        <rFont val="Calibri"/>
        <family val="2"/>
      </rPr>
      <t>370,57</t>
    </r>
  </si>
  <si>
    <r>
      <rPr>
        <sz val="8.5"/>
        <rFont val="Calibri"/>
        <family val="2"/>
      </rPr>
      <t>46.12.320</t>
    </r>
  </si>
  <si>
    <r>
      <rPr>
        <sz val="8.5"/>
        <rFont val="Calibri"/>
        <family val="2"/>
      </rPr>
      <t>Tubo de concreto (PA-1), DN= 300mm</t>
    </r>
  </si>
  <si>
    <r>
      <rPr>
        <sz val="8.5"/>
        <rFont val="Calibri"/>
        <family val="2"/>
      </rPr>
      <t>76,32</t>
    </r>
  </si>
  <si>
    <r>
      <rPr>
        <sz val="8.5"/>
        <rFont val="Calibri"/>
        <family val="2"/>
      </rPr>
      <t>99,91</t>
    </r>
  </si>
  <si>
    <r>
      <rPr>
        <sz val="8.5"/>
        <rFont val="Calibri"/>
        <family val="2"/>
      </rPr>
      <t>46.12.330</t>
    </r>
  </si>
  <si>
    <r>
      <rPr>
        <sz val="8.5"/>
        <rFont val="Calibri"/>
        <family val="2"/>
      </rPr>
      <t>Tubo de concreto (PA-2), DN= 300mm</t>
    </r>
  </si>
  <si>
    <r>
      <rPr>
        <sz val="8.5"/>
        <rFont val="Calibri"/>
        <family val="2"/>
      </rPr>
      <t>75,04</t>
    </r>
  </si>
  <si>
    <r>
      <rPr>
        <sz val="8.5"/>
        <rFont val="Calibri"/>
        <family val="2"/>
      </rPr>
      <t>98,63</t>
    </r>
  </si>
  <si>
    <r>
      <rPr>
        <sz val="8.5"/>
        <rFont val="Calibri"/>
        <family val="2"/>
      </rPr>
      <t>46.12.340</t>
    </r>
  </si>
  <si>
    <r>
      <rPr>
        <sz val="8.5"/>
        <rFont val="Calibri"/>
        <family val="2"/>
      </rPr>
      <t>Meio tubo de concreto, DN= 200mm</t>
    </r>
  </si>
  <si>
    <r>
      <rPr>
        <sz val="8.5"/>
        <rFont val="Calibri"/>
        <family val="2"/>
      </rPr>
      <t>8,32</t>
    </r>
  </si>
  <si>
    <r>
      <rPr>
        <sz val="8.5"/>
        <rFont val="Calibri"/>
        <family val="2"/>
      </rPr>
      <t>25,95</t>
    </r>
  </si>
  <si>
    <r>
      <rPr>
        <sz val="8.5"/>
        <rFont val="Calibri"/>
        <family val="2"/>
      </rPr>
      <t>Tubulacao em PEAD corrugado perfurado para rede drenagem</t>
    </r>
  </si>
  <si>
    <r>
      <rPr>
        <sz val="8.5"/>
        <rFont val="Calibri"/>
        <family val="2"/>
      </rPr>
      <t>46.13.006</t>
    </r>
  </si>
  <si>
    <r>
      <rPr>
        <sz val="8.5"/>
        <rFont val="Calibri"/>
        <family val="2"/>
      </rPr>
      <t xml:space="preserve">Tubo em polietileno de alta densidade corrugado perfurado, DN= 2 1/2´,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</si>
  <si>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12,83</t>
    </r>
  </si>
  <si>
    <r>
      <rPr>
        <sz val="8.5"/>
        <rFont val="Calibri"/>
        <family val="2"/>
      </rPr>
      <t>46.13.010</t>
    </r>
  </si>
  <si>
    <r>
      <rPr>
        <sz val="8.5"/>
        <rFont val="Calibri"/>
        <family val="2"/>
      </rPr>
      <t xml:space="preserve">Tubo em polietileno de alta densidade corrugado perfurado, DN= 3´,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</si>
  <si>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17,20</t>
    </r>
  </si>
  <si>
    <r>
      <rPr>
        <sz val="8.5"/>
        <rFont val="Calibri"/>
        <family val="2"/>
      </rPr>
      <t>46.13.020</t>
    </r>
  </si>
  <si>
    <r>
      <rPr>
        <sz val="8.5"/>
        <rFont val="Calibri"/>
        <family val="2"/>
      </rPr>
      <t xml:space="preserve">Tubo em polietileno de alta densidade corrugado perfurado, DN= 4´,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</si>
  <si>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20,02</t>
    </r>
  </si>
  <si>
    <r>
      <rPr>
        <sz val="8.5"/>
        <rFont val="Calibri"/>
        <family val="2"/>
      </rPr>
      <t>46.13.026</t>
    </r>
  </si>
  <si>
    <r>
      <rPr>
        <sz val="8.5"/>
        <rFont val="Calibri"/>
        <family val="2"/>
      </rPr>
      <t xml:space="preserve">Tubo em polietileno de alta densidade corrugado perfurado, DN= 6´,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</si>
  <si>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56,09</t>
    </r>
  </si>
  <si>
    <r>
      <rPr>
        <sz val="8.5"/>
        <rFont val="Calibri"/>
        <family val="2"/>
      </rPr>
      <t>46.13.030</t>
    </r>
  </si>
  <si>
    <r>
      <rPr>
        <sz val="8.5"/>
        <rFont val="Calibri"/>
        <family val="2"/>
      </rPr>
      <t xml:space="preserve">Tubo em polietileno de alta densidade corrugado perfurado, DN= 8´,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</si>
  <si>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62,11</t>
    </r>
  </si>
  <si>
    <r>
      <rPr>
        <sz val="8.5"/>
        <rFont val="Calibri"/>
        <family val="2"/>
      </rPr>
      <t>63,32</t>
    </r>
  </si>
  <si>
    <r>
      <rPr>
        <sz val="8.5"/>
        <rFont val="Calibri"/>
        <family val="2"/>
      </rPr>
      <t>46.13.100</t>
    </r>
  </si>
  <si>
    <r>
      <rPr>
        <sz val="8.5"/>
        <rFont val="Calibri"/>
        <family val="2"/>
      </rPr>
      <t>Tubo em polietileno de alta densidade corrugado, DN/DI= 250 mm</t>
    </r>
  </si>
  <si>
    <r>
      <rPr>
        <sz val="8.5"/>
        <rFont val="Calibri"/>
        <family val="2"/>
      </rPr>
      <t>102,84</t>
    </r>
  </si>
  <si>
    <r>
      <rPr>
        <sz val="8.5"/>
        <rFont val="Calibri"/>
        <family val="2"/>
      </rPr>
      <t>104,66</t>
    </r>
  </si>
  <si>
    <r>
      <rPr>
        <sz val="8.5"/>
        <rFont val="Calibri"/>
        <family val="2"/>
      </rPr>
      <t>46.13.101</t>
    </r>
  </si>
  <si>
    <r>
      <rPr>
        <sz val="8.5"/>
        <rFont val="Calibri"/>
        <family val="2"/>
      </rPr>
      <t>Tubo em polietileno de alta densidade corrugado, DN/DI= 300 mm</t>
    </r>
  </si>
  <si>
    <r>
      <rPr>
        <sz val="8.5"/>
        <rFont val="Calibri"/>
        <family val="2"/>
      </rPr>
      <t>144,28</t>
    </r>
  </si>
  <si>
    <r>
      <rPr>
        <sz val="8.5"/>
        <rFont val="Calibri"/>
        <family val="2"/>
      </rPr>
      <t>146,10</t>
    </r>
  </si>
  <si>
    <r>
      <rPr>
        <sz val="8.5"/>
        <rFont val="Calibri"/>
        <family val="2"/>
      </rPr>
      <t>46.13.102</t>
    </r>
  </si>
  <si>
    <r>
      <rPr>
        <sz val="8.5"/>
        <rFont val="Calibri"/>
        <family val="2"/>
      </rPr>
      <t>Tubo em polietileno de alta densidade corrugado, DN/DI= 400 mm</t>
    </r>
  </si>
  <si>
    <r>
      <rPr>
        <sz val="8.5"/>
        <rFont val="Calibri"/>
        <family val="2"/>
      </rPr>
      <t>221,01</t>
    </r>
  </si>
  <si>
    <r>
      <rPr>
        <sz val="8.5"/>
        <rFont val="Calibri"/>
        <family val="2"/>
      </rPr>
      <t>222,83</t>
    </r>
  </si>
  <si>
    <r>
      <rPr>
        <sz val="8.5"/>
        <rFont val="Calibri"/>
        <family val="2"/>
      </rPr>
      <t>46.13.103</t>
    </r>
  </si>
  <si>
    <r>
      <rPr>
        <sz val="8.5"/>
        <rFont val="Calibri"/>
        <family val="2"/>
      </rPr>
      <t>Tubo em polietileno de alta densidade corrugado, DN/DI= 500 mm</t>
    </r>
  </si>
  <si>
    <r>
      <rPr>
        <sz val="8.5"/>
        <rFont val="Calibri"/>
        <family val="2"/>
      </rPr>
      <t>347,04</t>
    </r>
  </si>
  <si>
    <r>
      <rPr>
        <sz val="8.5"/>
        <rFont val="Calibri"/>
        <family val="2"/>
      </rPr>
      <t>348,86</t>
    </r>
  </si>
  <si>
    <r>
      <rPr>
        <sz val="8.5"/>
        <rFont val="Calibri"/>
        <family val="2"/>
      </rPr>
      <t>46.13.104</t>
    </r>
  </si>
  <si>
    <r>
      <rPr>
        <sz val="8.5"/>
        <rFont val="Calibri"/>
        <family val="2"/>
      </rPr>
      <t>Tubo em polietileno de alta densidade corrugado, DN/DI= 600 mm</t>
    </r>
  </si>
  <si>
    <r>
      <rPr>
        <sz val="8.5"/>
        <rFont val="Calibri"/>
        <family val="2"/>
      </rPr>
      <t>500,48</t>
    </r>
  </si>
  <si>
    <r>
      <rPr>
        <sz val="8.5"/>
        <rFont val="Calibri"/>
        <family val="2"/>
      </rPr>
      <t>502,30</t>
    </r>
  </si>
  <si>
    <r>
      <rPr>
        <sz val="8.5"/>
        <rFont val="Calibri"/>
        <family val="2"/>
      </rPr>
      <t>46.13.105</t>
    </r>
  </si>
  <si>
    <r>
      <rPr>
        <sz val="8.5"/>
        <rFont val="Calibri"/>
        <family val="2"/>
      </rPr>
      <t>Tubo em polietileno de alta densidade corrugado, DN/DI= 800 mm</t>
    </r>
  </si>
  <si>
    <r>
      <rPr>
        <sz val="8.5"/>
        <rFont val="Calibri"/>
        <family val="2"/>
      </rPr>
      <t>803,03</t>
    </r>
  </si>
  <si>
    <r>
      <rPr>
        <sz val="8.5"/>
        <rFont val="Calibri"/>
        <family val="2"/>
      </rPr>
      <t>804,85</t>
    </r>
  </si>
  <si>
    <r>
      <rPr>
        <sz val="8.5"/>
        <rFont val="Calibri"/>
        <family val="2"/>
      </rPr>
      <t>46.13.106</t>
    </r>
  </si>
  <si>
    <r>
      <rPr>
        <sz val="8.5"/>
        <rFont val="Calibri"/>
        <family val="2"/>
      </rPr>
      <t>Tubo em polietileno de alta densidade corrugado, DN/DI= 1000 mm</t>
    </r>
  </si>
  <si>
    <r>
      <rPr>
        <sz val="8.5"/>
        <rFont val="Calibri"/>
        <family val="2"/>
      </rPr>
      <t>1.194,86</t>
    </r>
  </si>
  <si>
    <r>
      <rPr>
        <sz val="8.5"/>
        <rFont val="Calibri"/>
        <family val="2"/>
      </rPr>
      <t>1.196,68</t>
    </r>
  </si>
  <si>
    <r>
      <rPr>
        <sz val="8.5"/>
        <rFont val="Calibri"/>
        <family val="2"/>
      </rPr>
      <t>46.13.107</t>
    </r>
  </si>
  <si>
    <r>
      <rPr>
        <sz val="8.5"/>
        <rFont val="Calibri"/>
        <family val="2"/>
      </rPr>
      <t>Tubo em polietileno de alta densidade corrugado, DN/DI= 1200 mm</t>
    </r>
  </si>
  <si>
    <r>
      <rPr>
        <sz val="8.5"/>
        <rFont val="Calibri"/>
        <family val="2"/>
      </rPr>
      <t>1.683,04</t>
    </r>
  </si>
  <si>
    <r>
      <rPr>
        <sz val="8.5"/>
        <rFont val="Calibri"/>
        <family val="2"/>
      </rPr>
      <t>1.684,86</t>
    </r>
  </si>
  <si>
    <r>
      <rPr>
        <sz val="8.5"/>
        <rFont val="Calibri"/>
        <family val="2"/>
      </rPr>
      <t>Tubulacao em ferro ductil para redes de saneamento</t>
    </r>
  </si>
  <si>
    <r>
      <rPr>
        <sz val="8.5"/>
        <rFont val="Calibri"/>
        <family val="2"/>
      </rPr>
      <t>46.14.020</t>
    </r>
  </si>
  <si>
    <r>
      <rPr>
        <sz val="8.5"/>
        <rFont val="Calibri"/>
        <family val="2"/>
      </rPr>
      <t xml:space="preserve">Tubo de ferro fundido classe K-7 com junta elástica, DN= 150mm,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</si>
  <si>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580,31</t>
    </r>
  </si>
  <si>
    <r>
      <rPr>
        <sz val="8.5"/>
        <rFont val="Calibri"/>
        <family val="2"/>
      </rPr>
      <t>605,77</t>
    </r>
  </si>
  <si>
    <r>
      <rPr>
        <sz val="8.5"/>
        <rFont val="Calibri"/>
        <family val="2"/>
      </rPr>
      <t>46.14.030</t>
    </r>
  </si>
  <si>
    <r>
      <rPr>
        <sz val="8.5"/>
        <rFont val="Calibri"/>
        <family val="2"/>
      </rPr>
      <t xml:space="preserve">Tubo de ferro fundido classe K-7 com junta elástica, DN= 200mm,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</si>
  <si>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691,10</t>
    </r>
  </si>
  <si>
    <r>
      <rPr>
        <sz val="8.5"/>
        <rFont val="Calibri"/>
        <family val="2"/>
      </rPr>
      <t>716,56</t>
    </r>
  </si>
  <si>
    <r>
      <rPr>
        <sz val="8.5"/>
        <rFont val="Calibri"/>
        <family val="2"/>
      </rPr>
      <t>46.14.040</t>
    </r>
  </si>
  <si>
    <r>
      <rPr>
        <sz val="8.5"/>
        <rFont val="Calibri"/>
        <family val="2"/>
      </rPr>
      <t xml:space="preserve">Tubo de ferro fundido classe K-7 com junta elástica, DN= 250mm,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</si>
  <si>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859,42</t>
    </r>
  </si>
  <si>
    <r>
      <rPr>
        <sz val="8.5"/>
        <rFont val="Calibri"/>
        <family val="2"/>
      </rPr>
      <t>884,88</t>
    </r>
  </si>
  <si>
    <r>
      <rPr>
        <sz val="8.5"/>
        <rFont val="Calibri"/>
        <family val="2"/>
      </rPr>
      <t>46.14.050</t>
    </r>
  </si>
  <si>
    <r>
      <rPr>
        <sz val="8.5"/>
        <rFont val="Calibri"/>
        <family val="2"/>
      </rPr>
      <t xml:space="preserve">Tubo de ferro fundido classe K-7 com junta elástica, DN= 350mm,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</si>
  <si>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1.354,91</t>
    </r>
  </si>
  <si>
    <r>
      <rPr>
        <sz val="8.5"/>
        <rFont val="Calibri"/>
        <family val="2"/>
      </rPr>
      <t>1.380,37</t>
    </r>
  </si>
  <si>
    <r>
      <rPr>
        <sz val="8.5"/>
        <rFont val="Calibri"/>
        <family val="2"/>
      </rPr>
      <t>46.14.060</t>
    </r>
  </si>
  <si>
    <r>
      <rPr>
        <sz val="8.5"/>
        <rFont val="Calibri"/>
        <family val="2"/>
      </rPr>
      <t xml:space="preserve">Tubo de ferro fundido classe K-7 com junta elástica, DN= 300mm,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</si>
  <si>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988,85</t>
    </r>
  </si>
  <si>
    <r>
      <rPr>
        <sz val="8.5"/>
        <rFont val="Calibri"/>
        <family val="2"/>
      </rPr>
      <t>1.014,31</t>
    </r>
  </si>
  <si>
    <r>
      <rPr>
        <sz val="8.5"/>
        <rFont val="Calibri"/>
        <family val="2"/>
      </rPr>
      <t>46.14.490</t>
    </r>
  </si>
  <si>
    <r>
      <rPr>
        <sz val="8.5"/>
        <rFont val="Calibri"/>
        <family val="2"/>
      </rPr>
      <t xml:space="preserve">Tubo de ferro fundido classe k-9 com junta elástica, DN= 80mm,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</si>
  <si>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481,42</t>
    </r>
  </si>
  <si>
    <r>
      <rPr>
        <sz val="8.5"/>
        <rFont val="Calibri"/>
        <family val="2"/>
      </rPr>
      <t>506,88</t>
    </r>
  </si>
  <si>
    <r>
      <rPr>
        <sz val="8.5"/>
        <rFont val="Calibri"/>
        <family val="2"/>
      </rPr>
      <t>46.14.510</t>
    </r>
  </si>
  <si>
    <r>
      <rPr>
        <sz val="8.5"/>
        <rFont val="Calibri"/>
        <family val="2"/>
      </rPr>
      <t xml:space="preserve">Tubo de ferro fundido classe K-9 com junta elástica, DN= 100mm,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</si>
  <si>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484,07</t>
    </r>
  </si>
  <si>
    <r>
      <rPr>
        <sz val="8.5"/>
        <rFont val="Calibri"/>
        <family val="2"/>
      </rPr>
      <t>509,53</t>
    </r>
  </si>
  <si>
    <r>
      <rPr>
        <sz val="8.5"/>
        <rFont val="Calibri"/>
        <family val="2"/>
      </rPr>
      <t>46.14.520</t>
    </r>
  </si>
  <si>
    <r>
      <rPr>
        <sz val="8.5"/>
        <rFont val="Calibri"/>
        <family val="2"/>
      </rPr>
      <t xml:space="preserve">Tubo de ferro fundido classe K-9 com junta elástica, DN= 150mm,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</si>
  <si>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603,40</t>
    </r>
  </si>
  <si>
    <r>
      <rPr>
        <sz val="8.5"/>
        <rFont val="Calibri"/>
        <family val="2"/>
      </rPr>
      <t>628,86</t>
    </r>
  </si>
  <si>
    <r>
      <rPr>
        <sz val="8.5"/>
        <rFont val="Calibri"/>
        <family val="2"/>
      </rPr>
      <t>46.14.530</t>
    </r>
  </si>
  <si>
    <r>
      <rPr>
        <sz val="8.5"/>
        <rFont val="Calibri"/>
        <family val="2"/>
      </rPr>
      <t xml:space="preserve">Tubo de ferro fundido classe K-9 com junta elástica, DN= 200mm,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</si>
  <si>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734,75</t>
    </r>
  </si>
  <si>
    <r>
      <rPr>
        <sz val="8.5"/>
        <rFont val="Calibri"/>
        <family val="2"/>
      </rPr>
      <t>760,21</t>
    </r>
  </si>
  <si>
    <r>
      <rPr>
        <sz val="8.5"/>
        <rFont val="Calibri"/>
        <family val="2"/>
      </rPr>
      <t>46.14.540</t>
    </r>
  </si>
  <si>
    <r>
      <rPr>
        <sz val="8.5"/>
        <rFont val="Calibri"/>
        <family val="2"/>
      </rPr>
      <t xml:space="preserve">Tubo de ferro fundido classe k-9 com junta elástica, DN= 250mm,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</si>
  <si>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865,59</t>
    </r>
  </si>
  <si>
    <r>
      <rPr>
        <sz val="8.5"/>
        <rFont val="Calibri"/>
        <family val="2"/>
      </rPr>
      <t>891,05</t>
    </r>
  </si>
  <si>
    <r>
      <rPr>
        <sz val="8.5"/>
        <rFont val="Calibri"/>
        <family val="2"/>
      </rPr>
      <t>46.14.550</t>
    </r>
  </si>
  <si>
    <r>
      <rPr>
        <sz val="8.5"/>
        <rFont val="Calibri"/>
        <family val="2"/>
      </rPr>
      <t xml:space="preserve">Tubo de ferro fundido classe K-9 com junta elástica, DN= 300mm,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</si>
  <si>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1.020,40</t>
    </r>
  </si>
  <si>
    <r>
      <rPr>
        <sz val="8.5"/>
        <rFont val="Calibri"/>
        <family val="2"/>
      </rPr>
      <t>1.045,86</t>
    </r>
  </si>
  <si>
    <r>
      <rPr>
        <sz val="8.5"/>
        <rFont val="Calibri"/>
        <family val="2"/>
      </rPr>
      <t>46.14.560</t>
    </r>
  </si>
  <si>
    <r>
      <rPr>
        <sz val="8.5"/>
        <rFont val="Calibri"/>
        <family val="2"/>
      </rPr>
      <t xml:space="preserve">Tubo de ferro fundido classe k-9 com junta elástica, DN= 350mm,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</si>
  <si>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1.348,33</t>
    </r>
  </si>
  <si>
    <r>
      <rPr>
        <sz val="8.5"/>
        <rFont val="Calibri"/>
        <family val="2"/>
      </rPr>
      <t>1.373,79</t>
    </r>
  </si>
  <si>
    <r>
      <rPr>
        <sz val="8.5"/>
        <rFont val="Calibri"/>
        <family val="2"/>
      </rPr>
      <t>Tubulacao em PEAD - recalque de tratamento de esgoto</t>
    </r>
  </si>
  <si>
    <r>
      <rPr>
        <sz val="8.5"/>
        <rFont val="Calibri"/>
        <family val="2"/>
      </rPr>
      <t>46.15.111</t>
    </r>
  </si>
  <si>
    <r>
      <rPr>
        <sz val="8.5"/>
        <rFont val="Calibri"/>
        <family val="2"/>
      </rPr>
      <t xml:space="preserve">Tubo em polietileno de alta densidade DE=160 mm - PN-10,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</si>
  <si>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177,09</t>
    </r>
  </si>
  <si>
    <r>
      <rPr>
        <sz val="8.5"/>
        <rFont val="Calibri"/>
        <family val="2"/>
      </rPr>
      <t>46.15.112</t>
    </r>
  </si>
  <si>
    <r>
      <rPr>
        <sz val="8.5"/>
        <rFont val="Calibri"/>
        <family val="2"/>
      </rPr>
      <t xml:space="preserve">Tubo em polietileno de alta densidade DE=200 mm - PN-10,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</si>
  <si>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261,99</t>
    </r>
  </si>
  <si>
    <r>
      <rPr>
        <sz val="8.5"/>
        <rFont val="Calibri"/>
        <family val="2"/>
      </rPr>
      <t>20,37</t>
    </r>
  </si>
  <si>
    <r>
      <rPr>
        <sz val="8.5"/>
        <rFont val="Calibri"/>
        <family val="2"/>
      </rPr>
      <t>282,36</t>
    </r>
  </si>
  <si>
    <r>
      <rPr>
        <sz val="8.5"/>
        <rFont val="Calibri"/>
        <family val="2"/>
      </rPr>
      <t>46.15.113</t>
    </r>
  </si>
  <si>
    <r>
      <rPr>
        <sz val="8.5"/>
        <rFont val="Calibri"/>
        <family val="2"/>
      </rPr>
      <t xml:space="preserve">Tubo em polietileno de alta densidade DE=225 mm - PN-10,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</si>
  <si>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289,93</t>
    </r>
  </si>
  <si>
    <r>
      <rPr>
        <sz val="8.5"/>
        <rFont val="Calibri"/>
        <family val="2"/>
      </rPr>
      <t>310,30</t>
    </r>
  </si>
  <si>
    <r>
      <rPr>
        <sz val="8.5"/>
        <rFont val="Calibri"/>
        <family val="2"/>
      </rPr>
      <t>Tubulacao flangeada em ferro ductil para redes de saneamento</t>
    </r>
  </si>
  <si>
    <r>
      <rPr>
        <sz val="8.5"/>
        <rFont val="Calibri"/>
        <family val="2"/>
      </rPr>
      <t>46.18.010</t>
    </r>
  </si>
  <si>
    <r>
      <rPr>
        <sz val="8.5"/>
        <rFont val="Calibri"/>
        <family val="2"/>
      </rPr>
      <t xml:space="preserve">Tubo em ferro fundido com ponta e ponta TCLA - DN= 80mm, sem juntas
</t>
    </r>
    <r>
      <rPr>
        <sz val="8.5"/>
        <rFont val="Calibri"/>
        <family val="2"/>
      </rPr>
      <t>e conexões</t>
    </r>
  </si>
  <si>
    <r>
      <rPr>
        <sz val="8.5"/>
        <rFont val="Calibri"/>
        <family val="2"/>
      </rPr>
      <t>541,22</t>
    </r>
  </si>
  <si>
    <r>
      <rPr>
        <sz val="8.5"/>
        <rFont val="Calibri"/>
        <family val="2"/>
      </rPr>
      <t>29,09</t>
    </r>
  </si>
  <si>
    <r>
      <rPr>
        <sz val="8.5"/>
        <rFont val="Calibri"/>
        <family val="2"/>
      </rPr>
      <t>570,31</t>
    </r>
  </si>
  <si>
    <r>
      <rPr>
        <sz val="8.5"/>
        <rFont val="Calibri"/>
        <family val="2"/>
      </rPr>
      <t>46.18.020</t>
    </r>
  </si>
  <si>
    <r>
      <rPr>
        <sz val="8.5"/>
        <rFont val="Calibri"/>
        <family val="2"/>
      </rPr>
      <t xml:space="preserve">Tubo em ferro fundido com ponta e ponta TCLA - DN= 100mm,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</si>
  <si>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607,32</t>
    </r>
  </si>
  <si>
    <r>
      <rPr>
        <sz val="8.5"/>
        <rFont val="Calibri"/>
        <family val="2"/>
      </rPr>
      <t>636,41</t>
    </r>
  </si>
  <si>
    <r>
      <rPr>
        <sz val="8.5"/>
        <rFont val="Calibri"/>
        <family val="2"/>
      </rPr>
      <t>46.18.030</t>
    </r>
  </si>
  <si>
    <r>
      <rPr>
        <sz val="8.5"/>
        <rFont val="Calibri"/>
        <family val="2"/>
      </rPr>
      <t xml:space="preserve">Tubo em ferro fundido com ponta e ponta TCLA - DN= 150mm,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</si>
  <si>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750,10</t>
    </r>
  </si>
  <si>
    <r>
      <rPr>
        <sz val="8.5"/>
        <rFont val="Calibri"/>
        <family val="2"/>
      </rPr>
      <t>779,19</t>
    </r>
  </si>
  <si>
    <r>
      <rPr>
        <sz val="8.5"/>
        <rFont val="Calibri"/>
        <family val="2"/>
      </rPr>
      <t>46.18.040</t>
    </r>
  </si>
  <si>
    <r>
      <rPr>
        <sz val="8.5"/>
        <rFont val="Calibri"/>
        <family val="2"/>
      </rPr>
      <t xml:space="preserve">Tubo em ferro fundido com ponta e ponta TCLA - DN= 200mm,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</si>
  <si>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883,82</t>
    </r>
  </si>
  <si>
    <r>
      <rPr>
        <sz val="8.5"/>
        <rFont val="Calibri"/>
        <family val="2"/>
      </rPr>
      <t>912,91</t>
    </r>
  </si>
  <si>
    <r>
      <rPr>
        <sz val="8.5"/>
        <rFont val="Calibri"/>
        <family val="2"/>
      </rPr>
      <t>46.18.050</t>
    </r>
  </si>
  <si>
    <r>
      <rPr>
        <sz val="8.5"/>
        <rFont val="Calibri"/>
        <family val="2"/>
      </rPr>
      <t xml:space="preserve">Tubo em ferro fundido com ponta e ponta TCLA - DN= 250mm,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</si>
  <si>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1.005,84</t>
    </r>
  </si>
  <si>
    <r>
      <rPr>
        <sz val="8.5"/>
        <rFont val="Calibri"/>
        <family val="2"/>
      </rPr>
      <t>31,27</t>
    </r>
  </si>
  <si>
    <r>
      <rPr>
        <sz val="8.5"/>
        <rFont val="Calibri"/>
        <family val="2"/>
      </rPr>
      <t>1.037,11</t>
    </r>
  </si>
  <si>
    <r>
      <rPr>
        <sz val="8.5"/>
        <rFont val="Calibri"/>
        <family val="2"/>
      </rPr>
      <t>46.18.060</t>
    </r>
  </si>
  <si>
    <r>
      <rPr>
        <sz val="8.5"/>
        <rFont val="Calibri"/>
        <family val="2"/>
      </rPr>
      <t xml:space="preserve">Tubo em ferro fundido com ponta e ponta TCLA - DN= 300mm,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</si>
  <si>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1.288,78</t>
    </r>
  </si>
  <si>
    <r>
      <rPr>
        <sz val="8.5"/>
        <rFont val="Calibri"/>
        <family val="2"/>
      </rPr>
      <t>1.320,05</t>
    </r>
  </si>
  <si>
    <r>
      <rPr>
        <sz val="8.5"/>
        <rFont val="Calibri"/>
        <family val="2"/>
      </rPr>
      <t>46.18.089</t>
    </r>
  </si>
  <si>
    <r>
      <rPr>
        <sz val="8.5"/>
        <rFont val="Calibri"/>
        <family val="2"/>
      </rPr>
      <t>Flange avulso em ferro fundido, classe PN-10, DN= 50mm</t>
    </r>
  </si>
  <si>
    <r>
      <rPr>
        <sz val="8.5"/>
        <rFont val="Calibri"/>
        <family val="2"/>
      </rPr>
      <t>115,04</t>
    </r>
  </si>
  <si>
    <r>
      <rPr>
        <sz val="8.5"/>
        <rFont val="Calibri"/>
        <family val="2"/>
      </rPr>
      <t>16,01</t>
    </r>
  </si>
  <si>
    <r>
      <rPr>
        <sz val="8.5"/>
        <rFont val="Calibri"/>
        <family val="2"/>
      </rPr>
      <t>131,05</t>
    </r>
  </si>
  <si>
    <r>
      <rPr>
        <sz val="8.5"/>
        <rFont val="Calibri"/>
        <family val="2"/>
      </rPr>
      <t>46.18.090</t>
    </r>
  </si>
  <si>
    <r>
      <rPr>
        <sz val="8.5"/>
        <rFont val="Calibri"/>
        <family val="2"/>
      </rPr>
      <t>Flange avulso em ferro fundido, classe PN-10, DN= 80mm</t>
    </r>
  </si>
  <si>
    <r>
      <rPr>
        <sz val="8.5"/>
        <rFont val="Calibri"/>
        <family val="2"/>
      </rPr>
      <t>159,04</t>
    </r>
  </si>
  <si>
    <r>
      <rPr>
        <sz val="8.5"/>
        <rFont val="Calibri"/>
        <family val="2"/>
      </rPr>
      <t>175,05</t>
    </r>
  </si>
  <si>
    <r>
      <rPr>
        <sz val="8.5"/>
        <rFont val="Calibri"/>
        <family val="2"/>
      </rPr>
      <t>46.18.100</t>
    </r>
  </si>
  <si>
    <r>
      <rPr>
        <sz val="8.5"/>
        <rFont val="Calibri"/>
        <family val="2"/>
      </rPr>
      <t>Flange avulso em ferro fundido, classe PN-10, DN= 100mm</t>
    </r>
  </si>
  <si>
    <r>
      <rPr>
        <sz val="8.5"/>
        <rFont val="Calibri"/>
        <family val="2"/>
      </rPr>
      <t>212,06</t>
    </r>
  </si>
  <si>
    <r>
      <rPr>
        <sz val="8.5"/>
        <rFont val="Calibri"/>
        <family val="2"/>
      </rPr>
      <t>17,47</t>
    </r>
  </si>
  <si>
    <r>
      <rPr>
        <sz val="8.5"/>
        <rFont val="Calibri"/>
        <family val="2"/>
      </rPr>
      <t>229,53</t>
    </r>
  </si>
  <si>
    <r>
      <rPr>
        <sz val="8.5"/>
        <rFont val="Calibri"/>
        <family val="2"/>
      </rPr>
      <t>46.18.110</t>
    </r>
  </si>
  <si>
    <r>
      <rPr>
        <sz val="8.5"/>
        <rFont val="Calibri"/>
        <family val="2"/>
      </rPr>
      <t>Flange avulso em ferro fundido, classe PN-10, DN= 150mm</t>
    </r>
  </si>
  <si>
    <r>
      <rPr>
        <sz val="8.5"/>
        <rFont val="Calibri"/>
        <family val="2"/>
      </rPr>
      <t>330,00</t>
    </r>
  </si>
  <si>
    <r>
      <rPr>
        <sz val="8.5"/>
        <rFont val="Calibri"/>
        <family val="2"/>
      </rPr>
      <t>348,92</t>
    </r>
  </si>
  <si>
    <r>
      <rPr>
        <sz val="8.5"/>
        <rFont val="Calibri"/>
        <family val="2"/>
      </rPr>
      <t>46.18.120</t>
    </r>
  </si>
  <si>
    <r>
      <rPr>
        <sz val="8.5"/>
        <rFont val="Calibri"/>
        <family val="2"/>
      </rPr>
      <t>Flange avulso em ferro fundido, classe PN-10, DN= 200mm</t>
    </r>
  </si>
  <si>
    <r>
      <rPr>
        <sz val="8.5"/>
        <rFont val="Calibri"/>
        <family val="2"/>
      </rPr>
      <t>388,70</t>
    </r>
  </si>
  <si>
    <r>
      <rPr>
        <sz val="8.5"/>
        <rFont val="Calibri"/>
        <family val="2"/>
      </rPr>
      <t>20,38</t>
    </r>
  </si>
  <si>
    <r>
      <rPr>
        <sz val="8.5"/>
        <rFont val="Calibri"/>
        <family val="2"/>
      </rPr>
      <t>409,08</t>
    </r>
  </si>
  <si>
    <r>
      <rPr>
        <sz val="8.5"/>
        <rFont val="Calibri"/>
        <family val="2"/>
      </rPr>
      <t>46.18.130</t>
    </r>
  </si>
  <si>
    <r>
      <rPr>
        <sz val="8.5"/>
        <rFont val="Calibri"/>
        <family val="2"/>
      </rPr>
      <t>Flange avulso em ferro fundido, classe PN-10, DN= 250mm</t>
    </r>
  </si>
  <si>
    <r>
      <rPr>
        <sz val="8.5"/>
        <rFont val="Calibri"/>
        <family val="2"/>
      </rPr>
      <t>513,27</t>
    </r>
  </si>
  <si>
    <r>
      <rPr>
        <sz val="8.5"/>
        <rFont val="Calibri"/>
        <family val="2"/>
      </rPr>
      <t>46.18.140</t>
    </r>
  </si>
  <si>
    <r>
      <rPr>
        <sz val="8.5"/>
        <rFont val="Calibri"/>
        <family val="2"/>
      </rPr>
      <t>Flange avulso em ferro fundido, classe PN-10, DN= 300mm</t>
    </r>
  </si>
  <si>
    <r>
      <rPr>
        <sz val="8.5"/>
        <rFont val="Calibri"/>
        <family val="2"/>
      </rPr>
      <t>624,25</t>
    </r>
  </si>
  <si>
    <r>
      <rPr>
        <sz val="8.5"/>
        <rFont val="Calibri"/>
        <family val="2"/>
      </rPr>
      <t>23,29</t>
    </r>
  </si>
  <si>
    <r>
      <rPr>
        <sz val="8.5"/>
        <rFont val="Calibri"/>
        <family val="2"/>
      </rPr>
      <t>647,54</t>
    </r>
  </si>
  <si>
    <r>
      <rPr>
        <sz val="8.5"/>
        <rFont val="Calibri"/>
        <family val="2"/>
      </rPr>
      <t>46.18.168</t>
    </r>
  </si>
  <si>
    <r>
      <rPr>
        <sz val="8.5"/>
        <rFont val="Calibri"/>
        <family val="2"/>
      </rPr>
      <t>Curva de 90° em ferro fundido com flanges, classe PN-10, DN= 50mm</t>
    </r>
  </si>
  <si>
    <r>
      <rPr>
        <sz val="8.5"/>
        <rFont val="Calibri"/>
        <family val="2"/>
      </rPr>
      <t>278,15</t>
    </r>
  </si>
  <si>
    <r>
      <rPr>
        <sz val="8.5"/>
        <rFont val="Calibri"/>
        <family val="2"/>
      </rPr>
      <t>298,53</t>
    </r>
  </si>
  <si>
    <r>
      <rPr>
        <sz val="8.5"/>
        <rFont val="Calibri"/>
        <family val="2"/>
      </rPr>
      <t>46.18.170</t>
    </r>
  </si>
  <si>
    <r>
      <rPr>
        <sz val="8.5"/>
        <rFont val="Calibri"/>
        <family val="2"/>
      </rPr>
      <t>Curva de 90° em ferro fundido, com flanges, classe PN-10, DN= 80mm</t>
    </r>
  </si>
  <si>
    <r>
      <rPr>
        <sz val="8.5"/>
        <rFont val="Calibri"/>
        <family val="2"/>
      </rPr>
      <t>386,51</t>
    </r>
  </si>
  <si>
    <r>
      <rPr>
        <sz val="8.5"/>
        <rFont val="Calibri"/>
        <family val="2"/>
      </rPr>
      <t>402,52</t>
    </r>
  </si>
  <si>
    <r>
      <rPr>
        <sz val="8.5"/>
        <rFont val="Calibri"/>
        <family val="2"/>
      </rPr>
      <t>46.18.180</t>
    </r>
  </si>
  <si>
    <r>
      <rPr>
        <sz val="8.5"/>
        <rFont val="Calibri"/>
        <family val="2"/>
      </rPr>
      <t>Curva de 90° em ferro fundido, com flanges, classe PN-10, DN= 100mm</t>
    </r>
  </si>
  <si>
    <r>
      <rPr>
        <sz val="8.5"/>
        <rFont val="Calibri"/>
        <family val="2"/>
      </rPr>
      <t>407,43</t>
    </r>
  </si>
  <si>
    <r>
      <rPr>
        <sz val="8.5"/>
        <rFont val="Calibri"/>
        <family val="2"/>
      </rPr>
      <t>427,81</t>
    </r>
  </si>
  <si>
    <r>
      <rPr>
        <sz val="8.5"/>
        <rFont val="Calibri"/>
        <family val="2"/>
      </rPr>
      <t>46.18.190</t>
    </r>
  </si>
  <si>
    <r>
      <rPr>
        <sz val="8.5"/>
        <rFont val="Calibri"/>
        <family val="2"/>
      </rPr>
      <t>Curva de 90° em ferro fundido, com flanges, classe PN-10, DN= 150mm</t>
    </r>
  </si>
  <si>
    <r>
      <rPr>
        <sz val="8.5"/>
        <rFont val="Calibri"/>
        <family val="2"/>
      </rPr>
      <t>704,87</t>
    </r>
  </si>
  <si>
    <r>
      <rPr>
        <sz val="8.5"/>
        <rFont val="Calibri"/>
        <family val="2"/>
      </rPr>
      <t>728,16</t>
    </r>
  </si>
  <si>
    <r>
      <rPr>
        <sz val="8.5"/>
        <rFont val="Calibri"/>
        <family val="2"/>
      </rPr>
      <t>46.18.410</t>
    </r>
  </si>
  <si>
    <r>
      <rPr>
        <sz val="8.5"/>
        <rFont val="Calibri"/>
        <family val="2"/>
      </rPr>
      <t xml:space="preserve">Te em ferro fundido, com flanges, classe PN-10, DN= 80mm, com
</t>
    </r>
    <r>
      <rPr>
        <sz val="8.5"/>
        <rFont val="Calibri"/>
        <family val="2"/>
      </rPr>
      <t>derivação de 80mm</t>
    </r>
  </si>
  <si>
    <r>
      <rPr>
        <sz val="8.5"/>
        <rFont val="Calibri"/>
        <family val="2"/>
      </rPr>
      <t>545,03</t>
    </r>
  </si>
  <si>
    <r>
      <rPr>
        <sz val="8.5"/>
        <rFont val="Calibri"/>
        <family val="2"/>
      </rPr>
      <t>562,50</t>
    </r>
  </si>
  <si>
    <r>
      <rPr>
        <sz val="8.5"/>
        <rFont val="Calibri"/>
        <family val="2"/>
      </rPr>
      <t>46.18.420</t>
    </r>
  </si>
  <si>
    <r>
      <rPr>
        <sz val="8.5"/>
        <rFont val="Calibri"/>
        <family val="2"/>
      </rPr>
      <t xml:space="preserve">Te em ferro fundido, com flanges, classe PN-10, DN= 100mm, com
</t>
    </r>
    <r>
      <rPr>
        <sz val="8.5"/>
        <rFont val="Calibri"/>
        <family val="2"/>
      </rPr>
      <t>derivações de 80 até 100mm</t>
    </r>
  </si>
  <si>
    <r>
      <rPr>
        <sz val="8.5"/>
        <rFont val="Calibri"/>
        <family val="2"/>
      </rPr>
      <t>581,75</t>
    </r>
  </si>
  <si>
    <r>
      <rPr>
        <sz val="8.5"/>
        <rFont val="Calibri"/>
        <family val="2"/>
      </rPr>
      <t>602,13</t>
    </r>
  </si>
  <si>
    <r>
      <rPr>
        <sz val="8.5"/>
        <rFont val="Calibri"/>
        <family val="2"/>
      </rPr>
      <t>46.18.430</t>
    </r>
  </si>
  <si>
    <r>
      <rPr>
        <sz val="8.5"/>
        <rFont val="Calibri"/>
        <family val="2"/>
      </rPr>
      <t xml:space="preserve">Te em ferro fundido, com flanges, classe PN-10, DN= 150mm, com
</t>
    </r>
    <r>
      <rPr>
        <sz val="8.5"/>
        <rFont val="Calibri"/>
        <family val="2"/>
      </rPr>
      <t>derivações de 80 até 150mm</t>
    </r>
  </si>
  <si>
    <r>
      <rPr>
        <sz val="8.5"/>
        <rFont val="Calibri"/>
        <family val="2"/>
      </rPr>
      <t>1.052,95</t>
    </r>
  </si>
  <si>
    <r>
      <rPr>
        <sz val="8.5"/>
        <rFont val="Calibri"/>
        <family val="2"/>
      </rPr>
      <t>1.076,24</t>
    </r>
  </si>
  <si>
    <r>
      <rPr>
        <sz val="8.5"/>
        <rFont val="Calibri"/>
        <family val="2"/>
      </rPr>
      <t>46.18.560</t>
    </r>
  </si>
  <si>
    <r>
      <rPr>
        <sz val="8.5"/>
        <rFont val="Calibri"/>
        <family val="2"/>
      </rPr>
      <t>Junta Gibault em ferro fundido, DN= 80mm, completa</t>
    </r>
  </si>
  <si>
    <r>
      <rPr>
        <sz val="8.5"/>
        <rFont val="Calibri"/>
        <family val="2"/>
      </rPr>
      <t>182,69</t>
    </r>
  </si>
  <si>
    <r>
      <rPr>
        <sz val="8.5"/>
        <rFont val="Calibri"/>
        <family val="2"/>
      </rPr>
      <t>198,70</t>
    </r>
  </si>
  <si>
    <r>
      <rPr>
        <sz val="8.5"/>
        <rFont val="Calibri"/>
        <family val="2"/>
      </rPr>
      <t>46.18.570</t>
    </r>
  </si>
  <si>
    <r>
      <rPr>
        <sz val="8.5"/>
        <rFont val="Calibri"/>
        <family val="2"/>
      </rPr>
      <t>Junta Gibault em ferro fundido, DN= 100 mm, completa</t>
    </r>
  </si>
  <si>
    <r>
      <rPr>
        <sz val="8.5"/>
        <rFont val="Calibri"/>
        <family val="2"/>
      </rPr>
      <t>209,58</t>
    </r>
  </si>
  <si>
    <r>
      <rPr>
        <sz val="8.5"/>
        <rFont val="Calibri"/>
        <family val="2"/>
      </rPr>
      <t>227,05</t>
    </r>
  </si>
  <si>
    <r>
      <rPr>
        <sz val="8.5"/>
        <rFont val="Calibri"/>
        <family val="2"/>
      </rPr>
      <t>Tubulacao flangeada em ferro ductil para redes de saneamento.</t>
    </r>
  </si>
  <si>
    <r>
      <rPr>
        <sz val="8.5"/>
        <rFont val="Calibri"/>
        <family val="2"/>
      </rPr>
      <t>46.19.500</t>
    </r>
  </si>
  <si>
    <r>
      <rPr>
        <sz val="8.5"/>
        <rFont val="Calibri"/>
        <family val="2"/>
      </rPr>
      <t xml:space="preserve">Redução excêntrica em ferro fundido, com flanges, classe PN-10, DN=
</t>
    </r>
    <r>
      <rPr>
        <sz val="8.5"/>
        <rFont val="Calibri"/>
        <family val="2"/>
      </rPr>
      <t>100mm x 80mm</t>
    </r>
  </si>
  <si>
    <r>
      <rPr>
        <sz val="8.5"/>
        <rFont val="Calibri"/>
        <family val="2"/>
      </rPr>
      <t>447,63</t>
    </r>
  </si>
  <si>
    <r>
      <rPr>
        <sz val="8.5"/>
        <rFont val="Calibri"/>
        <family val="2"/>
      </rPr>
      <t>468,01</t>
    </r>
  </si>
  <si>
    <r>
      <rPr>
        <sz val="8.5"/>
        <rFont val="Calibri"/>
        <family val="2"/>
      </rPr>
      <t>46.19.510</t>
    </r>
  </si>
  <si>
    <r>
      <rPr>
        <sz val="8.5"/>
        <rFont val="Calibri"/>
        <family val="2"/>
      </rPr>
      <t xml:space="preserve">Redução excêntrica em ferro fundido, com flanges, classe PN-10, DN=
</t>
    </r>
    <r>
      <rPr>
        <sz val="8.5"/>
        <rFont val="Calibri"/>
        <family val="2"/>
      </rPr>
      <t>150mm x 80/100mm</t>
    </r>
  </si>
  <si>
    <r>
      <rPr>
        <sz val="8.5"/>
        <rFont val="Calibri"/>
        <family val="2"/>
      </rPr>
      <t>624,61</t>
    </r>
  </si>
  <si>
    <r>
      <rPr>
        <sz val="8.5"/>
        <rFont val="Calibri"/>
        <family val="2"/>
      </rPr>
      <t>647,90</t>
    </r>
  </si>
  <si>
    <r>
      <rPr>
        <sz val="8.5"/>
        <rFont val="Calibri"/>
        <family val="2"/>
      </rPr>
      <t>46.19.520</t>
    </r>
  </si>
  <si>
    <r>
      <rPr>
        <sz val="8.5"/>
        <rFont val="Calibri"/>
        <family val="2"/>
      </rPr>
      <t xml:space="preserve">Redução excêntrica em ferro fundido, com flanges, classe PN-10, DN=
</t>
    </r>
    <r>
      <rPr>
        <sz val="8.5"/>
        <rFont val="Calibri"/>
        <family val="2"/>
      </rPr>
      <t>200mm x 100/150mm</t>
    </r>
  </si>
  <si>
    <r>
      <rPr>
        <sz val="8.5"/>
        <rFont val="Calibri"/>
        <family val="2"/>
      </rPr>
      <t>816,09</t>
    </r>
  </si>
  <si>
    <r>
      <rPr>
        <sz val="8.5"/>
        <rFont val="Calibri"/>
        <family val="2"/>
      </rPr>
      <t>26,20</t>
    </r>
  </si>
  <si>
    <r>
      <rPr>
        <sz val="8.5"/>
        <rFont val="Calibri"/>
        <family val="2"/>
      </rPr>
      <t>842,29</t>
    </r>
  </si>
  <si>
    <r>
      <rPr>
        <sz val="8.5"/>
        <rFont val="Calibri"/>
        <family val="2"/>
      </rPr>
      <t>46.19.530</t>
    </r>
  </si>
  <si>
    <r>
      <rPr>
        <sz val="8.5"/>
        <rFont val="Calibri"/>
        <family val="2"/>
      </rPr>
      <t xml:space="preserve">Redução excêntrica em ferro fundido, com flanges, classe PN-10, DN=
</t>
    </r>
    <r>
      <rPr>
        <sz val="8.5"/>
        <rFont val="Calibri"/>
        <family val="2"/>
      </rPr>
      <t>250mm x 150/200mm</t>
    </r>
  </si>
  <si>
    <r>
      <rPr>
        <sz val="8.5"/>
        <rFont val="Calibri"/>
        <family val="2"/>
      </rPr>
      <t>1.358,22</t>
    </r>
  </si>
  <si>
    <r>
      <rPr>
        <sz val="8.5"/>
        <rFont val="Calibri"/>
        <family val="2"/>
      </rPr>
      <t>1.387,34</t>
    </r>
  </si>
  <si>
    <r>
      <rPr>
        <sz val="8.5"/>
        <rFont val="Calibri"/>
        <family val="2"/>
      </rPr>
      <t>46.19.590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</si>
  <si>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80 x 50mm</t>
    </r>
  </si>
  <si>
    <r>
      <rPr>
        <sz val="8.5"/>
        <rFont val="Calibri"/>
        <family val="2"/>
      </rPr>
      <t>348,68</t>
    </r>
  </si>
  <si>
    <r>
      <rPr>
        <sz val="8.5"/>
        <rFont val="Calibri"/>
        <family val="2"/>
      </rPr>
      <t>369,06</t>
    </r>
  </si>
  <si>
    <r>
      <rPr>
        <sz val="8.5"/>
        <rFont val="Calibri"/>
        <family val="2"/>
      </rPr>
      <t>46.19.600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</si>
  <si>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100mm x 80mm</t>
    </r>
  </si>
  <si>
    <r>
      <rPr>
        <sz val="8.5"/>
        <rFont val="Calibri"/>
        <family val="2"/>
      </rPr>
      <t>366,11</t>
    </r>
  </si>
  <si>
    <r>
      <rPr>
        <sz val="8.5"/>
        <rFont val="Calibri"/>
        <family val="2"/>
      </rPr>
      <t>386,49</t>
    </r>
  </si>
  <si>
    <r>
      <rPr>
        <sz val="8.5"/>
        <rFont val="Calibri"/>
        <family val="2"/>
      </rPr>
      <t>46.19.610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</si>
  <si>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150mm x 80/100mm</t>
    </r>
  </si>
  <si>
    <r>
      <rPr>
        <sz val="8.5"/>
        <rFont val="Calibri"/>
        <family val="2"/>
      </rPr>
      <t>693,97</t>
    </r>
  </si>
  <si>
    <r>
      <rPr>
        <sz val="8.5"/>
        <rFont val="Calibri"/>
        <family val="2"/>
      </rPr>
      <t>717,26</t>
    </r>
  </si>
  <si>
    <r>
      <rPr>
        <sz val="8.5"/>
        <rFont val="Calibri"/>
        <family val="2"/>
      </rPr>
      <t>46.19.620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</si>
  <si>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200mm x 100/150mm</t>
    </r>
  </si>
  <si>
    <r>
      <rPr>
        <sz val="8.5"/>
        <rFont val="Calibri"/>
        <family val="2"/>
      </rPr>
      <t>861,35</t>
    </r>
  </si>
  <si>
    <r>
      <rPr>
        <sz val="8.5"/>
        <rFont val="Calibri"/>
        <family val="2"/>
      </rPr>
      <t>887,55</t>
    </r>
  </si>
  <si>
    <r>
      <rPr>
        <sz val="8.5"/>
        <rFont val="Calibri"/>
        <family val="2"/>
      </rPr>
      <t>46.19.630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</si>
  <si>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250mm x 150/200mm</t>
    </r>
  </si>
  <si>
    <r>
      <rPr>
        <sz val="8.5"/>
        <rFont val="Calibri"/>
        <family val="2"/>
      </rPr>
      <t>1.281,58</t>
    </r>
  </si>
  <si>
    <r>
      <rPr>
        <sz val="8.5"/>
        <rFont val="Calibri"/>
        <family val="2"/>
      </rPr>
      <t>1.310,70</t>
    </r>
  </si>
  <si>
    <r>
      <rPr>
        <sz val="8.5"/>
        <rFont val="Calibri"/>
        <family val="2"/>
      </rPr>
      <t>Reparos, conservacoes e complementos - GRUPO 46</t>
    </r>
  </si>
  <si>
    <r>
      <rPr>
        <sz val="8.5"/>
        <rFont val="Calibri"/>
        <family val="2"/>
      </rPr>
      <t>46.20.010</t>
    </r>
  </si>
  <si>
    <r>
      <rPr>
        <sz val="8.5"/>
        <rFont val="Calibri"/>
        <family val="2"/>
      </rPr>
      <t>Assentamento de tubo de concreto com diâmetro até 600 mm</t>
    </r>
  </si>
  <si>
    <r>
      <rPr>
        <sz val="8.5"/>
        <rFont val="Calibri"/>
        <family val="2"/>
      </rPr>
      <t>46.20.020</t>
    </r>
  </si>
  <si>
    <r>
      <rPr>
        <sz val="8.5"/>
        <rFont val="Calibri"/>
        <family val="2"/>
      </rPr>
      <t>Assentamento de tubo de concreto com diâmetro de 700 até 1500 mm</t>
    </r>
  </si>
  <si>
    <r>
      <rPr>
        <sz val="8.5"/>
        <rFont val="Calibri"/>
        <family val="2"/>
      </rPr>
      <t>46,59</t>
    </r>
  </si>
  <si>
    <r>
      <rPr>
        <sz val="8.5"/>
        <rFont val="Calibri"/>
        <family val="2"/>
      </rPr>
      <t>75,22</t>
    </r>
  </si>
  <si>
    <r>
      <rPr>
        <sz val="8.5"/>
        <rFont val="Calibri"/>
        <family val="2"/>
      </rPr>
      <t>Tubulacao em aco preto schedule</t>
    </r>
  </si>
  <si>
    <r>
      <rPr>
        <sz val="8.5"/>
        <rFont val="Calibri"/>
        <family val="2"/>
      </rPr>
      <t>46.21.012</t>
    </r>
  </si>
  <si>
    <r>
      <rPr>
        <sz val="8.5"/>
        <rFont val="Calibri"/>
        <family val="2"/>
      </rPr>
      <t xml:space="preserve">Tubo de aço carbono preto sem costura Schedule 40, DN= 1´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</si>
  <si>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63,64</t>
    </r>
  </si>
  <si>
    <r>
      <rPr>
        <sz val="8.5"/>
        <rFont val="Calibri"/>
        <family val="2"/>
      </rPr>
      <t>114,59</t>
    </r>
  </si>
  <si>
    <r>
      <rPr>
        <sz val="8.5"/>
        <rFont val="Calibri"/>
        <family val="2"/>
      </rPr>
      <t>46.21.036</t>
    </r>
  </si>
  <si>
    <r>
      <rPr>
        <sz val="8.5"/>
        <rFont val="Calibri"/>
        <family val="2"/>
      </rPr>
      <t xml:space="preserve">Tubo de aço carbono preto sem costura Schedule 40, DN= 1 1/4´ -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</si>
  <si>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71,74</t>
    </r>
  </si>
  <si>
    <r>
      <rPr>
        <sz val="8.5"/>
        <rFont val="Calibri"/>
        <family val="2"/>
      </rPr>
      <t>129,96</t>
    </r>
  </si>
  <si>
    <r>
      <rPr>
        <sz val="8.5"/>
        <rFont val="Calibri"/>
        <family val="2"/>
      </rPr>
      <t>46.21.040</t>
    </r>
  </si>
  <si>
    <r>
      <rPr>
        <sz val="8.5"/>
        <rFont val="Calibri"/>
        <family val="2"/>
      </rPr>
      <t xml:space="preserve">Tubo de aço carbono preto sem costura Schedule 40, DN= 1 1/2´ -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</si>
  <si>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77,97</t>
    </r>
  </si>
  <si>
    <r>
      <rPr>
        <sz val="8.5"/>
        <rFont val="Calibri"/>
        <family val="2"/>
      </rPr>
      <t>136,19</t>
    </r>
  </si>
  <si>
    <r>
      <rPr>
        <sz val="8.5"/>
        <rFont val="Calibri"/>
        <family val="2"/>
      </rPr>
      <t>46.21.046</t>
    </r>
  </si>
  <si>
    <r>
      <rPr>
        <sz val="8.5"/>
        <rFont val="Calibri"/>
        <family val="2"/>
      </rPr>
      <t xml:space="preserve">Tubo de aço carbono preto sem costura Schedule 40, DN= 2´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</si>
  <si>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99,17</t>
    </r>
  </si>
  <si>
    <r>
      <rPr>
        <sz val="8.5"/>
        <rFont val="Calibri"/>
        <family val="2"/>
      </rPr>
      <t>164,68</t>
    </r>
  </si>
  <si>
    <r>
      <rPr>
        <sz val="8.5"/>
        <rFont val="Calibri"/>
        <family val="2"/>
      </rPr>
      <t>46.21.056</t>
    </r>
  </si>
  <si>
    <r>
      <rPr>
        <sz val="8.5"/>
        <rFont val="Calibri"/>
        <family val="2"/>
      </rPr>
      <t xml:space="preserve">Tubo de aço carbono preto sem costura Schedule 40, DN= 2 1/2´ -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</si>
  <si>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170,89</t>
    </r>
  </si>
  <si>
    <r>
      <rPr>
        <sz val="8.5"/>
        <rFont val="Calibri"/>
        <family val="2"/>
      </rPr>
      <t>243,67</t>
    </r>
  </si>
  <si>
    <r>
      <rPr>
        <sz val="8.5"/>
        <rFont val="Calibri"/>
        <family val="2"/>
      </rPr>
      <t>46.21.060</t>
    </r>
  </si>
  <si>
    <r>
      <rPr>
        <sz val="8.5"/>
        <rFont val="Calibri"/>
        <family val="2"/>
      </rPr>
      <t xml:space="preserve">Tubo de aço carbono preto sem costura Schedule 40, DN= 3´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</si>
  <si>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193,05</t>
    </r>
  </si>
  <si>
    <r>
      <rPr>
        <sz val="8.5"/>
        <rFont val="Calibri"/>
        <family val="2"/>
      </rPr>
      <t>274,93</t>
    </r>
  </si>
  <si>
    <r>
      <rPr>
        <sz val="8.5"/>
        <rFont val="Calibri"/>
        <family val="2"/>
      </rPr>
      <t>46.21.066</t>
    </r>
  </si>
  <si>
    <r>
      <rPr>
        <sz val="8.5"/>
        <rFont val="Calibri"/>
        <family val="2"/>
      </rPr>
      <t xml:space="preserve">Tubo de aço carbono preto sem costura Schedule 40, DN= 3 1/2´ -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</si>
  <si>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272,87</t>
    </r>
  </si>
  <si>
    <r>
      <rPr>
        <sz val="8.5"/>
        <rFont val="Calibri"/>
        <family val="2"/>
      </rPr>
      <t>87,34</t>
    </r>
  </si>
  <si>
    <r>
      <rPr>
        <sz val="8.5"/>
        <rFont val="Calibri"/>
        <family val="2"/>
      </rPr>
      <t>360,21</t>
    </r>
  </si>
  <si>
    <r>
      <rPr>
        <sz val="8.5"/>
        <rFont val="Calibri"/>
        <family val="2"/>
      </rPr>
      <t>46.21.080</t>
    </r>
  </si>
  <si>
    <r>
      <rPr>
        <sz val="8.5"/>
        <rFont val="Calibri"/>
        <family val="2"/>
      </rPr>
      <t xml:space="preserve">Tubo de aço carbono preto sem costura Schedule 40, DN= 4´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</si>
  <si>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265,46</t>
    </r>
  </si>
  <si>
    <r>
      <rPr>
        <sz val="8.5"/>
        <rFont val="Calibri"/>
        <family val="2"/>
      </rPr>
      <t>356,44</t>
    </r>
  </si>
  <si>
    <r>
      <rPr>
        <sz val="8.5"/>
        <rFont val="Calibri"/>
        <family val="2"/>
      </rPr>
      <t>46.21.090</t>
    </r>
  </si>
  <si>
    <r>
      <rPr>
        <sz val="8.5"/>
        <rFont val="Calibri"/>
        <family val="2"/>
      </rPr>
      <t xml:space="preserve">Tubo de aço carbono preto sem costura Schedule 40, DN= 5´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</si>
  <si>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368,57</t>
    </r>
  </si>
  <si>
    <r>
      <rPr>
        <sz val="8.5"/>
        <rFont val="Calibri"/>
        <family val="2"/>
      </rPr>
      <t>96,44</t>
    </r>
  </si>
  <si>
    <r>
      <rPr>
        <sz val="8.5"/>
        <rFont val="Calibri"/>
        <family val="2"/>
      </rPr>
      <t>465,01</t>
    </r>
  </si>
  <si>
    <r>
      <rPr>
        <sz val="8.5"/>
        <rFont val="Calibri"/>
        <family val="2"/>
      </rPr>
      <t>46.21.100</t>
    </r>
  </si>
  <si>
    <r>
      <rPr>
        <sz val="8.5"/>
        <rFont val="Calibri"/>
        <family val="2"/>
      </rPr>
      <t xml:space="preserve">Tubo de aço carbono preto sem costura Schedule 40, DN= 6´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</si>
  <si>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526,40</t>
    </r>
  </si>
  <si>
    <r>
      <rPr>
        <sz val="8.5"/>
        <rFont val="Calibri"/>
        <family val="2"/>
      </rPr>
      <t>626,47</t>
    </r>
  </si>
  <si>
    <r>
      <rPr>
        <sz val="8.5"/>
        <rFont val="Calibri"/>
        <family val="2"/>
      </rPr>
      <t>46.21.110</t>
    </r>
  </si>
  <si>
    <r>
      <rPr>
        <sz val="8.5"/>
        <rFont val="Calibri"/>
        <family val="2"/>
      </rPr>
      <t xml:space="preserve">Tubo de aço carbono preto sem costura Schedule 40, DN= 8´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</si>
  <si>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776,31</t>
    </r>
  </si>
  <si>
    <r>
      <rPr>
        <sz val="8.5"/>
        <rFont val="Calibri"/>
        <family val="2"/>
      </rPr>
      <t>885,48</t>
    </r>
  </si>
  <si>
    <r>
      <rPr>
        <sz val="8.5"/>
        <rFont val="Calibri"/>
        <family val="2"/>
      </rPr>
      <t>46.21.140</t>
    </r>
  </si>
  <si>
    <r>
      <rPr>
        <sz val="8.5"/>
        <rFont val="Calibri"/>
        <family val="2"/>
      </rPr>
      <t xml:space="preserve">Tubo de aço carbono preto com costura Schedule 40, DN= 10´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</si>
  <si>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790,53</t>
    </r>
  </si>
  <si>
    <r>
      <rPr>
        <sz val="8.5"/>
        <rFont val="Calibri"/>
        <family val="2"/>
      </rPr>
      <t>120,09</t>
    </r>
  </si>
  <si>
    <r>
      <rPr>
        <sz val="8.5"/>
        <rFont val="Calibri"/>
        <family val="2"/>
      </rPr>
      <t>910,62</t>
    </r>
  </si>
  <si>
    <r>
      <rPr>
        <sz val="8.5"/>
        <rFont val="Calibri"/>
        <family val="2"/>
      </rPr>
      <t>46.21.150</t>
    </r>
  </si>
  <si>
    <r>
      <rPr>
        <sz val="8.5"/>
        <rFont val="Calibri"/>
        <family val="2"/>
      </rPr>
      <t xml:space="preserve">Tubo de aço carbono preto com costura Schedule 40, DN= 12´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</si>
  <si>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1.064,74</t>
    </r>
  </si>
  <si>
    <r>
      <rPr>
        <sz val="8.5"/>
        <rFont val="Calibri"/>
        <family val="2"/>
      </rPr>
      <t>127,37</t>
    </r>
  </si>
  <si>
    <r>
      <rPr>
        <sz val="8.5"/>
        <rFont val="Calibri"/>
        <family val="2"/>
      </rPr>
      <t>1.192,11</t>
    </r>
  </si>
  <si>
    <r>
      <rPr>
        <sz val="8.5"/>
        <rFont val="Calibri"/>
        <family val="2"/>
      </rPr>
      <t>Tubulacao em concreto para rede de esgoto sanitario</t>
    </r>
  </si>
  <si>
    <r>
      <rPr>
        <sz val="8.5"/>
        <rFont val="Calibri"/>
        <family val="2"/>
      </rPr>
      <t>46.23.110</t>
    </r>
  </si>
  <si>
    <r>
      <rPr>
        <sz val="8.5"/>
        <rFont val="Calibri"/>
        <family val="2"/>
      </rPr>
      <t>Tubo de concreto classe EA-3, DN= 400 mm</t>
    </r>
  </si>
  <si>
    <r>
      <rPr>
        <sz val="8.5"/>
        <rFont val="Calibri"/>
        <family val="2"/>
      </rPr>
      <t>118,27</t>
    </r>
  </si>
  <si>
    <r>
      <rPr>
        <sz val="8.5"/>
        <rFont val="Calibri"/>
        <family val="2"/>
      </rPr>
      <t>129,89</t>
    </r>
  </si>
  <si>
    <r>
      <rPr>
        <sz val="8.5"/>
        <rFont val="Calibri"/>
        <family val="2"/>
      </rPr>
      <t>46.23.120</t>
    </r>
  </si>
  <si>
    <r>
      <rPr>
        <sz val="8.5"/>
        <rFont val="Calibri"/>
        <family val="2"/>
      </rPr>
      <t>Tubo de concreto classe EA-3, DN= 500 mm</t>
    </r>
  </si>
  <si>
    <r>
      <rPr>
        <sz val="8.5"/>
        <rFont val="Calibri"/>
        <family val="2"/>
      </rPr>
      <t>151,26</t>
    </r>
  </si>
  <si>
    <r>
      <rPr>
        <sz val="8.5"/>
        <rFont val="Calibri"/>
        <family val="2"/>
      </rPr>
      <t>17,42</t>
    </r>
  </si>
  <si>
    <r>
      <rPr>
        <sz val="8.5"/>
        <rFont val="Calibri"/>
        <family val="2"/>
      </rPr>
      <t>168,68</t>
    </r>
  </si>
  <si>
    <r>
      <rPr>
        <sz val="8.5"/>
        <rFont val="Calibri"/>
        <family val="2"/>
      </rPr>
      <t>46.23.130</t>
    </r>
  </si>
  <si>
    <r>
      <rPr>
        <sz val="8.5"/>
        <rFont val="Calibri"/>
        <family val="2"/>
      </rPr>
      <t>Tubo de concreto classe EA-3, DN= 600 mm</t>
    </r>
  </si>
  <si>
    <r>
      <rPr>
        <sz val="8.5"/>
        <rFont val="Calibri"/>
        <family val="2"/>
      </rPr>
      <t>192,75</t>
    </r>
  </si>
  <si>
    <r>
      <rPr>
        <sz val="8.5"/>
        <rFont val="Calibri"/>
        <family val="2"/>
      </rPr>
      <t>20,33</t>
    </r>
  </si>
  <si>
    <r>
      <rPr>
        <sz val="8.5"/>
        <rFont val="Calibri"/>
        <family val="2"/>
      </rPr>
      <t>213,08</t>
    </r>
  </si>
  <si>
    <r>
      <rPr>
        <sz val="8.5"/>
        <rFont val="Calibri"/>
        <family val="2"/>
      </rPr>
      <t>46.23.140</t>
    </r>
  </si>
  <si>
    <r>
      <rPr>
        <sz val="8.5"/>
        <rFont val="Calibri"/>
        <family val="2"/>
      </rPr>
      <t>Tubo de concreto classe EA-3, DN= 700 mm</t>
    </r>
  </si>
  <si>
    <r>
      <rPr>
        <sz val="8.5"/>
        <rFont val="Calibri"/>
        <family val="2"/>
      </rPr>
      <t>278,44</t>
    </r>
  </si>
  <si>
    <r>
      <rPr>
        <sz val="8.5"/>
        <rFont val="Calibri"/>
        <family val="2"/>
      </rPr>
      <t>301,67</t>
    </r>
  </si>
  <si>
    <r>
      <rPr>
        <sz val="8.5"/>
        <rFont val="Calibri"/>
        <family val="2"/>
      </rPr>
      <t>46.23.150</t>
    </r>
  </si>
  <si>
    <r>
      <rPr>
        <sz val="8.5"/>
        <rFont val="Calibri"/>
        <family val="2"/>
      </rPr>
      <t>Tubo de concreto classe EA-3, DN= 800 mm</t>
    </r>
  </si>
  <si>
    <r>
      <rPr>
        <sz val="8.5"/>
        <rFont val="Calibri"/>
        <family val="2"/>
      </rPr>
      <t>352,40</t>
    </r>
  </si>
  <si>
    <r>
      <rPr>
        <sz val="8.5"/>
        <rFont val="Calibri"/>
        <family val="2"/>
      </rPr>
      <t>381,44</t>
    </r>
  </si>
  <si>
    <r>
      <rPr>
        <sz val="8.5"/>
        <rFont val="Calibri"/>
        <family val="2"/>
      </rPr>
      <t>46.23.160</t>
    </r>
  </si>
  <si>
    <r>
      <rPr>
        <sz val="8.5"/>
        <rFont val="Calibri"/>
        <family val="2"/>
      </rPr>
      <t>Tubo de concreto classe EA-3, DN= 900 mm</t>
    </r>
  </si>
  <si>
    <r>
      <rPr>
        <sz val="8.5"/>
        <rFont val="Calibri"/>
        <family val="2"/>
      </rPr>
      <t>444,11</t>
    </r>
  </si>
  <si>
    <r>
      <rPr>
        <sz val="8.5"/>
        <rFont val="Calibri"/>
        <family val="2"/>
      </rPr>
      <t>34,85</t>
    </r>
  </si>
  <si>
    <r>
      <rPr>
        <sz val="8.5"/>
        <rFont val="Calibri"/>
        <family val="2"/>
      </rPr>
      <t>478,96</t>
    </r>
  </si>
  <si>
    <r>
      <rPr>
        <sz val="8.5"/>
        <rFont val="Calibri"/>
        <family val="2"/>
      </rPr>
      <t>46.23.170</t>
    </r>
  </si>
  <si>
    <r>
      <rPr>
        <sz val="8.5"/>
        <rFont val="Calibri"/>
        <family val="2"/>
      </rPr>
      <t>Tubo de concreto classe EA-3, DN= 1000 mm</t>
    </r>
  </si>
  <si>
    <r>
      <rPr>
        <sz val="8.5"/>
        <rFont val="Calibri"/>
        <family val="2"/>
      </rPr>
      <t>484,52</t>
    </r>
  </si>
  <si>
    <r>
      <rPr>
        <sz val="8.5"/>
        <rFont val="Calibri"/>
        <family val="2"/>
      </rPr>
      <t>528,08</t>
    </r>
  </si>
  <si>
    <r>
      <rPr>
        <sz val="8.5"/>
        <rFont val="Calibri"/>
        <family val="2"/>
      </rPr>
      <t>46.23.180</t>
    </r>
  </si>
  <si>
    <r>
      <rPr>
        <sz val="8.5"/>
        <rFont val="Calibri"/>
        <family val="2"/>
      </rPr>
      <t>Tubo de concreto classe EA-3, DN= 1200 mm</t>
    </r>
  </si>
  <si>
    <r>
      <rPr>
        <sz val="8.5"/>
        <rFont val="Calibri"/>
        <family val="2"/>
      </rPr>
      <t>690,95</t>
    </r>
  </si>
  <si>
    <r>
      <rPr>
        <sz val="8.5"/>
        <rFont val="Calibri"/>
        <family val="2"/>
      </rPr>
      <t>778,07</t>
    </r>
  </si>
  <si>
    <r>
      <rPr>
        <sz val="8.5"/>
        <rFont val="Calibri"/>
        <family val="2"/>
      </rPr>
      <t>Tubulacao em ferro fundido predial SMU - esgoto e pluvial</t>
    </r>
  </si>
  <si>
    <r>
      <rPr>
        <sz val="8.5"/>
        <rFont val="Calibri"/>
        <family val="2"/>
      </rPr>
      <t>46.26.010</t>
    </r>
  </si>
  <si>
    <r>
      <rPr>
        <sz val="8.5"/>
        <rFont val="Calibri"/>
        <family val="2"/>
      </rPr>
      <t>Tubo em ferro fundido com ponta e ponta, predial SMU, DN= 50 mm</t>
    </r>
  </si>
  <si>
    <r>
      <rPr>
        <sz val="8.5"/>
        <rFont val="Calibri"/>
        <family val="2"/>
      </rPr>
      <t>154,20</t>
    </r>
  </si>
  <si>
    <r>
      <rPr>
        <sz val="8.5"/>
        <rFont val="Calibri"/>
        <family val="2"/>
      </rPr>
      <t>172,40</t>
    </r>
  </si>
  <si>
    <r>
      <rPr>
        <sz val="8.5"/>
        <rFont val="Calibri"/>
        <family val="2"/>
      </rPr>
      <t>46.26.020</t>
    </r>
  </si>
  <si>
    <r>
      <rPr>
        <sz val="8.5"/>
        <rFont val="Calibri"/>
        <family val="2"/>
      </rPr>
      <t>Tubo em ferro fundido com ponta e ponta, predial SMU, DN= 75 mm</t>
    </r>
  </si>
  <si>
    <r>
      <rPr>
        <sz val="8.5"/>
        <rFont val="Calibri"/>
        <family val="2"/>
      </rPr>
      <t>159,95</t>
    </r>
  </si>
  <si>
    <r>
      <rPr>
        <sz val="8.5"/>
        <rFont val="Calibri"/>
        <family val="2"/>
      </rPr>
      <t>178,15</t>
    </r>
  </si>
  <si>
    <r>
      <rPr>
        <sz val="8.5"/>
        <rFont val="Calibri"/>
        <family val="2"/>
      </rPr>
      <t>46.26.030</t>
    </r>
  </si>
  <si>
    <r>
      <rPr>
        <sz val="8.5"/>
        <rFont val="Calibri"/>
        <family val="2"/>
      </rPr>
      <t>Tubo em ferro fundido com ponta e ponta, predial SMU, DN= 100 mm</t>
    </r>
  </si>
  <si>
    <r>
      <rPr>
        <sz val="8.5"/>
        <rFont val="Calibri"/>
        <family val="2"/>
      </rPr>
      <t>182,44</t>
    </r>
  </si>
  <si>
    <r>
      <rPr>
        <sz val="8.5"/>
        <rFont val="Calibri"/>
        <family val="2"/>
      </rPr>
      <t>46.26.040</t>
    </r>
  </si>
  <si>
    <r>
      <rPr>
        <sz val="8.5"/>
        <rFont val="Calibri"/>
        <family val="2"/>
      </rPr>
      <t>Tubo em ferro fundido com ponta e ponta, predial SMU, DN= 150 mm</t>
    </r>
  </si>
  <si>
    <r>
      <rPr>
        <sz val="8.5"/>
        <rFont val="Calibri"/>
        <family val="2"/>
      </rPr>
      <t>253,72</t>
    </r>
  </si>
  <si>
    <r>
      <rPr>
        <sz val="8.5"/>
        <rFont val="Calibri"/>
        <family val="2"/>
      </rPr>
      <t>279,18</t>
    </r>
  </si>
  <si>
    <r>
      <rPr>
        <sz val="8.5"/>
        <rFont val="Calibri"/>
        <family val="2"/>
      </rPr>
      <t>46.26.050</t>
    </r>
  </si>
  <si>
    <r>
      <rPr>
        <sz val="8.5"/>
        <rFont val="Calibri"/>
        <family val="2"/>
      </rPr>
      <t>Tubo em ferro fundido com ponta e ponta, predial SMU, DN= 200 mm</t>
    </r>
  </si>
  <si>
    <r>
      <rPr>
        <sz val="8.5"/>
        <rFont val="Calibri"/>
        <family val="2"/>
      </rPr>
      <t>610,82</t>
    </r>
  </si>
  <si>
    <r>
      <rPr>
        <sz val="8.5"/>
        <rFont val="Calibri"/>
        <family val="2"/>
      </rPr>
      <t>636,28</t>
    </r>
  </si>
  <si>
    <r>
      <rPr>
        <sz val="8.5"/>
        <rFont val="Calibri"/>
        <family val="2"/>
      </rPr>
      <t>46.26.060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</si>
  <si>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50 mm</t>
    </r>
  </si>
  <si>
    <r>
      <rPr>
        <sz val="8.5"/>
        <rFont val="Calibri"/>
        <family val="2"/>
      </rPr>
      <t>98,06</t>
    </r>
  </si>
  <si>
    <r>
      <rPr>
        <sz val="8.5"/>
        <rFont val="Calibri"/>
        <family val="2"/>
      </rPr>
      <t>112,62</t>
    </r>
  </si>
  <si>
    <r>
      <rPr>
        <sz val="8.5"/>
        <rFont val="Calibri"/>
        <family val="2"/>
      </rPr>
      <t>46.26.070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</si>
  <si>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75 mm</t>
    </r>
  </si>
  <si>
    <r>
      <rPr>
        <sz val="8.5"/>
        <rFont val="Calibri"/>
        <family val="2"/>
      </rPr>
      <t>131,81</t>
    </r>
  </si>
  <si>
    <r>
      <rPr>
        <sz val="8.5"/>
        <rFont val="Calibri"/>
        <family val="2"/>
      </rPr>
      <t>46.26.080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</si>
  <si>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100 mm</t>
    </r>
  </si>
  <si>
    <r>
      <rPr>
        <sz val="8.5"/>
        <rFont val="Calibri"/>
        <family val="2"/>
      </rPr>
      <t>137,74</t>
    </r>
  </si>
  <si>
    <r>
      <rPr>
        <sz val="8.5"/>
        <rFont val="Calibri"/>
        <family val="2"/>
      </rPr>
      <t>155,94</t>
    </r>
  </si>
  <si>
    <r>
      <rPr>
        <sz val="8.5"/>
        <rFont val="Calibri"/>
        <family val="2"/>
      </rPr>
      <t>46.26.090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</si>
  <si>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150 mm</t>
    </r>
  </si>
  <si>
    <r>
      <rPr>
        <sz val="8.5"/>
        <rFont val="Calibri"/>
        <family val="2"/>
      </rPr>
      <t>254,39</t>
    </r>
  </si>
  <si>
    <r>
      <rPr>
        <sz val="8.5"/>
        <rFont val="Calibri"/>
        <family val="2"/>
      </rPr>
      <t>272,59</t>
    </r>
  </si>
  <si>
    <r>
      <rPr>
        <sz val="8.5"/>
        <rFont val="Calibri"/>
        <family val="2"/>
      </rPr>
      <t>46.26.100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</si>
  <si>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200 mm</t>
    </r>
  </si>
  <si>
    <r>
      <rPr>
        <sz val="8.5"/>
        <rFont val="Calibri"/>
        <family val="2"/>
      </rPr>
      <t>417,78</t>
    </r>
  </si>
  <si>
    <r>
      <rPr>
        <sz val="8.5"/>
        <rFont val="Calibri"/>
        <family val="2"/>
      </rPr>
      <t>435,98</t>
    </r>
  </si>
  <si>
    <r>
      <rPr>
        <sz val="8.5"/>
        <rFont val="Calibri"/>
        <family val="2"/>
      </rPr>
      <t>46.26.110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</si>
  <si>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</si>
  <si>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1.160,55</t>
    </r>
  </si>
  <si>
    <r>
      <rPr>
        <sz val="8.5"/>
        <rFont val="Calibri"/>
        <family val="2"/>
      </rPr>
      <t>1.175,11</t>
    </r>
  </si>
  <si>
    <r>
      <rPr>
        <sz val="8.5"/>
        <rFont val="Calibri"/>
        <family val="2"/>
      </rPr>
      <t>46.26.120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</si>
  <si>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75 mm</t>
    </r>
  </si>
  <si>
    <r>
      <rPr>
        <sz val="8.5"/>
        <rFont val="Calibri"/>
        <family val="2"/>
      </rPr>
      <t>1.178,70</t>
    </r>
  </si>
  <si>
    <r>
      <rPr>
        <sz val="8.5"/>
        <rFont val="Calibri"/>
        <family val="2"/>
      </rPr>
      <t>1.193,26</t>
    </r>
  </si>
  <si>
    <r>
      <rPr>
        <sz val="8.5"/>
        <rFont val="Calibri"/>
        <family val="2"/>
      </rPr>
      <t>46.26.130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</si>
  <si>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100 mm</t>
    </r>
  </si>
  <si>
    <r>
      <rPr>
        <sz val="8.5"/>
        <rFont val="Calibri"/>
        <family val="2"/>
      </rPr>
      <t>1.318,95</t>
    </r>
  </si>
  <si>
    <r>
      <rPr>
        <sz val="8.5"/>
        <rFont val="Calibri"/>
        <family val="2"/>
      </rPr>
      <t>1.337,15</t>
    </r>
  </si>
  <si>
    <r>
      <rPr>
        <sz val="8.5"/>
        <rFont val="Calibri"/>
        <family val="2"/>
      </rPr>
      <t>46.26.136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</si>
  <si>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125 mm</t>
    </r>
  </si>
  <si>
    <r>
      <rPr>
        <sz val="8.5"/>
        <rFont val="Calibri"/>
        <family val="2"/>
      </rPr>
      <t>1.380,45</t>
    </r>
  </si>
  <si>
    <r>
      <rPr>
        <sz val="8.5"/>
        <rFont val="Calibri"/>
        <family val="2"/>
      </rPr>
      <t>1.398,65</t>
    </r>
  </si>
  <si>
    <r>
      <rPr>
        <sz val="8.5"/>
        <rFont val="Calibri"/>
        <family val="2"/>
      </rPr>
      <t>46.26.140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</si>
  <si>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150 mm</t>
    </r>
  </si>
  <si>
    <r>
      <rPr>
        <sz val="8.5"/>
        <rFont val="Calibri"/>
        <family val="2"/>
      </rPr>
      <t>1.830,24</t>
    </r>
  </si>
  <si>
    <r>
      <rPr>
        <sz val="8.5"/>
        <rFont val="Calibri"/>
        <family val="2"/>
      </rPr>
      <t>46.26.150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</si>
  <si>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200 mm</t>
    </r>
  </si>
  <si>
    <r>
      <rPr>
        <sz val="8.5"/>
        <rFont val="Calibri"/>
        <family val="2"/>
      </rPr>
      <t>2.925,41</t>
    </r>
  </si>
  <si>
    <r>
      <rPr>
        <sz val="8.5"/>
        <rFont val="Calibri"/>
        <family val="2"/>
      </rPr>
      <t>2.943,61</t>
    </r>
  </si>
  <si>
    <r>
      <rPr>
        <sz val="8.5"/>
        <rFont val="Calibri"/>
        <family val="2"/>
      </rPr>
      <t>46.26.200</t>
    </r>
  </si>
  <si>
    <r>
      <rPr>
        <sz val="8.5"/>
        <rFont val="Calibri"/>
        <family val="2"/>
      </rPr>
      <t>Tubo em ferro fundido com ponta e ponta, predial SMU, DN= 125 mm</t>
    </r>
  </si>
  <si>
    <r>
      <rPr>
        <sz val="8.5"/>
        <rFont val="Calibri"/>
        <family val="2"/>
      </rPr>
      <t>322,46</t>
    </r>
  </si>
  <si>
    <r>
      <rPr>
        <sz val="8.5"/>
        <rFont val="Calibri"/>
        <family val="2"/>
      </rPr>
      <t>347,92</t>
    </r>
  </si>
  <si>
    <r>
      <rPr>
        <sz val="8.5"/>
        <rFont val="Calibri"/>
        <family val="2"/>
      </rPr>
      <t>46.26.210</t>
    </r>
  </si>
  <si>
    <r>
      <rPr>
        <sz val="8.5"/>
        <rFont val="Calibri"/>
        <family val="2"/>
      </rPr>
      <t>Tubo em ferro fundido com ponta e ponta, predial SMU, DN= 250 mm</t>
    </r>
  </si>
  <si>
    <r>
      <rPr>
        <sz val="8.5"/>
        <rFont val="Calibri"/>
        <family val="2"/>
      </rPr>
      <t>803,50</t>
    </r>
  </si>
  <si>
    <r>
      <rPr>
        <sz val="8.5"/>
        <rFont val="Calibri"/>
        <family val="2"/>
      </rPr>
      <t>828,96</t>
    </r>
  </si>
  <si>
    <r>
      <rPr>
        <sz val="8.5"/>
        <rFont val="Calibri"/>
        <family val="2"/>
      </rPr>
      <t>46.26.400</t>
    </r>
  </si>
  <si>
    <r>
      <rPr>
        <sz val="8.5"/>
        <rFont val="Calibri"/>
        <family val="2"/>
      </rPr>
      <t>Joelho 45° em ferro fundido, predial SMU, DN= 50 mm</t>
    </r>
  </si>
  <si>
    <r>
      <rPr>
        <sz val="8.5"/>
        <rFont val="Calibri"/>
        <family val="2"/>
      </rPr>
      <t>152,89</t>
    </r>
  </si>
  <si>
    <r>
      <rPr>
        <sz val="8.5"/>
        <rFont val="Calibri"/>
        <family val="2"/>
      </rPr>
      <t>167,45</t>
    </r>
  </si>
  <si>
    <r>
      <rPr>
        <sz val="8.5"/>
        <rFont val="Calibri"/>
        <family val="2"/>
      </rPr>
      <t>46.26.410</t>
    </r>
  </si>
  <si>
    <r>
      <rPr>
        <sz val="8.5"/>
        <rFont val="Calibri"/>
        <family val="2"/>
      </rPr>
      <t>Joelho 45° em ferro fundido, predial SMU, DN= 75 mm</t>
    </r>
  </si>
  <si>
    <r>
      <rPr>
        <sz val="8.5"/>
        <rFont val="Calibri"/>
        <family val="2"/>
      </rPr>
      <t>186,80</t>
    </r>
  </si>
  <si>
    <r>
      <rPr>
        <sz val="8.5"/>
        <rFont val="Calibri"/>
        <family val="2"/>
      </rPr>
      <t>201,36</t>
    </r>
  </si>
  <si>
    <r>
      <rPr>
        <sz val="8.5"/>
        <rFont val="Calibri"/>
        <family val="2"/>
      </rPr>
      <t>46.26.420</t>
    </r>
  </si>
  <si>
    <r>
      <rPr>
        <sz val="8.5"/>
        <rFont val="Calibri"/>
        <family val="2"/>
      </rPr>
      <t>Joelho 45° em ferro fundido, predial SMU, DN= 100 mm</t>
    </r>
  </si>
  <si>
    <r>
      <rPr>
        <sz val="8.5"/>
        <rFont val="Calibri"/>
        <family val="2"/>
      </rPr>
      <t>213,97</t>
    </r>
  </si>
  <si>
    <r>
      <rPr>
        <sz val="8.5"/>
        <rFont val="Calibri"/>
        <family val="2"/>
      </rPr>
      <t>232,17</t>
    </r>
  </si>
  <si>
    <r>
      <rPr>
        <sz val="8.5"/>
        <rFont val="Calibri"/>
        <family val="2"/>
      </rPr>
      <t>46.26.426</t>
    </r>
  </si>
  <si>
    <r>
      <rPr>
        <sz val="8.5"/>
        <rFont val="Calibri"/>
        <family val="2"/>
      </rPr>
      <t>Joelho 45° em ferro fundido, predial SMU, DN= 125 mm</t>
    </r>
  </si>
  <si>
    <r>
      <rPr>
        <sz val="8.5"/>
        <rFont val="Calibri"/>
        <family val="2"/>
      </rPr>
      <t>372,67</t>
    </r>
  </si>
  <si>
    <r>
      <rPr>
        <sz val="8.5"/>
        <rFont val="Calibri"/>
        <family val="2"/>
      </rPr>
      <t>46.26.430</t>
    </r>
  </si>
  <si>
    <r>
      <rPr>
        <sz val="8.5"/>
        <rFont val="Calibri"/>
        <family val="2"/>
      </rPr>
      <t>Joelho 45° em ferro fundido, predial SMU, DN= 150 mm</t>
    </r>
  </si>
  <si>
    <r>
      <rPr>
        <sz val="8.5"/>
        <rFont val="Calibri"/>
        <family val="2"/>
      </rPr>
      <t>376,92</t>
    </r>
  </si>
  <si>
    <r>
      <rPr>
        <sz val="8.5"/>
        <rFont val="Calibri"/>
        <family val="2"/>
      </rPr>
      <t>46.26.440</t>
    </r>
  </si>
  <si>
    <r>
      <rPr>
        <sz val="8.5"/>
        <rFont val="Calibri"/>
        <family val="2"/>
      </rPr>
      <t>Joelho 45° em ferro fundido, predial SMU, DN= 200 mm</t>
    </r>
  </si>
  <si>
    <r>
      <rPr>
        <sz val="8.5"/>
        <rFont val="Calibri"/>
        <family val="2"/>
      </rPr>
      <t>767,56</t>
    </r>
  </si>
  <si>
    <r>
      <rPr>
        <sz val="8.5"/>
        <rFont val="Calibri"/>
        <family val="2"/>
      </rPr>
      <t>785,76</t>
    </r>
  </si>
  <si>
    <r>
      <rPr>
        <sz val="8.5"/>
        <rFont val="Calibri"/>
        <family val="2"/>
      </rPr>
      <t>46.26.460</t>
    </r>
  </si>
  <si>
    <r>
      <rPr>
        <sz val="8.5"/>
        <rFont val="Calibri"/>
        <family val="2"/>
      </rPr>
      <t>Joelho 88° em ferro fundido, predial SMU, DN= 50 mm</t>
    </r>
  </si>
  <si>
    <r>
      <rPr>
        <sz val="8.5"/>
        <rFont val="Calibri"/>
        <family val="2"/>
      </rPr>
      <t>179,49</t>
    </r>
  </si>
  <si>
    <r>
      <rPr>
        <sz val="8.5"/>
        <rFont val="Calibri"/>
        <family val="2"/>
      </rPr>
      <t>194,05</t>
    </r>
  </si>
  <si>
    <r>
      <rPr>
        <sz val="8.5"/>
        <rFont val="Calibri"/>
        <family val="2"/>
      </rPr>
      <t>46.26.470</t>
    </r>
  </si>
  <si>
    <r>
      <rPr>
        <sz val="8.5"/>
        <rFont val="Calibri"/>
        <family val="2"/>
      </rPr>
      <t>Joelho 88° em ferro fundido, predial SMU, DN= 75 mm</t>
    </r>
  </si>
  <si>
    <r>
      <rPr>
        <sz val="8.5"/>
        <rFont val="Calibri"/>
        <family val="2"/>
      </rPr>
      <t>190,97</t>
    </r>
  </si>
  <si>
    <r>
      <rPr>
        <sz val="8.5"/>
        <rFont val="Calibri"/>
        <family val="2"/>
      </rPr>
      <t>46.26.480</t>
    </r>
  </si>
  <si>
    <r>
      <rPr>
        <sz val="8.5"/>
        <rFont val="Calibri"/>
        <family val="2"/>
      </rPr>
      <t>Joelho 88° em ferro fundido, predial SMU, DN= 100 mm</t>
    </r>
  </si>
  <si>
    <r>
      <rPr>
        <sz val="8.5"/>
        <rFont val="Calibri"/>
        <family val="2"/>
      </rPr>
      <t>198,46</t>
    </r>
  </si>
  <si>
    <r>
      <rPr>
        <sz val="8.5"/>
        <rFont val="Calibri"/>
        <family val="2"/>
      </rPr>
      <t>216,66</t>
    </r>
  </si>
  <si>
    <r>
      <rPr>
        <sz val="8.5"/>
        <rFont val="Calibri"/>
        <family val="2"/>
      </rPr>
      <t>46.26.490</t>
    </r>
  </si>
  <si>
    <r>
      <rPr>
        <sz val="8.5"/>
        <rFont val="Calibri"/>
        <family val="2"/>
      </rPr>
      <t>Joelho 88° em ferro fundido, predial SMU, DN= 150 mm</t>
    </r>
  </si>
  <si>
    <r>
      <rPr>
        <sz val="8.5"/>
        <rFont val="Calibri"/>
        <family val="2"/>
      </rPr>
      <t>489,70</t>
    </r>
  </si>
  <si>
    <r>
      <rPr>
        <sz val="8.5"/>
        <rFont val="Calibri"/>
        <family val="2"/>
      </rPr>
      <t>507,90</t>
    </r>
  </si>
  <si>
    <r>
      <rPr>
        <sz val="8.5"/>
        <rFont val="Calibri"/>
        <family val="2"/>
      </rPr>
      <t>46.26.500</t>
    </r>
  </si>
  <si>
    <r>
      <rPr>
        <sz val="8.5"/>
        <rFont val="Calibri"/>
        <family val="2"/>
      </rPr>
      <t>Joelho 88° em ferro fundido, predial SMU, DN= 200 mm</t>
    </r>
  </si>
  <si>
    <r>
      <rPr>
        <sz val="8.5"/>
        <rFont val="Calibri"/>
        <family val="2"/>
      </rPr>
      <t>785,28</t>
    </r>
  </si>
  <si>
    <r>
      <rPr>
        <sz val="8.5"/>
        <rFont val="Calibri"/>
        <family val="2"/>
      </rPr>
      <t>803,48</t>
    </r>
  </si>
  <si>
    <r>
      <rPr>
        <sz val="8.5"/>
        <rFont val="Calibri"/>
        <family val="2"/>
      </rPr>
      <t>46.26.510</t>
    </r>
  </si>
  <si>
    <r>
      <rPr>
        <sz val="8.5"/>
        <rFont val="Calibri"/>
        <family val="2"/>
      </rPr>
      <t>Junção 45° em ferro fundido, predial SMU, DN= 50 x 50 mm</t>
    </r>
  </si>
  <si>
    <r>
      <rPr>
        <sz val="8.5"/>
        <rFont val="Calibri"/>
        <family val="2"/>
      </rPr>
      <t>253,42</t>
    </r>
  </si>
  <si>
    <r>
      <rPr>
        <sz val="8.5"/>
        <rFont val="Calibri"/>
        <family val="2"/>
      </rPr>
      <t>267,98</t>
    </r>
  </si>
  <si>
    <r>
      <rPr>
        <sz val="8.5"/>
        <rFont val="Calibri"/>
        <family val="2"/>
      </rPr>
      <t>46.26.516</t>
    </r>
  </si>
  <si>
    <r>
      <rPr>
        <sz val="8.5"/>
        <rFont val="Calibri"/>
        <family val="2"/>
      </rPr>
      <t>Junção 45° em ferro fundido, predial SMU, DN= 75 x 50 mm</t>
    </r>
  </si>
  <si>
    <r>
      <rPr>
        <sz val="8.5"/>
        <rFont val="Calibri"/>
        <family val="2"/>
      </rPr>
      <t>282,60</t>
    </r>
  </si>
  <si>
    <r>
      <rPr>
        <sz val="8.5"/>
        <rFont val="Calibri"/>
        <family val="2"/>
      </rPr>
      <t>297,16</t>
    </r>
  </si>
  <si>
    <r>
      <rPr>
        <sz val="8.5"/>
        <rFont val="Calibri"/>
        <family val="2"/>
      </rPr>
      <t>46.26.520</t>
    </r>
  </si>
  <si>
    <r>
      <rPr>
        <sz val="8.5"/>
        <rFont val="Calibri"/>
        <family val="2"/>
      </rPr>
      <t>Junção 45° em ferro fundido, predial SMU, DN= 75 x 75 mm</t>
    </r>
  </si>
  <si>
    <r>
      <rPr>
        <sz val="8.5"/>
        <rFont val="Calibri"/>
        <family val="2"/>
      </rPr>
      <t>307,85</t>
    </r>
  </si>
  <si>
    <r>
      <rPr>
        <sz val="8.5"/>
        <rFont val="Calibri"/>
        <family val="2"/>
      </rPr>
      <t>322,41</t>
    </r>
  </si>
  <si>
    <r>
      <rPr>
        <sz val="8.5"/>
        <rFont val="Calibri"/>
        <family val="2"/>
      </rPr>
      <t>46.26.540</t>
    </r>
  </si>
  <si>
    <r>
      <rPr>
        <sz val="8.5"/>
        <rFont val="Calibri"/>
        <family val="2"/>
      </rPr>
      <t>Junção 45° em ferro fundido, predial SMU, DN= 100 x 75 mm</t>
    </r>
  </si>
  <si>
    <r>
      <rPr>
        <sz val="8.5"/>
        <rFont val="Calibri"/>
        <family val="2"/>
      </rPr>
      <t>387,26</t>
    </r>
  </si>
  <si>
    <r>
      <rPr>
        <sz val="8.5"/>
        <rFont val="Calibri"/>
        <family val="2"/>
      </rPr>
      <t>46.26.550</t>
    </r>
  </si>
  <si>
    <r>
      <rPr>
        <sz val="8.5"/>
        <rFont val="Calibri"/>
        <family val="2"/>
      </rPr>
      <t>Junção 45° em ferro fundido, predial SMU, DN= 100 x 100 mm</t>
    </r>
  </si>
  <si>
    <r>
      <rPr>
        <sz val="8.5"/>
        <rFont val="Calibri"/>
        <family val="2"/>
      </rPr>
      <t>371,28</t>
    </r>
  </si>
  <si>
    <r>
      <rPr>
        <sz val="8.5"/>
        <rFont val="Calibri"/>
        <family val="2"/>
      </rPr>
      <t>389,48</t>
    </r>
  </si>
  <si>
    <r>
      <rPr>
        <sz val="8.5"/>
        <rFont val="Calibri"/>
        <family val="2"/>
      </rPr>
      <t>46.26.560</t>
    </r>
  </si>
  <si>
    <r>
      <rPr>
        <sz val="8.5"/>
        <rFont val="Calibri"/>
        <family val="2"/>
      </rPr>
      <t>Junção 45° em ferro fundido, predial SMU, DN= 150 x 150 mm</t>
    </r>
  </si>
  <si>
    <r>
      <rPr>
        <sz val="8.5"/>
        <rFont val="Calibri"/>
        <family val="2"/>
      </rPr>
      <t>879,26</t>
    </r>
  </si>
  <si>
    <r>
      <rPr>
        <sz val="8.5"/>
        <rFont val="Calibri"/>
        <family val="2"/>
      </rPr>
      <t>897,46</t>
    </r>
  </si>
  <si>
    <r>
      <rPr>
        <sz val="8.5"/>
        <rFont val="Calibri"/>
        <family val="2"/>
      </rPr>
      <t>46.26.580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</si>
  <si>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125 mm</t>
    </r>
  </si>
  <si>
    <r>
      <rPr>
        <sz val="8.5"/>
        <rFont val="Calibri"/>
        <family val="2"/>
      </rPr>
      <t>237,76</t>
    </r>
  </si>
  <si>
    <r>
      <rPr>
        <sz val="8.5"/>
        <rFont val="Calibri"/>
        <family val="2"/>
      </rPr>
      <t>255,96</t>
    </r>
  </si>
  <si>
    <r>
      <rPr>
        <sz val="8.5"/>
        <rFont val="Calibri"/>
        <family val="2"/>
      </rPr>
      <t>46.26.590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</si>
  <si>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250 mm</t>
    </r>
  </si>
  <si>
    <r>
      <rPr>
        <sz val="8.5"/>
        <rFont val="Calibri"/>
        <family val="2"/>
      </rPr>
      <t>610,56</t>
    </r>
  </si>
  <si>
    <r>
      <rPr>
        <sz val="8.5"/>
        <rFont val="Calibri"/>
        <family val="2"/>
      </rPr>
      <t>628,76</t>
    </r>
  </si>
  <si>
    <r>
      <rPr>
        <sz val="8.5"/>
        <rFont val="Calibri"/>
        <family val="2"/>
      </rPr>
      <t>46.26.600</t>
    </r>
  </si>
  <si>
    <r>
      <rPr>
        <sz val="8.5"/>
        <rFont val="Calibri"/>
        <family val="2"/>
      </rPr>
      <t>Redução excêntrica em ferro fundido, predial SMU, DN= 75 x 50 mm</t>
    </r>
  </si>
  <si>
    <r>
      <rPr>
        <sz val="8.5"/>
        <rFont val="Calibri"/>
        <family val="2"/>
      </rPr>
      <t>185,76</t>
    </r>
  </si>
  <si>
    <r>
      <rPr>
        <sz val="8.5"/>
        <rFont val="Calibri"/>
        <family val="2"/>
      </rPr>
      <t>200,32</t>
    </r>
  </si>
  <si>
    <r>
      <rPr>
        <sz val="8.5"/>
        <rFont val="Calibri"/>
        <family val="2"/>
      </rPr>
      <t>46.26.610</t>
    </r>
  </si>
  <si>
    <r>
      <rPr>
        <sz val="8.5"/>
        <rFont val="Calibri"/>
        <family val="2"/>
      </rPr>
      <t>Redução excêntrica em ferro fundido, predial SMU, DN= 100 x 75 mm</t>
    </r>
  </si>
  <si>
    <r>
      <rPr>
        <sz val="8.5"/>
        <rFont val="Calibri"/>
        <family val="2"/>
      </rPr>
      <t>224,29</t>
    </r>
  </si>
  <si>
    <r>
      <rPr>
        <sz val="8.5"/>
        <rFont val="Calibri"/>
        <family val="2"/>
      </rPr>
      <t>242,49</t>
    </r>
  </si>
  <si>
    <r>
      <rPr>
        <sz val="8.5"/>
        <rFont val="Calibri"/>
        <family val="2"/>
      </rPr>
      <t>46.26.612</t>
    </r>
  </si>
  <si>
    <r>
      <rPr>
        <sz val="8.5"/>
        <rFont val="Calibri"/>
        <family val="2"/>
      </rPr>
      <t>Redução excêntrica em ferro fundido, predial SMU, DN= 125 x 75 mm</t>
    </r>
  </si>
  <si>
    <r>
      <rPr>
        <sz val="8.5"/>
        <rFont val="Calibri"/>
        <family val="2"/>
      </rPr>
      <t>244,25</t>
    </r>
  </si>
  <si>
    <r>
      <rPr>
        <sz val="8.5"/>
        <rFont val="Calibri"/>
        <family val="2"/>
      </rPr>
      <t>262,45</t>
    </r>
  </si>
  <si>
    <r>
      <rPr>
        <sz val="8.5"/>
        <rFont val="Calibri"/>
        <family val="2"/>
      </rPr>
      <t>46.26.614</t>
    </r>
  </si>
  <si>
    <r>
      <rPr>
        <sz val="8.5"/>
        <rFont val="Calibri"/>
        <family val="2"/>
      </rPr>
      <t>Redução excêntrica em ferro fundido, predial SMU, DN= 125 x 100 mm</t>
    </r>
  </si>
  <si>
    <r>
      <rPr>
        <sz val="8.5"/>
        <rFont val="Calibri"/>
        <family val="2"/>
      </rPr>
      <t>265,90</t>
    </r>
  </si>
  <si>
    <r>
      <rPr>
        <sz val="8.5"/>
        <rFont val="Calibri"/>
        <family val="2"/>
      </rPr>
      <t>284,10</t>
    </r>
  </si>
  <si>
    <r>
      <rPr>
        <sz val="8.5"/>
        <rFont val="Calibri"/>
        <family val="2"/>
      </rPr>
      <t>46.26.616</t>
    </r>
  </si>
  <si>
    <r>
      <rPr>
        <sz val="8.5"/>
        <rFont val="Calibri"/>
        <family val="2"/>
      </rPr>
      <t>Redução excêntrica em ferro fundido, predial SMU, DN= 150 x 75 mm</t>
    </r>
  </si>
  <si>
    <r>
      <rPr>
        <sz val="8.5"/>
        <rFont val="Calibri"/>
        <family val="2"/>
      </rPr>
      <t>623,78</t>
    </r>
  </si>
  <si>
    <r>
      <rPr>
        <sz val="8.5"/>
        <rFont val="Calibri"/>
        <family val="2"/>
      </rPr>
      <t>641,98</t>
    </r>
  </si>
  <si>
    <r>
      <rPr>
        <sz val="8.5"/>
        <rFont val="Calibri"/>
        <family val="2"/>
      </rPr>
      <t>46.26.632</t>
    </r>
  </si>
  <si>
    <r>
      <rPr>
        <sz val="8.5"/>
        <rFont val="Calibri"/>
        <family val="2"/>
      </rPr>
      <t>Redução excêntrica em ferro fundido, predial SMU, DN= 150 x 100 mm</t>
    </r>
  </si>
  <si>
    <r>
      <rPr>
        <sz val="8.5"/>
        <rFont val="Calibri"/>
        <family val="2"/>
      </rPr>
      <t>615,36</t>
    </r>
  </si>
  <si>
    <r>
      <rPr>
        <sz val="8.5"/>
        <rFont val="Calibri"/>
        <family val="2"/>
      </rPr>
      <t>633,56</t>
    </r>
  </si>
  <si>
    <r>
      <rPr>
        <sz val="8.5"/>
        <rFont val="Calibri"/>
        <family val="2"/>
      </rPr>
      <t>46.26.636</t>
    </r>
  </si>
  <si>
    <r>
      <rPr>
        <sz val="8.5"/>
        <rFont val="Calibri"/>
        <family val="2"/>
      </rPr>
      <t>Redução excêntrica em ferro fundido, predial SMU, DN= 200 x 125 mm</t>
    </r>
  </si>
  <si>
    <r>
      <rPr>
        <sz val="8.5"/>
        <rFont val="Calibri"/>
        <family val="2"/>
      </rPr>
      <t>631,12</t>
    </r>
  </si>
  <si>
    <r>
      <rPr>
        <sz val="8.5"/>
        <rFont val="Calibri"/>
        <family val="2"/>
      </rPr>
      <t>649,32</t>
    </r>
  </si>
  <si>
    <r>
      <rPr>
        <sz val="8.5"/>
        <rFont val="Calibri"/>
        <family val="2"/>
      </rPr>
      <t>46.26.640</t>
    </r>
  </si>
  <si>
    <r>
      <rPr>
        <sz val="8.5"/>
        <rFont val="Calibri"/>
        <family val="2"/>
      </rPr>
      <t>Redução excêntrica em ferro fundido, predial SMU, DN= 200 x 150 mm</t>
    </r>
  </si>
  <si>
    <r>
      <rPr>
        <sz val="8.5"/>
        <rFont val="Calibri"/>
        <family val="2"/>
      </rPr>
      <t>655,87</t>
    </r>
  </si>
  <si>
    <r>
      <rPr>
        <sz val="8.5"/>
        <rFont val="Calibri"/>
        <family val="2"/>
      </rPr>
      <t>674,07</t>
    </r>
  </si>
  <si>
    <r>
      <rPr>
        <sz val="8.5"/>
        <rFont val="Calibri"/>
        <family val="2"/>
      </rPr>
      <t>46.26.690</t>
    </r>
  </si>
  <si>
    <r>
      <rPr>
        <sz val="8.5"/>
        <rFont val="Calibri"/>
        <family val="2"/>
      </rPr>
      <t>Redução excêntrica em ferro fundido, predial SMU, DN= 250 x 200 mm</t>
    </r>
  </si>
  <si>
    <r>
      <rPr>
        <sz val="8.5"/>
        <rFont val="Calibri"/>
        <family val="2"/>
      </rPr>
      <t>1.220,01</t>
    </r>
  </si>
  <si>
    <r>
      <rPr>
        <sz val="8.5"/>
        <rFont val="Calibri"/>
        <family val="2"/>
      </rPr>
      <t>1.238,21</t>
    </r>
  </si>
  <si>
    <r>
      <rPr>
        <sz val="8.5"/>
        <rFont val="Calibri"/>
        <family val="2"/>
      </rPr>
      <t>46.26.700</t>
    </r>
  </si>
  <si>
    <r>
      <rPr>
        <sz val="8.5"/>
        <rFont val="Calibri"/>
        <family val="2"/>
      </rPr>
      <t>Te de visita em ferro fundido, predial SMU, DN= 75 mm</t>
    </r>
  </si>
  <si>
    <r>
      <rPr>
        <sz val="8.5"/>
        <rFont val="Calibri"/>
        <family val="2"/>
      </rPr>
      <t>633,19</t>
    </r>
  </si>
  <si>
    <r>
      <rPr>
        <sz val="8.5"/>
        <rFont val="Calibri"/>
        <family val="2"/>
      </rPr>
      <t>647,75</t>
    </r>
  </si>
  <si>
    <r>
      <rPr>
        <sz val="8.5"/>
        <rFont val="Calibri"/>
        <family val="2"/>
      </rPr>
      <t>46.26.710</t>
    </r>
  </si>
  <si>
    <r>
      <rPr>
        <sz val="8.5"/>
        <rFont val="Calibri"/>
        <family val="2"/>
      </rPr>
      <t>Te de visita em ferro fundido, predial SMU, DN= 100 mm</t>
    </r>
  </si>
  <si>
    <r>
      <rPr>
        <sz val="8.5"/>
        <rFont val="Calibri"/>
        <family val="2"/>
      </rPr>
      <t>779,96</t>
    </r>
  </si>
  <si>
    <r>
      <rPr>
        <sz val="8.5"/>
        <rFont val="Calibri"/>
        <family val="2"/>
      </rPr>
      <t>798,16</t>
    </r>
  </si>
  <si>
    <r>
      <rPr>
        <sz val="8.5"/>
        <rFont val="Calibri"/>
        <family val="2"/>
      </rPr>
      <t>46.26.720</t>
    </r>
  </si>
  <si>
    <r>
      <rPr>
        <sz val="8.5"/>
        <rFont val="Calibri"/>
        <family val="2"/>
      </rPr>
      <t>Te de visita em ferro fundido, predial SMU, DN= 125 mm</t>
    </r>
  </si>
  <si>
    <r>
      <rPr>
        <sz val="8.5"/>
        <rFont val="Calibri"/>
        <family val="2"/>
      </rPr>
      <t>1.051,84</t>
    </r>
  </si>
  <si>
    <r>
      <rPr>
        <sz val="8.5"/>
        <rFont val="Calibri"/>
        <family val="2"/>
      </rPr>
      <t>1.070,04</t>
    </r>
  </si>
  <si>
    <r>
      <rPr>
        <sz val="8.5"/>
        <rFont val="Calibri"/>
        <family val="2"/>
      </rPr>
      <t>46.26.730</t>
    </r>
  </si>
  <si>
    <r>
      <rPr>
        <sz val="8.5"/>
        <rFont val="Calibri"/>
        <family val="2"/>
      </rPr>
      <t>Te de visita em ferro fundido, predial SMU, DN= 150 mm</t>
    </r>
  </si>
  <si>
    <r>
      <rPr>
        <sz val="8.5"/>
        <rFont val="Calibri"/>
        <family val="2"/>
      </rPr>
      <t>1.484,73</t>
    </r>
  </si>
  <si>
    <r>
      <rPr>
        <sz val="8.5"/>
        <rFont val="Calibri"/>
        <family val="2"/>
      </rPr>
      <t>1.502,93</t>
    </r>
  </si>
  <si>
    <r>
      <rPr>
        <sz val="8.5"/>
        <rFont val="Calibri"/>
        <family val="2"/>
      </rPr>
      <t>46.26.740</t>
    </r>
  </si>
  <si>
    <r>
      <rPr>
        <sz val="8.5"/>
        <rFont val="Calibri"/>
        <family val="2"/>
      </rPr>
      <t>Te de visita em ferro fundido, predial SMU, DN= 200 mm</t>
    </r>
  </si>
  <si>
    <r>
      <rPr>
        <sz val="8.5"/>
        <rFont val="Calibri"/>
        <family val="2"/>
      </rPr>
      <t>2.704,59</t>
    </r>
  </si>
  <si>
    <r>
      <rPr>
        <sz val="8.5"/>
        <rFont val="Calibri"/>
        <family val="2"/>
      </rPr>
      <t>2.722,79</t>
    </r>
  </si>
  <si>
    <r>
      <rPr>
        <sz val="8.5"/>
        <rFont val="Calibri"/>
        <family val="2"/>
      </rPr>
      <t>46.26.800</t>
    </r>
  </si>
  <si>
    <r>
      <rPr>
        <sz val="8.5"/>
        <rFont val="Calibri"/>
        <family val="2"/>
      </rPr>
      <t>Abraçadeira dentada para travamento em aço inoxidável, com parafuso de aço zincado, para tubo em ferro fundido predial SMU, DN= 50 mm</t>
    </r>
  </si>
  <si>
    <r>
      <rPr>
        <sz val="8.5"/>
        <rFont val="Calibri"/>
        <family val="2"/>
      </rPr>
      <t>488,32</t>
    </r>
  </si>
  <si>
    <r>
      <rPr>
        <sz val="8.5"/>
        <rFont val="Calibri"/>
        <family val="2"/>
      </rPr>
      <t>502,88</t>
    </r>
  </si>
  <si>
    <r>
      <rPr>
        <sz val="8.5"/>
        <rFont val="Calibri"/>
        <family val="2"/>
      </rPr>
      <t>46.26.810</t>
    </r>
  </si>
  <si>
    <r>
      <rPr>
        <sz val="8.5"/>
        <rFont val="Calibri"/>
        <family val="2"/>
      </rPr>
      <t>Abraçadeira dentada para travamento em aço inoxidável, com parafuso de aço zincado, para tubo em ferro fundido predial SMU, DN= 75 mm</t>
    </r>
  </si>
  <si>
    <r>
      <rPr>
        <sz val="8.5"/>
        <rFont val="Calibri"/>
        <family val="2"/>
      </rPr>
      <t>447,29</t>
    </r>
  </si>
  <si>
    <r>
      <rPr>
        <sz val="8.5"/>
        <rFont val="Calibri"/>
        <family val="2"/>
      </rPr>
      <t>461,85</t>
    </r>
  </si>
  <si>
    <r>
      <rPr>
        <sz val="8.5"/>
        <rFont val="Calibri"/>
        <family val="2"/>
      </rPr>
      <t>46.26.820</t>
    </r>
  </si>
  <si>
    <r>
      <rPr>
        <sz val="8.5"/>
        <rFont val="Calibri"/>
        <family val="2"/>
      </rPr>
      <t>Abraçadeira dentada para travamento em aço inoxidável, com parafuso de aço zincado, para tubo em ferro fundido predial SMU, DN= 100 mm</t>
    </r>
  </si>
  <si>
    <r>
      <rPr>
        <sz val="8.5"/>
        <rFont val="Calibri"/>
        <family val="2"/>
      </rPr>
      <t>554,67</t>
    </r>
  </si>
  <si>
    <r>
      <rPr>
        <sz val="8.5"/>
        <rFont val="Calibri"/>
        <family val="2"/>
      </rPr>
      <t>572,87</t>
    </r>
  </si>
  <si>
    <r>
      <rPr>
        <sz val="8.5"/>
        <rFont val="Calibri"/>
        <family val="2"/>
      </rPr>
      <t>46.26.830</t>
    </r>
  </si>
  <si>
    <r>
      <rPr>
        <sz val="8.5"/>
        <rFont val="Calibri"/>
        <family val="2"/>
      </rPr>
      <t>Abraçadeira dentada para travamento em aço inoxidável, com parafuso de aço zincado, para tubo em ferro fundido predial SMU, DN= 150 mm</t>
    </r>
  </si>
  <si>
    <r>
      <rPr>
        <sz val="8.5"/>
        <rFont val="Calibri"/>
        <family val="2"/>
      </rPr>
      <t>784,59</t>
    </r>
  </si>
  <si>
    <r>
      <rPr>
        <sz val="8.5"/>
        <rFont val="Calibri"/>
        <family val="2"/>
      </rPr>
      <t>802,79</t>
    </r>
  </si>
  <si>
    <r>
      <rPr>
        <sz val="8.5"/>
        <rFont val="Calibri"/>
        <family val="2"/>
      </rPr>
      <t>46.26.840</t>
    </r>
  </si>
  <si>
    <r>
      <rPr>
        <sz val="8.5"/>
        <rFont val="Calibri"/>
        <family val="2"/>
      </rPr>
      <t>Tampão simples em ferro fundido, predial SMU, DN= 150 mm</t>
    </r>
  </si>
  <si>
    <r>
      <rPr>
        <sz val="8.5"/>
        <rFont val="Calibri"/>
        <family val="2"/>
      </rPr>
      <t>331,10</t>
    </r>
  </si>
  <si>
    <r>
      <rPr>
        <sz val="8.5"/>
        <rFont val="Calibri"/>
        <family val="2"/>
      </rPr>
      <t>349,30</t>
    </r>
  </si>
  <si>
    <r>
      <rPr>
        <sz val="8.5"/>
        <rFont val="Calibri"/>
        <family val="2"/>
      </rPr>
      <t>46.26.843</t>
    </r>
  </si>
  <si>
    <r>
      <rPr>
        <sz val="8.5"/>
        <rFont val="Calibri"/>
        <family val="2"/>
      </rPr>
      <t>Tampão simples em ferro fundido, predial SMU, DN= 200 mm</t>
    </r>
  </si>
  <si>
    <r>
      <rPr>
        <sz val="8.5"/>
        <rFont val="Calibri"/>
        <family val="2"/>
      </rPr>
      <t>766,16</t>
    </r>
  </si>
  <si>
    <r>
      <rPr>
        <sz val="8.5"/>
        <rFont val="Calibri"/>
        <family val="2"/>
      </rPr>
      <t>784,36</t>
    </r>
  </si>
  <si>
    <r>
      <rPr>
        <sz val="8.5"/>
        <rFont val="Calibri"/>
        <family val="2"/>
      </rPr>
      <t>46.26.900</t>
    </r>
  </si>
  <si>
    <r>
      <rPr>
        <sz val="8.5"/>
        <rFont val="Calibri"/>
        <family val="2"/>
      </rPr>
      <t>Junção 45° em ferro fundido, predial SMU, DN= 125 x 100 mm</t>
    </r>
  </si>
  <si>
    <r>
      <rPr>
        <sz val="8.5"/>
        <rFont val="Calibri"/>
        <family val="2"/>
      </rPr>
      <t>678,13</t>
    </r>
  </si>
  <si>
    <r>
      <rPr>
        <sz val="8.5"/>
        <rFont val="Calibri"/>
        <family val="2"/>
      </rPr>
      <t>696,33</t>
    </r>
  </si>
  <si>
    <r>
      <rPr>
        <sz val="8.5"/>
        <rFont val="Calibri"/>
        <family val="2"/>
      </rPr>
      <t>46.26.910</t>
    </r>
  </si>
  <si>
    <r>
      <rPr>
        <sz val="8.5"/>
        <rFont val="Calibri"/>
        <family val="2"/>
      </rPr>
      <t>Junção 45° em ferro fundido, predial SMU, DN= 150 x 100 mm</t>
    </r>
  </si>
  <si>
    <r>
      <rPr>
        <sz val="8.5"/>
        <rFont val="Calibri"/>
        <family val="2"/>
      </rPr>
      <t>998,39</t>
    </r>
  </si>
  <si>
    <r>
      <rPr>
        <sz val="8.5"/>
        <rFont val="Calibri"/>
        <family val="2"/>
      </rPr>
      <t>1.016,59</t>
    </r>
  </si>
  <si>
    <r>
      <rPr>
        <sz val="8.5"/>
        <rFont val="Calibri"/>
        <family val="2"/>
      </rPr>
      <t>46.26.920</t>
    </r>
  </si>
  <si>
    <r>
      <rPr>
        <sz val="8.5"/>
        <rFont val="Calibri"/>
        <family val="2"/>
      </rPr>
      <t>Junção 45° em ferro fundido, predial SMU, DN= 200 x 100 mm</t>
    </r>
  </si>
  <si>
    <r>
      <rPr>
        <sz val="8.5"/>
        <rFont val="Calibri"/>
        <family val="2"/>
      </rPr>
      <t>2.090,03</t>
    </r>
  </si>
  <si>
    <r>
      <rPr>
        <sz val="8.5"/>
        <rFont val="Calibri"/>
        <family val="2"/>
      </rPr>
      <t>2.108,23</t>
    </r>
  </si>
  <si>
    <r>
      <rPr>
        <sz val="8.5"/>
        <rFont val="Calibri"/>
        <family val="2"/>
      </rPr>
      <t>46.26.930</t>
    </r>
  </si>
  <si>
    <r>
      <rPr>
        <sz val="8.5"/>
        <rFont val="Calibri"/>
        <family val="2"/>
      </rPr>
      <t>Junção 45° em ferro fundido, predial SMU, DN= 200 x 200 mm</t>
    </r>
  </si>
  <si>
    <r>
      <rPr>
        <sz val="8.5"/>
        <rFont val="Calibri"/>
        <family val="2"/>
      </rPr>
      <t>3.810,76</t>
    </r>
  </si>
  <si>
    <r>
      <rPr>
        <sz val="8.5"/>
        <rFont val="Calibri"/>
        <family val="2"/>
      </rPr>
      <t>3.828,96</t>
    </r>
  </si>
  <si>
    <r>
      <rPr>
        <sz val="8.5"/>
        <rFont val="Calibri"/>
        <family val="2"/>
      </rPr>
      <t>Tubulacao em cobre, para sistema de ar condicionado</t>
    </r>
  </si>
  <si>
    <r>
      <rPr>
        <sz val="8.5"/>
        <rFont val="Calibri"/>
        <family val="2"/>
      </rPr>
      <t>46.27.050</t>
    </r>
  </si>
  <si>
    <r>
      <rPr>
        <sz val="8.5"/>
        <rFont val="Calibri"/>
        <family val="2"/>
      </rPr>
      <t xml:space="preserve">Tubo de cobre flexível, espessura 1/32" - diâmetro 3/16",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</si>
  <si>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8,81</t>
    </r>
  </si>
  <si>
    <r>
      <rPr>
        <sz val="8.5"/>
        <rFont val="Calibri"/>
        <family val="2"/>
      </rPr>
      <t>6,01</t>
    </r>
  </si>
  <si>
    <r>
      <rPr>
        <sz val="8.5"/>
        <rFont val="Calibri"/>
        <family val="2"/>
      </rPr>
      <t>14,82</t>
    </r>
  </si>
  <si>
    <r>
      <rPr>
        <sz val="8.5"/>
        <rFont val="Calibri"/>
        <family val="2"/>
      </rPr>
      <t>46.27.060</t>
    </r>
  </si>
  <si>
    <r>
      <rPr>
        <sz val="8.5"/>
        <rFont val="Calibri"/>
        <family val="2"/>
      </rPr>
      <t xml:space="preserve">Tubo de cobre flexível, espessura 1/32" - diâmetro 1/4",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</si>
  <si>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11,98</t>
    </r>
  </si>
  <si>
    <r>
      <rPr>
        <sz val="8.5"/>
        <rFont val="Calibri"/>
        <family val="2"/>
      </rPr>
      <t>17,99</t>
    </r>
  </si>
  <si>
    <r>
      <rPr>
        <sz val="8.5"/>
        <rFont val="Calibri"/>
        <family val="2"/>
      </rPr>
      <t>46.27.070</t>
    </r>
  </si>
  <si>
    <r>
      <rPr>
        <sz val="8.5"/>
        <rFont val="Calibri"/>
        <family val="2"/>
      </rPr>
      <t xml:space="preserve">Tubo de cobre flexível, espessura 1/32" - diâmetro 5/16",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</si>
  <si>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14,19</t>
    </r>
  </si>
  <si>
    <r>
      <rPr>
        <sz val="8.5"/>
        <rFont val="Calibri"/>
        <family val="2"/>
      </rPr>
      <t>20,20</t>
    </r>
  </si>
  <si>
    <r>
      <rPr>
        <sz val="8.5"/>
        <rFont val="Calibri"/>
        <family val="2"/>
      </rPr>
      <t>46.27.080</t>
    </r>
  </si>
  <si>
    <r>
      <rPr>
        <sz val="8.5"/>
        <rFont val="Calibri"/>
        <family val="2"/>
      </rPr>
      <t xml:space="preserve">Tubo de cobre flexível, espessura 1/32" - diâmetro 3/8",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</si>
  <si>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18,90</t>
    </r>
  </si>
  <si>
    <r>
      <rPr>
        <sz val="8.5"/>
        <rFont val="Calibri"/>
        <family val="2"/>
      </rPr>
      <t>28,00</t>
    </r>
  </si>
  <si>
    <r>
      <rPr>
        <sz val="8.5"/>
        <rFont val="Calibri"/>
        <family val="2"/>
      </rPr>
      <t>46.27.090</t>
    </r>
  </si>
  <si>
    <r>
      <rPr>
        <sz val="8.5"/>
        <rFont val="Calibri"/>
        <family val="2"/>
      </rPr>
      <t xml:space="preserve">Tubo de cobre flexível, espessura 1/32" - diâmetro 1/2",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</si>
  <si>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35,04</t>
    </r>
  </si>
  <si>
    <r>
      <rPr>
        <sz val="8.5"/>
        <rFont val="Calibri"/>
        <family val="2"/>
      </rPr>
      <t>46.27.100</t>
    </r>
  </si>
  <si>
    <r>
      <rPr>
        <sz val="8.5"/>
        <rFont val="Calibri"/>
        <family val="2"/>
      </rPr>
      <t xml:space="preserve">Tubo de cobre flexível, espessura 1/32" - diâmetro 5/8",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</si>
  <si>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33,48</t>
    </r>
  </si>
  <si>
    <r>
      <rPr>
        <sz val="8.5"/>
        <rFont val="Calibri"/>
        <family val="2"/>
      </rPr>
      <t>46.27.110</t>
    </r>
  </si>
  <si>
    <r>
      <rPr>
        <sz val="8.5"/>
        <rFont val="Calibri"/>
        <family val="2"/>
      </rPr>
      <t xml:space="preserve">Tubo de cobre flexível, espessura 1/32" - diâmetro 3/4",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</si>
  <si>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38,42</t>
    </r>
  </si>
  <si>
    <r>
      <rPr>
        <sz val="8.5"/>
        <rFont val="Calibri"/>
        <family val="2"/>
      </rPr>
      <t>47,52</t>
    </r>
  </si>
  <si>
    <r>
      <rPr>
        <sz val="8.5"/>
        <rFont val="Calibri"/>
        <family val="2"/>
      </rPr>
      <t>Tubulacao em cobre rigido, para sistema VRF de ar condicionado</t>
    </r>
  </si>
  <si>
    <r>
      <rPr>
        <sz val="8.5"/>
        <rFont val="Calibri"/>
        <family val="2"/>
      </rPr>
      <t>46.32.001</t>
    </r>
  </si>
  <si>
    <r>
      <rPr>
        <sz val="8.5"/>
        <rFont val="Calibri"/>
        <family val="2"/>
      </rPr>
      <t xml:space="preserve">Tubo de cobre sem costura, rígido, espessura 1/16" - diâmetro 3/8",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</si>
  <si>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45,69</t>
    </r>
  </si>
  <si>
    <r>
      <rPr>
        <sz val="8.5"/>
        <rFont val="Calibri"/>
        <family val="2"/>
      </rPr>
      <t>58,79</t>
    </r>
  </si>
  <si>
    <r>
      <rPr>
        <sz val="8.5"/>
        <rFont val="Calibri"/>
        <family val="2"/>
      </rPr>
      <t>46.32.002</t>
    </r>
  </si>
  <si>
    <r>
      <rPr>
        <sz val="8.5"/>
        <rFont val="Calibri"/>
        <family val="2"/>
      </rPr>
      <t xml:space="preserve">Tubo de cobre sem costura, rígido, espessura 1/16" - diâmetro 1/2",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</si>
  <si>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64,87</t>
    </r>
  </si>
  <si>
    <r>
      <rPr>
        <sz val="8.5"/>
        <rFont val="Calibri"/>
        <family val="2"/>
      </rPr>
      <t>46.32.003</t>
    </r>
  </si>
  <si>
    <r>
      <rPr>
        <sz val="8.5"/>
        <rFont val="Calibri"/>
        <family val="2"/>
      </rPr>
      <t xml:space="preserve">Tubo de cobre sem costura, rígido, espessura 1/16" - diâmetro 5/8",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</si>
  <si>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92,01</t>
    </r>
  </si>
  <si>
    <r>
      <rPr>
        <sz val="8.5"/>
        <rFont val="Calibri"/>
        <family val="2"/>
      </rPr>
      <t>46.32.004</t>
    </r>
  </si>
  <si>
    <r>
      <rPr>
        <sz val="8.5"/>
        <rFont val="Calibri"/>
        <family val="2"/>
      </rPr>
      <t xml:space="preserve">Tubo de cobre sem costura, rígido, espessura 1/16" - diâmetro 3/4",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</si>
  <si>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99,07</t>
    </r>
  </si>
  <si>
    <r>
      <rPr>
        <sz val="8.5"/>
        <rFont val="Calibri"/>
        <family val="2"/>
      </rPr>
      <t>112,17</t>
    </r>
  </si>
  <si>
    <r>
      <rPr>
        <sz val="8.5"/>
        <rFont val="Calibri"/>
        <family val="2"/>
      </rPr>
      <t>46.32.005</t>
    </r>
  </si>
  <si>
    <r>
      <rPr>
        <sz val="8.5"/>
        <rFont val="Calibri"/>
        <family val="2"/>
      </rPr>
      <t xml:space="preserve">Tubo de cobre sem costura, rígido, espessura 1/16" - diâmetro 7/8",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</si>
  <si>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129,28</t>
    </r>
  </si>
  <si>
    <r>
      <rPr>
        <sz val="8.5"/>
        <rFont val="Calibri"/>
        <family val="2"/>
      </rPr>
      <t>46.32.006</t>
    </r>
  </si>
  <si>
    <r>
      <rPr>
        <sz val="8.5"/>
        <rFont val="Calibri"/>
        <family val="2"/>
      </rPr>
      <t xml:space="preserve">Tubo de cobre sem costura, rígido, espessura 1/16" - diâmetro 1",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</si>
  <si>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132,38</t>
    </r>
  </si>
  <si>
    <r>
      <rPr>
        <sz val="8.5"/>
        <rFont val="Calibri"/>
        <family val="2"/>
      </rPr>
      <t>145,48</t>
    </r>
  </si>
  <si>
    <r>
      <rPr>
        <sz val="8.5"/>
        <rFont val="Calibri"/>
        <family val="2"/>
      </rPr>
      <t>46.32.007</t>
    </r>
  </si>
  <si>
    <r>
      <rPr>
        <sz val="8.5"/>
        <rFont val="Calibri"/>
        <family val="2"/>
      </rPr>
      <t xml:space="preserve">Tubo de cobre sem costura, rígido, espessura 1/16" - diâmetro 1.1/8",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</si>
  <si>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151,34</t>
    </r>
  </si>
  <si>
    <r>
      <rPr>
        <sz val="8.5"/>
        <rFont val="Calibri"/>
        <family val="2"/>
      </rPr>
      <t>164,44</t>
    </r>
  </si>
  <si>
    <r>
      <rPr>
        <sz val="8.5"/>
        <rFont val="Calibri"/>
        <family val="2"/>
      </rPr>
      <t>46.32.008</t>
    </r>
  </si>
  <si>
    <r>
      <rPr>
        <sz val="8.5"/>
        <rFont val="Calibri"/>
        <family val="2"/>
      </rPr>
      <t xml:space="preserve">Tubo de cobre sem costura, rígido, espessura 1/16" - diâmetro 1.1/4",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</si>
  <si>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170,82</t>
    </r>
  </si>
  <si>
    <r>
      <rPr>
        <sz val="8.5"/>
        <rFont val="Calibri"/>
        <family val="2"/>
      </rPr>
      <t>183,92</t>
    </r>
  </si>
  <si>
    <r>
      <rPr>
        <sz val="8.5"/>
        <rFont val="Calibri"/>
        <family val="2"/>
      </rPr>
      <t>46.32.009</t>
    </r>
  </si>
  <si>
    <r>
      <rPr>
        <sz val="8.5"/>
        <rFont val="Calibri"/>
        <family val="2"/>
      </rPr>
      <t xml:space="preserve">Tubo de cobre sem costura, rígido, espessura 1/16" - diâmetro 1.3/8",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</si>
  <si>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187,30</t>
    </r>
  </si>
  <si>
    <r>
      <rPr>
        <sz val="8.5"/>
        <rFont val="Calibri"/>
        <family val="2"/>
      </rPr>
      <t>200,40</t>
    </r>
  </si>
  <si>
    <r>
      <rPr>
        <sz val="8.5"/>
        <rFont val="Calibri"/>
        <family val="2"/>
      </rPr>
      <t>46.32.010</t>
    </r>
  </si>
  <si>
    <r>
      <rPr>
        <sz val="8.5"/>
        <rFont val="Calibri"/>
        <family val="2"/>
      </rPr>
      <t xml:space="preserve">Tubo de cobre sem costura, rígido, espessura 1/16" - diâmetro 1.1/2",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</si>
  <si>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203,14</t>
    </r>
  </si>
  <si>
    <r>
      <rPr>
        <sz val="8.5"/>
        <rFont val="Calibri"/>
        <family val="2"/>
      </rPr>
      <t>216,24</t>
    </r>
  </si>
  <si>
    <r>
      <rPr>
        <sz val="8.5"/>
        <rFont val="Calibri"/>
        <family val="2"/>
      </rPr>
      <t>46.32.011</t>
    </r>
  </si>
  <si>
    <r>
      <rPr>
        <sz val="8.5"/>
        <rFont val="Calibri"/>
        <family val="2"/>
      </rPr>
      <t xml:space="preserve">Tubo de cobre sem costura, rígido, espessura 1/16" - diâmetro 1.5/8",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</si>
  <si>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223,80</t>
    </r>
  </si>
  <si>
    <r>
      <rPr>
        <sz val="8.5"/>
        <rFont val="Calibri"/>
        <family val="2"/>
      </rPr>
      <t>236,90</t>
    </r>
  </si>
  <si>
    <r>
      <rPr>
        <sz val="8.5"/>
        <rFont val="Calibri"/>
        <family val="2"/>
      </rPr>
      <t>Tubulacao em PP - aguas pluviais / esgoto</t>
    </r>
  </si>
  <si>
    <r>
      <rPr>
        <sz val="8.5"/>
        <rFont val="Calibri"/>
        <family val="2"/>
      </rPr>
      <t>46.33.001</t>
    </r>
  </si>
  <si>
    <r>
      <rPr>
        <sz val="8.5"/>
        <rFont val="Calibri"/>
        <family val="2"/>
      </rPr>
      <t>Tubo de esgoto em polipropileno de alta resistência - PP, DN= 40mm, preto, com união deslizante e guarnição elastomérica de duplo lábio</t>
    </r>
  </si>
  <si>
    <r>
      <rPr>
        <sz val="8.5"/>
        <rFont val="Calibri"/>
        <family val="2"/>
      </rPr>
      <t>50,54</t>
    </r>
  </si>
  <si>
    <r>
      <rPr>
        <sz val="8.5"/>
        <rFont val="Calibri"/>
        <family val="2"/>
      </rPr>
      <t>63,27</t>
    </r>
  </si>
  <si>
    <r>
      <rPr>
        <sz val="8.5"/>
        <rFont val="Calibri"/>
        <family val="2"/>
      </rPr>
      <t>46.33.002</t>
    </r>
  </si>
  <si>
    <r>
      <rPr>
        <sz val="8.5"/>
        <rFont val="Calibri"/>
        <family val="2"/>
      </rPr>
      <t>Tubo de esgoto em polipropileno de alta resistência - PP, DN= 50mm, preto, com união deslizante e guarnição elastomérica de duplo lábio</t>
    </r>
  </si>
  <si>
    <r>
      <rPr>
        <sz val="8.5"/>
        <rFont val="Calibri"/>
        <family val="2"/>
      </rPr>
      <t>73,47</t>
    </r>
  </si>
  <si>
    <r>
      <rPr>
        <sz val="8.5"/>
        <rFont val="Calibri"/>
        <family val="2"/>
      </rPr>
      <t>46.33.003</t>
    </r>
  </si>
  <si>
    <r>
      <rPr>
        <sz val="8.5"/>
        <rFont val="Calibri"/>
        <family val="2"/>
      </rPr>
      <t>Tubo de esgoto em polipropileno de alta resistência - PP, DN= 63mm, preto, com união deslizante e guarnição elastomérica de duplo lábio</t>
    </r>
  </si>
  <si>
    <r>
      <rPr>
        <sz val="8.5"/>
        <rFont val="Calibri"/>
        <family val="2"/>
      </rPr>
      <t>65,21</t>
    </r>
  </si>
  <si>
    <r>
      <rPr>
        <sz val="8.5"/>
        <rFont val="Calibri"/>
        <family val="2"/>
      </rPr>
      <t>46.33.004</t>
    </r>
  </si>
  <si>
    <r>
      <rPr>
        <sz val="8.5"/>
        <rFont val="Calibri"/>
        <family val="2"/>
      </rPr>
      <t>Tubo de esgoto em polipropileno de alta resistência - PP, DN= 110mm, preto, com união deslizante e guarnição elastomérica de duplo lábio</t>
    </r>
  </si>
  <si>
    <r>
      <rPr>
        <sz val="8.5"/>
        <rFont val="Calibri"/>
        <family val="2"/>
      </rPr>
      <t>130,21</t>
    </r>
  </si>
  <si>
    <r>
      <rPr>
        <sz val="8.5"/>
        <rFont val="Calibri"/>
        <family val="2"/>
      </rPr>
      <t>19,09</t>
    </r>
  </si>
  <si>
    <r>
      <rPr>
        <sz val="8.5"/>
        <rFont val="Calibri"/>
        <family val="2"/>
      </rPr>
      <t>149,30</t>
    </r>
  </si>
  <si>
    <r>
      <rPr>
        <sz val="8.5"/>
        <rFont val="Calibri"/>
        <family val="2"/>
      </rPr>
      <t>46.33.020</t>
    </r>
  </si>
  <si>
    <r>
      <rPr>
        <sz val="8.5"/>
        <rFont val="Calibri"/>
        <family val="2"/>
      </rPr>
      <t xml:space="preserve">Joelho 45° em polipropileno de alta resistência, preto, tipo PB, DN=
</t>
    </r>
    <r>
      <rPr>
        <sz val="8.5"/>
        <rFont val="Calibri"/>
        <family val="2"/>
      </rPr>
      <t>40mm</t>
    </r>
  </si>
  <si>
    <r>
      <rPr>
        <sz val="8.5"/>
        <rFont val="Calibri"/>
        <family val="2"/>
      </rPr>
      <t>15,20</t>
    </r>
  </si>
  <si>
    <r>
      <rPr>
        <sz val="8.5"/>
        <rFont val="Calibri"/>
        <family val="2"/>
      </rPr>
      <t>23,57</t>
    </r>
  </si>
  <si>
    <r>
      <rPr>
        <sz val="8.5"/>
        <rFont val="Calibri"/>
        <family val="2"/>
      </rPr>
      <t>46.33.021</t>
    </r>
  </si>
  <si>
    <r>
      <rPr>
        <sz val="8.5"/>
        <rFont val="Calibri"/>
        <family val="2"/>
      </rPr>
      <t xml:space="preserve">Joelho 45° em polipropileno de alta resistência - PP, preto, tipo PB, DN=
</t>
    </r>
    <r>
      <rPr>
        <sz val="8.5"/>
        <rFont val="Calibri"/>
        <family val="2"/>
      </rPr>
      <t>50mm</t>
    </r>
  </si>
  <si>
    <r>
      <rPr>
        <sz val="8.5"/>
        <rFont val="Calibri"/>
        <family val="2"/>
      </rPr>
      <t>46.33.022</t>
    </r>
  </si>
  <si>
    <r>
      <rPr>
        <sz val="8.5"/>
        <rFont val="Calibri"/>
        <family val="2"/>
      </rPr>
      <t xml:space="preserve">Joelho 45° em polipropileno de alta resistência - PP, preto, tipo PB, DN=
</t>
    </r>
    <r>
      <rPr>
        <sz val="8.5"/>
        <rFont val="Calibri"/>
        <family val="2"/>
      </rPr>
      <t>63mm</t>
    </r>
  </si>
  <si>
    <r>
      <rPr>
        <sz val="8.5"/>
        <rFont val="Calibri"/>
        <family val="2"/>
      </rPr>
      <t>22,02</t>
    </r>
  </si>
  <si>
    <r>
      <rPr>
        <sz val="8.5"/>
        <rFont val="Calibri"/>
        <family val="2"/>
      </rPr>
      <t>34,75</t>
    </r>
  </si>
  <si>
    <r>
      <rPr>
        <sz val="8.5"/>
        <rFont val="Calibri"/>
        <family val="2"/>
      </rPr>
      <t>46.33.023</t>
    </r>
  </si>
  <si>
    <r>
      <rPr>
        <sz val="8.5"/>
        <rFont val="Calibri"/>
        <family val="2"/>
      </rPr>
      <t xml:space="preserve">Joelho 45° em polipropileno de alta resistência - PP, preto, tipo PB, DN=
</t>
    </r>
    <r>
      <rPr>
        <sz val="8.5"/>
        <rFont val="Calibri"/>
        <family val="2"/>
      </rPr>
      <t>110mm</t>
    </r>
  </si>
  <si>
    <r>
      <rPr>
        <sz val="8.5"/>
        <rFont val="Calibri"/>
        <family val="2"/>
      </rPr>
      <t>50,58</t>
    </r>
  </si>
  <si>
    <r>
      <rPr>
        <sz val="8.5"/>
        <rFont val="Calibri"/>
        <family val="2"/>
      </rPr>
      <t>46.33.047</t>
    </r>
  </si>
  <si>
    <r>
      <rPr>
        <sz val="8.5"/>
        <rFont val="Calibri"/>
        <family val="2"/>
      </rPr>
      <t xml:space="preserve">Joelho 87°30' em polipropileno de alta resistência - PP, preto, tipo PB,
</t>
    </r>
    <r>
      <rPr>
        <sz val="8.5"/>
        <rFont val="Calibri"/>
        <family val="2"/>
      </rPr>
      <t>DN= 40mm</t>
    </r>
  </si>
  <si>
    <r>
      <rPr>
        <sz val="8.5"/>
        <rFont val="Calibri"/>
        <family val="2"/>
      </rPr>
      <t>22,34</t>
    </r>
  </si>
  <si>
    <r>
      <rPr>
        <sz val="8.5"/>
        <rFont val="Calibri"/>
        <family val="2"/>
      </rPr>
      <t>46.33.048</t>
    </r>
  </si>
  <si>
    <r>
      <rPr>
        <sz val="8.5"/>
        <rFont val="Calibri"/>
        <family val="2"/>
      </rPr>
      <t xml:space="preserve">Joelho 87°30' em polipropileno de alta resistência - PP, preto, tipo PB,
</t>
    </r>
    <r>
      <rPr>
        <sz val="8.5"/>
        <rFont val="Calibri"/>
        <family val="2"/>
      </rPr>
      <t>DN= 50mm</t>
    </r>
  </si>
  <si>
    <r>
      <rPr>
        <sz val="8.5"/>
        <rFont val="Calibri"/>
        <family val="2"/>
      </rPr>
      <t>26,63</t>
    </r>
  </si>
  <si>
    <r>
      <rPr>
        <sz val="8.5"/>
        <rFont val="Calibri"/>
        <family val="2"/>
      </rPr>
      <t>46.33.049</t>
    </r>
  </si>
  <si>
    <r>
      <rPr>
        <sz val="8.5"/>
        <rFont val="Calibri"/>
        <family val="2"/>
      </rPr>
      <t xml:space="preserve">Joelho 87°30' em polipropileno de alta resistência - PP, preto, tipo PB,
</t>
    </r>
    <r>
      <rPr>
        <sz val="8.5"/>
        <rFont val="Calibri"/>
        <family val="2"/>
      </rPr>
      <t>DN= 63mm</t>
    </r>
  </si>
  <si>
    <r>
      <rPr>
        <sz val="8.5"/>
        <rFont val="Calibri"/>
        <family val="2"/>
      </rPr>
      <t>35,07</t>
    </r>
  </si>
  <si>
    <r>
      <rPr>
        <sz val="8.5"/>
        <rFont val="Calibri"/>
        <family val="2"/>
      </rPr>
      <t>46.33.074</t>
    </r>
  </si>
  <si>
    <r>
      <rPr>
        <sz val="8.5"/>
        <rFont val="Calibri"/>
        <family val="2"/>
      </rPr>
      <t xml:space="preserve">Joelho 87°30' em polipropileno de alta resistência - PP, preto, tipo PB,
</t>
    </r>
    <r>
      <rPr>
        <sz val="8.5"/>
        <rFont val="Calibri"/>
        <family val="2"/>
      </rPr>
      <t>DN= 110mm, com base de apoio</t>
    </r>
  </si>
  <si>
    <r>
      <rPr>
        <sz val="8.5"/>
        <rFont val="Calibri"/>
        <family val="2"/>
      </rPr>
      <t>59,60</t>
    </r>
  </si>
  <si>
    <r>
      <rPr>
        <sz val="8.5"/>
        <rFont val="Calibri"/>
        <family val="2"/>
      </rPr>
      <t>74,16</t>
    </r>
  </si>
  <si>
    <r>
      <rPr>
        <sz val="8.5"/>
        <rFont val="Calibri"/>
        <family val="2"/>
      </rPr>
      <t>46.33.102</t>
    </r>
  </si>
  <si>
    <r>
      <rPr>
        <sz val="8.5"/>
        <rFont val="Calibri"/>
        <family val="2"/>
      </rPr>
      <t>Luva dupla em polipropileno de alta resistência - PP,  preto,  DN= 40mm</t>
    </r>
  </si>
  <si>
    <r>
      <rPr>
        <sz val="8.5"/>
        <rFont val="Calibri"/>
        <family val="2"/>
      </rPr>
      <t>16,87</t>
    </r>
  </si>
  <si>
    <r>
      <rPr>
        <sz val="8.5"/>
        <rFont val="Calibri"/>
        <family val="2"/>
      </rPr>
      <t>25,24</t>
    </r>
  </si>
  <si>
    <r>
      <rPr>
        <sz val="8.5"/>
        <rFont val="Calibri"/>
        <family val="2"/>
      </rPr>
      <t>46.33.103</t>
    </r>
  </si>
  <si>
    <r>
      <rPr>
        <sz val="8.5"/>
        <rFont val="Calibri"/>
        <family val="2"/>
      </rPr>
      <t>Luva dupla em polipropileno de alta resistência - PP,  preto,  DN= 50mm</t>
    </r>
  </si>
  <si>
    <r>
      <rPr>
        <sz val="8.5"/>
        <rFont val="Calibri"/>
        <family val="2"/>
      </rPr>
      <t>18,71</t>
    </r>
  </si>
  <si>
    <r>
      <rPr>
        <sz val="8.5"/>
        <rFont val="Calibri"/>
        <family val="2"/>
      </rPr>
      <t>27,08</t>
    </r>
  </si>
  <si>
    <r>
      <rPr>
        <sz val="8.5"/>
        <rFont val="Calibri"/>
        <family val="2"/>
      </rPr>
      <t>46.33.104</t>
    </r>
  </si>
  <si>
    <r>
      <rPr>
        <sz val="8.5"/>
        <rFont val="Calibri"/>
        <family val="2"/>
      </rPr>
      <t>Luva dupla em polipropileno de alta resistência - PP,  preto,  DN= 63mm</t>
    </r>
  </si>
  <si>
    <r>
      <rPr>
        <sz val="8.5"/>
        <rFont val="Calibri"/>
        <family val="2"/>
      </rPr>
      <t>26,44</t>
    </r>
  </si>
  <si>
    <r>
      <rPr>
        <sz val="8.5"/>
        <rFont val="Calibri"/>
        <family val="2"/>
      </rPr>
      <t>39,17</t>
    </r>
  </si>
  <si>
    <r>
      <rPr>
        <sz val="8.5"/>
        <rFont val="Calibri"/>
        <family val="2"/>
      </rPr>
      <t>46.33.105</t>
    </r>
  </si>
  <si>
    <r>
      <rPr>
        <sz val="8.5"/>
        <rFont val="Calibri"/>
        <family val="2"/>
      </rPr>
      <t>Luva dupla em polipropileno de alta resistência - PP,  preto,  DN= 110mm</t>
    </r>
  </si>
  <si>
    <r>
      <rPr>
        <sz val="8.5"/>
        <rFont val="Calibri"/>
        <family val="2"/>
      </rPr>
      <t>38,54</t>
    </r>
  </si>
  <si>
    <r>
      <rPr>
        <sz val="8.5"/>
        <rFont val="Calibri"/>
        <family val="2"/>
      </rPr>
      <t>53,10</t>
    </r>
  </si>
  <si>
    <r>
      <rPr>
        <sz val="8.5"/>
        <rFont val="Calibri"/>
        <family val="2"/>
      </rPr>
      <t>46.33.116</t>
    </r>
  </si>
  <si>
    <r>
      <rPr>
        <sz val="8.5"/>
        <rFont val="Calibri"/>
        <family val="2"/>
      </rPr>
      <t xml:space="preserve">Luva de Redução em polipropileno de alta resistência - PP, preto, tipo
</t>
    </r>
    <r>
      <rPr>
        <sz val="8.5"/>
        <rFont val="Calibri"/>
        <family val="2"/>
      </rPr>
      <t>PB, DN= 50x40mm</t>
    </r>
  </si>
  <si>
    <r>
      <rPr>
        <sz val="8.5"/>
        <rFont val="Calibri"/>
        <family val="2"/>
      </rPr>
      <t>11,92</t>
    </r>
  </si>
  <si>
    <r>
      <rPr>
        <sz val="8.5"/>
        <rFont val="Calibri"/>
        <family val="2"/>
      </rPr>
      <t>20,29</t>
    </r>
  </si>
  <si>
    <r>
      <rPr>
        <sz val="8.5"/>
        <rFont val="Calibri"/>
        <family val="2"/>
      </rPr>
      <t>46.33.117</t>
    </r>
  </si>
  <si>
    <r>
      <rPr>
        <sz val="8.5"/>
        <rFont val="Calibri"/>
        <family val="2"/>
      </rPr>
      <t xml:space="preserve">Luva de Redução em polipropileno de alta resistência - PP, preto, tipo
</t>
    </r>
    <r>
      <rPr>
        <sz val="8.5"/>
        <rFont val="Calibri"/>
        <family val="2"/>
      </rPr>
      <t>PB, DN= 63x50mm</t>
    </r>
  </si>
  <si>
    <r>
      <rPr>
        <sz val="8.5"/>
        <rFont val="Calibri"/>
        <family val="2"/>
      </rPr>
      <t>19,03</t>
    </r>
  </si>
  <si>
    <r>
      <rPr>
        <sz val="8.5"/>
        <rFont val="Calibri"/>
        <family val="2"/>
      </rPr>
      <t>31,76</t>
    </r>
  </si>
  <si>
    <r>
      <rPr>
        <sz val="8.5"/>
        <rFont val="Calibri"/>
        <family val="2"/>
      </rPr>
      <t>46.33.118</t>
    </r>
  </si>
  <si>
    <r>
      <rPr>
        <sz val="8.5"/>
        <rFont val="Calibri"/>
        <family val="2"/>
      </rPr>
      <t xml:space="preserve">Luva de Redução em polipropileno de alta resistência - PP, preto, tipo
</t>
    </r>
    <r>
      <rPr>
        <sz val="8.5"/>
        <rFont val="Calibri"/>
        <family val="2"/>
      </rPr>
      <t>PB, DN= 110x63mm</t>
    </r>
  </si>
  <si>
    <r>
      <rPr>
        <sz val="8.5"/>
        <rFont val="Calibri"/>
        <family val="2"/>
      </rPr>
      <t>30,53</t>
    </r>
  </si>
  <si>
    <r>
      <rPr>
        <sz val="8.5"/>
        <rFont val="Calibri"/>
        <family val="2"/>
      </rPr>
      <t>45,09</t>
    </r>
  </si>
  <si>
    <r>
      <rPr>
        <sz val="8.5"/>
        <rFont val="Calibri"/>
        <family val="2"/>
      </rPr>
      <t>46.33.130</t>
    </r>
  </si>
  <si>
    <r>
      <rPr>
        <sz val="8.5"/>
        <rFont val="Calibri"/>
        <family val="2"/>
      </rPr>
      <t xml:space="preserve">Tê 87°30' simples em polipropileno de alta resistência - PP, preto, tipo
</t>
    </r>
    <r>
      <rPr>
        <sz val="8.5"/>
        <rFont val="Calibri"/>
        <family val="2"/>
      </rPr>
      <t>PB, DN= 50x50mm</t>
    </r>
  </si>
  <si>
    <r>
      <rPr>
        <sz val="8.5"/>
        <rFont val="Calibri"/>
        <family val="2"/>
      </rPr>
      <t>43,37</t>
    </r>
  </si>
  <si>
    <r>
      <rPr>
        <sz val="8.5"/>
        <rFont val="Calibri"/>
        <family val="2"/>
      </rPr>
      <t>51,74</t>
    </r>
  </si>
  <si>
    <r>
      <rPr>
        <sz val="8.5"/>
        <rFont val="Calibri"/>
        <family val="2"/>
      </rPr>
      <t>46.33.131</t>
    </r>
  </si>
  <si>
    <r>
      <rPr>
        <sz val="8.5"/>
        <rFont val="Calibri"/>
        <family val="2"/>
      </rPr>
      <t xml:space="preserve">Tê 87°30' simples em polipropileno de alta resistência - PP, preto, tipo
</t>
    </r>
    <r>
      <rPr>
        <sz val="8.5"/>
        <rFont val="Calibri"/>
        <family val="2"/>
      </rPr>
      <t>PB, DN= 63x63mm</t>
    </r>
  </si>
  <si>
    <r>
      <rPr>
        <sz val="8.5"/>
        <rFont val="Calibri"/>
        <family val="2"/>
      </rPr>
      <t>55,64</t>
    </r>
  </si>
  <si>
    <r>
      <rPr>
        <sz val="8.5"/>
        <rFont val="Calibri"/>
        <family val="2"/>
      </rPr>
      <t>68,37</t>
    </r>
  </si>
  <si>
    <r>
      <rPr>
        <sz val="8.5"/>
        <rFont val="Calibri"/>
        <family val="2"/>
      </rPr>
      <t>46.33.132</t>
    </r>
  </si>
  <si>
    <r>
      <rPr>
        <sz val="8.5"/>
        <rFont val="Calibri"/>
        <family val="2"/>
      </rPr>
      <t xml:space="preserve">Tê 87°30' simples em polipropileno de alta resistência - PP, preto, tipo
</t>
    </r>
    <r>
      <rPr>
        <sz val="8.5"/>
        <rFont val="Calibri"/>
        <family val="2"/>
      </rPr>
      <t>PB, DN= 110x110mm</t>
    </r>
  </si>
  <si>
    <r>
      <rPr>
        <sz val="8.5"/>
        <rFont val="Calibri"/>
        <family val="2"/>
      </rPr>
      <t>91,99</t>
    </r>
  </si>
  <si>
    <r>
      <rPr>
        <sz val="8.5"/>
        <rFont val="Calibri"/>
        <family val="2"/>
      </rPr>
      <t>106,55</t>
    </r>
  </si>
  <si>
    <r>
      <rPr>
        <sz val="8.5"/>
        <rFont val="Calibri"/>
        <family val="2"/>
      </rPr>
      <t>46.33.137</t>
    </r>
  </si>
  <si>
    <r>
      <rPr>
        <sz val="8.5"/>
        <rFont val="Calibri"/>
        <family val="2"/>
      </rPr>
      <t xml:space="preserve">Tê 87°30' simples de redução em polipropileno de alta resistência - PP,
</t>
    </r>
    <r>
      <rPr>
        <sz val="8.5"/>
        <rFont val="Calibri"/>
        <family val="2"/>
      </rPr>
      <t>preto, tipo PB, DN= 110x63mm</t>
    </r>
  </si>
  <si>
    <r>
      <rPr>
        <sz val="8.5"/>
        <rFont val="Calibri"/>
        <family val="2"/>
      </rPr>
      <t>72,35</t>
    </r>
  </si>
  <si>
    <r>
      <rPr>
        <sz val="8.5"/>
        <rFont val="Calibri"/>
        <family val="2"/>
      </rPr>
      <t>86,91</t>
    </r>
  </si>
  <si>
    <r>
      <rPr>
        <sz val="8.5"/>
        <rFont val="Calibri"/>
        <family val="2"/>
      </rPr>
      <t>46.33.140</t>
    </r>
  </si>
  <si>
    <r>
      <rPr>
        <sz val="8.5"/>
        <rFont val="Calibri"/>
        <family val="2"/>
      </rPr>
      <t xml:space="preserve">Tê 87°30' de inspeção em polipropileno de alta resistência - PP, preto
</t>
    </r>
    <r>
      <rPr>
        <sz val="8.5"/>
        <rFont val="Calibri"/>
        <family val="2"/>
      </rPr>
      <t>(PxB), DN 110mm</t>
    </r>
  </si>
  <si>
    <r>
      <rPr>
        <sz val="8.5"/>
        <rFont val="Calibri"/>
        <family val="2"/>
      </rPr>
      <t>230,07</t>
    </r>
  </si>
  <si>
    <r>
      <rPr>
        <sz val="8.5"/>
        <rFont val="Calibri"/>
        <family val="2"/>
      </rPr>
      <t>242,80</t>
    </r>
  </si>
  <si>
    <r>
      <rPr>
        <sz val="8.5"/>
        <rFont val="Calibri"/>
        <family val="2"/>
      </rPr>
      <t>46.33.149</t>
    </r>
  </si>
  <si>
    <r>
      <rPr>
        <sz val="8.5"/>
        <rFont val="Calibri"/>
        <family val="2"/>
      </rPr>
      <t xml:space="preserve">Junção 45° simples em polipropileno de alta resistência - PP, preto, tipo
</t>
    </r>
    <r>
      <rPr>
        <sz val="8.5"/>
        <rFont val="Calibri"/>
        <family val="2"/>
      </rPr>
      <t>PB, DN= 50x50mm</t>
    </r>
  </si>
  <si>
    <r>
      <rPr>
        <sz val="8.5"/>
        <rFont val="Calibri"/>
        <family val="2"/>
      </rPr>
      <t>34,78</t>
    </r>
  </si>
  <si>
    <r>
      <rPr>
        <sz val="8.5"/>
        <rFont val="Calibri"/>
        <family val="2"/>
      </rPr>
      <t>46.33.150</t>
    </r>
  </si>
  <si>
    <r>
      <rPr>
        <sz val="8.5"/>
        <rFont val="Calibri"/>
        <family val="2"/>
      </rPr>
      <t xml:space="preserve">Junção 45° simples em polipropileno de alta resistência - PP, preto, tipo
</t>
    </r>
    <r>
      <rPr>
        <sz val="8.5"/>
        <rFont val="Calibri"/>
        <family val="2"/>
      </rPr>
      <t>PB, DN= 63x63mm</t>
    </r>
  </si>
  <si>
    <r>
      <rPr>
        <sz val="8.5"/>
        <rFont val="Calibri"/>
        <family val="2"/>
      </rPr>
      <t>37,51</t>
    </r>
  </si>
  <si>
    <r>
      <rPr>
        <sz val="8.5"/>
        <rFont val="Calibri"/>
        <family val="2"/>
      </rPr>
      <t>46.33.151</t>
    </r>
  </si>
  <si>
    <r>
      <rPr>
        <sz val="8.5"/>
        <rFont val="Calibri"/>
        <family val="2"/>
      </rPr>
      <t xml:space="preserve">Junção 45° simples em polipropileno de alta resistência - PP, preto, tipo
</t>
    </r>
    <r>
      <rPr>
        <sz val="8.5"/>
        <rFont val="Calibri"/>
        <family val="2"/>
      </rPr>
      <t>PB, DN= 110x110mm</t>
    </r>
  </si>
  <si>
    <r>
      <rPr>
        <sz val="8.5"/>
        <rFont val="Calibri"/>
        <family val="2"/>
      </rPr>
      <t>75,52</t>
    </r>
  </si>
  <si>
    <r>
      <rPr>
        <sz val="8.5"/>
        <rFont val="Calibri"/>
        <family val="2"/>
      </rPr>
      <t>90,08</t>
    </r>
  </si>
  <si>
    <r>
      <rPr>
        <sz val="8.5"/>
        <rFont val="Calibri"/>
        <family val="2"/>
      </rPr>
      <t>46.33.159</t>
    </r>
  </si>
  <si>
    <r>
      <rPr>
        <sz val="8.5"/>
        <rFont val="Calibri"/>
        <family val="2"/>
      </rPr>
      <t xml:space="preserve">Junção 45° simples de redução em polipropileno de alta resistência - PP,
</t>
    </r>
    <r>
      <rPr>
        <sz val="8.5"/>
        <rFont val="Calibri"/>
        <family val="2"/>
      </rPr>
      <t>preto, tipo PB, DN= 63x50mm</t>
    </r>
  </si>
  <si>
    <r>
      <rPr>
        <sz val="8.5"/>
        <rFont val="Calibri"/>
        <family val="2"/>
      </rPr>
      <t>40,08</t>
    </r>
  </si>
  <si>
    <r>
      <rPr>
        <sz val="8.5"/>
        <rFont val="Calibri"/>
        <family val="2"/>
      </rPr>
      <t>52,81</t>
    </r>
  </si>
  <si>
    <r>
      <rPr>
        <sz val="8.5"/>
        <rFont val="Calibri"/>
        <family val="2"/>
      </rPr>
      <t>46.33.160</t>
    </r>
  </si>
  <si>
    <r>
      <rPr>
        <sz val="8.5"/>
        <rFont val="Calibri"/>
        <family val="2"/>
      </rPr>
      <t xml:space="preserve">Junção 45° simples de redução em polipropileno de alta resistência - PP,
</t>
    </r>
    <r>
      <rPr>
        <sz val="8.5"/>
        <rFont val="Calibri"/>
        <family val="2"/>
      </rPr>
      <t>preto, tipo PB, DN= 110x50mm</t>
    </r>
  </si>
  <si>
    <r>
      <rPr>
        <sz val="8.5"/>
        <rFont val="Calibri"/>
        <family val="2"/>
      </rPr>
      <t>62,31</t>
    </r>
  </si>
  <si>
    <r>
      <rPr>
        <sz val="8.5"/>
        <rFont val="Calibri"/>
        <family val="2"/>
      </rPr>
      <t>46.33.161</t>
    </r>
  </si>
  <si>
    <r>
      <rPr>
        <sz val="8.5"/>
        <rFont val="Calibri"/>
        <family val="2"/>
      </rPr>
      <t xml:space="preserve">Junção 45° simples de redução em polipropileno de alta resistência - PP,
</t>
    </r>
    <r>
      <rPr>
        <sz val="8.5"/>
        <rFont val="Calibri"/>
        <family val="2"/>
      </rPr>
      <t>preto, tipo PB, DN= 110x63mm</t>
    </r>
  </si>
  <si>
    <r>
      <rPr>
        <sz val="8.5"/>
        <rFont val="Calibri"/>
        <family val="2"/>
      </rPr>
      <t>63,16</t>
    </r>
  </si>
  <si>
    <r>
      <rPr>
        <sz val="8.5"/>
        <rFont val="Calibri"/>
        <family val="2"/>
      </rPr>
      <t>77,72</t>
    </r>
  </si>
  <si>
    <r>
      <rPr>
        <sz val="8.5"/>
        <rFont val="Calibri"/>
        <family val="2"/>
      </rPr>
      <t>46.33.170</t>
    </r>
  </si>
  <si>
    <r>
      <rPr>
        <sz val="8.5"/>
        <rFont val="Calibri"/>
        <family val="2"/>
      </rPr>
      <t xml:space="preserve">Curva 87°30' em polipropileno de alta resistência - PP, preto, tipo PB,
</t>
    </r>
    <r>
      <rPr>
        <sz val="8.5"/>
        <rFont val="Calibri"/>
        <family val="2"/>
      </rPr>
      <t>DN= 110mm</t>
    </r>
  </si>
  <si>
    <r>
      <rPr>
        <sz val="8.5"/>
        <rFont val="Calibri"/>
        <family val="2"/>
      </rPr>
      <t>70,57</t>
    </r>
  </si>
  <si>
    <r>
      <rPr>
        <sz val="8.5"/>
        <rFont val="Calibri"/>
        <family val="2"/>
      </rPr>
      <t>85,13</t>
    </r>
  </si>
  <si>
    <r>
      <rPr>
        <sz val="8.5"/>
        <rFont val="Calibri"/>
        <family val="2"/>
      </rPr>
      <t>46.33.186</t>
    </r>
  </si>
  <si>
    <r>
      <rPr>
        <sz val="8.5"/>
        <rFont val="Calibri"/>
        <family val="2"/>
      </rPr>
      <t xml:space="preserve">Caixa sifonada de piso, em polipropileno de alta resistência PP, preto,
</t>
    </r>
    <r>
      <rPr>
        <sz val="8.5"/>
        <rFont val="Calibri"/>
        <family val="2"/>
      </rPr>
      <t>DN=125mm, uma saída de 63mm</t>
    </r>
  </si>
  <si>
    <r>
      <rPr>
        <sz val="8.5"/>
        <rFont val="Calibri"/>
        <family val="2"/>
      </rPr>
      <t>149,13</t>
    </r>
  </si>
  <si>
    <r>
      <rPr>
        <sz val="8.5"/>
        <rFont val="Calibri"/>
        <family val="2"/>
      </rPr>
      <t>161,86</t>
    </r>
  </si>
  <si>
    <r>
      <rPr>
        <sz val="8.5"/>
        <rFont val="Calibri"/>
        <family val="2"/>
      </rPr>
      <t>46.33.197</t>
    </r>
  </si>
  <si>
    <r>
      <rPr>
        <sz val="8.5"/>
        <rFont val="Calibri"/>
        <family val="2"/>
      </rPr>
      <t xml:space="preserve">Prolongamento para caixa sifonada em prolipropileno de alta resistência
</t>
    </r>
    <r>
      <rPr>
        <sz val="8.5"/>
        <rFont val="Calibri"/>
        <family val="2"/>
      </rPr>
      <t>PP, preto, DN= 125mm</t>
    </r>
  </si>
  <si>
    <r>
      <rPr>
        <sz val="8.5"/>
        <rFont val="Calibri"/>
        <family val="2"/>
      </rPr>
      <t>88,87</t>
    </r>
  </si>
  <si>
    <r>
      <rPr>
        <sz val="8.5"/>
        <rFont val="Calibri"/>
        <family val="2"/>
      </rPr>
      <t>46.33.201</t>
    </r>
  </si>
  <si>
    <r>
      <rPr>
        <sz val="8.5"/>
        <rFont val="Calibri"/>
        <family val="2"/>
      </rPr>
      <t xml:space="preserve">Tampa tê de inspeção oval, em polipropileno de alta resistência preto
</t>
    </r>
    <r>
      <rPr>
        <sz val="8.5"/>
        <rFont val="Calibri"/>
        <family val="2"/>
      </rPr>
      <t>(PxB), DN=110mm</t>
    </r>
  </si>
  <si>
    <r>
      <rPr>
        <sz val="8.5"/>
        <rFont val="Calibri"/>
        <family val="2"/>
      </rPr>
      <t>60,23</t>
    </r>
  </si>
  <si>
    <r>
      <rPr>
        <sz val="8.5"/>
        <rFont val="Calibri"/>
        <family val="2"/>
      </rPr>
      <t>68,60</t>
    </r>
  </si>
  <si>
    <r>
      <rPr>
        <sz val="8.5"/>
        <rFont val="Calibri"/>
        <family val="2"/>
      </rPr>
      <t>46.33.206</t>
    </r>
  </si>
  <si>
    <r>
      <rPr>
        <sz val="8.5"/>
        <rFont val="Calibri"/>
        <family val="2"/>
      </rPr>
      <t>Tampão em polipropileno de alta resistência PP, preto (PxB), DN=63mm</t>
    </r>
  </si>
  <si>
    <r>
      <rPr>
        <sz val="8.5"/>
        <rFont val="Calibri"/>
        <family val="2"/>
      </rPr>
      <t>14,59</t>
    </r>
  </si>
  <si>
    <r>
      <rPr>
        <sz val="8.5"/>
        <rFont val="Calibri"/>
        <family val="2"/>
      </rPr>
      <t>22,96</t>
    </r>
  </si>
  <si>
    <r>
      <rPr>
        <sz val="8.5"/>
        <rFont val="Calibri"/>
        <family val="2"/>
      </rPr>
      <t>46.33.207</t>
    </r>
  </si>
  <si>
    <r>
      <rPr>
        <sz val="8.5"/>
        <rFont val="Calibri"/>
        <family val="2"/>
      </rPr>
      <t>Tampão em polipropileno de alta resistência PP, preto (PxB), DN=110mm</t>
    </r>
  </si>
  <si>
    <r>
      <rPr>
        <sz val="8.5"/>
        <rFont val="Calibri"/>
        <family val="2"/>
      </rPr>
      <t>37,28</t>
    </r>
  </si>
  <si>
    <r>
      <rPr>
        <sz val="8.5"/>
        <rFont val="Calibri"/>
        <family val="2"/>
      </rPr>
      <t>45,65</t>
    </r>
  </si>
  <si>
    <r>
      <rPr>
        <sz val="8.5"/>
        <rFont val="Calibri"/>
        <family val="2"/>
      </rPr>
      <t>46.33.210</t>
    </r>
  </si>
  <si>
    <r>
      <rPr>
        <sz val="8.5"/>
        <rFont val="Calibri"/>
        <family val="2"/>
      </rPr>
      <t xml:space="preserve">Porta marco para grelha de 12x12 cm, em prolipropileno de alta
</t>
    </r>
    <r>
      <rPr>
        <sz val="8.5"/>
        <rFont val="Calibri"/>
        <family val="2"/>
      </rPr>
      <t>resistência PP,  preto</t>
    </r>
  </si>
  <si>
    <r>
      <rPr>
        <sz val="8.5"/>
        <rFont val="Calibri"/>
        <family val="2"/>
      </rPr>
      <t>32,62</t>
    </r>
  </si>
  <si>
    <r>
      <rPr>
        <sz val="8.5"/>
        <rFont val="Calibri"/>
        <family val="2"/>
      </rPr>
      <t>45,35</t>
    </r>
  </si>
  <si>
    <r>
      <rPr>
        <sz val="8.5"/>
        <rFont val="Calibri"/>
        <family val="2"/>
      </rPr>
      <t>46.33.211</t>
    </r>
  </si>
  <si>
    <r>
      <rPr>
        <sz val="8.5"/>
        <rFont val="Calibri"/>
        <family val="2"/>
      </rPr>
      <t>Marco de bronze com grelha em aço inoxidável de 12x12cm</t>
    </r>
  </si>
  <si>
    <r>
      <rPr>
        <sz val="8.5"/>
        <rFont val="Calibri"/>
        <family val="2"/>
      </rPr>
      <t>87,81</t>
    </r>
  </si>
  <si>
    <r>
      <rPr>
        <sz val="8.5"/>
        <rFont val="Calibri"/>
        <family val="2"/>
      </rPr>
      <t>91,45</t>
    </r>
  </si>
  <si>
    <r>
      <rPr>
        <sz val="8.5"/>
        <rFont val="Calibri"/>
        <family val="2"/>
      </rPr>
      <t xml:space="preserve">VALVULAS E APARELHOS DE MEDICAO E CONTROLE PARA LIQUIDOS E
</t>
    </r>
    <r>
      <rPr>
        <sz val="8.5"/>
        <rFont val="Calibri"/>
        <family val="2"/>
      </rPr>
      <t>GASES</t>
    </r>
  </si>
  <si>
    <r>
      <rPr>
        <sz val="8.5"/>
        <rFont val="Calibri"/>
        <family val="2"/>
      </rPr>
      <t>Registro e / ou valvula em latao fundido sem acabamento</t>
    </r>
  </si>
  <si>
    <r>
      <rPr>
        <sz val="8.5"/>
        <rFont val="Calibri"/>
        <family val="2"/>
      </rPr>
      <t>47.01.010</t>
    </r>
  </si>
  <si>
    <r>
      <rPr>
        <sz val="8.5"/>
        <rFont val="Calibri"/>
        <family val="2"/>
      </rPr>
      <t>Registro de gaveta em latão fundido sem acabamento, DN= 1/2´</t>
    </r>
  </si>
  <si>
    <r>
      <rPr>
        <sz val="8.5"/>
        <rFont val="Calibri"/>
        <family val="2"/>
      </rPr>
      <t>30,52</t>
    </r>
  </si>
  <si>
    <r>
      <rPr>
        <sz val="8.5"/>
        <rFont val="Calibri"/>
        <family val="2"/>
      </rPr>
      <t>46,89</t>
    </r>
  </si>
  <si>
    <r>
      <rPr>
        <sz val="8.5"/>
        <rFont val="Calibri"/>
        <family val="2"/>
      </rPr>
      <t>47.01.020</t>
    </r>
  </si>
  <si>
    <r>
      <rPr>
        <sz val="8.5"/>
        <rFont val="Calibri"/>
        <family val="2"/>
      </rPr>
      <t>Registro de gaveta em latão fundido sem acabamento, DN= 3/4´</t>
    </r>
  </si>
  <si>
    <r>
      <rPr>
        <sz val="8.5"/>
        <rFont val="Calibri"/>
        <family val="2"/>
      </rPr>
      <t>39,25</t>
    </r>
  </si>
  <si>
    <r>
      <rPr>
        <sz val="8.5"/>
        <rFont val="Calibri"/>
        <family val="2"/>
      </rPr>
      <t>61,08</t>
    </r>
  </si>
  <si>
    <r>
      <rPr>
        <sz val="8.5"/>
        <rFont val="Calibri"/>
        <family val="2"/>
      </rPr>
      <t>47.01.030</t>
    </r>
  </si>
  <si>
    <r>
      <rPr>
        <sz val="8.5"/>
        <rFont val="Calibri"/>
        <family val="2"/>
      </rPr>
      <t>Registro de gaveta em latão fundido sem acabamento, DN= 1´</t>
    </r>
  </si>
  <si>
    <r>
      <rPr>
        <sz val="8.5"/>
        <rFont val="Calibri"/>
        <family val="2"/>
      </rPr>
      <t>54,46</t>
    </r>
  </si>
  <si>
    <r>
      <rPr>
        <sz val="8.5"/>
        <rFont val="Calibri"/>
        <family val="2"/>
      </rPr>
      <t>81,75</t>
    </r>
  </si>
  <si>
    <r>
      <rPr>
        <sz val="8.5"/>
        <rFont val="Calibri"/>
        <family val="2"/>
      </rPr>
      <t>47.01.040</t>
    </r>
  </si>
  <si>
    <r>
      <rPr>
        <sz val="8.5"/>
        <rFont val="Calibri"/>
        <family val="2"/>
      </rPr>
      <t>Registro de gaveta em latão fundido sem acabamento, DN= 1 1/4´</t>
    </r>
  </si>
  <si>
    <r>
      <rPr>
        <sz val="8.5"/>
        <rFont val="Calibri"/>
        <family val="2"/>
      </rPr>
      <t>103,92</t>
    </r>
  </si>
  <si>
    <r>
      <rPr>
        <sz val="8.5"/>
        <rFont val="Calibri"/>
        <family val="2"/>
      </rPr>
      <t>47.01.050</t>
    </r>
  </si>
  <si>
    <r>
      <rPr>
        <sz val="8.5"/>
        <rFont val="Calibri"/>
        <family val="2"/>
      </rPr>
      <t>Registro de gaveta em latão fundido sem acabamento, DN= 1 1/2´</t>
    </r>
  </si>
  <si>
    <r>
      <rPr>
        <sz val="8.5"/>
        <rFont val="Calibri"/>
        <family val="2"/>
      </rPr>
      <t>80,54</t>
    </r>
  </si>
  <si>
    <r>
      <rPr>
        <sz val="8.5"/>
        <rFont val="Calibri"/>
        <family val="2"/>
      </rPr>
      <t>116,93</t>
    </r>
  </si>
  <si>
    <r>
      <rPr>
        <sz val="8.5"/>
        <rFont val="Calibri"/>
        <family val="2"/>
      </rPr>
      <t>47.01.060</t>
    </r>
  </si>
  <si>
    <r>
      <rPr>
        <sz val="8.5"/>
        <rFont val="Calibri"/>
        <family val="2"/>
      </rPr>
      <t>Registro de gaveta em latão fundido sem acabamento, DN= 2´</t>
    </r>
  </si>
  <si>
    <r>
      <rPr>
        <sz val="8.5"/>
        <rFont val="Calibri"/>
        <family val="2"/>
      </rPr>
      <t>125,79</t>
    </r>
  </si>
  <si>
    <r>
      <rPr>
        <sz val="8.5"/>
        <rFont val="Calibri"/>
        <family val="2"/>
      </rPr>
      <t>45,49</t>
    </r>
  </si>
  <si>
    <r>
      <rPr>
        <sz val="8.5"/>
        <rFont val="Calibri"/>
        <family val="2"/>
      </rPr>
      <t>171,28</t>
    </r>
  </si>
  <si>
    <r>
      <rPr>
        <sz val="8.5"/>
        <rFont val="Calibri"/>
        <family val="2"/>
      </rPr>
      <t>47.01.070</t>
    </r>
  </si>
  <si>
    <r>
      <rPr>
        <sz val="8.5"/>
        <rFont val="Calibri"/>
        <family val="2"/>
      </rPr>
      <t>Registro de gaveta em latão fundido sem acabamento, DN= 2 1/2´</t>
    </r>
  </si>
  <si>
    <r>
      <rPr>
        <sz val="8.5"/>
        <rFont val="Calibri"/>
        <family val="2"/>
      </rPr>
      <t>281,90</t>
    </r>
  </si>
  <si>
    <r>
      <rPr>
        <sz val="8.5"/>
        <rFont val="Calibri"/>
        <family val="2"/>
      </rPr>
      <t>336,49</t>
    </r>
  </si>
  <si>
    <r>
      <rPr>
        <sz val="8.5"/>
        <rFont val="Calibri"/>
        <family val="2"/>
      </rPr>
      <t>47.01.080</t>
    </r>
  </si>
  <si>
    <r>
      <rPr>
        <sz val="8.5"/>
        <rFont val="Calibri"/>
        <family val="2"/>
      </rPr>
      <t>Registro de gaveta em latão fundido sem acabamento, DN= 3´</t>
    </r>
  </si>
  <si>
    <r>
      <rPr>
        <sz val="8.5"/>
        <rFont val="Calibri"/>
        <family val="2"/>
      </rPr>
      <t>425,42</t>
    </r>
  </si>
  <si>
    <r>
      <rPr>
        <sz val="8.5"/>
        <rFont val="Calibri"/>
        <family val="2"/>
      </rPr>
      <t>498,20</t>
    </r>
  </si>
  <si>
    <r>
      <rPr>
        <sz val="8.5"/>
        <rFont val="Calibri"/>
        <family val="2"/>
      </rPr>
      <t>47.01.090</t>
    </r>
  </si>
  <si>
    <r>
      <rPr>
        <sz val="8.5"/>
        <rFont val="Calibri"/>
        <family val="2"/>
      </rPr>
      <t>Registro de gaveta em latão fundido sem acabamento, DN= 4´</t>
    </r>
  </si>
  <si>
    <r>
      <rPr>
        <sz val="8.5"/>
        <rFont val="Calibri"/>
        <family val="2"/>
      </rPr>
      <t>743,38</t>
    </r>
  </si>
  <si>
    <r>
      <rPr>
        <sz val="8.5"/>
        <rFont val="Calibri"/>
        <family val="2"/>
      </rPr>
      <t>852,55</t>
    </r>
  </si>
  <si>
    <r>
      <rPr>
        <sz val="8.5"/>
        <rFont val="Calibri"/>
        <family val="2"/>
      </rPr>
      <t>47.01.130</t>
    </r>
  </si>
  <si>
    <r>
      <rPr>
        <sz val="8.5"/>
        <rFont val="Calibri"/>
        <family val="2"/>
      </rPr>
      <t>Registro de pressão em latão fundido sem acabamento, DN= 3/4´</t>
    </r>
  </si>
  <si>
    <r>
      <rPr>
        <sz val="8.5"/>
        <rFont val="Calibri"/>
        <family val="2"/>
      </rPr>
      <t>57,96</t>
    </r>
  </si>
  <si>
    <r>
      <rPr>
        <sz val="8.5"/>
        <rFont val="Calibri"/>
        <family val="2"/>
      </rPr>
      <t>79,79</t>
    </r>
  </si>
  <si>
    <r>
      <rPr>
        <sz val="8.5"/>
        <rFont val="Calibri"/>
        <family val="2"/>
      </rPr>
      <t>47.01.170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</si>
  <si>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1/2´</t>
    </r>
  </si>
  <si>
    <r>
      <rPr>
        <sz val="8.5"/>
        <rFont val="Calibri"/>
        <family val="2"/>
      </rPr>
      <t>18,01</t>
    </r>
  </si>
  <si>
    <r>
      <rPr>
        <sz val="8.5"/>
        <rFont val="Calibri"/>
        <family val="2"/>
      </rPr>
      <t>47.01.180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</si>
  <si>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3/4´</t>
    </r>
  </si>
  <si>
    <r>
      <rPr>
        <sz val="8.5"/>
        <rFont val="Calibri"/>
        <family val="2"/>
      </rPr>
      <t>44,60</t>
    </r>
  </si>
  <si>
    <r>
      <rPr>
        <sz val="8.5"/>
        <rFont val="Calibri"/>
        <family val="2"/>
      </rPr>
      <t>60,97</t>
    </r>
  </si>
  <si>
    <r>
      <rPr>
        <sz val="8.5"/>
        <rFont val="Calibri"/>
        <family val="2"/>
      </rPr>
      <t>47.01.190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</si>
  <si>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1´</t>
    </r>
  </si>
  <si>
    <r>
      <rPr>
        <sz val="8.5"/>
        <rFont val="Calibri"/>
        <family val="2"/>
      </rPr>
      <t>40,79</t>
    </r>
  </si>
  <si>
    <r>
      <rPr>
        <sz val="8.5"/>
        <rFont val="Calibri"/>
        <family val="2"/>
      </rPr>
      <t>57,16</t>
    </r>
  </si>
  <si>
    <r>
      <rPr>
        <sz val="8.5"/>
        <rFont val="Calibri"/>
        <family val="2"/>
      </rPr>
      <t>47.01.191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</si>
  <si>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1.1/4´</t>
    </r>
  </si>
  <si>
    <r>
      <rPr>
        <sz val="8.5"/>
        <rFont val="Calibri"/>
        <family val="2"/>
      </rPr>
      <t>102,63</t>
    </r>
  </si>
  <si>
    <r>
      <rPr>
        <sz val="8.5"/>
        <rFont val="Calibri"/>
        <family val="2"/>
      </rPr>
      <t>47.01.210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</si>
  <si>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2´</t>
    </r>
  </si>
  <si>
    <r>
      <rPr>
        <sz val="8.5"/>
        <rFont val="Calibri"/>
        <family val="2"/>
      </rPr>
      <t>143,41</t>
    </r>
  </si>
  <si>
    <r>
      <rPr>
        <sz val="8.5"/>
        <rFont val="Calibri"/>
        <family val="2"/>
      </rPr>
      <t>159,78</t>
    </r>
  </si>
  <si>
    <r>
      <rPr>
        <sz val="8.5"/>
        <rFont val="Calibri"/>
        <family val="2"/>
      </rPr>
      <t>47.01.220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</si>
  <si>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4´</t>
    </r>
  </si>
  <si>
    <r>
      <rPr>
        <sz val="8.5"/>
        <rFont val="Calibri"/>
        <family val="2"/>
      </rPr>
      <t>890,27</t>
    </r>
  </si>
  <si>
    <r>
      <rPr>
        <sz val="8.5"/>
        <rFont val="Calibri"/>
        <family val="2"/>
      </rPr>
      <t>926,66</t>
    </r>
  </si>
  <si>
    <r>
      <rPr>
        <sz val="8.5"/>
        <rFont val="Calibri"/>
        <family val="2"/>
      </rPr>
      <t>Registro e / ou valvula em latao fundido com acabamento cromado</t>
    </r>
  </si>
  <si>
    <r>
      <rPr>
        <sz val="8.5"/>
        <rFont val="Calibri"/>
        <family val="2"/>
      </rPr>
      <t>47.02.010</t>
    </r>
  </si>
  <si>
    <r>
      <rPr>
        <sz val="8.5"/>
        <rFont val="Calibri"/>
        <family val="2"/>
      </rPr>
      <t xml:space="preserve">Registro de gaveta em latão fundido cromado com canopla, DN= 1/2´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</si>
  <si>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77,33</t>
    </r>
  </si>
  <si>
    <r>
      <rPr>
        <sz val="8.5"/>
        <rFont val="Calibri"/>
        <family val="2"/>
      </rPr>
      <t>93,70</t>
    </r>
  </si>
  <si>
    <r>
      <rPr>
        <sz val="8.5"/>
        <rFont val="Calibri"/>
        <family val="2"/>
      </rPr>
      <t>47.02.020</t>
    </r>
  </si>
  <si>
    <r>
      <rPr>
        <sz val="8.5"/>
        <rFont val="Calibri"/>
        <family val="2"/>
      </rPr>
      <t xml:space="preserve">Registro de gaveta em latão fundido cromado com canopla, DN= 3/4´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</si>
  <si>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78,09</t>
    </r>
  </si>
  <si>
    <r>
      <rPr>
        <sz val="8.5"/>
        <rFont val="Calibri"/>
        <family val="2"/>
      </rPr>
      <t>94,46</t>
    </r>
  </si>
  <si>
    <r>
      <rPr>
        <sz val="8.5"/>
        <rFont val="Calibri"/>
        <family val="2"/>
      </rPr>
      <t>47.02.030</t>
    </r>
  </si>
  <si>
    <r>
      <rPr>
        <sz val="8.5"/>
        <rFont val="Calibri"/>
        <family val="2"/>
      </rPr>
      <t xml:space="preserve">Registro de gaveta em latão fundido cromado com canopla, DN= 1´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</si>
  <si>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91,81</t>
    </r>
  </si>
  <si>
    <r>
      <rPr>
        <sz val="8.5"/>
        <rFont val="Calibri"/>
        <family val="2"/>
      </rPr>
      <t>108,18</t>
    </r>
  </si>
  <si>
    <r>
      <rPr>
        <sz val="8.5"/>
        <rFont val="Calibri"/>
        <family val="2"/>
      </rPr>
      <t>47.02.040</t>
    </r>
  </si>
  <si>
    <r>
      <rPr>
        <sz val="8.5"/>
        <rFont val="Calibri"/>
        <family val="2"/>
      </rPr>
      <t xml:space="preserve">Registro de gaveta em latão fundido cromado com canopla, DN= 1 1/4´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</si>
  <si>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128,04</t>
    </r>
  </si>
  <si>
    <r>
      <rPr>
        <sz val="8.5"/>
        <rFont val="Calibri"/>
        <family val="2"/>
      </rPr>
      <t>144,41</t>
    </r>
  </si>
  <si>
    <r>
      <rPr>
        <sz val="8.5"/>
        <rFont val="Calibri"/>
        <family val="2"/>
      </rPr>
      <t>47.02.050</t>
    </r>
  </si>
  <si>
    <r>
      <rPr>
        <sz val="8.5"/>
        <rFont val="Calibri"/>
        <family val="2"/>
      </rPr>
      <t xml:space="preserve">Registro de gaveta em latão fundido cromado com canopla, DN= 1 1/2´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</si>
  <si>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129,81</t>
    </r>
  </si>
  <si>
    <r>
      <rPr>
        <sz val="8.5"/>
        <rFont val="Calibri"/>
        <family val="2"/>
      </rPr>
      <t>146,18</t>
    </r>
  </si>
  <si>
    <r>
      <rPr>
        <sz val="8.5"/>
        <rFont val="Calibri"/>
        <family val="2"/>
      </rPr>
      <t>47.02.100</t>
    </r>
  </si>
  <si>
    <r>
      <rPr>
        <sz val="8.5"/>
        <rFont val="Calibri"/>
        <family val="2"/>
      </rPr>
      <t xml:space="preserve">Registro de pressão em latão fundido cromado com canopla, DN= 1/2´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</si>
  <si>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75,01</t>
    </r>
  </si>
  <si>
    <r>
      <rPr>
        <sz val="8.5"/>
        <rFont val="Calibri"/>
        <family val="2"/>
      </rPr>
      <t>91,38</t>
    </r>
  </si>
  <si>
    <r>
      <rPr>
        <sz val="8.5"/>
        <rFont val="Calibri"/>
        <family val="2"/>
      </rPr>
      <t>47.02.110</t>
    </r>
  </si>
  <si>
    <r>
      <rPr>
        <sz val="8.5"/>
        <rFont val="Calibri"/>
        <family val="2"/>
      </rPr>
      <t xml:space="preserve">Registro de pressão em latão fundido cromado com canopla, DN= 3/4´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</si>
  <si>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73,84</t>
    </r>
  </si>
  <si>
    <r>
      <rPr>
        <sz val="8.5"/>
        <rFont val="Calibri"/>
        <family val="2"/>
      </rPr>
      <t>90,21</t>
    </r>
  </si>
  <si>
    <r>
      <rPr>
        <sz val="8.5"/>
        <rFont val="Calibri"/>
        <family val="2"/>
      </rPr>
      <t>47.02.200</t>
    </r>
  </si>
  <si>
    <r>
      <rPr>
        <sz val="8.5"/>
        <rFont val="Calibri"/>
        <family val="2"/>
      </rPr>
      <t xml:space="preserve">Registro regulador de vazão para chuveiro e ducha em latão cromado
</t>
    </r>
    <r>
      <rPr>
        <sz val="8.5"/>
        <rFont val="Calibri"/>
        <family val="2"/>
      </rPr>
      <t>com canopla, DN= 1/2´</t>
    </r>
  </si>
  <si>
    <r>
      <rPr>
        <sz val="8.5"/>
        <rFont val="Calibri"/>
        <family val="2"/>
      </rPr>
      <t>60,34</t>
    </r>
  </si>
  <si>
    <r>
      <rPr>
        <sz val="8.5"/>
        <rFont val="Calibri"/>
        <family val="2"/>
      </rPr>
      <t>47.02.210</t>
    </r>
  </si>
  <si>
    <r>
      <rPr>
        <sz val="8.5"/>
        <rFont val="Calibri"/>
        <family val="2"/>
      </rPr>
      <t xml:space="preserve">Registro regulador de vazão para torneira, misturador e bidê, em latão
</t>
    </r>
    <r>
      <rPr>
        <sz val="8.5"/>
        <rFont val="Calibri"/>
        <family val="2"/>
      </rPr>
      <t>cromado com canopla, DN= 1/2´</t>
    </r>
  </si>
  <si>
    <r>
      <rPr>
        <sz val="8.5"/>
        <rFont val="Calibri"/>
        <family val="2"/>
      </rPr>
      <t>57,84</t>
    </r>
  </si>
  <si>
    <r>
      <rPr>
        <sz val="8.5"/>
        <rFont val="Calibri"/>
        <family val="2"/>
      </rPr>
      <t>74,21</t>
    </r>
  </si>
  <si>
    <r>
      <rPr>
        <sz val="8.5"/>
        <rFont val="Calibri"/>
        <family val="2"/>
      </rPr>
      <t>Valvula de descarga ou para acionamento de metais sanitarios</t>
    </r>
  </si>
  <si>
    <r>
      <rPr>
        <sz val="8.5"/>
        <rFont val="Calibri"/>
        <family val="2"/>
      </rPr>
      <t>47.04.020</t>
    </r>
  </si>
  <si>
    <r>
      <rPr>
        <sz val="8.5"/>
        <rFont val="Calibri"/>
        <family val="2"/>
      </rPr>
      <t xml:space="preserve">Válvula de descarga com registro próprio, duplo acionamento limitador
</t>
    </r>
    <r>
      <rPr>
        <sz val="8.5"/>
        <rFont val="Calibri"/>
        <family val="2"/>
      </rPr>
      <t>de fluxo, DN= 1 1/4´</t>
    </r>
  </si>
  <si>
    <r>
      <rPr>
        <sz val="8.5"/>
        <rFont val="Calibri"/>
        <family val="2"/>
      </rPr>
      <t>304,08</t>
    </r>
  </si>
  <si>
    <r>
      <rPr>
        <sz val="8.5"/>
        <rFont val="Calibri"/>
        <family val="2"/>
      </rPr>
      <t>358,67</t>
    </r>
  </si>
  <si>
    <r>
      <rPr>
        <sz val="8.5"/>
        <rFont val="Calibri"/>
        <family val="2"/>
      </rPr>
      <t>47.04.030</t>
    </r>
  </si>
  <si>
    <r>
      <rPr>
        <sz val="8.5"/>
        <rFont val="Calibri"/>
        <family val="2"/>
      </rPr>
      <t>Válvula de descarga com registro próprio, DN= 1 1/4´</t>
    </r>
  </si>
  <si>
    <r>
      <rPr>
        <sz val="8.5"/>
        <rFont val="Calibri"/>
        <family val="2"/>
      </rPr>
      <t>256,13</t>
    </r>
  </si>
  <si>
    <r>
      <rPr>
        <sz val="8.5"/>
        <rFont val="Calibri"/>
        <family val="2"/>
      </rPr>
      <t>310,72</t>
    </r>
  </si>
  <si>
    <r>
      <rPr>
        <sz val="8.5"/>
        <rFont val="Calibri"/>
        <family val="2"/>
      </rPr>
      <t>47.04.040</t>
    </r>
  </si>
  <si>
    <r>
      <rPr>
        <sz val="8.5"/>
        <rFont val="Calibri"/>
        <family val="2"/>
      </rPr>
      <t>Válvula de descarga com registro próprio, DN= 1 1/2´</t>
    </r>
  </si>
  <si>
    <r>
      <rPr>
        <sz val="8.5"/>
        <rFont val="Calibri"/>
        <family val="2"/>
      </rPr>
      <t>271,16</t>
    </r>
  </si>
  <si>
    <r>
      <rPr>
        <sz val="8.5"/>
        <rFont val="Calibri"/>
        <family val="2"/>
      </rPr>
      <t>325,75</t>
    </r>
  </si>
  <si>
    <r>
      <rPr>
        <sz val="8.5"/>
        <rFont val="Calibri"/>
        <family val="2"/>
      </rPr>
      <t>47.04.050</t>
    </r>
  </si>
  <si>
    <r>
      <rPr>
        <sz val="8.5"/>
        <rFont val="Calibri"/>
        <family val="2"/>
      </rPr>
      <t>Válvula de descarga antivandalismo, DN= 1 1/2´</t>
    </r>
  </si>
  <si>
    <r>
      <rPr>
        <sz val="8.5"/>
        <rFont val="Calibri"/>
        <family val="2"/>
      </rPr>
      <t>409,47</t>
    </r>
  </si>
  <si>
    <r>
      <rPr>
        <sz val="8.5"/>
        <rFont val="Calibri"/>
        <family val="2"/>
      </rPr>
      <t>464,06</t>
    </r>
  </si>
  <si>
    <r>
      <rPr>
        <sz val="8.5"/>
        <rFont val="Calibri"/>
        <family val="2"/>
      </rPr>
      <t>47.04.080</t>
    </r>
  </si>
  <si>
    <r>
      <rPr>
        <sz val="8.5"/>
        <rFont val="Calibri"/>
        <family val="2"/>
      </rPr>
      <t xml:space="preserve">Válvula de descarga externa, tipo alavanca com registro próprio, DN= 1
</t>
    </r>
    <r>
      <rPr>
        <sz val="8.5"/>
        <rFont val="Calibri"/>
        <family val="2"/>
      </rPr>
      <t>1/4´ e DN= 1 1/2´</t>
    </r>
  </si>
  <si>
    <r>
      <rPr>
        <sz val="8.5"/>
        <rFont val="Calibri"/>
        <family val="2"/>
      </rPr>
      <t>957,92</t>
    </r>
  </si>
  <si>
    <r>
      <rPr>
        <sz val="8.5"/>
        <rFont val="Calibri"/>
        <family val="2"/>
      </rPr>
      <t>1.012,51</t>
    </r>
  </si>
  <si>
    <r>
      <rPr>
        <sz val="8.5"/>
        <rFont val="Calibri"/>
        <family val="2"/>
      </rPr>
      <t>47.04.090</t>
    </r>
  </si>
  <si>
    <r>
      <rPr>
        <sz val="8.5"/>
        <rFont val="Calibri"/>
        <family val="2"/>
      </rPr>
      <t>Válvula de mictório antivandalismo, DN= 3/4´</t>
    </r>
  </si>
  <si>
    <r>
      <rPr>
        <sz val="8.5"/>
        <rFont val="Calibri"/>
        <family val="2"/>
      </rPr>
      <t>394,68</t>
    </r>
  </si>
  <si>
    <r>
      <rPr>
        <sz val="8.5"/>
        <rFont val="Calibri"/>
        <family val="2"/>
      </rPr>
      <t>416,51</t>
    </r>
  </si>
  <si>
    <r>
      <rPr>
        <sz val="8.5"/>
        <rFont val="Calibri"/>
        <family val="2"/>
      </rPr>
      <t>47.04.100</t>
    </r>
  </si>
  <si>
    <r>
      <rPr>
        <sz val="8.5"/>
        <rFont val="Calibri"/>
        <family val="2"/>
      </rPr>
      <t>Válvula de mictório padrão, vazão automática, DN= 3/4´</t>
    </r>
  </si>
  <si>
    <r>
      <rPr>
        <sz val="8.5"/>
        <rFont val="Calibri"/>
        <family val="2"/>
      </rPr>
      <t>283,88</t>
    </r>
  </si>
  <si>
    <r>
      <rPr>
        <sz val="8.5"/>
        <rFont val="Calibri"/>
        <family val="2"/>
      </rPr>
      <t>305,71</t>
    </r>
  </si>
  <si>
    <r>
      <rPr>
        <sz val="8.5"/>
        <rFont val="Calibri"/>
        <family val="2"/>
      </rPr>
      <t>47.04.110</t>
    </r>
  </si>
  <si>
    <r>
      <rPr>
        <sz val="8.5"/>
        <rFont val="Calibri"/>
        <family val="2"/>
      </rPr>
      <t>Válvula de acionamento hidromecânico para piso</t>
    </r>
  </si>
  <si>
    <r>
      <rPr>
        <sz val="8.5"/>
        <rFont val="Calibri"/>
        <family val="2"/>
      </rPr>
      <t>667,51</t>
    </r>
  </si>
  <si>
    <r>
      <rPr>
        <sz val="8.5"/>
        <rFont val="Calibri"/>
        <family val="2"/>
      </rPr>
      <t>722,10</t>
    </r>
  </si>
  <si>
    <r>
      <rPr>
        <sz val="8.5"/>
        <rFont val="Calibri"/>
        <family val="2"/>
      </rPr>
      <t>47.04.120</t>
    </r>
  </si>
  <si>
    <r>
      <rPr>
        <sz val="8.5"/>
        <rFont val="Calibri"/>
        <family val="2"/>
      </rPr>
      <t xml:space="preserve">Válvula de acionamento hidromecânico para ducha, em latão cromado,
</t>
    </r>
    <r>
      <rPr>
        <sz val="8.5"/>
        <rFont val="Calibri"/>
        <family val="2"/>
      </rPr>
      <t>DN= 3/4´</t>
    </r>
  </si>
  <si>
    <r>
      <rPr>
        <sz val="8.5"/>
        <rFont val="Calibri"/>
        <family val="2"/>
      </rPr>
      <t>369,11</t>
    </r>
  </si>
  <si>
    <r>
      <rPr>
        <sz val="8.5"/>
        <rFont val="Calibri"/>
        <family val="2"/>
      </rPr>
      <t>385,48</t>
    </r>
  </si>
  <si>
    <r>
      <rPr>
        <sz val="8.5"/>
        <rFont val="Calibri"/>
        <family val="2"/>
      </rPr>
      <t>47.04.180</t>
    </r>
  </si>
  <si>
    <r>
      <rPr>
        <sz val="8.5"/>
        <rFont val="Calibri"/>
        <family val="2"/>
      </rPr>
      <t xml:space="preserve">Válvula de descarga com registro próprio, duplo acionamento limitador
</t>
    </r>
    <r>
      <rPr>
        <sz val="8.5"/>
        <rFont val="Calibri"/>
        <family val="2"/>
      </rPr>
      <t>de fluxo, DN = 1 1/2´</t>
    </r>
  </si>
  <si>
    <r>
      <rPr>
        <sz val="8.5"/>
        <rFont val="Calibri"/>
        <family val="2"/>
      </rPr>
      <t>354,44</t>
    </r>
  </si>
  <si>
    <r>
      <rPr>
        <sz val="8.5"/>
        <rFont val="Calibri"/>
        <family val="2"/>
      </rPr>
      <t>Registro e / ou valvula em bronze</t>
    </r>
  </si>
  <si>
    <r>
      <rPr>
        <sz val="8.5"/>
        <rFont val="Calibri"/>
        <family val="2"/>
      </rPr>
      <t>47.05.010</t>
    </r>
  </si>
  <si>
    <r>
      <rPr>
        <sz val="8.5"/>
        <rFont val="Calibri"/>
        <family val="2"/>
      </rPr>
      <t>Válvula de retenção horizontal em bronze, DN= 3/4´</t>
    </r>
  </si>
  <si>
    <r>
      <rPr>
        <sz val="8.5"/>
        <rFont val="Calibri"/>
        <family val="2"/>
      </rPr>
      <t>83,73</t>
    </r>
  </si>
  <si>
    <r>
      <rPr>
        <sz val="8.5"/>
        <rFont val="Calibri"/>
        <family val="2"/>
      </rPr>
      <t>100,10</t>
    </r>
  </si>
  <si>
    <r>
      <rPr>
        <sz val="8.5"/>
        <rFont val="Calibri"/>
        <family val="2"/>
      </rPr>
      <t>47.05.020</t>
    </r>
  </si>
  <si>
    <r>
      <rPr>
        <sz val="8.5"/>
        <rFont val="Calibri"/>
        <family val="2"/>
      </rPr>
      <t>Válvula de retenção horizontal em bronze, DN= 1´</t>
    </r>
  </si>
  <si>
    <r>
      <rPr>
        <sz val="8.5"/>
        <rFont val="Calibri"/>
        <family val="2"/>
      </rPr>
      <t>99,84</t>
    </r>
  </si>
  <si>
    <r>
      <rPr>
        <sz val="8.5"/>
        <rFont val="Calibri"/>
        <family val="2"/>
      </rPr>
      <t>116,21</t>
    </r>
  </si>
  <si>
    <r>
      <rPr>
        <sz val="8.5"/>
        <rFont val="Calibri"/>
        <family val="2"/>
      </rPr>
      <t>47.05.030</t>
    </r>
  </si>
  <si>
    <r>
      <rPr>
        <sz val="8.5"/>
        <rFont val="Calibri"/>
        <family val="2"/>
      </rPr>
      <t>Válvula de retenção horizontal em bronze, DN= 1 1/4´</t>
    </r>
  </si>
  <si>
    <r>
      <rPr>
        <sz val="8.5"/>
        <rFont val="Calibri"/>
        <family val="2"/>
      </rPr>
      <t>142,33</t>
    </r>
  </si>
  <si>
    <r>
      <rPr>
        <sz val="8.5"/>
        <rFont val="Calibri"/>
        <family val="2"/>
      </rPr>
      <t>158,70</t>
    </r>
  </si>
  <si>
    <r>
      <rPr>
        <sz val="8.5"/>
        <rFont val="Calibri"/>
        <family val="2"/>
      </rPr>
      <t>47.05.040</t>
    </r>
  </si>
  <si>
    <r>
      <rPr>
        <sz val="8.5"/>
        <rFont val="Calibri"/>
        <family val="2"/>
      </rPr>
      <t>Válvula de retenção horizontal em bronze, DN= 1 1/2´</t>
    </r>
  </si>
  <si>
    <r>
      <rPr>
        <sz val="8.5"/>
        <rFont val="Calibri"/>
        <family val="2"/>
      </rPr>
      <t>164,09</t>
    </r>
  </si>
  <si>
    <r>
      <rPr>
        <sz val="8.5"/>
        <rFont val="Calibri"/>
        <family val="2"/>
      </rPr>
      <t>180,46</t>
    </r>
  </si>
  <si>
    <r>
      <rPr>
        <sz val="8.5"/>
        <rFont val="Calibri"/>
        <family val="2"/>
      </rPr>
      <t>47.05.050</t>
    </r>
  </si>
  <si>
    <r>
      <rPr>
        <sz val="8.5"/>
        <rFont val="Calibri"/>
        <family val="2"/>
      </rPr>
      <t>Válvula de retenção horizontal em bronze, DN= 2´</t>
    </r>
  </si>
  <si>
    <r>
      <rPr>
        <sz val="8.5"/>
        <rFont val="Calibri"/>
        <family val="2"/>
      </rPr>
      <t>222,41</t>
    </r>
  </si>
  <si>
    <r>
      <rPr>
        <sz val="8.5"/>
        <rFont val="Calibri"/>
        <family val="2"/>
      </rPr>
      <t>238,78</t>
    </r>
  </si>
  <si>
    <r>
      <rPr>
        <sz val="8.5"/>
        <rFont val="Calibri"/>
        <family val="2"/>
      </rPr>
      <t>47.05.060</t>
    </r>
  </si>
  <si>
    <r>
      <rPr>
        <sz val="8.5"/>
        <rFont val="Calibri"/>
        <family val="2"/>
      </rPr>
      <t>Válvula de retenção horizontal em bronze, DN= 2 1/2´</t>
    </r>
  </si>
  <si>
    <r>
      <rPr>
        <sz val="8.5"/>
        <rFont val="Calibri"/>
        <family val="2"/>
      </rPr>
      <t>382,70</t>
    </r>
  </si>
  <si>
    <r>
      <rPr>
        <sz val="8.5"/>
        <rFont val="Calibri"/>
        <family val="2"/>
      </rPr>
      <t>399,07</t>
    </r>
  </si>
  <si>
    <r>
      <rPr>
        <sz val="8.5"/>
        <rFont val="Calibri"/>
        <family val="2"/>
      </rPr>
      <t>47.05.070</t>
    </r>
  </si>
  <si>
    <r>
      <rPr>
        <sz val="8.5"/>
        <rFont val="Calibri"/>
        <family val="2"/>
      </rPr>
      <t>Válvula de retenção horizontal em bronze, DN= 3´</t>
    </r>
  </si>
  <si>
    <r>
      <rPr>
        <sz val="8.5"/>
        <rFont val="Calibri"/>
        <family val="2"/>
      </rPr>
      <t>464,70</t>
    </r>
  </si>
  <si>
    <r>
      <rPr>
        <sz val="8.5"/>
        <rFont val="Calibri"/>
        <family val="2"/>
      </rPr>
      <t>481,07</t>
    </r>
  </si>
  <si>
    <r>
      <rPr>
        <sz val="8.5"/>
        <rFont val="Calibri"/>
        <family val="2"/>
      </rPr>
      <t>47.05.080</t>
    </r>
  </si>
  <si>
    <r>
      <rPr>
        <sz val="8.5"/>
        <rFont val="Calibri"/>
        <family val="2"/>
      </rPr>
      <t>Válvula de retenção horizontal em bronze, DN= 4´</t>
    </r>
  </si>
  <si>
    <r>
      <rPr>
        <sz val="8.5"/>
        <rFont val="Calibri"/>
        <family val="2"/>
      </rPr>
      <t>800,48</t>
    </r>
  </si>
  <si>
    <r>
      <rPr>
        <sz val="8.5"/>
        <rFont val="Calibri"/>
        <family val="2"/>
      </rPr>
      <t>822,31</t>
    </r>
  </si>
  <si>
    <r>
      <rPr>
        <sz val="8.5"/>
        <rFont val="Calibri"/>
        <family val="2"/>
      </rPr>
      <t>47.05.100</t>
    </r>
  </si>
  <si>
    <r>
      <rPr>
        <sz val="8.5"/>
        <rFont val="Calibri"/>
        <family val="2"/>
      </rPr>
      <t>Válvula de retenção vertical em bronze, DN= 1´</t>
    </r>
  </si>
  <si>
    <r>
      <rPr>
        <sz val="8.5"/>
        <rFont val="Calibri"/>
        <family val="2"/>
      </rPr>
      <t>65,18</t>
    </r>
  </si>
  <si>
    <r>
      <rPr>
        <sz val="8.5"/>
        <rFont val="Calibri"/>
        <family val="2"/>
      </rPr>
      <t>81,55</t>
    </r>
  </si>
  <si>
    <r>
      <rPr>
        <sz val="8.5"/>
        <rFont val="Calibri"/>
        <family val="2"/>
      </rPr>
      <t>47.05.110</t>
    </r>
  </si>
  <si>
    <r>
      <rPr>
        <sz val="8.5"/>
        <rFont val="Calibri"/>
        <family val="2"/>
      </rPr>
      <t>Válvula de retenção vertical em bronze, DN= 1 1/4´</t>
    </r>
  </si>
  <si>
    <r>
      <rPr>
        <sz val="8.5"/>
        <rFont val="Calibri"/>
        <family val="2"/>
      </rPr>
      <t>91,27</t>
    </r>
  </si>
  <si>
    <r>
      <rPr>
        <sz val="8.5"/>
        <rFont val="Calibri"/>
        <family val="2"/>
      </rPr>
      <t>107,64</t>
    </r>
  </si>
  <si>
    <r>
      <rPr>
        <sz val="8.5"/>
        <rFont val="Calibri"/>
        <family val="2"/>
      </rPr>
      <t>47.05.120</t>
    </r>
  </si>
  <si>
    <r>
      <rPr>
        <sz val="8.5"/>
        <rFont val="Calibri"/>
        <family val="2"/>
      </rPr>
      <t>Válvula de retenção vertical em bronze, DN= 1 1/2´</t>
    </r>
  </si>
  <si>
    <r>
      <rPr>
        <sz val="8.5"/>
        <rFont val="Calibri"/>
        <family val="2"/>
      </rPr>
      <t>113,35</t>
    </r>
  </si>
  <si>
    <r>
      <rPr>
        <sz val="8.5"/>
        <rFont val="Calibri"/>
        <family val="2"/>
      </rPr>
      <t>129,72</t>
    </r>
  </si>
  <si>
    <r>
      <rPr>
        <sz val="8.5"/>
        <rFont val="Calibri"/>
        <family val="2"/>
      </rPr>
      <t>47.05.130</t>
    </r>
  </si>
  <si>
    <r>
      <rPr>
        <sz val="8.5"/>
        <rFont val="Calibri"/>
        <family val="2"/>
      </rPr>
      <t>Válvula de retenção vertical em bronze, DN= 2´</t>
    </r>
  </si>
  <si>
    <r>
      <rPr>
        <sz val="8.5"/>
        <rFont val="Calibri"/>
        <family val="2"/>
      </rPr>
      <t>161,97</t>
    </r>
  </si>
  <si>
    <r>
      <rPr>
        <sz val="8.5"/>
        <rFont val="Calibri"/>
        <family val="2"/>
      </rPr>
      <t>178,34</t>
    </r>
  </si>
  <si>
    <r>
      <rPr>
        <sz val="8.5"/>
        <rFont val="Calibri"/>
        <family val="2"/>
      </rPr>
      <t>47.05.140</t>
    </r>
  </si>
  <si>
    <r>
      <rPr>
        <sz val="8.5"/>
        <rFont val="Calibri"/>
        <family val="2"/>
      </rPr>
      <t>Válvula de retenção vertical em bronze, DN= 2 1/2´</t>
    </r>
  </si>
  <si>
    <r>
      <rPr>
        <sz val="8.5"/>
        <rFont val="Calibri"/>
        <family val="2"/>
      </rPr>
      <t>281,83</t>
    </r>
  </si>
  <si>
    <r>
      <rPr>
        <sz val="8.5"/>
        <rFont val="Calibri"/>
        <family val="2"/>
      </rPr>
      <t>47.05.150</t>
    </r>
  </si>
  <si>
    <r>
      <rPr>
        <sz val="8.5"/>
        <rFont val="Calibri"/>
        <family val="2"/>
      </rPr>
      <t>Válvula de retenção vertical em bronze, DN= 3´</t>
    </r>
  </si>
  <si>
    <r>
      <rPr>
        <sz val="8.5"/>
        <rFont val="Calibri"/>
        <family val="2"/>
      </rPr>
      <t>391,89</t>
    </r>
  </si>
  <si>
    <r>
      <rPr>
        <sz val="8.5"/>
        <rFont val="Calibri"/>
        <family val="2"/>
      </rPr>
      <t>408,26</t>
    </r>
  </si>
  <si>
    <r>
      <rPr>
        <sz val="8.5"/>
        <rFont val="Calibri"/>
        <family val="2"/>
      </rPr>
      <t>47.05.160</t>
    </r>
  </si>
  <si>
    <r>
      <rPr>
        <sz val="8.5"/>
        <rFont val="Calibri"/>
        <family val="2"/>
      </rPr>
      <t>Válvula de retenção vertical em bronze, DN= 4´</t>
    </r>
  </si>
  <si>
    <r>
      <rPr>
        <sz val="8.5"/>
        <rFont val="Calibri"/>
        <family val="2"/>
      </rPr>
      <t>666,04</t>
    </r>
  </si>
  <si>
    <r>
      <rPr>
        <sz val="8.5"/>
        <rFont val="Calibri"/>
        <family val="2"/>
      </rPr>
      <t>687,87</t>
    </r>
  </si>
  <si>
    <r>
      <rPr>
        <sz val="8.5"/>
        <rFont val="Calibri"/>
        <family val="2"/>
      </rPr>
      <t>47.05.170</t>
    </r>
  </si>
  <si>
    <r>
      <rPr>
        <sz val="8.5"/>
        <rFont val="Calibri"/>
        <family val="2"/>
      </rPr>
      <t>Válvula de retenção de pé com crivo em bronze, DN= 1´</t>
    </r>
  </si>
  <si>
    <r>
      <rPr>
        <sz val="8.5"/>
        <rFont val="Calibri"/>
        <family val="2"/>
      </rPr>
      <t>64,62</t>
    </r>
  </si>
  <si>
    <r>
      <rPr>
        <sz val="8.5"/>
        <rFont val="Calibri"/>
        <family val="2"/>
      </rPr>
      <t>47.05.180</t>
    </r>
  </si>
  <si>
    <r>
      <rPr>
        <sz val="8.5"/>
        <rFont val="Calibri"/>
        <family val="2"/>
      </rPr>
      <t>Válvula de retenção de pé com crivo em bronze, DN= 1 1/4´</t>
    </r>
  </si>
  <si>
    <r>
      <rPr>
        <sz val="8.5"/>
        <rFont val="Calibri"/>
        <family val="2"/>
      </rPr>
      <t>89,22</t>
    </r>
  </si>
  <si>
    <r>
      <rPr>
        <sz val="8.5"/>
        <rFont val="Calibri"/>
        <family val="2"/>
      </rPr>
      <t>105,59</t>
    </r>
  </si>
  <si>
    <r>
      <rPr>
        <sz val="8.5"/>
        <rFont val="Calibri"/>
        <family val="2"/>
      </rPr>
      <t>47.05.190</t>
    </r>
  </si>
  <si>
    <r>
      <rPr>
        <sz val="8.5"/>
        <rFont val="Calibri"/>
        <family val="2"/>
      </rPr>
      <t>Válvula de retenção de pé com crivo em bronze, DN= 1 1/2´</t>
    </r>
  </si>
  <si>
    <r>
      <rPr>
        <sz val="8.5"/>
        <rFont val="Calibri"/>
        <family val="2"/>
      </rPr>
      <t>109,98</t>
    </r>
  </si>
  <si>
    <r>
      <rPr>
        <sz val="8.5"/>
        <rFont val="Calibri"/>
        <family val="2"/>
      </rPr>
      <t>47.05.200</t>
    </r>
  </si>
  <si>
    <r>
      <rPr>
        <sz val="8.5"/>
        <rFont val="Calibri"/>
        <family val="2"/>
      </rPr>
      <t>Válvula de retenção de pé com crivo em bronze, DN= 2´</t>
    </r>
  </si>
  <si>
    <r>
      <rPr>
        <sz val="8.5"/>
        <rFont val="Calibri"/>
        <family val="2"/>
      </rPr>
      <t>151,00</t>
    </r>
  </si>
  <si>
    <r>
      <rPr>
        <sz val="8.5"/>
        <rFont val="Calibri"/>
        <family val="2"/>
      </rPr>
      <t>167,37</t>
    </r>
  </si>
  <si>
    <r>
      <rPr>
        <sz val="8.5"/>
        <rFont val="Calibri"/>
        <family val="2"/>
      </rPr>
      <t>47.05.210</t>
    </r>
  </si>
  <si>
    <r>
      <rPr>
        <sz val="8.5"/>
        <rFont val="Calibri"/>
        <family val="2"/>
      </rPr>
      <t>Válvula de retenção de pé com crivo em bronze, DN= 2 1/2´</t>
    </r>
  </si>
  <si>
    <r>
      <rPr>
        <sz val="8.5"/>
        <rFont val="Calibri"/>
        <family val="2"/>
      </rPr>
      <t>243,31</t>
    </r>
  </si>
  <si>
    <r>
      <rPr>
        <sz val="8.5"/>
        <rFont val="Calibri"/>
        <family val="2"/>
      </rPr>
      <t>259,68</t>
    </r>
  </si>
  <si>
    <r>
      <rPr>
        <sz val="8.5"/>
        <rFont val="Calibri"/>
        <family val="2"/>
      </rPr>
      <t>47.05.220</t>
    </r>
  </si>
  <si>
    <r>
      <rPr>
        <sz val="8.5"/>
        <rFont val="Calibri"/>
        <family val="2"/>
      </rPr>
      <t>Válvula de gaveta em bronze, com haste não ascendente, classe 125 libras para vapor e classe 200 libras para água, óleo e gás, DN= 6´</t>
    </r>
  </si>
  <si>
    <r>
      <rPr>
        <sz val="8.5"/>
        <rFont val="Calibri"/>
        <family val="2"/>
      </rPr>
      <t>4.813,10</t>
    </r>
  </si>
  <si>
    <r>
      <rPr>
        <sz val="8.5"/>
        <rFont val="Calibri"/>
        <family val="2"/>
      </rPr>
      <t>4.840,39</t>
    </r>
  </si>
  <si>
    <r>
      <rPr>
        <sz val="8.5"/>
        <rFont val="Calibri"/>
        <family val="2"/>
      </rPr>
      <t>47.05.230</t>
    </r>
  </si>
  <si>
    <r>
      <rPr>
        <sz val="8.5"/>
        <rFont val="Calibri"/>
        <family val="2"/>
      </rPr>
      <t>Válvula de gaveta em bronze, com haste não ascendente, classe 125 libras para vapor e classe 200 libras para água, óleo e gás, DN= 2´</t>
    </r>
  </si>
  <si>
    <r>
      <rPr>
        <sz val="8.5"/>
        <rFont val="Calibri"/>
        <family val="2"/>
      </rPr>
      <t>137,24</t>
    </r>
  </si>
  <si>
    <r>
      <rPr>
        <sz val="8.5"/>
        <rFont val="Calibri"/>
        <family val="2"/>
      </rPr>
      <t>153,61</t>
    </r>
  </si>
  <si>
    <r>
      <rPr>
        <sz val="8.5"/>
        <rFont val="Calibri"/>
        <family val="2"/>
      </rPr>
      <t>47.05.240</t>
    </r>
  </si>
  <si>
    <r>
      <rPr>
        <sz val="8.5"/>
        <rFont val="Calibri"/>
        <family val="2"/>
      </rPr>
      <t xml:space="preserve">Válvula globo em bronze, classe 125 libras para vapor e classe 200 libras
</t>
    </r>
    <r>
      <rPr>
        <sz val="8.5"/>
        <rFont val="Calibri"/>
        <family val="2"/>
      </rPr>
      <t>para água, óleo e gás, DN= 2´</t>
    </r>
  </si>
  <si>
    <r>
      <rPr>
        <sz val="8.5"/>
        <rFont val="Calibri"/>
        <family val="2"/>
      </rPr>
      <t>358,36</t>
    </r>
  </si>
  <si>
    <r>
      <rPr>
        <sz val="8.5"/>
        <rFont val="Calibri"/>
        <family val="2"/>
      </rPr>
      <t>374,73</t>
    </r>
  </si>
  <si>
    <r>
      <rPr>
        <sz val="8.5"/>
        <rFont val="Calibri"/>
        <family val="2"/>
      </rPr>
      <t>47.05.260</t>
    </r>
  </si>
  <si>
    <r>
      <rPr>
        <sz val="8.5"/>
        <rFont val="Calibri"/>
        <family val="2"/>
      </rPr>
      <t>Válvula de retenção de pé com crivo em bronze, DN= 3´</t>
    </r>
  </si>
  <si>
    <r>
      <rPr>
        <sz val="8.5"/>
        <rFont val="Calibri"/>
        <family val="2"/>
      </rPr>
      <t>362,01</t>
    </r>
  </si>
  <si>
    <r>
      <rPr>
        <sz val="8.5"/>
        <rFont val="Calibri"/>
        <family val="2"/>
      </rPr>
      <t>378,38</t>
    </r>
  </si>
  <si>
    <r>
      <rPr>
        <sz val="8.5"/>
        <rFont val="Calibri"/>
        <family val="2"/>
      </rPr>
      <t>47.05.270</t>
    </r>
  </si>
  <si>
    <r>
      <rPr>
        <sz val="8.5"/>
        <rFont val="Calibri"/>
        <family val="2"/>
      </rPr>
      <t>Válvula de retenção de pé com crivo em bronze, DN= 4´</t>
    </r>
  </si>
  <si>
    <r>
      <rPr>
        <sz val="8.5"/>
        <rFont val="Calibri"/>
        <family val="2"/>
      </rPr>
      <t>702,93</t>
    </r>
  </si>
  <si>
    <r>
      <rPr>
        <sz val="8.5"/>
        <rFont val="Calibri"/>
        <family val="2"/>
      </rPr>
      <t>724,76</t>
    </r>
  </si>
  <si>
    <r>
      <rPr>
        <sz val="8.5"/>
        <rFont val="Calibri"/>
        <family val="2"/>
      </rPr>
      <t>47.05.280</t>
    </r>
  </si>
  <si>
    <r>
      <rPr>
        <sz val="8.5"/>
        <rFont val="Calibri"/>
        <family val="2"/>
      </rPr>
      <t>Válvula globo angular de 45° em bronze, DN= 2 1/2´</t>
    </r>
  </si>
  <si>
    <r>
      <rPr>
        <sz val="8.5"/>
        <rFont val="Calibri"/>
        <family val="2"/>
      </rPr>
      <t>295,01</t>
    </r>
  </si>
  <si>
    <r>
      <rPr>
        <sz val="8.5"/>
        <rFont val="Calibri"/>
        <family val="2"/>
      </rPr>
      <t>311,38</t>
    </r>
  </si>
  <si>
    <r>
      <rPr>
        <sz val="8.5"/>
        <rFont val="Calibri"/>
        <family val="2"/>
      </rPr>
      <t>47.05.290</t>
    </r>
  </si>
  <si>
    <r>
      <rPr>
        <sz val="8.5"/>
        <rFont val="Calibri"/>
        <family val="2"/>
      </rPr>
      <t>Válvula de gaveta em bronze, haste ascendente, classe 150 libras para vapor saturado e 300 libras para água, óleo e gás, DN= 1/2´</t>
    </r>
  </si>
  <si>
    <r>
      <rPr>
        <sz val="8.5"/>
        <rFont val="Calibri"/>
        <family val="2"/>
      </rPr>
      <t>106,72</t>
    </r>
  </si>
  <si>
    <r>
      <rPr>
        <sz val="8.5"/>
        <rFont val="Calibri"/>
        <family val="2"/>
      </rPr>
      <t>115,82</t>
    </r>
  </si>
  <si>
    <r>
      <rPr>
        <sz val="8.5"/>
        <rFont val="Calibri"/>
        <family val="2"/>
      </rPr>
      <t>47.05.296</t>
    </r>
  </si>
  <si>
    <r>
      <rPr>
        <sz val="8.5"/>
        <rFont val="Calibri"/>
        <family val="2"/>
      </rPr>
      <t>Válvula de gaveta em bronze, haste ascendente, classe 150 libras para vapor saturado e 300 libras para água, óleo e gás, DN= 4´</t>
    </r>
  </si>
  <si>
    <r>
      <rPr>
        <sz val="8.5"/>
        <rFont val="Calibri"/>
        <family val="2"/>
      </rPr>
      <t>4.241,74</t>
    </r>
  </si>
  <si>
    <r>
      <rPr>
        <sz val="8.5"/>
        <rFont val="Calibri"/>
        <family val="2"/>
      </rPr>
      <t>4.263,57</t>
    </r>
  </si>
  <si>
    <r>
      <rPr>
        <sz val="8.5"/>
        <rFont val="Calibri"/>
        <family val="2"/>
      </rPr>
      <t>47.05.300</t>
    </r>
  </si>
  <si>
    <r>
      <rPr>
        <sz val="8.5"/>
        <rFont val="Calibri"/>
        <family val="2"/>
      </rPr>
      <t>Válvula de gaveta em bronze, haste não ascendente, classe 150 libras para vapor saturado e 300 libras para água, óleo e gás, DN= 4´</t>
    </r>
  </si>
  <si>
    <r>
      <rPr>
        <sz val="8.5"/>
        <rFont val="Calibri"/>
        <family val="2"/>
      </rPr>
      <t>1.538,98</t>
    </r>
  </si>
  <si>
    <r>
      <rPr>
        <sz val="8.5"/>
        <rFont val="Calibri"/>
        <family val="2"/>
      </rPr>
      <t>1.560,81</t>
    </r>
  </si>
  <si>
    <r>
      <rPr>
        <sz val="8.5"/>
        <rFont val="Calibri"/>
        <family val="2"/>
      </rPr>
      <t>47.05.310</t>
    </r>
  </si>
  <si>
    <r>
      <rPr>
        <sz val="8.5"/>
        <rFont val="Calibri"/>
        <family val="2"/>
      </rPr>
      <t>Válvula de gaveta em bronze, haste não ascendente, classe 150 libras para vapor saturado e 300 libras para água, óleo e gás, DN= 2´</t>
    </r>
  </si>
  <si>
    <r>
      <rPr>
        <sz val="8.5"/>
        <rFont val="Calibri"/>
        <family val="2"/>
      </rPr>
      <t>298,70</t>
    </r>
  </si>
  <si>
    <r>
      <rPr>
        <sz val="8.5"/>
        <rFont val="Calibri"/>
        <family val="2"/>
      </rPr>
      <t>315,07</t>
    </r>
  </si>
  <si>
    <r>
      <rPr>
        <sz val="8.5"/>
        <rFont val="Calibri"/>
        <family val="2"/>
      </rPr>
      <t>47.05.340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</si>
  <si>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3/4´</t>
    </r>
  </si>
  <si>
    <r>
      <rPr>
        <sz val="8.5"/>
        <rFont val="Calibri"/>
        <family val="2"/>
      </rPr>
      <t>148,76</t>
    </r>
  </si>
  <si>
    <r>
      <rPr>
        <sz val="8.5"/>
        <rFont val="Calibri"/>
        <family val="2"/>
      </rPr>
      <t>165,13</t>
    </r>
  </si>
  <si>
    <r>
      <rPr>
        <sz val="8.5"/>
        <rFont val="Calibri"/>
        <family val="2"/>
      </rPr>
      <t>47.05.350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</si>
  <si>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1´</t>
    </r>
  </si>
  <si>
    <r>
      <rPr>
        <sz val="8.5"/>
        <rFont val="Calibri"/>
        <family val="2"/>
      </rPr>
      <t>199,63</t>
    </r>
  </si>
  <si>
    <r>
      <rPr>
        <sz val="8.5"/>
        <rFont val="Calibri"/>
        <family val="2"/>
      </rPr>
      <t>216,00</t>
    </r>
  </si>
  <si>
    <r>
      <rPr>
        <sz val="8.5"/>
        <rFont val="Calibri"/>
        <family val="2"/>
      </rPr>
      <t>47.05.360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</si>
  <si>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1 1/2´</t>
    </r>
  </si>
  <si>
    <r>
      <rPr>
        <sz val="8.5"/>
        <rFont val="Calibri"/>
        <family val="2"/>
      </rPr>
      <t>403,63</t>
    </r>
  </si>
  <si>
    <r>
      <rPr>
        <sz val="8.5"/>
        <rFont val="Calibri"/>
        <family val="2"/>
      </rPr>
      <t>420,00</t>
    </r>
  </si>
  <si>
    <r>
      <rPr>
        <sz val="8.5"/>
        <rFont val="Calibri"/>
        <family val="2"/>
      </rPr>
      <t>47.05.370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</si>
  <si>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2´</t>
    </r>
  </si>
  <si>
    <r>
      <rPr>
        <sz val="8.5"/>
        <rFont val="Calibri"/>
        <family val="2"/>
      </rPr>
      <t>529,50</t>
    </r>
  </si>
  <si>
    <r>
      <rPr>
        <sz val="8.5"/>
        <rFont val="Calibri"/>
        <family val="2"/>
      </rPr>
      <t>545,87</t>
    </r>
  </si>
  <si>
    <r>
      <rPr>
        <sz val="8.5"/>
        <rFont val="Calibri"/>
        <family val="2"/>
      </rPr>
      <t>47.05.390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</si>
  <si>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2 1/2´</t>
    </r>
  </si>
  <si>
    <r>
      <rPr>
        <sz val="8.5"/>
        <rFont val="Calibri"/>
        <family val="2"/>
      </rPr>
      <t>808,95</t>
    </r>
  </si>
  <si>
    <r>
      <rPr>
        <sz val="8.5"/>
        <rFont val="Calibri"/>
        <family val="2"/>
      </rPr>
      <t>825,32</t>
    </r>
  </si>
  <si>
    <r>
      <rPr>
        <sz val="8.5"/>
        <rFont val="Calibri"/>
        <family val="2"/>
      </rPr>
      <t>47.05.392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</si>
  <si>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3´</t>
    </r>
  </si>
  <si>
    <r>
      <rPr>
        <sz val="8.5"/>
        <rFont val="Calibri"/>
        <family val="2"/>
      </rPr>
      <t>1.738,41</t>
    </r>
  </si>
  <si>
    <r>
      <rPr>
        <sz val="8.5"/>
        <rFont val="Calibri"/>
        <family val="2"/>
      </rPr>
      <t>1.760,24</t>
    </r>
  </si>
  <si>
    <r>
      <rPr>
        <sz val="8.5"/>
        <rFont val="Calibri"/>
        <family val="2"/>
      </rPr>
      <t>47.05.394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</si>
  <si>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4´</t>
    </r>
  </si>
  <si>
    <r>
      <rPr>
        <sz val="8.5"/>
        <rFont val="Calibri"/>
        <family val="2"/>
      </rPr>
      <t>4.535,83</t>
    </r>
  </si>
  <si>
    <r>
      <rPr>
        <sz val="8.5"/>
        <rFont val="Calibri"/>
        <family val="2"/>
      </rPr>
      <t>4.557,66</t>
    </r>
  </si>
  <si>
    <r>
      <rPr>
        <sz val="8.5"/>
        <rFont val="Calibri"/>
        <family val="2"/>
      </rPr>
      <t>47.05.398</t>
    </r>
  </si>
  <si>
    <r>
      <rPr>
        <sz val="8.5"/>
        <rFont val="Calibri"/>
        <family val="2"/>
      </rPr>
      <t>Válvula de gaveta em bronze, haste não ascendente, classe 125 libras para vapor e classe 200 libras para água, óleo e gás, DN= 3/4´</t>
    </r>
  </si>
  <si>
    <r>
      <rPr>
        <sz val="8.5"/>
        <rFont val="Calibri"/>
        <family val="2"/>
      </rPr>
      <t>57,00</t>
    </r>
  </si>
  <si>
    <r>
      <rPr>
        <sz val="8.5"/>
        <rFont val="Calibri"/>
        <family val="2"/>
      </rPr>
      <t>47.05.400</t>
    </r>
  </si>
  <si>
    <r>
      <rPr>
        <sz val="8.5"/>
        <rFont val="Calibri"/>
        <family val="2"/>
      </rPr>
      <t xml:space="preserve">Válvula de gaveta em bronze, haste não ascendente, classe 125 libras
</t>
    </r>
    <r>
      <rPr>
        <sz val="8.5"/>
        <rFont val="Calibri"/>
        <family val="2"/>
      </rPr>
      <t>para vapor e classe 200 libras para água, óleo e gás, DN= 1´</t>
    </r>
  </si>
  <si>
    <r>
      <rPr>
        <sz val="8.5"/>
        <rFont val="Calibri"/>
        <family val="2"/>
      </rPr>
      <t>80,01</t>
    </r>
  </si>
  <si>
    <r>
      <rPr>
        <sz val="8.5"/>
        <rFont val="Calibri"/>
        <family val="2"/>
      </rPr>
      <t>47.05.406</t>
    </r>
  </si>
  <si>
    <r>
      <rPr>
        <sz val="8.5"/>
        <rFont val="Calibri"/>
        <family val="2"/>
      </rPr>
      <t>Válvula de gaveta em bronze, haste não ascendente, classe 125 libras para vapor e classe 200 libras para água, óleo e gás, DN= 1.1/4´</t>
    </r>
  </si>
  <si>
    <r>
      <rPr>
        <sz val="8.5"/>
        <rFont val="Calibri"/>
        <family val="2"/>
      </rPr>
      <t>83,10</t>
    </r>
  </si>
  <si>
    <r>
      <rPr>
        <sz val="8.5"/>
        <rFont val="Calibri"/>
        <family val="2"/>
      </rPr>
      <t>97,66</t>
    </r>
  </si>
  <si>
    <r>
      <rPr>
        <sz val="8.5"/>
        <rFont val="Calibri"/>
        <family val="2"/>
      </rPr>
      <t>47.05.410</t>
    </r>
  </si>
  <si>
    <r>
      <rPr>
        <sz val="8.5"/>
        <rFont val="Calibri"/>
        <family val="2"/>
      </rPr>
      <t>Válvula de gaveta em bronze, haste não ascendente, classe 125 libras para vapor e classe 200 libras para água, óleo e gás, DN= 1 1/2´</t>
    </r>
  </si>
  <si>
    <r>
      <rPr>
        <sz val="8.5"/>
        <rFont val="Calibri"/>
        <family val="2"/>
      </rPr>
      <t>87,80</t>
    </r>
  </si>
  <si>
    <r>
      <rPr>
        <sz val="8.5"/>
        <rFont val="Calibri"/>
        <family val="2"/>
      </rPr>
      <t>104,17</t>
    </r>
  </si>
  <si>
    <r>
      <rPr>
        <sz val="8.5"/>
        <rFont val="Calibri"/>
        <family val="2"/>
      </rPr>
      <t>47.05.420</t>
    </r>
  </si>
  <si>
    <r>
      <rPr>
        <sz val="8.5"/>
        <rFont val="Calibri"/>
        <family val="2"/>
      </rPr>
      <t>Válvula de gaveta em bronze, haste não ascendente, classe 125 libras para vapor e classe 200 libras para água, óleo e gás, DN= 2 1/2´</t>
    </r>
  </si>
  <si>
    <r>
      <rPr>
        <sz val="8.5"/>
        <rFont val="Calibri"/>
        <family val="2"/>
      </rPr>
      <t>361,91</t>
    </r>
  </si>
  <si>
    <r>
      <rPr>
        <sz val="8.5"/>
        <rFont val="Calibri"/>
        <family val="2"/>
      </rPr>
      <t>378,28</t>
    </r>
  </si>
  <si>
    <r>
      <rPr>
        <sz val="8.5"/>
        <rFont val="Calibri"/>
        <family val="2"/>
      </rPr>
      <t>47.05.430</t>
    </r>
  </si>
  <si>
    <r>
      <rPr>
        <sz val="8.5"/>
        <rFont val="Calibri"/>
        <family val="2"/>
      </rPr>
      <t xml:space="preserve">Válvula de gaveta em bronze, haste não ascendente, classe 125 libras
</t>
    </r>
    <r>
      <rPr>
        <sz val="8.5"/>
        <rFont val="Calibri"/>
        <family val="2"/>
      </rPr>
      <t>para vapor e classe 200 libras para água, óleo e gás, DN= 3´</t>
    </r>
  </si>
  <si>
    <r>
      <rPr>
        <sz val="8.5"/>
        <rFont val="Calibri"/>
        <family val="2"/>
      </rPr>
      <t>495,10</t>
    </r>
  </si>
  <si>
    <r>
      <rPr>
        <sz val="8.5"/>
        <rFont val="Calibri"/>
        <family val="2"/>
      </rPr>
      <t>511,47</t>
    </r>
  </si>
  <si>
    <r>
      <rPr>
        <sz val="8.5"/>
        <rFont val="Calibri"/>
        <family val="2"/>
      </rPr>
      <t>47.05.450</t>
    </r>
  </si>
  <si>
    <r>
      <rPr>
        <sz val="8.5"/>
        <rFont val="Calibri"/>
        <family val="2"/>
      </rPr>
      <t xml:space="preserve">Válvula redutora de pressão de ação direta em bronze, extremidade roscada, para água, ar, óleo e gás, PE= 200 psi e PS= 20 à 90 psi, DN= 1
</t>
    </r>
    <r>
      <rPr>
        <sz val="8.5"/>
        <rFont val="Calibri"/>
        <family val="2"/>
      </rPr>
      <t>1/4´</t>
    </r>
  </si>
  <si>
    <r>
      <rPr>
        <sz val="8.5"/>
        <rFont val="Calibri"/>
        <family val="2"/>
      </rPr>
      <t>3.592,53</t>
    </r>
  </si>
  <si>
    <r>
      <rPr>
        <sz val="8.5"/>
        <rFont val="Calibri"/>
        <family val="2"/>
      </rPr>
      <t>3.665,31</t>
    </r>
  </si>
  <si>
    <r>
      <rPr>
        <sz val="8.5"/>
        <rFont val="Calibri"/>
        <family val="2"/>
      </rPr>
      <t>47.05.460</t>
    </r>
  </si>
  <si>
    <r>
      <rPr>
        <sz val="8.5"/>
        <rFont val="Calibri"/>
        <family val="2"/>
      </rPr>
      <t>Válvula redutora de pressão de ação direta em bronze, extremidade roscada, para água, ar, óleo e gás, PE= 200 psi e PS= 20 à 90 psi, DN= 2´</t>
    </r>
  </si>
  <si>
    <r>
      <rPr>
        <sz val="8.5"/>
        <rFont val="Calibri"/>
        <family val="2"/>
      </rPr>
      <t>5.220,67</t>
    </r>
  </si>
  <si>
    <r>
      <rPr>
        <sz val="8.5"/>
        <rFont val="Calibri"/>
        <family val="2"/>
      </rPr>
      <t>5.293,45</t>
    </r>
  </si>
  <si>
    <r>
      <rPr>
        <sz val="8.5"/>
        <rFont val="Calibri"/>
        <family val="2"/>
      </rPr>
      <t>47.05.580</t>
    </r>
  </si>
  <si>
    <r>
      <rPr>
        <sz val="8.5"/>
        <rFont val="Calibri"/>
        <family val="2"/>
      </rPr>
      <t>Válvula de gaveta em bronze com fecho rápido, DN= 1 1/2´</t>
    </r>
  </si>
  <si>
    <r>
      <rPr>
        <sz val="8.5"/>
        <rFont val="Calibri"/>
        <family val="2"/>
      </rPr>
      <t>391,86</t>
    </r>
  </si>
  <si>
    <r>
      <rPr>
        <sz val="8.5"/>
        <rFont val="Calibri"/>
        <family val="2"/>
      </rPr>
      <t>428,25</t>
    </r>
  </si>
  <si>
    <r>
      <rPr>
        <sz val="8.5"/>
        <rFont val="Calibri"/>
        <family val="2"/>
      </rPr>
      <t>Registro e / ou valvula em ferro fundido</t>
    </r>
  </si>
  <si>
    <r>
      <rPr>
        <sz val="8.5"/>
        <rFont val="Calibri"/>
        <family val="2"/>
      </rPr>
      <t>47.06.030</t>
    </r>
  </si>
  <si>
    <r>
      <rPr>
        <sz val="8.5"/>
        <rFont val="Calibri"/>
        <family val="2"/>
      </rPr>
      <t xml:space="preserve">Válvula de gaveta em ferro fundido, haste ascendente com flange, classe
</t>
    </r>
    <r>
      <rPr>
        <sz val="8.5"/>
        <rFont val="Calibri"/>
        <family val="2"/>
      </rPr>
      <t>125 libras, DN= 2´</t>
    </r>
  </si>
  <si>
    <r>
      <rPr>
        <sz val="8.5"/>
        <rFont val="Calibri"/>
        <family val="2"/>
      </rPr>
      <t>1.194,20</t>
    </r>
  </si>
  <si>
    <r>
      <rPr>
        <sz val="8.5"/>
        <rFont val="Calibri"/>
        <family val="2"/>
      </rPr>
      <t>1.239,69</t>
    </r>
  </si>
  <si>
    <r>
      <rPr>
        <sz val="8.5"/>
        <rFont val="Calibri"/>
        <family val="2"/>
      </rPr>
      <t>47.06.040</t>
    </r>
  </si>
  <si>
    <r>
      <rPr>
        <sz val="8.5"/>
        <rFont val="Calibri"/>
        <family val="2"/>
      </rPr>
      <t>Válvula de retenção de pé com crivo em ferro fundido, flangeada, DN= 6´</t>
    </r>
  </si>
  <si>
    <r>
      <rPr>
        <sz val="8.5"/>
        <rFont val="Calibri"/>
        <family val="2"/>
      </rPr>
      <t>1.666,85</t>
    </r>
  </si>
  <si>
    <r>
      <rPr>
        <sz val="8.5"/>
        <rFont val="Calibri"/>
        <family val="2"/>
      </rPr>
      <t>1.794,22</t>
    </r>
  </si>
  <si>
    <r>
      <rPr>
        <sz val="8.5"/>
        <rFont val="Calibri"/>
        <family val="2"/>
      </rPr>
      <t>47.06.041</t>
    </r>
  </si>
  <si>
    <r>
      <rPr>
        <sz val="8.5"/>
        <rFont val="Calibri"/>
        <family val="2"/>
      </rPr>
      <t>Válvula de retenção de pé com crivo em ferro fundido, flangeada, DN= 8´</t>
    </r>
  </si>
  <si>
    <r>
      <rPr>
        <sz val="8.5"/>
        <rFont val="Calibri"/>
        <family val="2"/>
      </rPr>
      <t>2.471,24</t>
    </r>
  </si>
  <si>
    <r>
      <rPr>
        <sz val="8.5"/>
        <rFont val="Calibri"/>
        <family val="2"/>
      </rPr>
      <t>2.598,61</t>
    </r>
  </si>
  <si>
    <r>
      <rPr>
        <sz val="8.5"/>
        <rFont val="Calibri"/>
        <family val="2"/>
      </rPr>
      <t>47.06.050</t>
    </r>
  </si>
  <si>
    <r>
      <rPr>
        <sz val="8.5"/>
        <rFont val="Calibri"/>
        <family val="2"/>
      </rPr>
      <t>Válvula de retenção tipo portinhola dupla em ferro fundido, DN= 6´</t>
    </r>
  </si>
  <si>
    <r>
      <rPr>
        <sz val="8.5"/>
        <rFont val="Calibri"/>
        <family val="2"/>
      </rPr>
      <t>1.305,87</t>
    </r>
  </si>
  <si>
    <r>
      <rPr>
        <sz val="8.5"/>
        <rFont val="Calibri"/>
        <family val="2"/>
      </rPr>
      <t>1.433,24</t>
    </r>
  </si>
  <si>
    <r>
      <rPr>
        <sz val="8.5"/>
        <rFont val="Calibri"/>
        <family val="2"/>
      </rPr>
      <t>47.06.051</t>
    </r>
  </si>
  <si>
    <r>
      <rPr>
        <sz val="8.5"/>
        <rFont val="Calibri"/>
        <family val="2"/>
      </rPr>
      <t xml:space="preserve">Válvula de retenção tipo portinhola simples em ferro fundido, flangeada,
</t>
    </r>
    <r>
      <rPr>
        <sz val="8.5"/>
        <rFont val="Calibri"/>
        <family val="2"/>
      </rPr>
      <t>DN= 6´</t>
    </r>
  </si>
  <si>
    <r>
      <rPr>
        <sz val="8.5"/>
        <rFont val="Calibri"/>
        <family val="2"/>
      </rPr>
      <t>2.579,71</t>
    </r>
  </si>
  <si>
    <r>
      <rPr>
        <sz val="8.5"/>
        <rFont val="Calibri"/>
        <family val="2"/>
      </rPr>
      <t>2.707,08</t>
    </r>
  </si>
  <si>
    <r>
      <rPr>
        <sz val="8.5"/>
        <rFont val="Calibri"/>
        <family val="2"/>
      </rPr>
      <t>47.06.060</t>
    </r>
  </si>
  <si>
    <r>
      <rPr>
        <sz val="8.5"/>
        <rFont val="Calibri"/>
        <family val="2"/>
      </rPr>
      <t>Válvula de gaveta em ferro fundido com bolsa, DN= 150 mm</t>
    </r>
  </si>
  <si>
    <r>
      <rPr>
        <sz val="8.5"/>
        <rFont val="Calibri"/>
        <family val="2"/>
      </rPr>
      <t>1.847,28</t>
    </r>
  </si>
  <si>
    <r>
      <rPr>
        <sz val="8.5"/>
        <rFont val="Calibri"/>
        <family val="2"/>
      </rPr>
      <t>1.920,06</t>
    </r>
  </si>
  <si>
    <r>
      <rPr>
        <sz val="8.5"/>
        <rFont val="Calibri"/>
        <family val="2"/>
      </rPr>
      <t>47.06.070</t>
    </r>
  </si>
  <si>
    <r>
      <rPr>
        <sz val="8.5"/>
        <rFont val="Calibri"/>
        <family val="2"/>
      </rPr>
      <t>Válvula de gaveta em ferro fundido com bolsa, DN= 200 mm</t>
    </r>
  </si>
  <si>
    <r>
      <rPr>
        <sz val="8.5"/>
        <rFont val="Calibri"/>
        <family val="2"/>
      </rPr>
      <t>3.091,09</t>
    </r>
  </si>
  <si>
    <r>
      <rPr>
        <sz val="8.5"/>
        <rFont val="Calibri"/>
        <family val="2"/>
      </rPr>
      <t>3.163,87</t>
    </r>
  </si>
  <si>
    <r>
      <rPr>
        <sz val="8.5"/>
        <rFont val="Calibri"/>
        <family val="2"/>
      </rPr>
      <t>47.06.080</t>
    </r>
  </si>
  <si>
    <r>
      <rPr>
        <sz val="8.5"/>
        <rFont val="Calibri"/>
        <family val="2"/>
      </rPr>
      <t>Válvula de retenção tipo portinhola simples em ferro fundido, DN= 4´</t>
    </r>
  </si>
  <si>
    <r>
      <rPr>
        <sz val="8.5"/>
        <rFont val="Calibri"/>
        <family val="2"/>
      </rPr>
      <t>1.093,86</t>
    </r>
  </si>
  <si>
    <r>
      <rPr>
        <sz val="8.5"/>
        <rFont val="Calibri"/>
        <family val="2"/>
      </rPr>
      <t>1.166,64</t>
    </r>
  </si>
  <si>
    <r>
      <rPr>
        <sz val="8.5"/>
        <rFont val="Calibri"/>
        <family val="2"/>
      </rPr>
      <t>47.06.090</t>
    </r>
  </si>
  <si>
    <r>
      <rPr>
        <sz val="8.5"/>
        <rFont val="Calibri"/>
        <family val="2"/>
      </rPr>
      <t>Válvula de retenção tipo portinhola dupla em ferro fundido, DN= 4´</t>
    </r>
  </si>
  <si>
    <r>
      <rPr>
        <sz val="8.5"/>
        <rFont val="Calibri"/>
        <family val="2"/>
      </rPr>
      <t>734,76</t>
    </r>
  </si>
  <si>
    <r>
      <rPr>
        <sz val="8.5"/>
        <rFont val="Calibri"/>
        <family val="2"/>
      </rPr>
      <t>807,54</t>
    </r>
  </si>
  <si>
    <r>
      <rPr>
        <sz val="8.5"/>
        <rFont val="Calibri"/>
        <family val="2"/>
      </rPr>
      <t>47.06.100</t>
    </r>
  </si>
  <si>
    <r>
      <rPr>
        <sz val="8.5"/>
        <rFont val="Calibri"/>
        <family val="2"/>
      </rPr>
      <t xml:space="preserve">Válvula de segurança em ferro fundido rosqueada com pressão de ajuste
</t>
    </r>
    <r>
      <rPr>
        <sz val="8.5"/>
        <rFont val="Calibri"/>
        <family val="2"/>
      </rPr>
      <t>0,4 até 0,75kgf/cm², DN= 2´</t>
    </r>
  </si>
  <si>
    <r>
      <rPr>
        <sz val="8.5"/>
        <rFont val="Calibri"/>
        <family val="2"/>
      </rPr>
      <t>7.259,38</t>
    </r>
  </si>
  <si>
    <r>
      <rPr>
        <sz val="8.5"/>
        <rFont val="Calibri"/>
        <family val="2"/>
      </rPr>
      <t>7.304,87</t>
    </r>
  </si>
  <si>
    <r>
      <rPr>
        <sz val="8.5"/>
        <rFont val="Calibri"/>
        <family val="2"/>
      </rPr>
      <t>47.06.110</t>
    </r>
  </si>
  <si>
    <r>
      <rPr>
        <sz val="8.5"/>
        <rFont val="Calibri"/>
        <family val="2"/>
      </rPr>
      <t xml:space="preserve">Válvula de segurança em ferro fundido rosqueada com pressão de ajuste
</t>
    </r>
    <r>
      <rPr>
        <sz val="8.5"/>
        <rFont val="Calibri"/>
        <family val="2"/>
      </rPr>
      <t>6,1 até 10,0kgf/cm², DN= 3/4´</t>
    </r>
  </si>
  <si>
    <r>
      <rPr>
        <sz val="8.5"/>
        <rFont val="Calibri"/>
        <family val="2"/>
      </rPr>
      <t>3.481,68</t>
    </r>
  </si>
  <si>
    <r>
      <rPr>
        <sz val="8.5"/>
        <rFont val="Calibri"/>
        <family val="2"/>
      </rPr>
      <t>3.503,51</t>
    </r>
  </si>
  <si>
    <r>
      <rPr>
        <sz val="8.5"/>
        <rFont val="Calibri"/>
        <family val="2"/>
      </rPr>
      <t>47.06.180</t>
    </r>
  </si>
  <si>
    <r>
      <rPr>
        <sz val="8.5"/>
        <rFont val="Calibri"/>
        <family val="2"/>
      </rPr>
      <t>Válvula de gaveta em ferro fundido com bolsa, DN= 100mm</t>
    </r>
  </si>
  <si>
    <r>
      <rPr>
        <sz val="8.5"/>
        <rFont val="Calibri"/>
        <family val="2"/>
      </rPr>
      <t>944,68</t>
    </r>
  </si>
  <si>
    <r>
      <rPr>
        <sz val="8.5"/>
        <rFont val="Calibri"/>
        <family val="2"/>
      </rPr>
      <t>1.017,46</t>
    </r>
  </si>
  <si>
    <r>
      <rPr>
        <sz val="8.5"/>
        <rFont val="Calibri"/>
        <family val="2"/>
      </rPr>
      <t>47.06.310</t>
    </r>
  </si>
  <si>
    <r>
      <rPr>
        <sz val="8.5"/>
        <rFont val="Calibri"/>
        <family val="2"/>
      </rPr>
      <t xml:space="preserve">Visor de fluxo com janela simples, corpo em ferro fundido ou aço
</t>
    </r>
    <r>
      <rPr>
        <sz val="8.5"/>
        <rFont val="Calibri"/>
        <family val="2"/>
      </rPr>
      <t>carbono, DN = 1´</t>
    </r>
  </si>
  <si>
    <r>
      <rPr>
        <sz val="8.5"/>
        <rFont val="Calibri"/>
        <family val="2"/>
      </rPr>
      <t>1.039,94</t>
    </r>
  </si>
  <si>
    <r>
      <rPr>
        <sz val="8.5"/>
        <rFont val="Calibri"/>
        <family val="2"/>
      </rPr>
      <t>1.067,23</t>
    </r>
  </si>
  <si>
    <r>
      <rPr>
        <sz val="8.5"/>
        <rFont val="Calibri"/>
        <family val="2"/>
      </rPr>
      <t>47.06.320</t>
    </r>
  </si>
  <si>
    <r>
      <rPr>
        <sz val="8.5"/>
        <rFont val="Calibri"/>
        <family val="2"/>
      </rPr>
      <t xml:space="preserve">Válvula de governo (retenção e alarme) completa, corpo em ferro
</t>
    </r>
    <r>
      <rPr>
        <sz val="8.5"/>
        <rFont val="Calibri"/>
        <family val="2"/>
      </rPr>
      <t>fundido, classe 125 libras, DN= 4´</t>
    </r>
  </si>
  <si>
    <r>
      <rPr>
        <sz val="8.5"/>
        <rFont val="Calibri"/>
        <family val="2"/>
      </rPr>
      <t>8.806,08</t>
    </r>
  </si>
  <si>
    <r>
      <rPr>
        <sz val="8.5"/>
        <rFont val="Calibri"/>
        <family val="2"/>
      </rPr>
      <t>8.915,25</t>
    </r>
  </si>
  <si>
    <r>
      <rPr>
        <sz val="8.5"/>
        <rFont val="Calibri"/>
        <family val="2"/>
      </rPr>
      <t>47.06.330</t>
    </r>
  </si>
  <si>
    <r>
      <rPr>
        <sz val="8.5"/>
        <rFont val="Calibri"/>
        <family val="2"/>
      </rPr>
      <t xml:space="preserve">Válvula de gaveta em ferro fundido, haste ascendente com flange, classe
</t>
    </r>
    <r>
      <rPr>
        <sz val="8.5"/>
        <rFont val="Calibri"/>
        <family val="2"/>
      </rPr>
      <t>125 libras, DN= 4´</t>
    </r>
  </si>
  <si>
    <r>
      <rPr>
        <sz val="8.5"/>
        <rFont val="Calibri"/>
        <family val="2"/>
      </rPr>
      <t>1.921,93</t>
    </r>
  </si>
  <si>
    <r>
      <rPr>
        <sz val="8.5"/>
        <rFont val="Calibri"/>
        <family val="2"/>
      </rPr>
      <t>1.994,71</t>
    </r>
  </si>
  <si>
    <r>
      <rPr>
        <sz val="8.5"/>
        <rFont val="Calibri"/>
        <family val="2"/>
      </rPr>
      <t>47.06.340</t>
    </r>
  </si>
  <si>
    <r>
      <rPr>
        <sz val="8.5"/>
        <rFont val="Calibri"/>
        <family val="2"/>
      </rPr>
      <t xml:space="preserve">Válvula de gaveta em ferro fundido, haste ascendente com flange, classe
</t>
    </r>
    <r>
      <rPr>
        <sz val="8.5"/>
        <rFont val="Calibri"/>
        <family val="2"/>
      </rPr>
      <t>125 libras, DN= 6´</t>
    </r>
  </si>
  <si>
    <r>
      <rPr>
        <sz val="8.5"/>
        <rFont val="Calibri"/>
        <family val="2"/>
      </rPr>
      <t>2.857,82</t>
    </r>
  </si>
  <si>
    <r>
      <rPr>
        <sz val="8.5"/>
        <rFont val="Calibri"/>
        <family val="2"/>
      </rPr>
      <t>2.930,60</t>
    </r>
  </si>
  <si>
    <r>
      <rPr>
        <sz val="8.5"/>
        <rFont val="Calibri"/>
        <family val="2"/>
      </rPr>
      <t>47.06.350</t>
    </r>
  </si>
  <si>
    <r>
      <rPr>
        <sz val="8.5"/>
        <rFont val="Calibri"/>
        <family val="2"/>
      </rPr>
      <t xml:space="preserve">Válvula de retenção vertical em ferro fundido com flange, classe 125
</t>
    </r>
    <r>
      <rPr>
        <sz val="8.5"/>
        <rFont val="Calibri"/>
        <family val="2"/>
      </rPr>
      <t>libras, DN= 4´</t>
    </r>
  </si>
  <si>
    <r>
      <rPr>
        <sz val="8.5"/>
        <rFont val="Calibri"/>
        <family val="2"/>
      </rPr>
      <t>1.787,65</t>
    </r>
  </si>
  <si>
    <r>
      <rPr>
        <sz val="8.5"/>
        <rFont val="Calibri"/>
        <family val="2"/>
      </rPr>
      <t>1.860,43</t>
    </r>
  </si>
  <si>
    <r>
      <rPr>
        <sz val="8.5"/>
        <rFont val="Calibri"/>
        <family val="2"/>
      </rPr>
      <t>Registro e / ou valvula em aco carbono fundido</t>
    </r>
  </si>
  <si>
    <r>
      <rPr>
        <sz val="8.5"/>
        <rFont val="Calibri"/>
        <family val="2"/>
      </rPr>
      <t>47.07.010</t>
    </r>
  </si>
  <si>
    <r>
      <rPr>
        <sz val="8.5"/>
        <rFont val="Calibri"/>
        <family val="2"/>
      </rPr>
      <t>Válvula de esfera em aço carbono fundido, passagem plena, classe 150 libras para vapor e classe 600 libras para água, óleo e gás, DN= 1/2´</t>
    </r>
  </si>
  <si>
    <r>
      <rPr>
        <sz val="8.5"/>
        <rFont val="Calibri"/>
        <family val="2"/>
      </rPr>
      <t>82,76</t>
    </r>
  </si>
  <si>
    <r>
      <rPr>
        <sz val="8.5"/>
        <rFont val="Calibri"/>
        <family val="2"/>
      </rPr>
      <t>99,13</t>
    </r>
  </si>
  <si>
    <r>
      <rPr>
        <sz val="8.5"/>
        <rFont val="Calibri"/>
        <family val="2"/>
      </rPr>
      <t>47.07.020</t>
    </r>
  </si>
  <si>
    <r>
      <rPr>
        <sz val="8.5"/>
        <rFont val="Calibri"/>
        <family val="2"/>
      </rPr>
      <t>Válvula de esfera em aço carbono fundido, passagem plena, classe 150 libras para vapor e classe 600 libras para água, óleo e gás, DN= 3/4´</t>
    </r>
  </si>
  <si>
    <r>
      <rPr>
        <sz val="8.5"/>
        <rFont val="Calibri"/>
        <family val="2"/>
      </rPr>
      <t>135,17</t>
    </r>
  </si>
  <si>
    <r>
      <rPr>
        <sz val="8.5"/>
        <rFont val="Calibri"/>
        <family val="2"/>
      </rPr>
      <t>47.07.030</t>
    </r>
  </si>
  <si>
    <r>
      <rPr>
        <sz val="8.5"/>
        <rFont val="Calibri"/>
        <family val="2"/>
      </rPr>
      <t>Válvula de esfera em aço carbono fundido, passagem plena, classe 150 libras para vapor e classe 600 libras para água, óleo e gás, DN= 1´</t>
    </r>
  </si>
  <si>
    <r>
      <rPr>
        <sz val="8.5"/>
        <rFont val="Calibri"/>
        <family val="2"/>
      </rPr>
      <t>147,00</t>
    </r>
  </si>
  <si>
    <r>
      <rPr>
        <sz val="8.5"/>
        <rFont val="Calibri"/>
        <family val="2"/>
      </rPr>
      <t>174,29</t>
    </r>
  </si>
  <si>
    <r>
      <rPr>
        <sz val="8.5"/>
        <rFont val="Calibri"/>
        <family val="2"/>
      </rPr>
      <t>47.07.031</t>
    </r>
  </si>
  <si>
    <r>
      <rPr>
        <sz val="8.5"/>
        <rFont val="Calibri"/>
        <family val="2"/>
      </rPr>
      <t>Válvula de esfera em aço carbono fundido, passagem plena, classe 150 libras para vapor e classe 600 libras para água, óleo e gás, DN= 1.1/4´</t>
    </r>
  </si>
  <si>
    <r>
      <rPr>
        <sz val="8.5"/>
        <rFont val="Calibri"/>
        <family val="2"/>
      </rPr>
      <t>147,54</t>
    </r>
  </si>
  <si>
    <r>
      <rPr>
        <sz val="8.5"/>
        <rFont val="Calibri"/>
        <family val="2"/>
      </rPr>
      <t>176,66</t>
    </r>
  </si>
  <si>
    <r>
      <rPr>
        <sz val="8.5"/>
        <rFont val="Calibri"/>
        <family val="2"/>
      </rPr>
      <t>47.07.090</t>
    </r>
  </si>
  <si>
    <r>
      <rPr>
        <sz val="8.5"/>
        <rFont val="Calibri"/>
        <family val="2"/>
      </rPr>
      <t>Válvula de esfera em aço carbono fundido, passagem plena, extremidades rosqueáveis, classe 300 libras para vapor saturado, DN= 2´</t>
    </r>
  </si>
  <si>
    <r>
      <rPr>
        <sz val="8.5"/>
        <rFont val="Calibri"/>
        <family val="2"/>
      </rPr>
      <t>490,82</t>
    </r>
  </si>
  <si>
    <r>
      <rPr>
        <sz val="8.5"/>
        <rFont val="Calibri"/>
        <family val="2"/>
      </rPr>
      <t>536,31</t>
    </r>
  </si>
  <si>
    <r>
      <rPr>
        <sz val="8.5"/>
        <rFont val="Calibri"/>
        <family val="2"/>
      </rPr>
      <t>Registro e / ou valvula em aco carbono forjado</t>
    </r>
  </si>
  <si>
    <r>
      <rPr>
        <sz val="8.5"/>
        <rFont val="Calibri"/>
        <family val="2"/>
      </rPr>
      <t>47.09.010</t>
    </r>
  </si>
  <si>
    <r>
      <rPr>
        <sz val="8.5"/>
        <rFont val="Calibri"/>
        <family val="2"/>
      </rPr>
      <t xml:space="preserve">Válvula globo em aço carbono forjado, classe 800 libras para vapor e
</t>
    </r>
    <r>
      <rPr>
        <sz val="8.5"/>
        <rFont val="Calibri"/>
        <family val="2"/>
      </rPr>
      <t>classe 2000 libras para água, óleo e gás, DN= 3/4´</t>
    </r>
  </si>
  <si>
    <r>
      <rPr>
        <sz val="8.5"/>
        <rFont val="Calibri"/>
        <family val="2"/>
      </rPr>
      <t>355,08</t>
    </r>
  </si>
  <si>
    <r>
      <rPr>
        <sz val="8.5"/>
        <rFont val="Calibri"/>
        <family val="2"/>
      </rPr>
      <t>376,91</t>
    </r>
  </si>
  <si>
    <r>
      <rPr>
        <sz val="8.5"/>
        <rFont val="Calibri"/>
        <family val="2"/>
      </rPr>
      <t>47.09.020</t>
    </r>
  </si>
  <si>
    <r>
      <rPr>
        <sz val="8.5"/>
        <rFont val="Calibri"/>
        <family val="2"/>
      </rPr>
      <t xml:space="preserve">Válvula globo em aço carbono forjado, classe 800 libras para vapor e
</t>
    </r>
    <r>
      <rPr>
        <sz val="8.5"/>
        <rFont val="Calibri"/>
        <family val="2"/>
      </rPr>
      <t>classe 2000 libras para água, óleo e gás, DN= 1´</t>
    </r>
  </si>
  <si>
    <r>
      <rPr>
        <sz val="8.5"/>
        <rFont val="Calibri"/>
        <family val="2"/>
      </rPr>
      <t>461,38</t>
    </r>
  </si>
  <si>
    <r>
      <rPr>
        <sz val="8.5"/>
        <rFont val="Calibri"/>
        <family val="2"/>
      </rPr>
      <t>488,67</t>
    </r>
  </si>
  <si>
    <r>
      <rPr>
        <sz val="8.5"/>
        <rFont val="Calibri"/>
        <family val="2"/>
      </rPr>
      <t>47.09.030</t>
    </r>
  </si>
  <si>
    <r>
      <rPr>
        <sz val="8.5"/>
        <rFont val="Calibri"/>
        <family val="2"/>
      </rPr>
      <t xml:space="preserve">Válvula globo em aço carbono forjado, classe 800 libras para vapor e
</t>
    </r>
    <r>
      <rPr>
        <sz val="8.5"/>
        <rFont val="Calibri"/>
        <family val="2"/>
      </rPr>
      <t>classe 2000 libras para água, óleo e gás, DN= 1 1/2´</t>
    </r>
  </si>
  <si>
    <r>
      <rPr>
        <sz val="8.5"/>
        <rFont val="Calibri"/>
        <family val="2"/>
      </rPr>
      <t>865,03</t>
    </r>
  </si>
  <si>
    <r>
      <rPr>
        <sz val="8.5"/>
        <rFont val="Calibri"/>
        <family val="2"/>
      </rPr>
      <t>901,42</t>
    </r>
  </si>
  <si>
    <r>
      <rPr>
        <sz val="8.5"/>
        <rFont val="Calibri"/>
        <family val="2"/>
      </rPr>
      <t>47.09.040</t>
    </r>
  </si>
  <si>
    <r>
      <rPr>
        <sz val="8.5"/>
        <rFont val="Calibri"/>
        <family val="2"/>
      </rPr>
      <t xml:space="preserve">Válvula globo em aço carbono forjado, classe 800 libras para vapor e
</t>
    </r>
    <r>
      <rPr>
        <sz val="8.5"/>
        <rFont val="Calibri"/>
        <family val="2"/>
      </rPr>
      <t>classe 2000 libras para água, óleo e gás, DN= 2´</t>
    </r>
  </si>
  <si>
    <r>
      <rPr>
        <sz val="8.5"/>
        <rFont val="Calibri"/>
        <family val="2"/>
      </rPr>
      <t>1.196,64</t>
    </r>
  </si>
  <si>
    <r>
      <rPr>
        <sz val="8.5"/>
        <rFont val="Calibri"/>
        <family val="2"/>
      </rPr>
      <t>1.242,13</t>
    </r>
  </si>
  <si>
    <r>
      <rPr>
        <sz val="8.5"/>
        <rFont val="Calibri"/>
        <family val="2"/>
      </rPr>
      <t>Registro e / ou valvula em aco inoxidavel forjado</t>
    </r>
  </si>
  <si>
    <r>
      <rPr>
        <sz val="8.5"/>
        <rFont val="Calibri"/>
        <family val="2"/>
      </rPr>
      <t>47.10.010</t>
    </r>
  </si>
  <si>
    <r>
      <rPr>
        <sz val="8.5"/>
        <rFont val="Calibri"/>
        <family val="2"/>
      </rPr>
      <t>Purgador termodinâmico com filtro incorporado, em aço inoxidável forjado, pressão de 0,25 a 42 kg/cm², temperatura até 425°C, DN= 1/2´</t>
    </r>
  </si>
  <si>
    <r>
      <rPr>
        <sz val="8.5"/>
        <rFont val="Calibri"/>
        <family val="2"/>
      </rPr>
      <t>641,07</t>
    </r>
  </si>
  <si>
    <r>
      <rPr>
        <sz val="8.5"/>
        <rFont val="Calibri"/>
        <family val="2"/>
      </rPr>
      <t>657,44</t>
    </r>
  </si>
  <si>
    <r>
      <rPr>
        <sz val="8.5"/>
        <rFont val="Calibri"/>
        <family val="2"/>
      </rPr>
      <t>Aparelho de medicao e controle</t>
    </r>
  </si>
  <si>
    <r>
      <rPr>
        <sz val="8.5"/>
        <rFont val="Calibri"/>
        <family val="2"/>
      </rPr>
      <t>47.11.021</t>
    </r>
  </si>
  <si>
    <r>
      <rPr>
        <sz val="8.5"/>
        <rFont val="Calibri"/>
        <family val="2"/>
      </rPr>
      <t xml:space="preserve">Pressostato diferencial ajustável mecânico, montagem inferior com
</t>
    </r>
    <r>
      <rPr>
        <sz val="8.5"/>
        <rFont val="Calibri"/>
        <family val="2"/>
      </rPr>
      <t>diâmetro de 1/2" e/ou 1/4", faixa de operação até 16 bar</t>
    </r>
  </si>
  <si>
    <r>
      <rPr>
        <sz val="8.5"/>
        <rFont val="Calibri"/>
        <family val="2"/>
      </rPr>
      <t>421,72</t>
    </r>
  </si>
  <si>
    <r>
      <rPr>
        <sz val="8.5"/>
        <rFont val="Calibri"/>
        <family val="2"/>
      </rPr>
      <t>76,46</t>
    </r>
  </si>
  <si>
    <r>
      <rPr>
        <sz val="8.5"/>
        <rFont val="Calibri"/>
        <family val="2"/>
      </rPr>
      <t>498,18</t>
    </r>
  </si>
  <si>
    <r>
      <rPr>
        <sz val="8.5"/>
        <rFont val="Calibri"/>
        <family val="2"/>
      </rPr>
      <t>47.11.080</t>
    </r>
  </si>
  <si>
    <r>
      <rPr>
        <sz val="8.5"/>
        <rFont val="Calibri"/>
        <family val="2"/>
      </rPr>
      <t>Termômetro bimetálico, mostrador com 4´, saída angular, escala 0-100°C</t>
    </r>
  </si>
  <si>
    <r>
      <rPr>
        <sz val="8.5"/>
        <rFont val="Calibri"/>
        <family val="2"/>
      </rPr>
      <t>151,42</t>
    </r>
  </si>
  <si>
    <r>
      <rPr>
        <sz val="8.5"/>
        <rFont val="Calibri"/>
        <family val="2"/>
      </rPr>
      <t>158,69</t>
    </r>
  </si>
  <si>
    <r>
      <rPr>
        <sz val="8.5"/>
        <rFont val="Calibri"/>
        <family val="2"/>
      </rPr>
      <t>47.11.100</t>
    </r>
  </si>
  <si>
    <r>
      <rPr>
        <sz val="8.5"/>
        <rFont val="Calibri"/>
        <family val="2"/>
      </rPr>
      <t xml:space="preserve">Manômetro com mostrador de 4´, escalas: 0-4 / 0-7 / 0-10 / 0-17 / 0-21 /
</t>
    </r>
    <r>
      <rPr>
        <sz val="8.5"/>
        <rFont val="Calibri"/>
        <family val="2"/>
      </rPr>
      <t>0-28 kg/cm²</t>
    </r>
  </si>
  <si>
    <r>
      <rPr>
        <sz val="8.5"/>
        <rFont val="Calibri"/>
        <family val="2"/>
      </rPr>
      <t>163,18</t>
    </r>
  </si>
  <si>
    <r>
      <rPr>
        <sz val="8.5"/>
        <rFont val="Calibri"/>
        <family val="2"/>
      </rPr>
      <t>181,38</t>
    </r>
  </si>
  <si>
    <r>
      <rPr>
        <sz val="8.5"/>
        <rFont val="Calibri"/>
        <family val="2"/>
      </rPr>
      <t>47.11.111</t>
    </r>
  </si>
  <si>
    <r>
      <rPr>
        <sz val="8.5"/>
        <rFont val="Calibri"/>
        <family val="2"/>
      </rPr>
      <t xml:space="preserve">Pressostato diferencial ajustável, caixa à prova de água, unidade sensora em aço inoxidável 316, faixa de operação entre 1,4 a 14 bar, para fluídos
</t>
    </r>
    <r>
      <rPr>
        <sz val="8.5"/>
        <rFont val="Calibri"/>
        <family val="2"/>
      </rPr>
      <t>corrosivos, DN=1/2´</t>
    </r>
  </si>
  <si>
    <r>
      <rPr>
        <sz val="8.5"/>
        <rFont val="Calibri"/>
        <family val="2"/>
      </rPr>
      <t>8.939,66</t>
    </r>
  </si>
  <si>
    <r>
      <rPr>
        <sz val="8.5"/>
        <rFont val="Calibri"/>
        <family val="2"/>
      </rPr>
      <t>9.016,12</t>
    </r>
  </si>
  <si>
    <r>
      <rPr>
        <sz val="8.5"/>
        <rFont val="Calibri"/>
        <family val="2"/>
      </rPr>
      <t>Registro e / ou valvula em ferro ductil</t>
    </r>
  </si>
  <si>
    <r>
      <rPr>
        <sz val="8.5"/>
        <rFont val="Calibri"/>
        <family val="2"/>
      </rPr>
      <t>47.12.040</t>
    </r>
  </si>
  <si>
    <r>
      <rPr>
        <sz val="8.5"/>
        <rFont val="Calibri"/>
        <family val="2"/>
      </rPr>
      <t>Válvula de gaveta em ferro dúctil com flanges, classe PN-10, DN= 200mm</t>
    </r>
  </si>
  <si>
    <r>
      <rPr>
        <sz val="8.5"/>
        <rFont val="Calibri"/>
        <family val="2"/>
      </rPr>
      <t>2.851,66</t>
    </r>
  </si>
  <si>
    <r>
      <rPr>
        <sz val="8.5"/>
        <rFont val="Calibri"/>
        <family val="2"/>
      </rPr>
      <t>125,48</t>
    </r>
  </si>
  <si>
    <r>
      <rPr>
        <sz val="8.5"/>
        <rFont val="Calibri"/>
        <family val="2"/>
      </rPr>
      <t>2.977,14</t>
    </r>
  </si>
  <si>
    <r>
      <rPr>
        <sz val="8.5"/>
        <rFont val="Calibri"/>
        <family val="2"/>
      </rPr>
      <t>47.12.270</t>
    </r>
  </si>
  <si>
    <r>
      <rPr>
        <sz val="8.5"/>
        <rFont val="Calibri"/>
        <family val="2"/>
      </rPr>
      <t>Válvula de gaveta em ferro dúctil com flanges, classe PN-10, DN= 80mm</t>
    </r>
  </si>
  <si>
    <r>
      <rPr>
        <sz val="8.5"/>
        <rFont val="Calibri"/>
        <family val="2"/>
      </rPr>
      <t>1.079,46</t>
    </r>
  </si>
  <si>
    <r>
      <rPr>
        <sz val="8.5"/>
        <rFont val="Calibri"/>
        <family val="2"/>
      </rPr>
      <t>1.204,94</t>
    </r>
  </si>
  <si>
    <r>
      <rPr>
        <sz val="8.5"/>
        <rFont val="Calibri"/>
        <family val="2"/>
      </rPr>
      <t>47.12.280</t>
    </r>
  </si>
  <si>
    <r>
      <rPr>
        <sz val="8.5"/>
        <rFont val="Calibri"/>
        <family val="2"/>
      </rPr>
      <t xml:space="preserve">Válvula globo auto-operada hidraulicamente, em ferro dúctil, classe PN-
</t>
    </r>
    <r>
      <rPr>
        <sz val="8.5"/>
        <rFont val="Calibri"/>
        <family val="2"/>
      </rPr>
      <t>10/16, DN= 50mm</t>
    </r>
  </si>
  <si>
    <r>
      <rPr>
        <sz val="8.5"/>
        <rFont val="Calibri"/>
        <family val="2"/>
      </rPr>
      <t>1.449,91</t>
    </r>
  </si>
  <si>
    <r>
      <rPr>
        <sz val="8.5"/>
        <rFont val="Calibri"/>
        <family val="2"/>
      </rPr>
      <t>1.495,40</t>
    </r>
  </si>
  <si>
    <r>
      <rPr>
        <sz val="8.5"/>
        <rFont val="Calibri"/>
        <family val="2"/>
      </rPr>
      <t>47.12.290</t>
    </r>
  </si>
  <si>
    <r>
      <rPr>
        <sz val="8.5"/>
        <rFont val="Calibri"/>
        <family val="2"/>
      </rPr>
      <t xml:space="preserve">Válvula globo auto-operada hidraulicamente, comandada por solenóide,
</t>
    </r>
    <r>
      <rPr>
        <sz val="8.5"/>
        <rFont val="Calibri"/>
        <family val="2"/>
      </rPr>
      <t>em ferro dúctil, classe PN-10, DN= 50mm</t>
    </r>
  </si>
  <si>
    <r>
      <rPr>
        <sz val="8.5"/>
        <rFont val="Calibri"/>
        <family val="2"/>
      </rPr>
      <t>1.921,68</t>
    </r>
  </si>
  <si>
    <r>
      <rPr>
        <sz val="8.5"/>
        <rFont val="Calibri"/>
        <family val="2"/>
      </rPr>
      <t>2.003,56</t>
    </r>
  </si>
  <si>
    <r>
      <rPr>
        <sz val="8.5"/>
        <rFont val="Calibri"/>
        <family val="2"/>
      </rPr>
      <t>47.12.300</t>
    </r>
  </si>
  <si>
    <r>
      <rPr>
        <sz val="8.5"/>
        <rFont val="Calibri"/>
        <family val="2"/>
      </rPr>
      <t xml:space="preserve">Válvula globo auto-operada hidraulicamente, comandada por solenóide,
</t>
    </r>
    <r>
      <rPr>
        <sz val="8.5"/>
        <rFont val="Calibri"/>
        <family val="2"/>
      </rPr>
      <t>em ferro dúctil, classe PN-10, DN= 100mm</t>
    </r>
  </si>
  <si>
    <r>
      <rPr>
        <sz val="8.5"/>
        <rFont val="Calibri"/>
        <family val="2"/>
      </rPr>
      <t>2.850,40</t>
    </r>
  </si>
  <si>
    <r>
      <rPr>
        <sz val="8.5"/>
        <rFont val="Calibri"/>
        <family val="2"/>
      </rPr>
      <t>2.932,28</t>
    </r>
  </si>
  <si>
    <r>
      <rPr>
        <sz val="8.5"/>
        <rFont val="Calibri"/>
        <family val="2"/>
      </rPr>
      <t>47.12.310</t>
    </r>
  </si>
  <si>
    <r>
      <rPr>
        <sz val="8.5"/>
        <rFont val="Calibri"/>
        <family val="2"/>
      </rPr>
      <t>Válvula de gaveta em ferro dúctil com flanges, classe PN-10, DN= 300mm</t>
    </r>
  </si>
  <si>
    <r>
      <rPr>
        <sz val="8.5"/>
        <rFont val="Calibri"/>
        <family val="2"/>
      </rPr>
      <t>6.074,23</t>
    </r>
  </si>
  <si>
    <r>
      <rPr>
        <sz val="8.5"/>
        <rFont val="Calibri"/>
        <family val="2"/>
      </rPr>
      <t>6.199,71</t>
    </r>
  </si>
  <si>
    <r>
      <rPr>
        <sz val="8.5"/>
        <rFont val="Calibri"/>
        <family val="2"/>
      </rPr>
      <t>47.12.320</t>
    </r>
  </si>
  <si>
    <r>
      <rPr>
        <sz val="8.5"/>
        <rFont val="Calibri"/>
        <family val="2"/>
      </rPr>
      <t>Válvula de gaveta em ferro dúctil com flanges, classe PN-10, DN= 100mm</t>
    </r>
  </si>
  <si>
    <r>
      <rPr>
        <sz val="8.5"/>
        <rFont val="Calibri"/>
        <family val="2"/>
      </rPr>
      <t>1.139,84</t>
    </r>
  </si>
  <si>
    <r>
      <rPr>
        <sz val="8.5"/>
        <rFont val="Calibri"/>
        <family val="2"/>
      </rPr>
      <t>1.265,32</t>
    </r>
  </si>
  <si>
    <r>
      <rPr>
        <sz val="8.5"/>
        <rFont val="Calibri"/>
        <family val="2"/>
      </rPr>
      <t>47.12.330</t>
    </r>
  </si>
  <si>
    <r>
      <rPr>
        <sz val="8.5"/>
        <rFont val="Calibri"/>
        <family val="2"/>
      </rPr>
      <t>Válvula de gaveta em ferro dúctil com flanges, classe PN-10, DN= 150mm</t>
    </r>
  </si>
  <si>
    <r>
      <rPr>
        <sz val="8.5"/>
        <rFont val="Calibri"/>
        <family val="2"/>
      </rPr>
      <t>1.729,46</t>
    </r>
  </si>
  <si>
    <r>
      <rPr>
        <sz val="8.5"/>
        <rFont val="Calibri"/>
        <family val="2"/>
      </rPr>
      <t>1.854,94</t>
    </r>
  </si>
  <si>
    <r>
      <rPr>
        <sz val="8.5"/>
        <rFont val="Calibri"/>
        <family val="2"/>
      </rPr>
      <t>47.12.340</t>
    </r>
  </si>
  <si>
    <r>
      <rPr>
        <sz val="8.5"/>
        <rFont val="Calibri"/>
        <family val="2"/>
      </rPr>
      <t>Ventosa simples rosqueada em ferro dúctil, classe PN-25, DN= 3/4´</t>
    </r>
  </si>
  <si>
    <r>
      <rPr>
        <sz val="8.5"/>
        <rFont val="Calibri"/>
        <family val="2"/>
      </rPr>
      <t>959,01</t>
    </r>
  </si>
  <si>
    <r>
      <rPr>
        <sz val="8.5"/>
        <rFont val="Calibri"/>
        <family val="2"/>
      </rPr>
      <t>969,93</t>
    </r>
  </si>
  <si>
    <r>
      <rPr>
        <sz val="8.5"/>
        <rFont val="Calibri"/>
        <family val="2"/>
      </rPr>
      <t>47.12.350</t>
    </r>
  </si>
  <si>
    <r>
      <rPr>
        <sz val="8.5"/>
        <rFont val="Calibri"/>
        <family val="2"/>
      </rPr>
      <t xml:space="preserve">Ventosa de tríplice função em ferro dúctil flangeada, classe PN-10/16/25,
</t>
    </r>
    <r>
      <rPr>
        <sz val="8.5"/>
        <rFont val="Calibri"/>
        <family val="2"/>
      </rPr>
      <t>DN= 50mm</t>
    </r>
  </si>
  <si>
    <r>
      <rPr>
        <sz val="8.5"/>
        <rFont val="Calibri"/>
        <family val="2"/>
      </rPr>
      <t>2.334,72</t>
    </r>
  </si>
  <si>
    <r>
      <rPr>
        <sz val="8.5"/>
        <rFont val="Calibri"/>
        <family val="2"/>
      </rPr>
      <t>2.350,73</t>
    </r>
  </si>
  <si>
    <r>
      <rPr>
        <sz val="8.5"/>
        <rFont val="Calibri"/>
        <family val="2"/>
      </rPr>
      <t>Registro e / ou valvula em PVC rigido ou ABS</t>
    </r>
  </si>
  <si>
    <r>
      <rPr>
        <sz val="8.5"/>
        <rFont val="Calibri"/>
        <family val="2"/>
      </rPr>
      <t>47.14.020</t>
    </r>
  </si>
  <si>
    <r>
      <rPr>
        <sz val="8.5"/>
        <rFont val="Calibri"/>
        <family val="2"/>
      </rPr>
      <t>Registro de pressão em PVC rígido, soldável, DN= 25mm (3/4´)</t>
    </r>
  </si>
  <si>
    <r>
      <rPr>
        <sz val="8.5"/>
        <rFont val="Calibri"/>
        <family val="2"/>
      </rPr>
      <t>8,91</t>
    </r>
  </si>
  <si>
    <r>
      <rPr>
        <sz val="8.5"/>
        <rFont val="Calibri"/>
        <family val="2"/>
      </rPr>
      <t>25,28</t>
    </r>
  </si>
  <si>
    <r>
      <rPr>
        <sz val="8.5"/>
        <rFont val="Calibri"/>
        <family val="2"/>
      </rPr>
      <t>47.14.200</t>
    </r>
  </si>
  <si>
    <r>
      <rPr>
        <sz val="8.5"/>
        <rFont val="Calibri"/>
        <family val="2"/>
      </rPr>
      <t xml:space="preserve">Registro regulador de vazão para torneira, misturador e bidê, em ABS
</t>
    </r>
    <r>
      <rPr>
        <sz val="8.5"/>
        <rFont val="Calibri"/>
        <family val="2"/>
      </rPr>
      <t>com canopla, DN= 1/2´</t>
    </r>
  </si>
  <si>
    <r>
      <rPr>
        <sz val="8.5"/>
        <rFont val="Calibri"/>
        <family val="2"/>
      </rPr>
      <t>54,29</t>
    </r>
  </si>
  <si>
    <r>
      <rPr>
        <sz val="8.5"/>
        <rFont val="Calibri"/>
        <family val="2"/>
      </rPr>
      <t>Reparos, conservacoes e complementos - GRUPO 47</t>
    </r>
  </si>
  <si>
    <r>
      <rPr>
        <sz val="8.5"/>
        <rFont val="Calibri"/>
        <family val="2"/>
      </rPr>
      <t>47.20.010</t>
    </r>
  </si>
  <si>
    <r>
      <rPr>
        <sz val="8.5"/>
        <rFont val="Calibri"/>
        <family val="2"/>
      </rPr>
      <t>Pigtail em latão para manômetro, DN= 1/2´</t>
    </r>
  </si>
  <si>
    <r>
      <rPr>
        <sz val="8.5"/>
        <rFont val="Calibri"/>
        <family val="2"/>
      </rPr>
      <t>94,50</t>
    </r>
  </si>
  <si>
    <r>
      <rPr>
        <sz val="8.5"/>
        <rFont val="Calibri"/>
        <family val="2"/>
      </rPr>
      <t>99,96</t>
    </r>
  </si>
  <si>
    <r>
      <rPr>
        <sz val="8.5"/>
        <rFont val="Calibri"/>
        <family val="2"/>
      </rPr>
      <t>47.20.020</t>
    </r>
  </si>
  <si>
    <r>
      <rPr>
        <sz val="8.5"/>
        <rFont val="Calibri"/>
        <family val="2"/>
      </rPr>
      <t>Filtro ´Y´ em bronze para gás combustível, DN= 2´</t>
    </r>
  </si>
  <si>
    <r>
      <rPr>
        <sz val="8.5"/>
        <rFont val="Calibri"/>
        <family val="2"/>
      </rPr>
      <t>323,93</t>
    </r>
  </si>
  <si>
    <r>
      <rPr>
        <sz val="8.5"/>
        <rFont val="Calibri"/>
        <family val="2"/>
      </rPr>
      <t>369,42</t>
    </r>
  </si>
  <si>
    <r>
      <rPr>
        <sz val="8.5"/>
        <rFont val="Calibri"/>
        <family val="2"/>
      </rPr>
      <t>47.20.030</t>
    </r>
  </si>
  <si>
    <r>
      <rPr>
        <sz val="8.5"/>
        <rFont val="Calibri"/>
        <family val="2"/>
      </rPr>
      <t xml:space="preserve">Filtro ´Y´ em ferro fundido, classe 125 libras para vapor saturado, com
</t>
    </r>
    <r>
      <rPr>
        <sz val="8.5"/>
        <rFont val="Calibri"/>
        <family val="2"/>
      </rPr>
      <t>extremidades rosqueáveis, DN= 2´</t>
    </r>
  </si>
  <si>
    <r>
      <rPr>
        <sz val="8.5"/>
        <rFont val="Calibri"/>
        <family val="2"/>
      </rPr>
      <t>621,44</t>
    </r>
  </si>
  <si>
    <r>
      <rPr>
        <sz val="8.5"/>
        <rFont val="Calibri"/>
        <family val="2"/>
      </rPr>
      <t>666,93</t>
    </r>
  </si>
  <si>
    <r>
      <rPr>
        <sz val="8.5"/>
        <rFont val="Calibri"/>
        <family val="2"/>
      </rPr>
      <t>47.20.070</t>
    </r>
  </si>
  <si>
    <r>
      <rPr>
        <sz val="8.5"/>
        <rFont val="Calibri"/>
        <family val="2"/>
      </rPr>
      <t xml:space="preserve">Pigtail flexível, revestido com borracha sintética resistente, DN= 7/16´
</t>
    </r>
    <r>
      <rPr>
        <sz val="8.5"/>
        <rFont val="Calibri"/>
        <family val="2"/>
      </rPr>
      <t>comprimento até 1,00 m</t>
    </r>
  </si>
  <si>
    <r>
      <rPr>
        <sz val="8.5"/>
        <rFont val="Calibri"/>
        <family val="2"/>
      </rPr>
      <t>33,42</t>
    </r>
  </si>
  <si>
    <r>
      <rPr>
        <sz val="8.5"/>
        <rFont val="Calibri"/>
        <family val="2"/>
      </rPr>
      <t>41,06</t>
    </r>
  </si>
  <si>
    <r>
      <rPr>
        <sz val="8.5"/>
        <rFont val="Calibri"/>
        <family val="2"/>
      </rPr>
      <t>47.20.080</t>
    </r>
  </si>
  <si>
    <r>
      <rPr>
        <sz val="8.5"/>
        <rFont val="Calibri"/>
        <family val="2"/>
      </rPr>
      <t xml:space="preserve">Regulador de primeiro estágio de alta pressão até 2 kgf/cm², vazão de 90
</t>
    </r>
    <r>
      <rPr>
        <sz val="8.5"/>
        <rFont val="Calibri"/>
        <family val="2"/>
      </rPr>
      <t>kg GLP/hora</t>
    </r>
  </si>
  <si>
    <r>
      <rPr>
        <sz val="8.5"/>
        <rFont val="Calibri"/>
        <family val="2"/>
      </rPr>
      <t>691,56</t>
    </r>
  </si>
  <si>
    <r>
      <rPr>
        <sz val="8.5"/>
        <rFont val="Calibri"/>
        <family val="2"/>
      </rPr>
      <t>717,02</t>
    </r>
  </si>
  <si>
    <r>
      <rPr>
        <sz val="8.5"/>
        <rFont val="Calibri"/>
        <family val="2"/>
      </rPr>
      <t>47.20.100</t>
    </r>
  </si>
  <si>
    <r>
      <rPr>
        <sz val="8.5"/>
        <rFont val="Calibri"/>
        <family val="2"/>
      </rPr>
      <t xml:space="preserve">Regulador de primeiro estágio de alta pressão até 1,3 kgf/cm², vazão de
</t>
    </r>
    <r>
      <rPr>
        <sz val="8.5"/>
        <rFont val="Calibri"/>
        <family val="2"/>
      </rPr>
      <t>50 kg GLP/hora</t>
    </r>
  </si>
  <si>
    <r>
      <rPr>
        <sz val="8.5"/>
        <rFont val="Calibri"/>
        <family val="2"/>
      </rPr>
      <t>309,97</t>
    </r>
  </si>
  <si>
    <r>
      <rPr>
        <sz val="8.5"/>
        <rFont val="Calibri"/>
        <family val="2"/>
      </rPr>
      <t>335,43</t>
    </r>
  </si>
  <si>
    <r>
      <rPr>
        <sz val="8.5"/>
        <rFont val="Calibri"/>
        <family val="2"/>
      </rPr>
      <t>47.20.120</t>
    </r>
  </si>
  <si>
    <r>
      <rPr>
        <sz val="8.5"/>
        <rFont val="Calibri"/>
        <family val="2"/>
      </rPr>
      <t xml:space="preserve">Regulador de segundo estágio para gás, uso industrial, vazão até 12 kg
</t>
    </r>
    <r>
      <rPr>
        <sz val="8.5"/>
        <rFont val="Calibri"/>
        <family val="2"/>
      </rPr>
      <t>GLP/hora</t>
    </r>
  </si>
  <si>
    <r>
      <rPr>
        <sz val="8.5"/>
        <rFont val="Calibri"/>
        <family val="2"/>
      </rPr>
      <t>79,75</t>
    </r>
  </si>
  <si>
    <r>
      <rPr>
        <sz val="8.5"/>
        <rFont val="Calibri"/>
        <family val="2"/>
      </rPr>
      <t>97,95</t>
    </r>
  </si>
  <si>
    <r>
      <rPr>
        <sz val="8.5"/>
        <rFont val="Calibri"/>
        <family val="2"/>
      </rPr>
      <t>47.20.181</t>
    </r>
  </si>
  <si>
    <r>
      <rPr>
        <sz val="8.5"/>
        <rFont val="Calibri"/>
        <family val="2"/>
      </rPr>
      <t>Filtro Y em aço carbono, classe 150 libras, conexões flangeadas, DN= 4''</t>
    </r>
  </si>
  <si>
    <r>
      <rPr>
        <sz val="8.5"/>
        <rFont val="Calibri"/>
        <family val="2"/>
      </rPr>
      <t>4.615,44</t>
    </r>
  </si>
  <si>
    <r>
      <rPr>
        <sz val="8.5"/>
        <rFont val="Calibri"/>
        <family val="2"/>
      </rPr>
      <t>4.724,61</t>
    </r>
  </si>
  <si>
    <r>
      <rPr>
        <sz val="8.5"/>
        <rFont val="Calibri"/>
        <family val="2"/>
      </rPr>
      <t>47.20.190</t>
    </r>
  </si>
  <si>
    <r>
      <rPr>
        <sz val="8.5"/>
        <rFont val="Calibri"/>
        <family val="2"/>
      </rPr>
      <t>Chave de fluxo tipo palheta para tubulação de líquidos</t>
    </r>
  </si>
  <si>
    <r>
      <rPr>
        <sz val="8.5"/>
        <rFont val="Calibri"/>
        <family val="2"/>
      </rPr>
      <t>250,26</t>
    </r>
  </si>
  <si>
    <r>
      <rPr>
        <sz val="8.5"/>
        <rFont val="Calibri"/>
        <family val="2"/>
      </rPr>
      <t>47.20.300</t>
    </r>
  </si>
  <si>
    <r>
      <rPr>
        <sz val="8.5"/>
        <rFont val="Calibri"/>
        <family val="2"/>
      </rPr>
      <t xml:space="preserve">Chave de fluxo de água com retardo para tubulações com diâmetro
</t>
    </r>
    <r>
      <rPr>
        <sz val="8.5"/>
        <rFont val="Calibri"/>
        <family val="2"/>
      </rPr>
      <t>nominal de 1" a 6" - conexão BSP</t>
    </r>
  </si>
  <si>
    <r>
      <rPr>
        <sz val="8.5"/>
        <rFont val="Calibri"/>
        <family val="2"/>
      </rPr>
      <t>418,59</t>
    </r>
  </si>
  <si>
    <r>
      <rPr>
        <sz val="8.5"/>
        <rFont val="Calibri"/>
        <family val="2"/>
      </rPr>
      <t>462,33</t>
    </r>
  </si>
  <si>
    <r>
      <rPr>
        <sz val="8.5"/>
        <rFont val="Calibri"/>
        <family val="2"/>
      </rPr>
      <t>47.20.320</t>
    </r>
  </si>
  <si>
    <r>
      <rPr>
        <sz val="8.5"/>
        <rFont val="Calibri"/>
        <family val="2"/>
      </rPr>
      <t xml:space="preserve">Filtro ´Y´ corpo em bronze, pressão de serviço até 20,7 bar (PN 20), DN=
</t>
    </r>
    <r>
      <rPr>
        <sz val="8.5"/>
        <rFont val="Calibri"/>
        <family val="2"/>
      </rPr>
      <t>1 1/2´</t>
    </r>
  </si>
  <si>
    <r>
      <rPr>
        <sz val="8.5"/>
        <rFont val="Calibri"/>
        <family val="2"/>
      </rPr>
      <t>213,94</t>
    </r>
  </si>
  <si>
    <r>
      <rPr>
        <sz val="8.5"/>
        <rFont val="Calibri"/>
        <family val="2"/>
      </rPr>
      <t>259,43</t>
    </r>
  </si>
  <si>
    <r>
      <rPr>
        <sz val="8.5"/>
        <rFont val="Calibri"/>
        <family val="2"/>
      </rPr>
      <t>47.20.330</t>
    </r>
  </si>
  <si>
    <r>
      <rPr>
        <sz val="8.5"/>
        <rFont val="Calibri"/>
        <family val="2"/>
      </rPr>
      <t xml:space="preserve">Filtro ´Y´ corpo em bronze, pressão de serviço até 20,7 bar (PN 20), DN=
</t>
    </r>
    <r>
      <rPr>
        <sz val="8.5"/>
        <rFont val="Calibri"/>
        <family val="2"/>
      </rPr>
      <t>2´</t>
    </r>
  </si>
  <si>
    <r>
      <rPr>
        <sz val="8.5"/>
        <rFont val="Calibri"/>
        <family val="2"/>
      </rPr>
      <t>272,29</t>
    </r>
  </si>
  <si>
    <r>
      <rPr>
        <sz val="8.5"/>
        <rFont val="Calibri"/>
        <family val="2"/>
      </rPr>
      <t>317,78</t>
    </r>
  </si>
  <si>
    <r>
      <rPr>
        <sz val="8.5"/>
        <rFont val="Calibri"/>
        <family val="2"/>
      </rPr>
      <t>RESERVATORIO E TANQUE PARA LIQUIDOS E GASES</t>
    </r>
  </si>
  <si>
    <r>
      <rPr>
        <sz val="8.5"/>
        <rFont val="Calibri"/>
        <family val="2"/>
      </rPr>
      <t>Reservatorio em material sintetico</t>
    </r>
  </si>
  <si>
    <r>
      <rPr>
        <sz val="8.5"/>
        <rFont val="Calibri"/>
        <family val="2"/>
      </rPr>
      <t>48.02.008</t>
    </r>
  </si>
  <si>
    <r>
      <rPr>
        <sz val="8.5"/>
        <rFont val="Calibri"/>
        <family val="2"/>
      </rPr>
      <t>Reservatório de fibra de vidro - capacidade de 15.000 litros</t>
    </r>
  </si>
  <si>
    <r>
      <rPr>
        <sz val="8.5"/>
        <rFont val="Calibri"/>
        <family val="2"/>
      </rPr>
      <t>5.613,35</t>
    </r>
  </si>
  <si>
    <r>
      <rPr>
        <sz val="8.5"/>
        <rFont val="Calibri"/>
        <family val="2"/>
      </rPr>
      <t>79,95</t>
    </r>
  </si>
  <si>
    <r>
      <rPr>
        <sz val="8.5"/>
        <rFont val="Calibri"/>
        <family val="2"/>
      </rPr>
      <t>5.693,30</t>
    </r>
  </si>
  <si>
    <r>
      <rPr>
        <sz val="8.5"/>
        <rFont val="Calibri"/>
        <family val="2"/>
      </rPr>
      <t>48.02.009</t>
    </r>
  </si>
  <si>
    <r>
      <rPr>
        <sz val="8.5"/>
        <rFont val="Calibri"/>
        <family val="2"/>
      </rPr>
      <t>Reservatório de fibra de vidro - capacidade de 20.000 litros</t>
    </r>
  </si>
  <si>
    <r>
      <rPr>
        <sz val="8.5"/>
        <rFont val="Calibri"/>
        <family val="2"/>
      </rPr>
      <t>10.422,35</t>
    </r>
  </si>
  <si>
    <r>
      <rPr>
        <sz val="8.5"/>
        <rFont val="Calibri"/>
        <family val="2"/>
      </rPr>
      <t>108,99</t>
    </r>
  </si>
  <si>
    <r>
      <rPr>
        <sz val="8.5"/>
        <rFont val="Calibri"/>
        <family val="2"/>
      </rPr>
      <t>10.531,34</t>
    </r>
  </si>
  <si>
    <r>
      <rPr>
        <sz val="8.5"/>
        <rFont val="Calibri"/>
        <family val="2"/>
      </rPr>
      <t>48.02.204</t>
    </r>
  </si>
  <si>
    <r>
      <rPr>
        <sz val="8.5"/>
        <rFont val="Calibri"/>
        <family val="2"/>
      </rPr>
      <t xml:space="preserve">Reservatório em polietileno com tampa de encaixar - capacidade de
</t>
    </r>
    <r>
      <rPr>
        <sz val="8.5"/>
        <rFont val="Calibri"/>
        <family val="2"/>
      </rPr>
      <t>2.000 litros</t>
    </r>
  </si>
  <si>
    <r>
      <rPr>
        <sz val="8.5"/>
        <rFont val="Calibri"/>
        <family val="2"/>
      </rPr>
      <t>1.146,54</t>
    </r>
  </si>
  <si>
    <r>
      <rPr>
        <sz val="8.5"/>
        <rFont val="Calibri"/>
        <family val="2"/>
      </rPr>
      <t>1.190,19</t>
    </r>
  </si>
  <si>
    <r>
      <rPr>
        <sz val="8.5"/>
        <rFont val="Calibri"/>
        <family val="2"/>
      </rPr>
      <t>48.02.205</t>
    </r>
  </si>
  <si>
    <r>
      <rPr>
        <sz val="8.5"/>
        <rFont val="Calibri"/>
        <family val="2"/>
      </rPr>
      <t xml:space="preserve">Reservatório em polietileno com tampa de encaixar - capacidade de
</t>
    </r>
    <r>
      <rPr>
        <sz val="8.5"/>
        <rFont val="Calibri"/>
        <family val="2"/>
      </rPr>
      <t>3.000 litros</t>
    </r>
  </si>
  <si>
    <r>
      <rPr>
        <sz val="8.5"/>
        <rFont val="Calibri"/>
        <family val="2"/>
      </rPr>
      <t>1.793,27</t>
    </r>
  </si>
  <si>
    <r>
      <rPr>
        <sz val="8.5"/>
        <rFont val="Calibri"/>
        <family val="2"/>
      </rPr>
      <t>1.836,92</t>
    </r>
  </si>
  <si>
    <r>
      <rPr>
        <sz val="8.5"/>
        <rFont val="Calibri"/>
        <family val="2"/>
      </rPr>
      <t>48.02.206</t>
    </r>
  </si>
  <si>
    <r>
      <rPr>
        <sz val="8.5"/>
        <rFont val="Calibri"/>
        <family val="2"/>
      </rPr>
      <t xml:space="preserve">Reservatório em polietileno com tampa de encaixar - capacidade de
</t>
    </r>
    <r>
      <rPr>
        <sz val="8.5"/>
        <rFont val="Calibri"/>
        <family val="2"/>
      </rPr>
      <t>5.000 litros</t>
    </r>
  </si>
  <si>
    <r>
      <rPr>
        <sz val="8.5"/>
        <rFont val="Calibri"/>
        <family val="2"/>
      </rPr>
      <t>2.900,14</t>
    </r>
  </si>
  <si>
    <r>
      <rPr>
        <sz val="8.5"/>
        <rFont val="Calibri"/>
        <family val="2"/>
      </rPr>
      <t>2.951,05</t>
    </r>
  </si>
  <si>
    <r>
      <rPr>
        <sz val="8.5"/>
        <rFont val="Calibri"/>
        <family val="2"/>
      </rPr>
      <t>48.02.207</t>
    </r>
  </si>
  <si>
    <r>
      <rPr>
        <sz val="8.5"/>
        <rFont val="Calibri"/>
        <family val="2"/>
      </rPr>
      <t xml:space="preserve">Reservatório em polietileno com tampa de encaixar - capacidade de
</t>
    </r>
    <r>
      <rPr>
        <sz val="8.5"/>
        <rFont val="Calibri"/>
        <family val="2"/>
      </rPr>
      <t>10.000 litros</t>
    </r>
  </si>
  <si>
    <r>
      <rPr>
        <sz val="8.5"/>
        <rFont val="Calibri"/>
        <family val="2"/>
      </rPr>
      <t>5.026,33</t>
    </r>
  </si>
  <si>
    <r>
      <rPr>
        <sz val="8.5"/>
        <rFont val="Calibri"/>
        <family val="2"/>
      </rPr>
      <t>65,43</t>
    </r>
  </si>
  <si>
    <r>
      <rPr>
        <sz val="8.5"/>
        <rFont val="Calibri"/>
        <family val="2"/>
      </rPr>
      <t>5.091,76</t>
    </r>
  </si>
  <si>
    <r>
      <rPr>
        <sz val="8.5"/>
        <rFont val="Calibri"/>
        <family val="2"/>
      </rPr>
      <t>48.02.300</t>
    </r>
  </si>
  <si>
    <r>
      <rPr>
        <sz val="8.5"/>
        <rFont val="Calibri"/>
        <family val="2"/>
      </rPr>
      <t xml:space="preserve">Reservatório em polietileno de alta densidade (cisterna) com antioxidante e proteção contra raios ultravioleta (UV) - capacidade de
</t>
    </r>
    <r>
      <rPr>
        <sz val="8.5"/>
        <rFont val="Calibri"/>
        <family val="2"/>
      </rPr>
      <t>5.000 litros</t>
    </r>
  </si>
  <si>
    <r>
      <rPr>
        <sz val="8.5"/>
        <rFont val="Calibri"/>
        <family val="2"/>
      </rPr>
      <t>7.781,45</t>
    </r>
  </si>
  <si>
    <r>
      <rPr>
        <sz val="8.5"/>
        <rFont val="Calibri"/>
        <family val="2"/>
      </rPr>
      <t>58,17</t>
    </r>
  </si>
  <si>
    <r>
      <rPr>
        <sz val="8.5"/>
        <rFont val="Calibri"/>
        <family val="2"/>
      </rPr>
      <t>7.839,62</t>
    </r>
  </si>
  <si>
    <r>
      <rPr>
        <sz val="8.5"/>
        <rFont val="Calibri"/>
        <family val="2"/>
      </rPr>
      <t>48.02.310</t>
    </r>
  </si>
  <si>
    <r>
      <rPr>
        <sz val="8.5"/>
        <rFont val="Calibri"/>
        <family val="2"/>
      </rPr>
      <t xml:space="preserve">Reservatório em polietileno de alta densidade (cisterna) com antioxidante e proteção contra raios ultravioleta (UV) - capacidade de
</t>
    </r>
    <r>
      <rPr>
        <sz val="8.5"/>
        <rFont val="Calibri"/>
        <family val="2"/>
      </rPr>
      <t>10.000 litros</t>
    </r>
  </si>
  <si>
    <r>
      <rPr>
        <sz val="8.5"/>
        <rFont val="Calibri"/>
        <family val="2"/>
      </rPr>
      <t>13.738,66</t>
    </r>
  </si>
  <si>
    <r>
      <rPr>
        <sz val="8.5"/>
        <rFont val="Calibri"/>
        <family val="2"/>
      </rPr>
      <t>13.818,61</t>
    </r>
  </si>
  <si>
    <r>
      <rPr>
        <sz val="8.5"/>
        <rFont val="Calibri"/>
        <family val="2"/>
      </rPr>
      <t>48.02.400</t>
    </r>
  </si>
  <si>
    <r>
      <rPr>
        <sz val="8.5"/>
        <rFont val="Calibri"/>
        <family val="2"/>
      </rPr>
      <t xml:space="preserve">Reservatório em polietileno com tampa de rosca - capacidade de 1.000
</t>
    </r>
    <r>
      <rPr>
        <sz val="8.5"/>
        <rFont val="Calibri"/>
        <family val="2"/>
      </rPr>
      <t>litros</t>
    </r>
  </si>
  <si>
    <r>
      <rPr>
        <sz val="8.5"/>
        <rFont val="Calibri"/>
        <family val="2"/>
      </rPr>
      <t>952,42</t>
    </r>
  </si>
  <si>
    <r>
      <rPr>
        <sz val="8.5"/>
        <rFont val="Calibri"/>
        <family val="2"/>
      </rPr>
      <t>1.003,33</t>
    </r>
  </si>
  <si>
    <r>
      <rPr>
        <sz val="8.5"/>
        <rFont val="Calibri"/>
        <family val="2"/>
      </rPr>
      <t>48.02.401</t>
    </r>
  </si>
  <si>
    <r>
      <rPr>
        <sz val="8.5"/>
        <rFont val="Calibri"/>
        <family val="2"/>
      </rPr>
      <t xml:space="preserve">Reservatório em polietileno com tampa de rosca - capacidade de 500
</t>
    </r>
    <r>
      <rPr>
        <sz val="8.5"/>
        <rFont val="Calibri"/>
        <family val="2"/>
      </rPr>
      <t>litros</t>
    </r>
  </si>
  <si>
    <r>
      <rPr>
        <sz val="8.5"/>
        <rFont val="Calibri"/>
        <family val="2"/>
      </rPr>
      <t>544,78</t>
    </r>
  </si>
  <si>
    <r>
      <rPr>
        <sz val="8.5"/>
        <rFont val="Calibri"/>
        <family val="2"/>
      </rPr>
      <t>595,69</t>
    </r>
  </si>
  <si>
    <r>
      <rPr>
        <sz val="8.5"/>
        <rFont val="Calibri"/>
        <family val="2"/>
      </rPr>
      <t>Reservatorio metalico</t>
    </r>
  </si>
  <si>
    <r>
      <rPr>
        <sz val="8.5"/>
        <rFont val="Calibri"/>
        <family val="2"/>
      </rPr>
      <t>48.03.010</t>
    </r>
  </si>
  <si>
    <r>
      <rPr>
        <sz val="8.5"/>
        <rFont val="Calibri"/>
        <family val="2"/>
      </rPr>
      <t>Reservatório metálico cilíndrico horizontal - capacidade de 1.000 litros</t>
    </r>
  </si>
  <si>
    <r>
      <rPr>
        <sz val="8.5"/>
        <rFont val="Calibri"/>
        <family val="2"/>
      </rPr>
      <t>2.964,63</t>
    </r>
  </si>
  <si>
    <r>
      <rPr>
        <sz val="8.5"/>
        <rFont val="Calibri"/>
        <family val="2"/>
      </rPr>
      <t>3.015,54</t>
    </r>
  </si>
  <si>
    <r>
      <rPr>
        <sz val="8.5"/>
        <rFont val="Calibri"/>
        <family val="2"/>
      </rPr>
      <t>48.03.112</t>
    </r>
  </si>
  <si>
    <r>
      <rPr>
        <sz val="8.5"/>
        <rFont val="Calibri"/>
        <family val="2"/>
      </rPr>
      <t>Reservatório metálico cilíndrico horizontal - capacidade de 3.000 litros</t>
    </r>
  </si>
  <si>
    <r>
      <rPr>
        <sz val="8.5"/>
        <rFont val="Calibri"/>
        <family val="2"/>
      </rPr>
      <t>5.223,96</t>
    </r>
  </si>
  <si>
    <r>
      <rPr>
        <sz val="8.5"/>
        <rFont val="Calibri"/>
        <family val="2"/>
      </rPr>
      <t>5.274,87</t>
    </r>
  </si>
  <si>
    <r>
      <rPr>
        <sz val="8.5"/>
        <rFont val="Calibri"/>
        <family val="2"/>
      </rPr>
      <t>48.03.130</t>
    </r>
  </si>
  <si>
    <r>
      <rPr>
        <sz val="8.5"/>
        <rFont val="Calibri"/>
        <family val="2"/>
      </rPr>
      <t>Reservatório metálico cilíndrico horizontal - capacidade de 5.000 litros</t>
    </r>
  </si>
  <si>
    <r>
      <rPr>
        <sz val="8.5"/>
        <rFont val="Calibri"/>
        <family val="2"/>
      </rPr>
      <t>7.563,49</t>
    </r>
  </si>
  <si>
    <r>
      <rPr>
        <sz val="8.5"/>
        <rFont val="Calibri"/>
        <family val="2"/>
      </rPr>
      <t>7.614,40</t>
    </r>
  </si>
  <si>
    <r>
      <rPr>
        <sz val="8.5"/>
        <rFont val="Calibri"/>
        <family val="2"/>
      </rPr>
      <t>48.03.138</t>
    </r>
  </si>
  <si>
    <r>
      <rPr>
        <sz val="8.5"/>
        <rFont val="Calibri"/>
        <family val="2"/>
      </rPr>
      <t>Reservatório metálico cilíndrico horizontal - capacidade de 10.000 litros</t>
    </r>
  </si>
  <si>
    <r>
      <rPr>
        <sz val="8.5"/>
        <rFont val="Calibri"/>
        <family val="2"/>
      </rPr>
      <t>13.254,28</t>
    </r>
  </si>
  <si>
    <r>
      <rPr>
        <sz val="8.5"/>
        <rFont val="Calibri"/>
        <family val="2"/>
      </rPr>
      <t>13.305,19</t>
    </r>
  </si>
  <si>
    <r>
      <rPr>
        <sz val="8.5"/>
        <rFont val="Calibri"/>
        <family val="2"/>
      </rPr>
      <t>Reservatorio em concreto</t>
    </r>
  </si>
  <si>
    <r>
      <rPr>
        <sz val="8.5"/>
        <rFont val="Calibri"/>
        <family val="2"/>
      </rPr>
      <t>48.04.381</t>
    </r>
  </si>
  <si>
    <r>
      <rPr>
        <sz val="8.5"/>
        <rFont val="Calibri"/>
        <family val="2"/>
      </rPr>
      <t xml:space="preserve">Reservatório em concreto armado cilíndrico, vertical, bipartido, método construtivo em formas deslizantes, diâmetro interno de 3,50m a 4,00m,
</t>
    </r>
    <r>
      <rPr>
        <sz val="8.5"/>
        <rFont val="Calibri"/>
        <family val="2"/>
      </rPr>
      <t>altura de 15,00m a 25,00m</t>
    </r>
  </si>
  <si>
    <r>
      <rPr>
        <sz val="8.5"/>
        <rFont val="Calibri"/>
        <family val="2"/>
      </rPr>
      <t>15.692,54</t>
    </r>
  </si>
  <si>
    <r>
      <rPr>
        <sz val="8.5"/>
        <rFont val="Calibri"/>
        <family val="2"/>
      </rPr>
      <t>2.699,08</t>
    </r>
  </si>
  <si>
    <r>
      <rPr>
        <sz val="8.5"/>
        <rFont val="Calibri"/>
        <family val="2"/>
      </rPr>
      <t>18.391,62</t>
    </r>
  </si>
  <si>
    <r>
      <rPr>
        <sz val="8.5"/>
        <rFont val="Calibri"/>
        <family val="2"/>
      </rPr>
      <t>48.04.391</t>
    </r>
  </si>
  <si>
    <r>
      <rPr>
        <sz val="8.5"/>
        <rFont val="Calibri"/>
        <family val="2"/>
      </rPr>
      <t xml:space="preserve">Reservatório em concreto armado cilíndrico, vertical, bipartido, método construtivo em formas deslizantes, diâmetro interno de 5,5m a 6,00m,
</t>
    </r>
    <r>
      <rPr>
        <sz val="8.5"/>
        <rFont val="Calibri"/>
        <family val="2"/>
      </rPr>
      <t>altura de 25,00m a 30,00m</t>
    </r>
  </si>
  <si>
    <r>
      <rPr>
        <sz val="8.5"/>
        <rFont val="Calibri"/>
        <family val="2"/>
      </rPr>
      <t>32.026,85</t>
    </r>
  </si>
  <si>
    <r>
      <rPr>
        <sz val="8.5"/>
        <rFont val="Calibri"/>
        <family val="2"/>
      </rPr>
      <t>5.753,32</t>
    </r>
  </si>
  <si>
    <r>
      <rPr>
        <sz val="8.5"/>
        <rFont val="Calibri"/>
        <family val="2"/>
      </rPr>
      <t>37.780,17</t>
    </r>
  </si>
  <si>
    <r>
      <rPr>
        <sz val="8.5"/>
        <rFont val="Calibri"/>
        <family val="2"/>
      </rPr>
      <t>Torneira de boia</t>
    </r>
  </si>
  <si>
    <r>
      <rPr>
        <sz val="8.5"/>
        <rFont val="Calibri"/>
        <family val="2"/>
      </rPr>
      <t>48.05.010</t>
    </r>
  </si>
  <si>
    <r>
      <rPr>
        <sz val="8.5"/>
        <rFont val="Calibri"/>
        <family val="2"/>
      </rPr>
      <t>Torneira de boia, DN= 3/4´</t>
    </r>
  </si>
  <si>
    <r>
      <rPr>
        <sz val="8.5"/>
        <rFont val="Calibri"/>
        <family val="2"/>
      </rPr>
      <t>87,24</t>
    </r>
  </si>
  <si>
    <r>
      <rPr>
        <sz val="8.5"/>
        <rFont val="Calibri"/>
        <family val="2"/>
      </rPr>
      <t>48.05.020</t>
    </r>
  </si>
  <si>
    <r>
      <rPr>
        <sz val="8.5"/>
        <rFont val="Calibri"/>
        <family val="2"/>
      </rPr>
      <t>Torneira de boia, DN= 1´</t>
    </r>
  </si>
  <si>
    <r>
      <rPr>
        <sz val="8.5"/>
        <rFont val="Calibri"/>
        <family val="2"/>
      </rPr>
      <t>96,79</t>
    </r>
  </si>
  <si>
    <r>
      <rPr>
        <sz val="8.5"/>
        <rFont val="Calibri"/>
        <family val="2"/>
      </rPr>
      <t>111,35</t>
    </r>
  </si>
  <si>
    <r>
      <rPr>
        <sz val="8.5"/>
        <rFont val="Calibri"/>
        <family val="2"/>
      </rPr>
      <t>48.05.030</t>
    </r>
  </si>
  <si>
    <r>
      <rPr>
        <sz val="8.5"/>
        <rFont val="Calibri"/>
        <family val="2"/>
      </rPr>
      <t>Torneira de boia, DN= 1 1/4´</t>
    </r>
  </si>
  <si>
    <r>
      <rPr>
        <sz val="8.5"/>
        <rFont val="Calibri"/>
        <family val="2"/>
      </rPr>
      <t>217,46</t>
    </r>
  </si>
  <si>
    <r>
      <rPr>
        <sz val="8.5"/>
        <rFont val="Calibri"/>
        <family val="2"/>
      </rPr>
      <t>48.05.040</t>
    </r>
  </si>
  <si>
    <r>
      <rPr>
        <sz val="8.5"/>
        <rFont val="Calibri"/>
        <family val="2"/>
      </rPr>
      <t>Torneira de boia, DN= 1 1/2´</t>
    </r>
  </si>
  <si>
    <r>
      <rPr>
        <sz val="8.5"/>
        <rFont val="Calibri"/>
        <family val="2"/>
      </rPr>
      <t>204,06</t>
    </r>
  </si>
  <si>
    <r>
      <rPr>
        <sz val="8.5"/>
        <rFont val="Calibri"/>
        <family val="2"/>
      </rPr>
      <t>220,43</t>
    </r>
  </si>
  <si>
    <r>
      <rPr>
        <sz val="8.5"/>
        <rFont val="Calibri"/>
        <family val="2"/>
      </rPr>
      <t>48.05.050</t>
    </r>
  </si>
  <si>
    <r>
      <rPr>
        <sz val="8.5"/>
        <rFont val="Calibri"/>
        <family val="2"/>
      </rPr>
      <t>Torneira de boia, DN= 2´</t>
    </r>
  </si>
  <si>
    <r>
      <rPr>
        <sz val="8.5"/>
        <rFont val="Calibri"/>
        <family val="2"/>
      </rPr>
      <t>259,07</t>
    </r>
  </si>
  <si>
    <r>
      <rPr>
        <sz val="8.5"/>
        <rFont val="Calibri"/>
        <family val="2"/>
      </rPr>
      <t>280,90</t>
    </r>
  </si>
  <si>
    <r>
      <rPr>
        <sz val="8.5"/>
        <rFont val="Calibri"/>
        <family val="2"/>
      </rPr>
      <t>48.05.052</t>
    </r>
  </si>
  <si>
    <r>
      <rPr>
        <sz val="8.5"/>
        <rFont val="Calibri"/>
        <family val="2"/>
      </rPr>
      <t>Torneira de boia, DN= 2 1/2´</t>
    </r>
  </si>
  <si>
    <r>
      <rPr>
        <sz val="8.5"/>
        <rFont val="Calibri"/>
        <family val="2"/>
      </rPr>
      <t>1.054,97</t>
    </r>
  </si>
  <si>
    <r>
      <rPr>
        <sz val="8.5"/>
        <rFont val="Calibri"/>
        <family val="2"/>
      </rPr>
      <t>1.071,34</t>
    </r>
  </si>
  <si>
    <r>
      <rPr>
        <sz val="8.5"/>
        <rFont val="Calibri"/>
        <family val="2"/>
      </rPr>
      <t>48.05.070</t>
    </r>
  </si>
  <si>
    <r>
      <rPr>
        <sz val="8.5"/>
        <rFont val="Calibri"/>
        <family val="2"/>
      </rPr>
      <t>Torneira de boia, tipo registro automático de entrada, DN= 3´</t>
    </r>
  </si>
  <si>
    <r>
      <rPr>
        <sz val="8.5"/>
        <rFont val="Calibri"/>
        <family val="2"/>
      </rPr>
      <t>1.851,16</t>
    </r>
  </si>
  <si>
    <r>
      <rPr>
        <sz val="8.5"/>
        <rFont val="Calibri"/>
        <family val="2"/>
      </rPr>
      <t>1.923,94</t>
    </r>
  </si>
  <si>
    <r>
      <rPr>
        <sz val="8.5"/>
        <rFont val="Calibri"/>
        <family val="2"/>
      </rPr>
      <t>Reparos, conservacoes e complementos - GRUPO 48</t>
    </r>
  </si>
  <si>
    <r>
      <rPr>
        <sz val="8.5"/>
        <rFont val="Calibri"/>
        <family val="2"/>
      </rPr>
      <t>48.20.020</t>
    </r>
  </si>
  <si>
    <r>
      <rPr>
        <sz val="8.5"/>
        <rFont val="Calibri"/>
        <family val="2"/>
      </rPr>
      <t>Limpeza de caixa d´água até 1.000 litros</t>
    </r>
  </si>
  <si>
    <r>
      <rPr>
        <sz val="8.5"/>
        <rFont val="Calibri"/>
        <family val="2"/>
      </rPr>
      <t>48.20.040</t>
    </r>
  </si>
  <si>
    <r>
      <rPr>
        <sz val="8.5"/>
        <rFont val="Calibri"/>
        <family val="2"/>
      </rPr>
      <t>Limpeza de caixa d´água de 1.001 até 10.000 litros</t>
    </r>
  </si>
  <si>
    <r>
      <rPr>
        <sz val="8.5"/>
        <rFont val="Calibri"/>
        <family val="2"/>
      </rPr>
      <t>116,16</t>
    </r>
  </si>
  <si>
    <r>
      <rPr>
        <sz val="8.5"/>
        <rFont val="Calibri"/>
        <family val="2"/>
      </rPr>
      <t>48.20.060</t>
    </r>
  </si>
  <si>
    <r>
      <rPr>
        <sz val="8.5"/>
        <rFont val="Calibri"/>
        <family val="2"/>
      </rPr>
      <t>Limpeza de caixa d´água acima de 10.000 litros</t>
    </r>
  </si>
  <si>
    <r>
      <rPr>
        <sz val="8.5"/>
        <rFont val="Calibri"/>
        <family val="2"/>
      </rPr>
      <t>261,36</t>
    </r>
  </si>
  <si>
    <r>
      <rPr>
        <sz val="8.5"/>
        <rFont val="Calibri"/>
        <family val="2"/>
      </rPr>
      <t>CAIXA, RALO, GRELHA E ACESSORIO HIDRAULICO</t>
    </r>
  </si>
  <si>
    <r>
      <rPr>
        <sz val="8.5"/>
        <rFont val="Calibri"/>
        <family val="2"/>
      </rPr>
      <t>Caixas sifonadas de PVC rigido</t>
    </r>
  </si>
  <si>
    <r>
      <rPr>
        <sz val="8.5"/>
        <rFont val="Calibri"/>
        <family val="2"/>
      </rPr>
      <t>49.01.016</t>
    </r>
  </si>
  <si>
    <r>
      <rPr>
        <sz val="8.5"/>
        <rFont val="Calibri"/>
        <family val="2"/>
      </rPr>
      <t>Caixa sifonada de PVC rígido de 100 x 100 x 50 mm, com grelha</t>
    </r>
  </si>
  <si>
    <r>
      <rPr>
        <sz val="8.5"/>
        <rFont val="Calibri"/>
        <family val="2"/>
      </rPr>
      <t>69,29</t>
    </r>
  </si>
  <si>
    <r>
      <rPr>
        <sz val="8.5"/>
        <rFont val="Calibri"/>
        <family val="2"/>
      </rPr>
      <t>49.01.020</t>
    </r>
  </si>
  <si>
    <r>
      <rPr>
        <sz val="8.5"/>
        <rFont val="Calibri"/>
        <family val="2"/>
      </rPr>
      <t>Caixa sifonada de PVC rígido de 100 x 150 x 50 mm, com grelha</t>
    </r>
  </si>
  <si>
    <r>
      <rPr>
        <sz val="8.5"/>
        <rFont val="Calibri"/>
        <family val="2"/>
      </rPr>
      <t>45,04</t>
    </r>
  </si>
  <si>
    <r>
      <rPr>
        <sz val="8.5"/>
        <rFont val="Calibri"/>
        <family val="2"/>
      </rPr>
      <t>81,43</t>
    </r>
  </si>
  <si>
    <r>
      <rPr>
        <sz val="8.5"/>
        <rFont val="Calibri"/>
        <family val="2"/>
      </rPr>
      <t>49.01.030</t>
    </r>
  </si>
  <si>
    <r>
      <rPr>
        <sz val="8.5"/>
        <rFont val="Calibri"/>
        <family val="2"/>
      </rPr>
      <t>Caixa sifonada de PVC rígido de 150 x 150 x 50 mm, com grelha</t>
    </r>
  </si>
  <si>
    <r>
      <rPr>
        <sz val="8.5"/>
        <rFont val="Calibri"/>
        <family val="2"/>
      </rPr>
      <t>55,95</t>
    </r>
  </si>
  <si>
    <r>
      <rPr>
        <sz val="8.5"/>
        <rFont val="Calibri"/>
        <family val="2"/>
      </rPr>
      <t>92,34</t>
    </r>
  </si>
  <si>
    <r>
      <rPr>
        <sz val="8.5"/>
        <rFont val="Calibri"/>
        <family val="2"/>
      </rPr>
      <t>49.01.040</t>
    </r>
  </si>
  <si>
    <r>
      <rPr>
        <sz val="8.5"/>
        <rFont val="Calibri"/>
        <family val="2"/>
      </rPr>
      <t>Caixa sifonada de PVC rígido de 150 x 185 x 75 mm, com grelha</t>
    </r>
  </si>
  <si>
    <r>
      <rPr>
        <sz val="8.5"/>
        <rFont val="Calibri"/>
        <family val="2"/>
      </rPr>
      <t>64,30</t>
    </r>
  </si>
  <si>
    <r>
      <rPr>
        <sz val="8.5"/>
        <rFont val="Calibri"/>
        <family val="2"/>
      </rPr>
      <t>100,69</t>
    </r>
  </si>
  <si>
    <r>
      <rPr>
        <sz val="8.5"/>
        <rFont val="Calibri"/>
        <family val="2"/>
      </rPr>
      <t>49.01.050</t>
    </r>
  </si>
  <si>
    <r>
      <rPr>
        <sz val="8.5"/>
        <rFont val="Calibri"/>
        <family val="2"/>
      </rPr>
      <t>Caixa sifonada de PVC rígido de 250 x 172 x 50 mm, com tampa cega</t>
    </r>
  </si>
  <si>
    <r>
      <rPr>
        <sz val="8.5"/>
        <rFont val="Calibri"/>
        <family val="2"/>
      </rPr>
      <t>78,31</t>
    </r>
  </si>
  <si>
    <r>
      <rPr>
        <sz val="8.5"/>
        <rFont val="Calibri"/>
        <family val="2"/>
      </rPr>
      <t>114,70</t>
    </r>
  </si>
  <si>
    <r>
      <rPr>
        <sz val="8.5"/>
        <rFont val="Calibri"/>
        <family val="2"/>
      </rPr>
      <t>49.01.070</t>
    </r>
  </si>
  <si>
    <r>
      <rPr>
        <sz val="8.5"/>
        <rFont val="Calibri"/>
        <family val="2"/>
      </rPr>
      <t>Caixa sifonada de PVC rígido de 250 x 230 x 75 mm, com tampa cega</t>
    </r>
  </si>
  <si>
    <r>
      <rPr>
        <sz val="8.5"/>
        <rFont val="Calibri"/>
        <family val="2"/>
      </rPr>
      <t>103,06</t>
    </r>
  </si>
  <si>
    <r>
      <rPr>
        <sz val="8.5"/>
        <rFont val="Calibri"/>
        <family val="2"/>
      </rPr>
      <t>139,45</t>
    </r>
  </si>
  <si>
    <r>
      <rPr>
        <sz val="8.5"/>
        <rFont val="Calibri"/>
        <family val="2"/>
      </rPr>
      <t>Caixa de gordura</t>
    </r>
  </si>
  <si>
    <r>
      <rPr>
        <sz val="8.5"/>
        <rFont val="Calibri"/>
        <family val="2"/>
      </rPr>
      <t>49.03.020</t>
    </r>
  </si>
  <si>
    <r>
      <rPr>
        <sz val="8.5"/>
        <rFont val="Calibri"/>
        <family val="2"/>
      </rPr>
      <t>Caixa de gordura em alvenaria, 600 x 600 x 600 mm</t>
    </r>
  </si>
  <si>
    <r>
      <rPr>
        <sz val="8.5"/>
        <rFont val="Calibri"/>
        <family val="2"/>
      </rPr>
      <t>88,79</t>
    </r>
  </si>
  <si>
    <r>
      <rPr>
        <sz val="8.5"/>
        <rFont val="Calibri"/>
        <family val="2"/>
      </rPr>
      <t>161,32</t>
    </r>
  </si>
  <si>
    <r>
      <rPr>
        <sz val="8.5"/>
        <rFont val="Calibri"/>
        <family val="2"/>
      </rPr>
      <t>250,11</t>
    </r>
  </si>
  <si>
    <r>
      <rPr>
        <sz val="8.5"/>
        <rFont val="Calibri"/>
        <family val="2"/>
      </rPr>
      <t>49.03.022</t>
    </r>
  </si>
  <si>
    <r>
      <rPr>
        <sz val="8.5"/>
        <rFont val="Calibri"/>
        <family val="2"/>
      </rPr>
      <t xml:space="preserve">Caixa de gordura premoldada premoldada com tampa em concreto, 40 x
</t>
    </r>
    <r>
      <rPr>
        <sz val="8.5"/>
        <rFont val="Calibri"/>
        <family val="2"/>
      </rPr>
      <t>40 x 35 cm</t>
    </r>
  </si>
  <si>
    <r>
      <rPr>
        <sz val="8.5"/>
        <rFont val="Calibri"/>
        <family val="2"/>
      </rPr>
      <t>39,91</t>
    </r>
  </si>
  <si>
    <r>
      <rPr>
        <sz val="8.5"/>
        <rFont val="Calibri"/>
        <family val="2"/>
      </rPr>
      <t>97,88</t>
    </r>
  </si>
  <si>
    <r>
      <rPr>
        <sz val="8.5"/>
        <rFont val="Calibri"/>
        <family val="2"/>
      </rPr>
      <t>49.03.036</t>
    </r>
  </si>
  <si>
    <r>
      <rPr>
        <sz val="8.5"/>
        <rFont val="Calibri"/>
        <family val="2"/>
      </rPr>
      <t>Caixa de gordura em PVC com tampa reforçada - capacidade 19 litros</t>
    </r>
  </si>
  <si>
    <r>
      <rPr>
        <sz val="8.5"/>
        <rFont val="Calibri"/>
        <family val="2"/>
      </rPr>
      <t>483,83</t>
    </r>
  </si>
  <si>
    <r>
      <rPr>
        <sz val="8.5"/>
        <rFont val="Calibri"/>
        <family val="2"/>
      </rPr>
      <t>520,22</t>
    </r>
  </si>
  <si>
    <r>
      <rPr>
        <sz val="8.5"/>
        <rFont val="Calibri"/>
        <family val="2"/>
      </rPr>
      <t>Ralo em PVC rigido</t>
    </r>
  </si>
  <si>
    <r>
      <rPr>
        <sz val="8.5"/>
        <rFont val="Calibri"/>
        <family val="2"/>
      </rPr>
      <t>49.04.010</t>
    </r>
  </si>
  <si>
    <r>
      <rPr>
        <sz val="8.5"/>
        <rFont val="Calibri"/>
        <family val="2"/>
      </rPr>
      <t>Ralo seco em PVC rígido de 100 x 40 mm, com grelha</t>
    </r>
  </si>
  <si>
    <r>
      <rPr>
        <sz val="8.5"/>
        <rFont val="Calibri"/>
        <family val="2"/>
      </rPr>
      <t>29,49</t>
    </r>
  </si>
  <si>
    <r>
      <rPr>
        <sz val="8.5"/>
        <rFont val="Calibri"/>
        <family val="2"/>
      </rPr>
      <t>65,88</t>
    </r>
  </si>
  <si>
    <r>
      <rPr>
        <sz val="8.5"/>
        <rFont val="Calibri"/>
        <family val="2"/>
      </rPr>
      <t>Ralo em ferro fundido</t>
    </r>
  </si>
  <si>
    <r>
      <rPr>
        <sz val="8.5"/>
        <rFont val="Calibri"/>
        <family val="2"/>
      </rPr>
      <t>49.05.020</t>
    </r>
  </si>
  <si>
    <r>
      <rPr>
        <sz val="8.5"/>
        <rFont val="Calibri"/>
        <family val="2"/>
      </rPr>
      <t xml:space="preserve">Ralo seco em ferro fundido, 100 x 165 x 50 mm, com grelha metálica
</t>
    </r>
    <r>
      <rPr>
        <sz val="8.5"/>
        <rFont val="Calibri"/>
        <family val="2"/>
      </rPr>
      <t>saída vertical</t>
    </r>
  </si>
  <si>
    <r>
      <rPr>
        <sz val="8.5"/>
        <rFont val="Calibri"/>
        <family val="2"/>
      </rPr>
      <t>124,12</t>
    </r>
  </si>
  <si>
    <r>
      <rPr>
        <sz val="8.5"/>
        <rFont val="Calibri"/>
        <family val="2"/>
      </rPr>
      <t>167,78</t>
    </r>
  </si>
  <si>
    <r>
      <rPr>
        <sz val="8.5"/>
        <rFont val="Calibri"/>
        <family val="2"/>
      </rPr>
      <t>49.05.040</t>
    </r>
  </si>
  <si>
    <r>
      <rPr>
        <sz val="8.5"/>
        <rFont val="Calibri"/>
        <family val="2"/>
      </rPr>
      <t>Ralo sifonado em ferro fundido de 150 x 240 x 75 mm, com grelha</t>
    </r>
  </si>
  <si>
    <r>
      <rPr>
        <sz val="8.5"/>
        <rFont val="Calibri"/>
        <family val="2"/>
      </rPr>
      <t>354,77</t>
    </r>
  </si>
  <si>
    <r>
      <rPr>
        <sz val="8.5"/>
        <rFont val="Calibri"/>
        <family val="2"/>
      </rPr>
      <t>409,36</t>
    </r>
  </si>
  <si>
    <r>
      <rPr>
        <sz val="8.5"/>
        <rFont val="Calibri"/>
        <family val="2"/>
      </rPr>
      <t>Grelhas e tampas</t>
    </r>
  </si>
  <si>
    <r>
      <rPr>
        <sz val="8.5"/>
        <rFont val="Calibri"/>
        <family val="2"/>
      </rPr>
      <t>49.06.010</t>
    </r>
  </si>
  <si>
    <r>
      <rPr>
        <sz val="8.5"/>
        <rFont val="Calibri"/>
        <family val="2"/>
      </rPr>
      <t>Grelha hemisférica em ferro fundido de 4"</t>
    </r>
  </si>
  <si>
    <r>
      <rPr>
        <sz val="8.5"/>
        <rFont val="Calibri"/>
        <family val="2"/>
      </rPr>
      <t>15,01</t>
    </r>
  </si>
  <si>
    <r>
      <rPr>
        <sz val="8.5"/>
        <rFont val="Calibri"/>
        <family val="2"/>
      </rPr>
      <t>49.06.020</t>
    </r>
  </si>
  <si>
    <r>
      <rPr>
        <sz val="8.5"/>
        <rFont val="Calibri"/>
        <family val="2"/>
      </rPr>
      <t>Grelha em ferro fundido para caixas e canaletas</t>
    </r>
  </si>
  <si>
    <r>
      <rPr>
        <sz val="8.5"/>
        <rFont val="Calibri"/>
        <family val="2"/>
      </rPr>
      <t>1.230,64</t>
    </r>
  </si>
  <si>
    <r>
      <rPr>
        <sz val="8.5"/>
        <rFont val="Calibri"/>
        <family val="2"/>
      </rPr>
      <t>1.253,98</t>
    </r>
  </si>
  <si>
    <r>
      <rPr>
        <sz val="8.5"/>
        <rFont val="Calibri"/>
        <family val="2"/>
      </rPr>
      <t>49.06.030</t>
    </r>
  </si>
  <si>
    <r>
      <rPr>
        <sz val="8.5"/>
        <rFont val="Calibri"/>
        <family val="2"/>
      </rPr>
      <t>Grelha hemisférica em ferro fundido de 3"</t>
    </r>
  </si>
  <si>
    <r>
      <rPr>
        <sz val="8.5"/>
        <rFont val="Calibri"/>
        <family val="2"/>
      </rPr>
      <t>8,44</t>
    </r>
  </si>
  <si>
    <r>
      <rPr>
        <sz val="8.5"/>
        <rFont val="Calibri"/>
        <family val="2"/>
      </rPr>
      <t>10,62</t>
    </r>
  </si>
  <si>
    <r>
      <rPr>
        <sz val="8.5"/>
        <rFont val="Calibri"/>
        <family val="2"/>
      </rPr>
      <t>49.06.072</t>
    </r>
  </si>
  <si>
    <r>
      <rPr>
        <sz val="8.5"/>
        <rFont val="Calibri"/>
        <family val="2"/>
      </rPr>
      <t>Grelha articulada em ferro fundido tipo boca de leão</t>
    </r>
  </si>
  <si>
    <r>
      <rPr>
        <sz val="8.5"/>
        <rFont val="Calibri"/>
        <family val="2"/>
      </rPr>
      <t>287,33</t>
    </r>
  </si>
  <si>
    <r>
      <rPr>
        <sz val="8.5"/>
        <rFont val="Calibri"/>
        <family val="2"/>
      </rPr>
      <t>306,01</t>
    </r>
  </si>
  <si>
    <r>
      <rPr>
        <sz val="8.5"/>
        <rFont val="Calibri"/>
        <family val="2"/>
      </rPr>
      <t>49.06.080</t>
    </r>
  </si>
  <si>
    <r>
      <rPr>
        <sz val="8.5"/>
        <rFont val="Calibri"/>
        <family val="2"/>
      </rPr>
      <t>Grelha hemisférica em ferro fundido de 6"</t>
    </r>
  </si>
  <si>
    <r>
      <rPr>
        <sz val="8.5"/>
        <rFont val="Calibri"/>
        <family val="2"/>
      </rPr>
      <t>33,53</t>
    </r>
  </si>
  <si>
    <r>
      <rPr>
        <sz val="8.5"/>
        <rFont val="Calibri"/>
        <family val="2"/>
      </rPr>
      <t>35,71</t>
    </r>
  </si>
  <si>
    <r>
      <rPr>
        <sz val="8.5"/>
        <rFont val="Calibri"/>
        <family val="2"/>
      </rPr>
      <t>49.06.110</t>
    </r>
  </si>
  <si>
    <r>
      <rPr>
        <sz val="8.5"/>
        <rFont val="Calibri"/>
        <family val="2"/>
      </rPr>
      <t>Grelha hemisférica em ferro fundido de 2"</t>
    </r>
  </si>
  <si>
    <r>
      <rPr>
        <sz val="8.5"/>
        <rFont val="Calibri"/>
        <family val="2"/>
      </rPr>
      <t>10,32</t>
    </r>
  </si>
  <si>
    <r>
      <rPr>
        <sz val="8.5"/>
        <rFont val="Calibri"/>
        <family val="2"/>
      </rPr>
      <t>49.06.160</t>
    </r>
  </si>
  <si>
    <r>
      <rPr>
        <sz val="8.5"/>
        <rFont val="Calibri"/>
        <family val="2"/>
      </rPr>
      <t>Grelha quadriculada em ferro fundido para caixas e canaletas</t>
    </r>
  </si>
  <si>
    <r>
      <rPr>
        <sz val="8.5"/>
        <rFont val="Calibri"/>
        <family val="2"/>
      </rPr>
      <t>1.241,06</t>
    </r>
  </si>
  <si>
    <r>
      <rPr>
        <sz val="8.5"/>
        <rFont val="Calibri"/>
        <family val="2"/>
      </rPr>
      <t>1.264,40</t>
    </r>
  </si>
  <si>
    <r>
      <rPr>
        <sz val="8.5"/>
        <rFont val="Calibri"/>
        <family val="2"/>
      </rPr>
      <t>49.06.170</t>
    </r>
  </si>
  <si>
    <r>
      <rPr>
        <sz val="8.5"/>
        <rFont val="Calibri"/>
        <family val="2"/>
      </rPr>
      <t>Grelha em alumínio fundido para caixas e canaletas - linha comercial</t>
    </r>
  </si>
  <si>
    <r>
      <rPr>
        <sz val="8.5"/>
        <rFont val="Calibri"/>
        <family val="2"/>
      </rPr>
      <t>1.107,65</t>
    </r>
  </si>
  <si>
    <r>
      <rPr>
        <sz val="8.5"/>
        <rFont val="Calibri"/>
        <family val="2"/>
      </rPr>
      <t>1.130,99</t>
    </r>
  </si>
  <si>
    <r>
      <rPr>
        <sz val="8.5"/>
        <rFont val="Calibri"/>
        <family val="2"/>
      </rPr>
      <t>49.06.190</t>
    </r>
  </si>
  <si>
    <r>
      <rPr>
        <sz val="8.5"/>
        <rFont val="Calibri"/>
        <family val="2"/>
      </rPr>
      <t>Grelha pré-moldada em concreto, com furos redondos, 79,5 x 24,5 x 8 cm</t>
    </r>
  </si>
  <si>
    <r>
      <rPr>
        <sz val="8.5"/>
        <rFont val="Calibri"/>
        <family val="2"/>
      </rPr>
      <t>78,51</t>
    </r>
  </si>
  <si>
    <r>
      <rPr>
        <sz val="8.5"/>
        <rFont val="Calibri"/>
        <family val="2"/>
      </rPr>
      <t>49.06.200</t>
    </r>
  </si>
  <si>
    <r>
      <rPr>
        <sz val="8.5"/>
        <rFont val="Calibri"/>
        <family val="2"/>
      </rPr>
      <t xml:space="preserve">Captador pluvial em aço inoxidável e grelha em alumínio, com
</t>
    </r>
    <r>
      <rPr>
        <sz val="8.5"/>
        <rFont val="Calibri"/>
        <family val="2"/>
      </rPr>
      <t>mecanismo anti-vórtice, DN= 50 mm</t>
    </r>
  </si>
  <si>
    <r>
      <rPr>
        <sz val="8.5"/>
        <rFont val="Calibri"/>
        <family val="2"/>
      </rPr>
      <t>4.006,37</t>
    </r>
  </si>
  <si>
    <r>
      <rPr>
        <sz val="8.5"/>
        <rFont val="Calibri"/>
        <family val="2"/>
      </rPr>
      <t>4.050,03</t>
    </r>
  </si>
  <si>
    <r>
      <rPr>
        <sz val="8.5"/>
        <rFont val="Calibri"/>
        <family val="2"/>
      </rPr>
      <t>49.06.210</t>
    </r>
  </si>
  <si>
    <r>
      <rPr>
        <sz val="8.5"/>
        <rFont val="Calibri"/>
        <family val="2"/>
      </rPr>
      <t xml:space="preserve">Captador pluvial em aço inoxidável e grelha em alumínio, com
</t>
    </r>
    <r>
      <rPr>
        <sz val="8.5"/>
        <rFont val="Calibri"/>
        <family val="2"/>
      </rPr>
      <t>mecanismo anti-vórtice, DN= 75 mm</t>
    </r>
  </si>
  <si>
    <r>
      <rPr>
        <sz val="8.5"/>
        <rFont val="Calibri"/>
        <family val="2"/>
      </rPr>
      <t>5.181,25</t>
    </r>
  </si>
  <si>
    <r>
      <rPr>
        <sz val="8.5"/>
        <rFont val="Calibri"/>
        <family val="2"/>
      </rPr>
      <t>5.224,91</t>
    </r>
  </si>
  <si>
    <r>
      <rPr>
        <sz val="8.5"/>
        <rFont val="Calibri"/>
        <family val="2"/>
      </rPr>
      <t>49.06.400</t>
    </r>
  </si>
  <si>
    <r>
      <rPr>
        <sz val="8.5"/>
        <rFont val="Calibri"/>
        <family val="2"/>
      </rPr>
      <t xml:space="preserve">Tampão em ferro fundido, diâmetro de 600 mm, classe B 125 (ruptura &gt;
</t>
    </r>
    <r>
      <rPr>
        <sz val="8.5"/>
        <rFont val="Calibri"/>
        <family val="2"/>
      </rPr>
      <t>125 kN)</t>
    </r>
  </si>
  <si>
    <r>
      <rPr>
        <sz val="8.5"/>
        <rFont val="Calibri"/>
        <family val="2"/>
      </rPr>
      <t>385,46</t>
    </r>
  </si>
  <si>
    <r>
      <rPr>
        <sz val="8.5"/>
        <rFont val="Calibri"/>
        <family val="2"/>
      </rPr>
      <t>433,70</t>
    </r>
  </si>
  <si>
    <r>
      <rPr>
        <sz val="8.5"/>
        <rFont val="Calibri"/>
        <family val="2"/>
      </rPr>
      <t>49.06.410</t>
    </r>
  </si>
  <si>
    <r>
      <rPr>
        <sz val="8.5"/>
        <rFont val="Calibri"/>
        <family val="2"/>
      </rPr>
      <t xml:space="preserve">Tampão em ferro fundido, diâmetro de 600 mm, classe C 250 (ruptura &gt;
</t>
    </r>
    <r>
      <rPr>
        <sz val="8.5"/>
        <rFont val="Calibri"/>
        <family val="2"/>
      </rPr>
      <t>250 kN)</t>
    </r>
  </si>
  <si>
    <r>
      <rPr>
        <sz val="8.5"/>
        <rFont val="Calibri"/>
        <family val="2"/>
      </rPr>
      <t>416,10</t>
    </r>
  </si>
  <si>
    <r>
      <rPr>
        <sz val="8.5"/>
        <rFont val="Calibri"/>
        <family val="2"/>
      </rPr>
      <t>464,34</t>
    </r>
  </si>
  <si>
    <r>
      <rPr>
        <sz val="8.5"/>
        <rFont val="Calibri"/>
        <family val="2"/>
      </rPr>
      <t>49.06.420</t>
    </r>
  </si>
  <si>
    <r>
      <rPr>
        <sz val="8.5"/>
        <rFont val="Calibri"/>
        <family val="2"/>
      </rPr>
      <t xml:space="preserve">Tampão em ferro fundido, diâmetro de 600 mm, classe D 400 (ruptura&gt;
</t>
    </r>
    <r>
      <rPr>
        <sz val="8.5"/>
        <rFont val="Calibri"/>
        <family val="2"/>
      </rPr>
      <t>400 kN)</t>
    </r>
  </si>
  <si>
    <r>
      <rPr>
        <sz val="8.5"/>
        <rFont val="Calibri"/>
        <family val="2"/>
      </rPr>
      <t>403,35</t>
    </r>
  </si>
  <si>
    <r>
      <rPr>
        <sz val="8.5"/>
        <rFont val="Calibri"/>
        <family val="2"/>
      </rPr>
      <t>451,59</t>
    </r>
  </si>
  <si>
    <r>
      <rPr>
        <sz val="8.5"/>
        <rFont val="Calibri"/>
        <family val="2"/>
      </rPr>
      <t>49.06.430</t>
    </r>
  </si>
  <si>
    <r>
      <rPr>
        <sz val="8.5"/>
        <rFont val="Calibri"/>
        <family val="2"/>
      </rPr>
      <t xml:space="preserve">Tampão em ferro fundido de 300 x 300 mm, classe B 125 (ruptura &gt; 125
</t>
    </r>
    <r>
      <rPr>
        <sz val="8.5"/>
        <rFont val="Calibri"/>
        <family val="2"/>
      </rPr>
      <t>kN)</t>
    </r>
  </si>
  <si>
    <r>
      <rPr>
        <sz val="8.5"/>
        <rFont val="Calibri"/>
        <family val="2"/>
      </rPr>
      <t>166,52</t>
    </r>
  </si>
  <si>
    <r>
      <rPr>
        <sz val="8.5"/>
        <rFont val="Calibri"/>
        <family val="2"/>
      </rPr>
      <t>214,76</t>
    </r>
  </si>
  <si>
    <r>
      <rPr>
        <sz val="8.5"/>
        <rFont val="Calibri"/>
        <family val="2"/>
      </rPr>
      <t>49.06.440</t>
    </r>
  </si>
  <si>
    <r>
      <rPr>
        <sz val="8.5"/>
        <rFont val="Calibri"/>
        <family val="2"/>
      </rPr>
      <t xml:space="preserve">Tampão em ferro fundido de 400 x 400 mm, classe B 125 (ruptura &gt; 125
</t>
    </r>
    <r>
      <rPr>
        <sz val="8.5"/>
        <rFont val="Calibri"/>
        <family val="2"/>
      </rPr>
      <t>kN)</t>
    </r>
  </si>
  <si>
    <r>
      <rPr>
        <sz val="8.5"/>
        <rFont val="Calibri"/>
        <family val="2"/>
      </rPr>
      <t>212,28</t>
    </r>
  </si>
  <si>
    <r>
      <rPr>
        <sz val="8.5"/>
        <rFont val="Calibri"/>
        <family val="2"/>
      </rPr>
      <t>49.06.450</t>
    </r>
  </si>
  <si>
    <r>
      <rPr>
        <sz val="8.5"/>
        <rFont val="Calibri"/>
        <family val="2"/>
      </rPr>
      <t xml:space="preserve">Tampão em ferro fundido de 500 x 500 mm, classe B 125 (ruptura &gt; 125
</t>
    </r>
    <r>
      <rPr>
        <sz val="8.5"/>
        <rFont val="Calibri"/>
        <family val="2"/>
      </rPr>
      <t>kN)</t>
    </r>
  </si>
  <si>
    <r>
      <rPr>
        <sz val="8.5"/>
        <rFont val="Calibri"/>
        <family val="2"/>
      </rPr>
      <t>300,49</t>
    </r>
  </si>
  <si>
    <r>
      <rPr>
        <sz val="8.5"/>
        <rFont val="Calibri"/>
        <family val="2"/>
      </rPr>
      <t>348,73</t>
    </r>
  </si>
  <si>
    <r>
      <rPr>
        <sz val="8.5"/>
        <rFont val="Calibri"/>
        <family val="2"/>
      </rPr>
      <t>49.06.460</t>
    </r>
  </si>
  <si>
    <r>
      <rPr>
        <sz val="8.5"/>
        <rFont val="Calibri"/>
        <family val="2"/>
      </rPr>
      <t xml:space="preserve">Tampão em ferro fundido de 600 x 600 mm, classe B 125 (ruptura &gt; 125
</t>
    </r>
    <r>
      <rPr>
        <sz val="8.5"/>
        <rFont val="Calibri"/>
        <family val="2"/>
      </rPr>
      <t>kN)</t>
    </r>
  </si>
  <si>
    <r>
      <rPr>
        <sz val="8.5"/>
        <rFont val="Calibri"/>
        <family val="2"/>
      </rPr>
      <t>401,99</t>
    </r>
  </si>
  <si>
    <r>
      <rPr>
        <sz val="8.5"/>
        <rFont val="Calibri"/>
        <family val="2"/>
      </rPr>
      <t>450,23</t>
    </r>
  </si>
  <si>
    <r>
      <rPr>
        <sz val="8.5"/>
        <rFont val="Calibri"/>
        <family val="2"/>
      </rPr>
      <t>49.06.480</t>
    </r>
  </si>
  <si>
    <r>
      <rPr>
        <sz val="8.5"/>
        <rFont val="Calibri"/>
        <family val="2"/>
      </rPr>
      <t xml:space="preserve">Tampão em ferro fundido com tampa articulada, de 400 x 600 mm,
</t>
    </r>
    <r>
      <rPr>
        <sz val="8.5"/>
        <rFont val="Calibri"/>
        <family val="2"/>
      </rPr>
      <t>classe 15 (ruptura &gt; 1500 kg)</t>
    </r>
  </si>
  <si>
    <r>
      <rPr>
        <sz val="8.5"/>
        <rFont val="Calibri"/>
        <family val="2"/>
      </rPr>
      <t>299,76</t>
    </r>
  </si>
  <si>
    <r>
      <rPr>
        <sz val="8.5"/>
        <rFont val="Calibri"/>
        <family val="2"/>
      </rPr>
      <t>348,00</t>
    </r>
  </si>
  <si>
    <r>
      <rPr>
        <sz val="8.5"/>
        <rFont val="Calibri"/>
        <family val="2"/>
      </rPr>
      <t>49.06.550</t>
    </r>
  </si>
  <si>
    <r>
      <rPr>
        <sz val="8.5"/>
        <rFont val="Calibri"/>
        <family val="2"/>
      </rPr>
      <t xml:space="preserve">Grelha com calha e cesto coletor para piso em aço inoxidável, largura de
</t>
    </r>
    <r>
      <rPr>
        <sz val="8.5"/>
        <rFont val="Calibri"/>
        <family val="2"/>
      </rPr>
      <t>15 cm</t>
    </r>
  </si>
  <si>
    <r>
      <rPr>
        <sz val="8.5"/>
        <rFont val="Calibri"/>
        <family val="2"/>
      </rPr>
      <t>902,85</t>
    </r>
  </si>
  <si>
    <r>
      <rPr>
        <sz val="8.5"/>
        <rFont val="Calibri"/>
        <family val="2"/>
      </rPr>
      <t>15,11</t>
    </r>
  </si>
  <si>
    <r>
      <rPr>
        <sz val="8.5"/>
        <rFont val="Calibri"/>
        <family val="2"/>
      </rPr>
      <t>917,96</t>
    </r>
  </si>
  <si>
    <r>
      <rPr>
        <sz val="8.5"/>
        <rFont val="Calibri"/>
        <family val="2"/>
      </rPr>
      <t>49.06.560</t>
    </r>
  </si>
  <si>
    <r>
      <rPr>
        <sz val="8.5"/>
        <rFont val="Calibri"/>
        <family val="2"/>
      </rPr>
      <t xml:space="preserve">Grelha com calha e cesto coletor para piso em aço inoxidável, largura de
</t>
    </r>
    <r>
      <rPr>
        <sz val="8.5"/>
        <rFont val="Calibri"/>
        <family val="2"/>
      </rPr>
      <t>20 cm</t>
    </r>
  </si>
  <si>
    <r>
      <rPr>
        <sz val="8.5"/>
        <rFont val="Calibri"/>
        <family val="2"/>
      </rPr>
      <t>1.205,44</t>
    </r>
  </si>
  <si>
    <r>
      <rPr>
        <sz val="8.5"/>
        <rFont val="Calibri"/>
        <family val="2"/>
      </rPr>
      <t>1.225,38</t>
    </r>
  </si>
  <si>
    <r>
      <rPr>
        <sz val="8.5"/>
        <rFont val="Calibri"/>
        <family val="2"/>
      </rPr>
      <t>Caixa de passagem e inspecao</t>
    </r>
  </si>
  <si>
    <r>
      <rPr>
        <sz val="8.5"/>
        <rFont val="Calibri"/>
        <family val="2"/>
      </rPr>
      <t>49.08.250</t>
    </r>
  </si>
  <si>
    <r>
      <rPr>
        <sz val="8.5"/>
        <rFont val="Calibri"/>
        <family val="2"/>
      </rPr>
      <t>Caixa de areia em PVC, diâmetro nominal de 100 mm</t>
    </r>
  </si>
  <si>
    <r>
      <rPr>
        <sz val="8.5"/>
        <rFont val="Calibri"/>
        <family val="2"/>
      </rPr>
      <t>418,24</t>
    </r>
  </si>
  <si>
    <r>
      <rPr>
        <sz val="8.5"/>
        <rFont val="Calibri"/>
        <family val="2"/>
      </rPr>
      <t>454,63</t>
    </r>
  </si>
  <si>
    <r>
      <rPr>
        <sz val="8.5"/>
        <rFont val="Calibri"/>
        <family val="2"/>
      </rPr>
      <t>Canaletas e afins</t>
    </r>
  </si>
  <si>
    <r>
      <rPr>
        <sz val="8.5"/>
        <rFont val="Calibri"/>
        <family val="2"/>
      </rPr>
      <t>49.11.130</t>
    </r>
  </si>
  <si>
    <r>
      <rPr>
        <sz val="8.5"/>
        <rFont val="Calibri"/>
        <family val="2"/>
      </rPr>
      <t>Canaleta com grelha em alumínio, largura de 80 mm</t>
    </r>
  </si>
  <si>
    <r>
      <rPr>
        <sz val="8.5"/>
        <rFont val="Calibri"/>
        <family val="2"/>
      </rPr>
      <t>339,62</t>
    </r>
  </si>
  <si>
    <r>
      <rPr>
        <sz val="8.5"/>
        <rFont val="Calibri"/>
        <family val="2"/>
      </rPr>
      <t>347,66</t>
    </r>
  </si>
  <si>
    <r>
      <rPr>
        <sz val="8.5"/>
        <rFont val="Calibri"/>
        <family val="2"/>
      </rPr>
      <t>49.11.140</t>
    </r>
  </si>
  <si>
    <r>
      <rPr>
        <sz val="8.5"/>
        <rFont val="Calibri"/>
        <family val="2"/>
      </rPr>
      <t xml:space="preserve">Canaleta com grelha em alumínio, saída central / vertical, largura de 46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</si>
  <si>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226,26</t>
    </r>
  </si>
  <si>
    <r>
      <rPr>
        <sz val="8.5"/>
        <rFont val="Calibri"/>
        <family val="2"/>
      </rPr>
      <t>234,30</t>
    </r>
  </si>
  <si>
    <r>
      <rPr>
        <sz val="8.5"/>
        <rFont val="Calibri"/>
        <family val="2"/>
      </rPr>
      <t>49.11.141</t>
    </r>
  </si>
  <si>
    <r>
      <rPr>
        <sz val="8.5"/>
        <rFont val="Calibri"/>
        <family val="2"/>
      </rPr>
      <t xml:space="preserve">Canaleta com grelha abre-fecha, em alumínio, saída central ou vertical,
</t>
    </r>
    <r>
      <rPr>
        <sz val="8.5"/>
        <rFont val="Calibri"/>
        <family val="2"/>
      </rPr>
      <t>largura 46mm</t>
    </r>
  </si>
  <si>
    <r>
      <rPr>
        <sz val="8.5"/>
        <rFont val="Calibri"/>
        <family val="2"/>
      </rPr>
      <t>247,95</t>
    </r>
  </si>
  <si>
    <r>
      <rPr>
        <sz val="8.5"/>
        <rFont val="Calibri"/>
        <family val="2"/>
      </rPr>
      <t>255,99</t>
    </r>
  </si>
  <si>
    <r>
      <rPr>
        <sz val="8.5"/>
        <rFont val="Calibri"/>
        <family val="2"/>
      </rPr>
      <t>Poco de visita, boca de lobo, caixa de passagem e afins</t>
    </r>
  </si>
  <si>
    <r>
      <rPr>
        <sz val="8.5"/>
        <rFont val="Calibri"/>
        <family val="2"/>
      </rPr>
      <t>49.12.010</t>
    </r>
  </si>
  <si>
    <r>
      <rPr>
        <sz val="8.5"/>
        <rFont val="Calibri"/>
        <family val="2"/>
      </rPr>
      <t>Boca de lobo simples tipo PMSP com tampa de concreto</t>
    </r>
  </si>
  <si>
    <r>
      <rPr>
        <sz val="8.5"/>
        <rFont val="Calibri"/>
        <family val="2"/>
      </rPr>
      <t>1.684,46</t>
    </r>
  </si>
  <si>
    <r>
      <rPr>
        <sz val="8.5"/>
        <rFont val="Calibri"/>
        <family val="2"/>
      </rPr>
      <t>1.152,33</t>
    </r>
  </si>
  <si>
    <r>
      <rPr>
        <sz val="8.5"/>
        <rFont val="Calibri"/>
        <family val="2"/>
      </rPr>
      <t>2.836,79</t>
    </r>
  </si>
  <si>
    <r>
      <rPr>
        <sz val="8.5"/>
        <rFont val="Calibri"/>
        <family val="2"/>
      </rPr>
      <t>49.12.030</t>
    </r>
  </si>
  <si>
    <r>
      <rPr>
        <sz val="8.5"/>
        <rFont val="Calibri"/>
        <family val="2"/>
      </rPr>
      <t>Boca de lobo dupla tipo PMSP com tampa de concreto</t>
    </r>
  </si>
  <si>
    <r>
      <rPr>
        <sz val="8.5"/>
        <rFont val="Calibri"/>
        <family val="2"/>
      </rPr>
      <t>2.847,36</t>
    </r>
  </si>
  <si>
    <r>
      <rPr>
        <sz val="8.5"/>
        <rFont val="Calibri"/>
        <family val="2"/>
      </rPr>
      <t>1.790,94</t>
    </r>
  </si>
  <si>
    <r>
      <rPr>
        <sz val="8.5"/>
        <rFont val="Calibri"/>
        <family val="2"/>
      </rPr>
      <t>4.638,30</t>
    </r>
  </si>
  <si>
    <r>
      <rPr>
        <sz val="8.5"/>
        <rFont val="Calibri"/>
        <family val="2"/>
      </rPr>
      <t>49.12.050</t>
    </r>
  </si>
  <si>
    <r>
      <rPr>
        <sz val="8.5"/>
        <rFont val="Calibri"/>
        <family val="2"/>
      </rPr>
      <t>Boca de lobo tripla tipo PMSP com tampa de concreto</t>
    </r>
  </si>
  <si>
    <r>
      <rPr>
        <sz val="8.5"/>
        <rFont val="Calibri"/>
        <family val="2"/>
      </rPr>
      <t>3.970,00</t>
    </r>
  </si>
  <si>
    <r>
      <rPr>
        <sz val="8.5"/>
        <rFont val="Calibri"/>
        <family val="2"/>
      </rPr>
      <t>2.424,92</t>
    </r>
  </si>
  <si>
    <r>
      <rPr>
        <sz val="8.5"/>
        <rFont val="Calibri"/>
        <family val="2"/>
      </rPr>
      <t>6.394,92</t>
    </r>
  </si>
  <si>
    <r>
      <rPr>
        <sz val="8.5"/>
        <rFont val="Calibri"/>
        <family val="2"/>
      </rPr>
      <t>49.12.058</t>
    </r>
  </si>
  <si>
    <r>
      <rPr>
        <sz val="8.5"/>
        <rFont val="Calibri"/>
        <family val="2"/>
      </rPr>
      <t>Boca de leão simples tipo PMSP com grelha</t>
    </r>
  </si>
  <si>
    <r>
      <rPr>
        <sz val="8.5"/>
        <rFont val="Calibri"/>
        <family val="2"/>
      </rPr>
      <t>1.035,85</t>
    </r>
  </si>
  <si>
    <r>
      <rPr>
        <sz val="8.5"/>
        <rFont val="Calibri"/>
        <family val="2"/>
      </rPr>
      <t>1.136,77</t>
    </r>
  </si>
  <si>
    <r>
      <rPr>
        <sz val="8.5"/>
        <rFont val="Calibri"/>
        <family val="2"/>
      </rPr>
      <t>2.172,62</t>
    </r>
  </si>
  <si>
    <r>
      <rPr>
        <sz val="8.5"/>
        <rFont val="Calibri"/>
        <family val="2"/>
      </rPr>
      <t>49.12.110</t>
    </r>
  </si>
  <si>
    <r>
      <rPr>
        <sz val="8.5"/>
        <rFont val="Calibri"/>
        <family val="2"/>
      </rPr>
      <t>Poço de visita de 1,60 x 1,60 x 1,60 m - tipo PMSP</t>
    </r>
  </si>
  <si>
    <r>
      <rPr>
        <sz val="8.5"/>
        <rFont val="Calibri"/>
        <family val="2"/>
      </rPr>
      <t>3.293,31</t>
    </r>
  </si>
  <si>
    <r>
      <rPr>
        <sz val="8.5"/>
        <rFont val="Calibri"/>
        <family val="2"/>
      </rPr>
      <t>1.948,94</t>
    </r>
  </si>
  <si>
    <r>
      <rPr>
        <sz val="8.5"/>
        <rFont val="Calibri"/>
        <family val="2"/>
      </rPr>
      <t>5.242,25</t>
    </r>
  </si>
  <si>
    <r>
      <rPr>
        <sz val="8.5"/>
        <rFont val="Calibri"/>
        <family val="2"/>
      </rPr>
      <t>49.12.120</t>
    </r>
  </si>
  <si>
    <r>
      <rPr>
        <sz val="8.5"/>
        <rFont val="Calibri"/>
        <family val="2"/>
      </rPr>
      <t xml:space="preserve">Chaminé para poço de visita tipo PMSP em alvenaria, diâmetro interno
</t>
    </r>
    <r>
      <rPr>
        <sz val="8.5"/>
        <rFont val="Calibri"/>
        <family val="2"/>
      </rPr>
      <t>70 cm - pescoço</t>
    </r>
  </si>
  <si>
    <r>
      <rPr>
        <sz val="8.5"/>
        <rFont val="Calibri"/>
        <family val="2"/>
      </rPr>
      <t>228,57</t>
    </r>
  </si>
  <si>
    <r>
      <rPr>
        <sz val="8.5"/>
        <rFont val="Calibri"/>
        <family val="2"/>
      </rPr>
      <t>283,13</t>
    </r>
  </si>
  <si>
    <r>
      <rPr>
        <sz val="8.5"/>
        <rFont val="Calibri"/>
        <family val="2"/>
      </rPr>
      <t>511,70</t>
    </r>
  </si>
  <si>
    <r>
      <rPr>
        <sz val="8.5"/>
        <rFont val="Calibri"/>
        <family val="2"/>
      </rPr>
      <t>49.12.140</t>
    </r>
  </si>
  <si>
    <r>
      <rPr>
        <sz val="8.5"/>
        <rFont val="Calibri"/>
        <family val="2"/>
      </rPr>
      <t>Poço de visita em alvenaria tipo PMSP - balão</t>
    </r>
  </si>
  <si>
    <r>
      <rPr>
        <sz val="8.5"/>
        <rFont val="Calibri"/>
        <family val="2"/>
      </rPr>
      <t>1.706,52</t>
    </r>
  </si>
  <si>
    <r>
      <rPr>
        <sz val="8.5"/>
        <rFont val="Calibri"/>
        <family val="2"/>
      </rPr>
      <t>1.805,47</t>
    </r>
  </si>
  <si>
    <r>
      <rPr>
        <sz val="8.5"/>
        <rFont val="Calibri"/>
        <family val="2"/>
      </rPr>
      <t>3.511,99</t>
    </r>
  </si>
  <si>
    <r>
      <rPr>
        <sz val="8.5"/>
        <rFont val="Calibri"/>
        <family val="2"/>
      </rPr>
      <t>Filtro anaerobio</t>
    </r>
  </si>
  <si>
    <r>
      <rPr>
        <sz val="8.5"/>
        <rFont val="Calibri"/>
        <family val="2"/>
      </rPr>
      <t>49.13.010</t>
    </r>
  </si>
  <si>
    <r>
      <rPr>
        <sz val="8.5"/>
        <rFont val="Calibri"/>
        <family val="2"/>
      </rPr>
      <t xml:space="preserve">Filtro biológico anaeróbio com anéis pré-moldados de concreto diâmetro
</t>
    </r>
    <r>
      <rPr>
        <sz val="8.5"/>
        <rFont val="Calibri"/>
        <family val="2"/>
      </rPr>
      <t>de 1,40 m - h= 2,00 m</t>
    </r>
  </si>
  <si>
    <r>
      <rPr>
        <sz val="8.5"/>
        <rFont val="Calibri"/>
        <family val="2"/>
      </rPr>
      <t>3.327,53</t>
    </r>
  </si>
  <si>
    <r>
      <rPr>
        <sz val="8.5"/>
        <rFont val="Calibri"/>
        <family val="2"/>
      </rPr>
      <t>2.281,05</t>
    </r>
  </si>
  <si>
    <r>
      <rPr>
        <sz val="8.5"/>
        <rFont val="Calibri"/>
        <family val="2"/>
      </rPr>
      <t>5.608,58</t>
    </r>
  </si>
  <si>
    <r>
      <rPr>
        <sz val="8.5"/>
        <rFont val="Calibri"/>
        <family val="2"/>
      </rPr>
      <t>49.13.020</t>
    </r>
  </si>
  <si>
    <r>
      <rPr>
        <sz val="8.5"/>
        <rFont val="Calibri"/>
        <family val="2"/>
      </rPr>
      <t xml:space="preserve">Filtro biológico anaeróbio com anéis pré-moldados de concreto diâmetro
</t>
    </r>
    <r>
      <rPr>
        <sz val="8.5"/>
        <rFont val="Calibri"/>
        <family val="2"/>
      </rPr>
      <t>de 2,00 m - h= 2,00 m</t>
    </r>
  </si>
  <si>
    <r>
      <rPr>
        <sz val="8.5"/>
        <rFont val="Calibri"/>
        <family val="2"/>
      </rPr>
      <t>5.485,60</t>
    </r>
  </si>
  <si>
    <r>
      <rPr>
        <sz val="8.5"/>
        <rFont val="Calibri"/>
        <family val="2"/>
      </rPr>
      <t>3.705,50</t>
    </r>
  </si>
  <si>
    <r>
      <rPr>
        <sz val="8.5"/>
        <rFont val="Calibri"/>
        <family val="2"/>
      </rPr>
      <t>9.191,10</t>
    </r>
  </si>
  <si>
    <r>
      <rPr>
        <sz val="8.5"/>
        <rFont val="Calibri"/>
        <family val="2"/>
      </rPr>
      <t>49.13.030</t>
    </r>
  </si>
  <si>
    <r>
      <rPr>
        <sz val="8.5"/>
        <rFont val="Calibri"/>
        <family val="2"/>
      </rPr>
      <t xml:space="preserve">Filtro biológico anaeróbio com anéis pré-moldados de concreto diâmetro
</t>
    </r>
    <r>
      <rPr>
        <sz val="8.5"/>
        <rFont val="Calibri"/>
        <family val="2"/>
      </rPr>
      <t>de 2,40 m - h= 2,00 m</t>
    </r>
  </si>
  <si>
    <r>
      <rPr>
        <sz val="8.5"/>
        <rFont val="Calibri"/>
        <family val="2"/>
      </rPr>
      <t>7.667,56</t>
    </r>
  </si>
  <si>
    <r>
      <rPr>
        <sz val="8.5"/>
        <rFont val="Calibri"/>
        <family val="2"/>
      </rPr>
      <t>4.892,42</t>
    </r>
  </si>
  <si>
    <r>
      <rPr>
        <sz val="8.5"/>
        <rFont val="Calibri"/>
        <family val="2"/>
      </rPr>
      <t>12.559,98</t>
    </r>
  </si>
  <si>
    <r>
      <rPr>
        <sz val="8.5"/>
        <rFont val="Calibri"/>
        <family val="2"/>
      </rPr>
      <t>49.13.040</t>
    </r>
  </si>
  <si>
    <r>
      <rPr>
        <sz val="8.5"/>
        <rFont val="Calibri"/>
        <family val="2"/>
      </rPr>
      <t xml:space="preserve">Filtro biológico anaeróbio com anéis pré-moldados de concreto diâmetro
</t>
    </r>
    <r>
      <rPr>
        <sz val="8.5"/>
        <rFont val="Calibri"/>
        <family val="2"/>
      </rPr>
      <t>de 2,84 m - h= 2,50 m</t>
    </r>
  </si>
  <si>
    <r>
      <rPr>
        <sz val="8.5"/>
        <rFont val="Calibri"/>
        <family val="2"/>
      </rPr>
      <t>11.662,65</t>
    </r>
  </si>
  <si>
    <r>
      <rPr>
        <sz val="8.5"/>
        <rFont val="Calibri"/>
        <family val="2"/>
      </rPr>
      <t>6.099,63</t>
    </r>
  </si>
  <si>
    <r>
      <rPr>
        <sz val="8.5"/>
        <rFont val="Calibri"/>
        <family val="2"/>
      </rPr>
      <t>17.762,28</t>
    </r>
  </si>
  <si>
    <r>
      <rPr>
        <sz val="8.5"/>
        <rFont val="Calibri"/>
        <family val="2"/>
      </rPr>
      <t>Fossa septica</t>
    </r>
  </si>
  <si>
    <r>
      <rPr>
        <sz val="8.5"/>
        <rFont val="Calibri"/>
        <family val="2"/>
      </rPr>
      <t>49.14.010</t>
    </r>
  </si>
  <si>
    <r>
      <rPr>
        <sz val="8.5"/>
        <rFont val="Calibri"/>
        <family val="2"/>
      </rPr>
      <t xml:space="preserve">Fossa séptica câmara única com anéis pré-moldados em concreto,
</t>
    </r>
    <r>
      <rPr>
        <sz val="8.5"/>
        <rFont val="Calibri"/>
        <family val="2"/>
      </rPr>
      <t>diâmetro externo de 1,50 m, altura útil de 1,50 m</t>
    </r>
  </si>
  <si>
    <r>
      <rPr>
        <sz val="8.5"/>
        <rFont val="Calibri"/>
        <family val="2"/>
      </rPr>
      <t>2.265,37</t>
    </r>
  </si>
  <si>
    <r>
      <rPr>
        <sz val="8.5"/>
        <rFont val="Calibri"/>
        <family val="2"/>
      </rPr>
      <t>1.143,45</t>
    </r>
  </si>
  <si>
    <r>
      <rPr>
        <sz val="8.5"/>
        <rFont val="Calibri"/>
        <family val="2"/>
      </rPr>
      <t>3.408,82</t>
    </r>
  </si>
  <si>
    <r>
      <rPr>
        <sz val="8.5"/>
        <rFont val="Calibri"/>
        <family val="2"/>
      </rPr>
      <t>49.14.020</t>
    </r>
  </si>
  <si>
    <r>
      <rPr>
        <sz val="8.5"/>
        <rFont val="Calibri"/>
        <family val="2"/>
      </rPr>
      <t xml:space="preserve">Fossa séptica câmara única com anéis pré-moldados em concreto,
</t>
    </r>
    <r>
      <rPr>
        <sz val="8.5"/>
        <rFont val="Calibri"/>
        <family val="2"/>
      </rPr>
      <t>diâmetro externo de 2,50 m, altura útil de 2,50 m</t>
    </r>
  </si>
  <si>
    <r>
      <rPr>
        <sz val="8.5"/>
        <rFont val="Calibri"/>
        <family val="2"/>
      </rPr>
      <t>5.818,26</t>
    </r>
  </si>
  <si>
    <r>
      <rPr>
        <sz val="8.5"/>
        <rFont val="Calibri"/>
        <family val="2"/>
      </rPr>
      <t>1.707,09</t>
    </r>
  </si>
  <si>
    <r>
      <rPr>
        <sz val="8.5"/>
        <rFont val="Calibri"/>
        <family val="2"/>
      </rPr>
      <t>7.525,35</t>
    </r>
  </si>
  <si>
    <r>
      <rPr>
        <sz val="8.5"/>
        <rFont val="Calibri"/>
        <family val="2"/>
      </rPr>
      <t>49.14.030</t>
    </r>
  </si>
  <si>
    <r>
      <rPr>
        <sz val="8.5"/>
        <rFont val="Calibri"/>
        <family val="2"/>
      </rPr>
      <t xml:space="preserve">Fossa séptica câmara única com anéis pré-moldados em concreto,
</t>
    </r>
    <r>
      <rPr>
        <sz val="8.5"/>
        <rFont val="Calibri"/>
        <family val="2"/>
      </rPr>
      <t>diâmetro externo de 2,50 m, altura útil de 4,00 m</t>
    </r>
  </si>
  <si>
    <r>
      <rPr>
        <sz val="8.5"/>
        <rFont val="Calibri"/>
        <family val="2"/>
      </rPr>
      <t>8.651,47</t>
    </r>
  </si>
  <si>
    <r>
      <rPr>
        <sz val="8.5"/>
        <rFont val="Calibri"/>
        <family val="2"/>
      </rPr>
      <t>3.414,17</t>
    </r>
  </si>
  <si>
    <r>
      <rPr>
        <sz val="8.5"/>
        <rFont val="Calibri"/>
        <family val="2"/>
      </rPr>
      <t>12.065,64</t>
    </r>
  </si>
  <si>
    <r>
      <rPr>
        <sz val="8.5"/>
        <rFont val="Calibri"/>
        <family val="2"/>
      </rPr>
      <t>49.14.061</t>
    </r>
  </si>
  <si>
    <r>
      <rPr>
        <sz val="8.5"/>
        <rFont val="Calibri"/>
        <family val="2"/>
      </rPr>
      <t>SM01 Sumidouro - poço absorvente</t>
    </r>
  </si>
  <si>
    <r>
      <rPr>
        <sz val="8.5"/>
        <rFont val="Calibri"/>
        <family val="2"/>
      </rPr>
      <t>1.074,89</t>
    </r>
  </si>
  <si>
    <r>
      <rPr>
        <sz val="8.5"/>
        <rFont val="Calibri"/>
        <family val="2"/>
      </rPr>
      <t>573,78</t>
    </r>
  </si>
  <si>
    <r>
      <rPr>
        <sz val="8.5"/>
        <rFont val="Calibri"/>
        <family val="2"/>
      </rPr>
      <t>1.648,67</t>
    </r>
  </si>
  <si>
    <r>
      <rPr>
        <sz val="8.5"/>
        <rFont val="Calibri"/>
        <family val="2"/>
      </rPr>
      <t>49.14.071</t>
    </r>
  </si>
  <si>
    <r>
      <rPr>
        <sz val="8.5"/>
        <rFont val="Calibri"/>
        <family val="2"/>
      </rPr>
      <t xml:space="preserve">Tampão pré-moldado de concreto armado para sumidouro com
</t>
    </r>
    <r>
      <rPr>
        <sz val="8.5"/>
        <rFont val="Calibri"/>
        <family val="2"/>
      </rPr>
      <t>diâmetro externo de 2,00 m</t>
    </r>
  </si>
  <si>
    <r>
      <rPr>
        <sz val="8.5"/>
        <rFont val="Calibri"/>
        <family val="2"/>
      </rPr>
      <t>579,62</t>
    </r>
  </si>
  <si>
    <r>
      <rPr>
        <sz val="8.5"/>
        <rFont val="Calibri"/>
        <family val="2"/>
      </rPr>
      <t>611,78</t>
    </r>
  </si>
  <si>
    <r>
      <rPr>
        <sz val="8.5"/>
        <rFont val="Calibri"/>
        <family val="2"/>
      </rPr>
      <t>Anel e aduela pre-moldados</t>
    </r>
  </si>
  <si>
    <r>
      <rPr>
        <sz val="8.5"/>
        <rFont val="Calibri"/>
        <family val="2"/>
      </rPr>
      <t>49.15.010</t>
    </r>
  </si>
  <si>
    <r>
      <rPr>
        <sz val="8.5"/>
        <rFont val="Calibri"/>
        <family val="2"/>
      </rPr>
      <t>Anel pré-moldado de concreto com diâmetro de 0,60 m</t>
    </r>
  </si>
  <si>
    <r>
      <rPr>
        <sz val="8.5"/>
        <rFont val="Calibri"/>
        <family val="2"/>
      </rPr>
      <t>281,47</t>
    </r>
  </si>
  <si>
    <r>
      <rPr>
        <sz val="8.5"/>
        <rFont val="Calibri"/>
        <family val="2"/>
      </rPr>
      <t>304,81</t>
    </r>
  </si>
  <si>
    <r>
      <rPr>
        <sz val="8.5"/>
        <rFont val="Calibri"/>
        <family val="2"/>
      </rPr>
      <t>49.15.030</t>
    </r>
  </si>
  <si>
    <r>
      <rPr>
        <sz val="8.5"/>
        <rFont val="Calibri"/>
        <family val="2"/>
      </rPr>
      <t>Anel pré-moldado de concreto com diâmetro de 0,80 m</t>
    </r>
  </si>
  <si>
    <r>
      <rPr>
        <sz val="8.5"/>
        <rFont val="Calibri"/>
        <family val="2"/>
      </rPr>
      <t>383,93</t>
    </r>
  </si>
  <si>
    <r>
      <rPr>
        <sz val="8.5"/>
        <rFont val="Calibri"/>
        <family val="2"/>
      </rPr>
      <t>418,94</t>
    </r>
  </si>
  <si>
    <r>
      <rPr>
        <sz val="8.5"/>
        <rFont val="Calibri"/>
        <family val="2"/>
      </rPr>
      <t>49.15.040</t>
    </r>
  </si>
  <si>
    <r>
      <rPr>
        <sz val="8.5"/>
        <rFont val="Calibri"/>
        <family val="2"/>
      </rPr>
      <t>Anel pré-moldado de concreto com diâmetro de 1,20 m</t>
    </r>
  </si>
  <si>
    <r>
      <rPr>
        <sz val="8.5"/>
        <rFont val="Calibri"/>
        <family val="2"/>
      </rPr>
      <t>470,58</t>
    </r>
  </si>
  <si>
    <r>
      <rPr>
        <sz val="8.5"/>
        <rFont val="Calibri"/>
        <family val="2"/>
      </rPr>
      <t>517,26</t>
    </r>
  </si>
  <si>
    <r>
      <rPr>
        <sz val="8.5"/>
        <rFont val="Calibri"/>
        <family val="2"/>
      </rPr>
      <t>49.15.050</t>
    </r>
  </si>
  <si>
    <r>
      <rPr>
        <sz val="8.5"/>
        <rFont val="Calibri"/>
        <family val="2"/>
      </rPr>
      <t>Anel pré-moldado de concreto com diâmetro de 1,50 m</t>
    </r>
  </si>
  <si>
    <r>
      <rPr>
        <sz val="8.5"/>
        <rFont val="Calibri"/>
        <family val="2"/>
      </rPr>
      <t>706,01</t>
    </r>
  </si>
  <si>
    <r>
      <rPr>
        <sz val="8.5"/>
        <rFont val="Calibri"/>
        <family val="2"/>
      </rPr>
      <t>58,35</t>
    </r>
  </si>
  <si>
    <r>
      <rPr>
        <sz val="8.5"/>
        <rFont val="Calibri"/>
        <family val="2"/>
      </rPr>
      <t>764,36</t>
    </r>
  </si>
  <si>
    <r>
      <rPr>
        <sz val="8.5"/>
        <rFont val="Calibri"/>
        <family val="2"/>
      </rPr>
      <t>49.15.060</t>
    </r>
  </si>
  <si>
    <r>
      <rPr>
        <sz val="8.5"/>
        <rFont val="Calibri"/>
        <family val="2"/>
      </rPr>
      <t>Anel pré-moldado de concreto com diâmetro de 1,80 m</t>
    </r>
  </si>
  <si>
    <r>
      <rPr>
        <sz val="8.5"/>
        <rFont val="Calibri"/>
        <family val="2"/>
      </rPr>
      <t>1.044,78</t>
    </r>
  </si>
  <si>
    <r>
      <rPr>
        <sz val="8.5"/>
        <rFont val="Calibri"/>
        <family val="2"/>
      </rPr>
      <t>1.114,80</t>
    </r>
  </si>
  <si>
    <r>
      <rPr>
        <sz val="8.5"/>
        <rFont val="Calibri"/>
        <family val="2"/>
      </rPr>
      <t>49.15.100</t>
    </r>
  </si>
  <si>
    <r>
      <rPr>
        <sz val="8.5"/>
        <rFont val="Calibri"/>
        <family val="2"/>
      </rPr>
      <t>Anel pré-moldado de concreto com diâmetro de 3,00 m</t>
    </r>
  </si>
  <si>
    <r>
      <rPr>
        <sz val="8.5"/>
        <rFont val="Calibri"/>
        <family val="2"/>
      </rPr>
      <t>2.102,27</t>
    </r>
  </si>
  <si>
    <r>
      <rPr>
        <sz val="8.5"/>
        <rFont val="Calibri"/>
        <family val="2"/>
      </rPr>
      <t>116,70</t>
    </r>
  </si>
  <si>
    <r>
      <rPr>
        <sz val="8.5"/>
        <rFont val="Calibri"/>
        <family val="2"/>
      </rPr>
      <t>2.218,97</t>
    </r>
  </si>
  <si>
    <r>
      <rPr>
        <sz val="8.5"/>
        <rFont val="Calibri"/>
        <family val="2"/>
      </rPr>
      <t>Acessorios hidraulicos para agua de reuso</t>
    </r>
  </si>
  <si>
    <r>
      <rPr>
        <sz val="8.5"/>
        <rFont val="Calibri"/>
        <family val="2"/>
      </rPr>
      <t>49.16.050</t>
    </r>
  </si>
  <si>
    <r>
      <rPr>
        <sz val="8.5"/>
        <rFont val="Calibri"/>
        <family val="2"/>
      </rPr>
      <t>Realimentador automático, DN= 1'</t>
    </r>
  </si>
  <si>
    <r>
      <rPr>
        <sz val="8.5"/>
        <rFont val="Calibri"/>
        <family val="2"/>
      </rPr>
      <t>693,53</t>
    </r>
  </si>
  <si>
    <r>
      <rPr>
        <sz val="8.5"/>
        <rFont val="Calibri"/>
        <family val="2"/>
      </rPr>
      <t>708,09</t>
    </r>
  </si>
  <si>
    <r>
      <rPr>
        <sz val="8.5"/>
        <rFont val="Calibri"/>
        <family val="2"/>
      </rPr>
      <t>49.16.051</t>
    </r>
  </si>
  <si>
    <r>
      <rPr>
        <sz val="8.5"/>
        <rFont val="Calibri"/>
        <family val="2"/>
      </rPr>
      <t>Sifão ladrão em polietileno para extravasão, diâmetro de 100mm</t>
    </r>
  </si>
  <si>
    <r>
      <rPr>
        <sz val="8.5"/>
        <rFont val="Calibri"/>
        <family val="2"/>
      </rPr>
      <t>293,94</t>
    </r>
  </si>
  <si>
    <r>
      <rPr>
        <sz val="8.5"/>
        <rFont val="Calibri"/>
        <family val="2"/>
      </rPr>
      <t>312,14</t>
    </r>
  </si>
  <si>
    <r>
      <rPr>
        <sz val="8.5"/>
        <rFont val="Calibri"/>
        <family val="2"/>
      </rPr>
      <t>DETECCAO, COMBATE E PREVENCAO A INCÊNDIO</t>
    </r>
  </si>
  <si>
    <r>
      <rPr>
        <sz val="8.5"/>
        <rFont val="Calibri"/>
        <family val="2"/>
      </rPr>
      <t>Hidrantes e acessorios</t>
    </r>
  </si>
  <si>
    <r>
      <rPr>
        <sz val="8.5"/>
        <rFont val="Calibri"/>
        <family val="2"/>
      </rPr>
      <t>50.01.030</t>
    </r>
  </si>
  <si>
    <r>
      <rPr>
        <sz val="8.5"/>
        <rFont val="Calibri"/>
        <family val="2"/>
      </rPr>
      <t xml:space="preserve">Abrigo duplo para hidrante/mangueira, com visor e suporte (embutir e
</t>
    </r>
    <r>
      <rPr>
        <sz val="8.5"/>
        <rFont val="Calibri"/>
        <family val="2"/>
      </rPr>
      <t>externo)</t>
    </r>
  </si>
  <si>
    <r>
      <rPr>
        <sz val="8.5"/>
        <rFont val="Calibri"/>
        <family val="2"/>
      </rPr>
      <t>942,61</t>
    </r>
  </si>
  <si>
    <r>
      <rPr>
        <sz val="8.5"/>
        <rFont val="Calibri"/>
        <family val="2"/>
      </rPr>
      <t>1.069,98</t>
    </r>
  </si>
  <si>
    <r>
      <rPr>
        <sz val="8.5"/>
        <rFont val="Calibri"/>
        <family val="2"/>
      </rPr>
      <t>50.01.060</t>
    </r>
  </si>
  <si>
    <r>
      <rPr>
        <sz val="8.5"/>
        <rFont val="Calibri"/>
        <family val="2"/>
      </rPr>
      <t>Abrigo para hidrante/mangueira (embutir e externo)</t>
    </r>
  </si>
  <si>
    <r>
      <rPr>
        <sz val="8.5"/>
        <rFont val="Calibri"/>
        <family val="2"/>
      </rPr>
      <t>311,21</t>
    </r>
  </si>
  <si>
    <r>
      <rPr>
        <sz val="8.5"/>
        <rFont val="Calibri"/>
        <family val="2"/>
      </rPr>
      <t>438,58</t>
    </r>
  </si>
  <si>
    <r>
      <rPr>
        <sz val="8.5"/>
        <rFont val="Calibri"/>
        <family val="2"/>
      </rPr>
      <t>50.01.080</t>
    </r>
  </si>
  <si>
    <r>
      <rPr>
        <sz val="8.5"/>
        <rFont val="Calibri"/>
        <family val="2"/>
      </rPr>
      <t>Mangueira com união de engate rápido, DN= 1 1/2´ (38 mm)</t>
    </r>
  </si>
  <si>
    <r>
      <rPr>
        <sz val="8.5"/>
        <rFont val="Calibri"/>
        <family val="2"/>
      </rPr>
      <t>18,91</t>
    </r>
  </si>
  <si>
    <r>
      <rPr>
        <sz val="8.5"/>
        <rFont val="Calibri"/>
        <family val="2"/>
      </rPr>
      <t>22,55</t>
    </r>
  </si>
  <si>
    <r>
      <rPr>
        <sz val="8.5"/>
        <rFont val="Calibri"/>
        <family val="2"/>
      </rPr>
      <t>50.01.090</t>
    </r>
  </si>
  <si>
    <r>
      <rPr>
        <sz val="8.5"/>
        <rFont val="Calibri"/>
        <family val="2"/>
      </rPr>
      <t>Botoeira para acionamento de bomba de incêndio tipo quebra-vidro</t>
    </r>
  </si>
  <si>
    <r>
      <rPr>
        <sz val="8.5"/>
        <rFont val="Calibri"/>
        <family val="2"/>
      </rPr>
      <t>83,51</t>
    </r>
  </si>
  <si>
    <r>
      <rPr>
        <sz val="8.5"/>
        <rFont val="Calibri"/>
        <family val="2"/>
      </rPr>
      <t>94,43</t>
    </r>
  </si>
  <si>
    <r>
      <rPr>
        <sz val="8.5"/>
        <rFont val="Calibri"/>
        <family val="2"/>
      </rPr>
      <t>50.01.100</t>
    </r>
  </si>
  <si>
    <r>
      <rPr>
        <sz val="8.5"/>
        <rFont val="Calibri"/>
        <family val="2"/>
      </rPr>
      <t>Mangueira com união de engate rápido, DN= 2 1/2´ (63 mm)</t>
    </r>
  </si>
  <si>
    <r>
      <rPr>
        <sz val="8.5"/>
        <rFont val="Calibri"/>
        <family val="2"/>
      </rPr>
      <t>32,28</t>
    </r>
  </si>
  <si>
    <r>
      <rPr>
        <sz val="8.5"/>
        <rFont val="Calibri"/>
        <family val="2"/>
      </rPr>
      <t>50.01.110</t>
    </r>
  </si>
  <si>
    <r>
      <rPr>
        <sz val="8.5"/>
        <rFont val="Calibri"/>
        <family val="2"/>
      </rPr>
      <t>Esguicho em latão com engate rápido, DN= 2 1/2´, jato regulável</t>
    </r>
  </si>
  <si>
    <r>
      <rPr>
        <sz val="8.5"/>
        <rFont val="Calibri"/>
        <family val="2"/>
      </rPr>
      <t>177,72</t>
    </r>
  </si>
  <si>
    <r>
      <rPr>
        <sz val="8.5"/>
        <rFont val="Calibri"/>
        <family val="2"/>
      </rPr>
      <t>181,36</t>
    </r>
  </si>
  <si>
    <r>
      <rPr>
        <sz val="8.5"/>
        <rFont val="Calibri"/>
        <family val="2"/>
      </rPr>
      <t>50.01.130</t>
    </r>
  </si>
  <si>
    <r>
      <rPr>
        <sz val="8.5"/>
        <rFont val="Calibri"/>
        <family val="2"/>
      </rPr>
      <t xml:space="preserve">Abrigo simples com suporte, em aço inoxidável escovado, para mangueira de 1 1/2´, porta em vidro temperado jateado - inclusive
</t>
    </r>
    <r>
      <rPr>
        <sz val="8.5"/>
        <rFont val="Calibri"/>
        <family val="2"/>
      </rPr>
      <t>mangueira de 30 m (2 x 15 m)</t>
    </r>
  </si>
  <si>
    <r>
      <rPr>
        <sz val="8.5"/>
        <rFont val="Calibri"/>
        <family val="2"/>
      </rPr>
      <t>3.695,32</t>
    </r>
  </si>
  <si>
    <r>
      <rPr>
        <sz val="8.5"/>
        <rFont val="Calibri"/>
        <family val="2"/>
      </rPr>
      <t>199,92</t>
    </r>
  </si>
  <si>
    <r>
      <rPr>
        <sz val="8.5"/>
        <rFont val="Calibri"/>
        <family val="2"/>
      </rPr>
      <t>3.895,24</t>
    </r>
  </si>
  <si>
    <r>
      <rPr>
        <sz val="8.5"/>
        <rFont val="Calibri"/>
        <family val="2"/>
      </rPr>
      <t>50.01.160</t>
    </r>
  </si>
  <si>
    <r>
      <rPr>
        <sz val="8.5"/>
        <rFont val="Calibri"/>
        <family val="2"/>
      </rPr>
      <t>Adaptador de engate rápido em latão de 2 1/2´ x 1 1/2´</t>
    </r>
  </si>
  <si>
    <r>
      <rPr>
        <sz val="8.5"/>
        <rFont val="Calibri"/>
        <family val="2"/>
      </rPr>
      <t>59,51</t>
    </r>
  </si>
  <si>
    <r>
      <rPr>
        <sz val="8.5"/>
        <rFont val="Calibri"/>
        <family val="2"/>
      </rPr>
      <t>63,15</t>
    </r>
  </si>
  <si>
    <r>
      <rPr>
        <sz val="8.5"/>
        <rFont val="Calibri"/>
        <family val="2"/>
      </rPr>
      <t>50.01.170</t>
    </r>
  </si>
  <si>
    <r>
      <rPr>
        <sz val="8.5"/>
        <rFont val="Calibri"/>
        <family val="2"/>
      </rPr>
      <t>Adaptador de engate rápido em latão de 2 1/2´ x 2 1/2´</t>
    </r>
  </si>
  <si>
    <r>
      <rPr>
        <sz val="8.5"/>
        <rFont val="Calibri"/>
        <family val="2"/>
      </rPr>
      <t>81,07</t>
    </r>
  </si>
  <si>
    <r>
      <rPr>
        <sz val="8.5"/>
        <rFont val="Calibri"/>
        <family val="2"/>
      </rPr>
      <t>50.01.180</t>
    </r>
  </si>
  <si>
    <r>
      <rPr>
        <sz val="8.5"/>
        <rFont val="Calibri"/>
        <family val="2"/>
      </rPr>
      <t>Hidrante de coluna com duas saídas, 4´x 2 1/2´ - simples</t>
    </r>
  </si>
  <si>
    <r>
      <rPr>
        <sz val="8.5"/>
        <rFont val="Calibri"/>
        <family val="2"/>
      </rPr>
      <t>1.590,24</t>
    </r>
  </si>
  <si>
    <r>
      <rPr>
        <sz val="8.5"/>
        <rFont val="Calibri"/>
        <family val="2"/>
      </rPr>
      <t>1.636,80</t>
    </r>
  </si>
  <si>
    <r>
      <rPr>
        <sz val="8.5"/>
        <rFont val="Calibri"/>
        <family val="2"/>
      </rPr>
      <t>50.01.190</t>
    </r>
  </si>
  <si>
    <r>
      <rPr>
        <sz val="8.5"/>
        <rFont val="Calibri"/>
        <family val="2"/>
      </rPr>
      <t>Tampão de engate rápido em latão, DN= 2 1/2´, com corrente</t>
    </r>
  </si>
  <si>
    <r>
      <rPr>
        <sz val="8.5"/>
        <rFont val="Calibri"/>
        <family val="2"/>
      </rPr>
      <t>79,07</t>
    </r>
  </si>
  <si>
    <r>
      <rPr>
        <sz val="8.5"/>
        <rFont val="Calibri"/>
        <family val="2"/>
      </rPr>
      <t>82,71</t>
    </r>
  </si>
  <si>
    <r>
      <rPr>
        <sz val="8.5"/>
        <rFont val="Calibri"/>
        <family val="2"/>
      </rPr>
      <t>50.01.200</t>
    </r>
  </si>
  <si>
    <r>
      <rPr>
        <sz val="8.5"/>
        <rFont val="Calibri"/>
        <family val="2"/>
      </rPr>
      <t>Tampão de engate rápido em latão, DN= 1 1/2´, com corrente</t>
    </r>
  </si>
  <si>
    <r>
      <rPr>
        <sz val="8.5"/>
        <rFont val="Calibri"/>
        <family val="2"/>
      </rPr>
      <t>54,57</t>
    </r>
  </si>
  <si>
    <r>
      <rPr>
        <sz val="8.5"/>
        <rFont val="Calibri"/>
        <family val="2"/>
      </rPr>
      <t>58,21</t>
    </r>
  </si>
  <si>
    <r>
      <rPr>
        <sz val="8.5"/>
        <rFont val="Calibri"/>
        <family val="2"/>
      </rPr>
      <t>50.01.210</t>
    </r>
  </si>
  <si>
    <r>
      <rPr>
        <sz val="8.5"/>
        <rFont val="Calibri"/>
        <family val="2"/>
      </rPr>
      <t>Chave para conexão de engate rápido</t>
    </r>
  </si>
  <si>
    <r>
      <rPr>
        <sz val="8.5"/>
        <rFont val="Calibri"/>
        <family val="2"/>
      </rPr>
      <t>50.01.220</t>
    </r>
  </si>
  <si>
    <r>
      <rPr>
        <sz val="8.5"/>
        <rFont val="Calibri"/>
        <family val="2"/>
      </rPr>
      <t>Esguicho latão com engate rápido, DN= 1 1/2´, jato regulável</t>
    </r>
  </si>
  <si>
    <r>
      <rPr>
        <sz val="8.5"/>
        <rFont val="Calibri"/>
        <family val="2"/>
      </rPr>
      <t>184,62</t>
    </r>
  </si>
  <si>
    <r>
      <rPr>
        <sz val="8.5"/>
        <rFont val="Calibri"/>
        <family val="2"/>
      </rPr>
      <t>50.01.320</t>
    </r>
  </si>
  <si>
    <r>
      <rPr>
        <sz val="8.5"/>
        <rFont val="Calibri"/>
        <family val="2"/>
      </rPr>
      <t xml:space="preserve">Abrigo de hidrante de 1 1/2´ completo - inclusive mangueira de 30 m (2 x
</t>
    </r>
    <r>
      <rPr>
        <sz val="8.5"/>
        <rFont val="Calibri"/>
        <family val="2"/>
      </rPr>
      <t>15 m)</t>
    </r>
  </si>
  <si>
    <r>
      <rPr>
        <sz val="8.5"/>
        <rFont val="Calibri"/>
        <family val="2"/>
      </rPr>
      <t>1.700,62</t>
    </r>
  </si>
  <si>
    <r>
      <rPr>
        <sz val="8.5"/>
        <rFont val="Calibri"/>
        <family val="2"/>
      </rPr>
      <t>189,22</t>
    </r>
  </si>
  <si>
    <r>
      <rPr>
        <sz val="8.5"/>
        <rFont val="Calibri"/>
        <family val="2"/>
      </rPr>
      <t>1.889,84</t>
    </r>
  </si>
  <si>
    <r>
      <rPr>
        <sz val="8.5"/>
        <rFont val="Calibri"/>
        <family val="2"/>
      </rPr>
      <t>50.01.330</t>
    </r>
  </si>
  <si>
    <r>
      <rPr>
        <sz val="8.5"/>
        <rFont val="Calibri"/>
        <family val="2"/>
      </rPr>
      <t xml:space="preserve">Abrigo de hidrante de 2 1/2´ completo - inclusive mangueira de 30 m (2 x
</t>
    </r>
    <r>
      <rPr>
        <sz val="8.5"/>
        <rFont val="Calibri"/>
        <family val="2"/>
      </rPr>
      <t>15 m)</t>
    </r>
  </si>
  <si>
    <r>
      <rPr>
        <sz val="8.5"/>
        <rFont val="Calibri"/>
        <family val="2"/>
      </rPr>
      <t>2.036,53</t>
    </r>
  </si>
  <si>
    <r>
      <rPr>
        <sz val="8.5"/>
        <rFont val="Calibri"/>
        <family val="2"/>
      </rPr>
      <t>2.225,75</t>
    </r>
  </si>
  <si>
    <r>
      <rPr>
        <sz val="8.5"/>
        <rFont val="Calibri"/>
        <family val="2"/>
      </rPr>
      <t>50.01.340</t>
    </r>
  </si>
  <si>
    <r>
      <rPr>
        <sz val="8.5"/>
        <rFont val="Calibri"/>
        <family val="2"/>
      </rPr>
      <t xml:space="preserve">Abrigo para registro de recalque tipo coluna, completo - inclusive
</t>
    </r>
    <r>
      <rPr>
        <sz val="8.5"/>
        <rFont val="Calibri"/>
        <family val="2"/>
      </rPr>
      <t>tubulações e válvulas</t>
    </r>
  </si>
  <si>
    <r>
      <rPr>
        <sz val="8.5"/>
        <rFont val="Calibri"/>
        <family val="2"/>
      </rPr>
      <t>2.314,31</t>
    </r>
  </si>
  <si>
    <r>
      <rPr>
        <sz val="8.5"/>
        <rFont val="Calibri"/>
        <family val="2"/>
      </rPr>
      <t>584,25</t>
    </r>
  </si>
  <si>
    <r>
      <rPr>
        <sz val="8.5"/>
        <rFont val="Calibri"/>
        <family val="2"/>
      </rPr>
      <t>2.898,56</t>
    </r>
  </si>
  <si>
    <r>
      <rPr>
        <sz val="8.5"/>
        <rFont val="Calibri"/>
        <family val="2"/>
      </rPr>
      <t>Registro e valvula controladora</t>
    </r>
  </si>
  <si>
    <r>
      <rPr>
        <sz val="8.5"/>
        <rFont val="Calibri"/>
        <family val="2"/>
      </rPr>
      <t>50.02.020</t>
    </r>
  </si>
  <si>
    <r>
      <rPr>
        <sz val="8.5"/>
        <rFont val="Calibri"/>
        <family val="2"/>
      </rPr>
      <t>Bico de sprinkler tipo pendente com rompimento da ampola a 68°C</t>
    </r>
  </si>
  <si>
    <r>
      <rPr>
        <sz val="8.5"/>
        <rFont val="Calibri"/>
        <family val="2"/>
      </rPr>
      <t>26,93</t>
    </r>
  </si>
  <si>
    <r>
      <rPr>
        <sz val="8.5"/>
        <rFont val="Calibri"/>
        <family val="2"/>
      </rPr>
      <t>39,66</t>
    </r>
  </si>
  <si>
    <r>
      <rPr>
        <sz val="8.5"/>
        <rFont val="Calibri"/>
        <family val="2"/>
      </rPr>
      <t>50.02.050</t>
    </r>
  </si>
  <si>
    <r>
      <rPr>
        <sz val="8.5"/>
        <rFont val="Calibri"/>
        <family val="2"/>
      </rPr>
      <t>Alarme hidráulico tipo gongo</t>
    </r>
  </si>
  <si>
    <r>
      <rPr>
        <sz val="8.5"/>
        <rFont val="Calibri"/>
        <family val="2"/>
      </rPr>
      <t>1.171,57</t>
    </r>
  </si>
  <si>
    <r>
      <rPr>
        <sz val="8.5"/>
        <rFont val="Calibri"/>
        <family val="2"/>
      </rPr>
      <t>1.189,77</t>
    </r>
  </si>
  <si>
    <r>
      <rPr>
        <sz val="8.5"/>
        <rFont val="Calibri"/>
        <family val="2"/>
      </rPr>
      <t>50.02.060</t>
    </r>
  </si>
  <si>
    <r>
      <rPr>
        <sz val="8.5"/>
        <rFont val="Calibri"/>
        <family val="2"/>
      </rPr>
      <t>Bico de sprinkler tipo upright com rompimento da ampola a 68ºC</t>
    </r>
  </si>
  <si>
    <r>
      <rPr>
        <sz val="8.5"/>
        <rFont val="Calibri"/>
        <family val="2"/>
      </rPr>
      <t>38,45</t>
    </r>
  </si>
  <si>
    <r>
      <rPr>
        <sz val="8.5"/>
        <rFont val="Calibri"/>
        <family val="2"/>
      </rPr>
      <t>50.02.080</t>
    </r>
  </si>
  <si>
    <r>
      <rPr>
        <sz val="8.5"/>
        <rFont val="Calibri"/>
        <family val="2"/>
      </rPr>
      <t xml:space="preserve">Válvula de governo completa com alarme VGA, corpo em ferro fundido,
</t>
    </r>
    <r>
      <rPr>
        <sz val="8.5"/>
        <rFont val="Calibri"/>
        <family val="2"/>
      </rPr>
      <t>extremidades flangeadas e DN = 6´</t>
    </r>
  </si>
  <si>
    <r>
      <rPr>
        <sz val="8.5"/>
        <rFont val="Calibri"/>
        <family val="2"/>
      </rPr>
      <t>9.752,60</t>
    </r>
  </si>
  <si>
    <r>
      <rPr>
        <sz val="8.5"/>
        <rFont val="Calibri"/>
        <family val="2"/>
      </rPr>
      <t>9.861,77</t>
    </r>
  </si>
  <si>
    <r>
      <rPr>
        <sz val="8.5"/>
        <rFont val="Calibri"/>
        <family val="2"/>
      </rPr>
      <t>Iluminacao e sinalizacao de emergencia</t>
    </r>
  </si>
  <si>
    <r>
      <rPr>
        <sz val="8.5"/>
        <rFont val="Calibri"/>
        <family val="2"/>
      </rPr>
      <t>50.05.022</t>
    </r>
  </si>
  <si>
    <r>
      <rPr>
        <sz val="8.5"/>
        <rFont val="Calibri"/>
        <family val="2"/>
      </rPr>
      <t>Destravador magnético (eletroímã) para porta corta-fogo de 24 Vcc</t>
    </r>
  </si>
  <si>
    <r>
      <rPr>
        <sz val="8.5"/>
        <rFont val="Calibri"/>
        <family val="2"/>
      </rPr>
      <t>161,39</t>
    </r>
  </si>
  <si>
    <r>
      <rPr>
        <sz val="8.5"/>
        <rFont val="Calibri"/>
        <family val="2"/>
      </rPr>
      <t>190,51</t>
    </r>
  </si>
  <si>
    <r>
      <rPr>
        <sz val="8.5"/>
        <rFont val="Calibri"/>
        <family val="2"/>
      </rPr>
      <t>50.05.060</t>
    </r>
  </si>
  <si>
    <r>
      <rPr>
        <sz val="8.5"/>
        <rFont val="Calibri"/>
        <family val="2"/>
      </rPr>
      <t>Central de iluminação de emergência, completa, para até 6.000 W</t>
    </r>
  </si>
  <si>
    <r>
      <rPr>
        <sz val="8.5"/>
        <rFont val="Calibri"/>
        <family val="2"/>
      </rPr>
      <t>23.105,92</t>
    </r>
  </si>
  <si>
    <r>
      <rPr>
        <sz val="8.5"/>
        <rFont val="Calibri"/>
        <family val="2"/>
      </rPr>
      <t>11,65</t>
    </r>
  </si>
  <si>
    <r>
      <rPr>
        <sz val="8.5"/>
        <rFont val="Calibri"/>
        <family val="2"/>
      </rPr>
      <t>23.117,57</t>
    </r>
  </si>
  <si>
    <r>
      <rPr>
        <sz val="8.5"/>
        <rFont val="Calibri"/>
        <family val="2"/>
      </rPr>
      <t>50.05.070</t>
    </r>
  </si>
  <si>
    <r>
      <rPr>
        <sz val="8.5"/>
        <rFont val="Calibri"/>
        <family val="2"/>
      </rPr>
      <t xml:space="preserve">Luminária para unidade centralizada pendente completa com lâmpadas
</t>
    </r>
    <r>
      <rPr>
        <sz val="8.5"/>
        <rFont val="Calibri"/>
        <family val="2"/>
      </rPr>
      <t>fluorescentes compactas de 9 W</t>
    </r>
  </si>
  <si>
    <r>
      <rPr>
        <sz val="8.5"/>
        <rFont val="Calibri"/>
        <family val="2"/>
      </rPr>
      <t>321,31</t>
    </r>
  </si>
  <si>
    <r>
      <rPr>
        <sz val="8.5"/>
        <rFont val="Calibri"/>
        <family val="2"/>
      </rPr>
      <t>339,51</t>
    </r>
  </si>
  <si>
    <r>
      <rPr>
        <sz val="8.5"/>
        <rFont val="Calibri"/>
        <family val="2"/>
      </rPr>
      <t>50.05.080</t>
    </r>
  </si>
  <si>
    <r>
      <rPr>
        <sz val="8.5"/>
        <rFont val="Calibri"/>
        <family val="2"/>
      </rPr>
      <t xml:space="preserve">Luminária para unidade centralizada de sobrepor completa com lâmpada
</t>
    </r>
    <r>
      <rPr>
        <sz val="8.5"/>
        <rFont val="Calibri"/>
        <family val="2"/>
      </rPr>
      <t>fluorescente compacta de 15 W</t>
    </r>
  </si>
  <si>
    <r>
      <rPr>
        <sz val="8.5"/>
        <rFont val="Calibri"/>
        <family val="2"/>
      </rPr>
      <t>87,58</t>
    </r>
  </si>
  <si>
    <r>
      <rPr>
        <sz val="8.5"/>
        <rFont val="Calibri"/>
        <family val="2"/>
      </rPr>
      <t>105,78</t>
    </r>
  </si>
  <si>
    <r>
      <rPr>
        <sz val="8.5"/>
        <rFont val="Calibri"/>
        <family val="2"/>
      </rPr>
      <t>50.05.160</t>
    </r>
  </si>
  <si>
    <r>
      <rPr>
        <sz val="8.5"/>
        <rFont val="Calibri"/>
        <family val="2"/>
      </rPr>
      <t xml:space="preserve">Módulo para adaptação de luminária de emergência, autonomia 90
</t>
    </r>
    <r>
      <rPr>
        <sz val="8.5"/>
        <rFont val="Calibri"/>
        <family val="2"/>
      </rPr>
      <t>minutos para lâmpada fluorescente de 32 W</t>
    </r>
  </si>
  <si>
    <r>
      <rPr>
        <sz val="8.5"/>
        <rFont val="Calibri"/>
        <family val="2"/>
      </rPr>
      <t>274,89</t>
    </r>
  </si>
  <si>
    <r>
      <rPr>
        <sz val="8.5"/>
        <rFont val="Calibri"/>
        <family val="2"/>
      </rPr>
      <t>285,81</t>
    </r>
  </si>
  <si>
    <r>
      <rPr>
        <sz val="8.5"/>
        <rFont val="Calibri"/>
        <family val="2"/>
      </rPr>
      <t>50.05.170</t>
    </r>
  </si>
  <si>
    <r>
      <rPr>
        <sz val="8.5"/>
        <rFont val="Calibri"/>
        <family val="2"/>
      </rPr>
      <t>Acionador manual tipo quebra vidro, em caixa plástica</t>
    </r>
  </si>
  <si>
    <r>
      <rPr>
        <sz val="8.5"/>
        <rFont val="Calibri"/>
        <family val="2"/>
      </rPr>
      <t>70,22</t>
    </r>
  </si>
  <si>
    <r>
      <rPr>
        <sz val="8.5"/>
        <rFont val="Calibri"/>
        <family val="2"/>
      </rPr>
      <t>81,14</t>
    </r>
  </si>
  <si>
    <r>
      <rPr>
        <sz val="8.5"/>
        <rFont val="Calibri"/>
        <family val="2"/>
      </rPr>
      <t>50.05.210</t>
    </r>
  </si>
  <si>
    <r>
      <rPr>
        <sz val="8.5"/>
        <rFont val="Calibri"/>
        <family val="2"/>
      </rPr>
      <t>Detector termovelocimétrico endereçável com base endereçável</t>
    </r>
  </si>
  <si>
    <r>
      <rPr>
        <sz val="8.5"/>
        <rFont val="Calibri"/>
        <family val="2"/>
      </rPr>
      <t>153,37</t>
    </r>
  </si>
  <si>
    <r>
      <rPr>
        <sz val="8.5"/>
        <rFont val="Calibri"/>
        <family val="2"/>
      </rPr>
      <t>164,29</t>
    </r>
  </si>
  <si>
    <r>
      <rPr>
        <sz val="8.5"/>
        <rFont val="Calibri"/>
        <family val="2"/>
      </rPr>
      <t>50.05.214</t>
    </r>
  </si>
  <si>
    <r>
      <rPr>
        <sz val="8.5"/>
        <rFont val="Calibri"/>
        <family val="2"/>
      </rPr>
      <t xml:space="preserve">Detector de gás liquefeito (GLP), gás natural (GN) ou derivados de
</t>
    </r>
    <r>
      <rPr>
        <sz val="8.5"/>
        <rFont val="Calibri"/>
        <family val="2"/>
      </rPr>
      <t>metano</t>
    </r>
  </si>
  <si>
    <r>
      <rPr>
        <sz val="8.5"/>
        <rFont val="Calibri"/>
        <family val="2"/>
      </rPr>
      <t>432,92</t>
    </r>
  </si>
  <si>
    <r>
      <rPr>
        <sz val="8.5"/>
        <rFont val="Calibri"/>
        <family val="2"/>
      </rPr>
      <t>443,84</t>
    </r>
  </si>
  <si>
    <r>
      <rPr>
        <sz val="8.5"/>
        <rFont val="Calibri"/>
        <family val="2"/>
      </rPr>
      <t>50.05.230</t>
    </r>
  </si>
  <si>
    <r>
      <rPr>
        <sz val="8.5"/>
        <rFont val="Calibri"/>
        <family val="2"/>
      </rPr>
      <t>Sirene audiovisual tipo endereçável</t>
    </r>
  </si>
  <si>
    <r>
      <rPr>
        <sz val="8.5"/>
        <rFont val="Calibri"/>
        <family val="2"/>
      </rPr>
      <t>279,12</t>
    </r>
  </si>
  <si>
    <r>
      <rPr>
        <sz val="8.5"/>
        <rFont val="Calibri"/>
        <family val="2"/>
      </rPr>
      <t>290,04</t>
    </r>
  </si>
  <si>
    <r>
      <rPr>
        <sz val="8.5"/>
        <rFont val="Calibri"/>
        <family val="2"/>
      </rPr>
      <t>50.05.250</t>
    </r>
  </si>
  <si>
    <r>
      <rPr>
        <sz val="8.5"/>
        <rFont val="Calibri"/>
        <family val="2"/>
      </rPr>
      <t xml:space="preserve">Central de iluminação de emergência, completa, autonomia 1 hora, para
</t>
    </r>
    <r>
      <rPr>
        <sz val="8.5"/>
        <rFont val="Calibri"/>
        <family val="2"/>
      </rPr>
      <t>até 240 W</t>
    </r>
  </si>
  <si>
    <r>
      <rPr>
        <sz val="8.5"/>
        <rFont val="Calibri"/>
        <family val="2"/>
      </rPr>
      <t>819,35</t>
    </r>
  </si>
  <si>
    <r>
      <rPr>
        <sz val="8.5"/>
        <rFont val="Calibri"/>
        <family val="2"/>
      </rPr>
      <t>831,00</t>
    </r>
  </si>
  <si>
    <r>
      <rPr>
        <sz val="8.5"/>
        <rFont val="Calibri"/>
        <family val="2"/>
      </rPr>
      <t>50.05.260</t>
    </r>
  </si>
  <si>
    <r>
      <rPr>
        <sz val="8.5"/>
        <rFont val="Calibri"/>
        <family val="2"/>
      </rPr>
      <t xml:space="preserve">Bloco autônomo de iluminação de emergência com autonomia mínima
</t>
    </r>
    <r>
      <rPr>
        <sz val="8.5"/>
        <rFont val="Calibri"/>
        <family val="2"/>
      </rPr>
      <t>de 1 hora, equipado com 2 lâmpadas de 11 W</t>
    </r>
  </si>
  <si>
    <r>
      <rPr>
        <sz val="8.5"/>
        <rFont val="Calibri"/>
        <family val="2"/>
      </rPr>
      <t>232,23</t>
    </r>
  </si>
  <si>
    <r>
      <rPr>
        <sz val="8.5"/>
        <rFont val="Calibri"/>
        <family val="2"/>
      </rPr>
      <t>243,88</t>
    </r>
  </si>
  <si>
    <r>
      <rPr>
        <sz val="8.5"/>
        <rFont val="Calibri"/>
        <family val="2"/>
      </rPr>
      <t>50.05.270</t>
    </r>
  </si>
  <si>
    <r>
      <rPr>
        <sz val="8.5"/>
        <rFont val="Calibri"/>
        <family val="2"/>
      </rPr>
      <t xml:space="preserve">Central de detecção e alarme de incêndio completa, autonomia de 1
</t>
    </r>
    <r>
      <rPr>
        <sz val="8.5"/>
        <rFont val="Calibri"/>
        <family val="2"/>
      </rPr>
      <t>hora para 12 laços, 220 V/12 V</t>
    </r>
  </si>
  <si>
    <r>
      <rPr>
        <sz val="8.5"/>
        <rFont val="Calibri"/>
        <family val="2"/>
      </rPr>
      <t>719,90</t>
    </r>
  </si>
  <si>
    <r>
      <rPr>
        <sz val="8.5"/>
        <rFont val="Calibri"/>
        <family val="2"/>
      </rPr>
      <t>731,55</t>
    </r>
  </si>
  <si>
    <r>
      <rPr>
        <sz val="8.5"/>
        <rFont val="Calibri"/>
        <family val="2"/>
      </rPr>
      <t>50.05.280</t>
    </r>
  </si>
  <si>
    <r>
      <rPr>
        <sz val="8.5"/>
        <rFont val="Calibri"/>
        <family val="2"/>
      </rPr>
      <t>Sirene tipo corneta de 12 V</t>
    </r>
  </si>
  <si>
    <r>
      <rPr>
        <sz val="8.5"/>
        <rFont val="Calibri"/>
        <family val="2"/>
      </rPr>
      <t>53,53</t>
    </r>
  </si>
  <si>
    <r>
      <rPr>
        <sz val="8.5"/>
        <rFont val="Calibri"/>
        <family val="2"/>
      </rPr>
      <t>64,45</t>
    </r>
  </si>
  <si>
    <r>
      <rPr>
        <sz val="8.5"/>
        <rFont val="Calibri"/>
        <family val="2"/>
      </rPr>
      <t>50.05.312</t>
    </r>
  </si>
  <si>
    <r>
      <rPr>
        <sz val="8.5"/>
        <rFont val="Calibri"/>
        <family val="2"/>
      </rPr>
      <t xml:space="preserve">Bloco autônomo de iluminação de emergência LED, com autonomia
</t>
    </r>
    <r>
      <rPr>
        <sz val="8.5"/>
        <rFont val="Calibri"/>
        <family val="2"/>
      </rPr>
      <t>mínima de 3 horas, fluxo luminoso de 2.000 até 3.000 lúmens, equipado com 2 faróis</t>
    </r>
  </si>
  <si>
    <r>
      <rPr>
        <sz val="8.5"/>
        <rFont val="Calibri"/>
        <family val="2"/>
      </rPr>
      <t>231,69</t>
    </r>
  </si>
  <si>
    <r>
      <rPr>
        <sz val="8.5"/>
        <rFont val="Calibri"/>
        <family val="2"/>
      </rPr>
      <t>243,34</t>
    </r>
  </si>
  <si>
    <r>
      <rPr>
        <sz val="8.5"/>
        <rFont val="Calibri"/>
        <family val="2"/>
      </rPr>
      <t>50.05.400</t>
    </r>
  </si>
  <si>
    <r>
      <rPr>
        <sz val="8.5"/>
        <rFont val="Calibri"/>
        <family val="2"/>
      </rPr>
      <t>Sirene eletrônica em caixa metálica de 4 x 4</t>
    </r>
  </si>
  <si>
    <r>
      <rPr>
        <sz val="8.5"/>
        <rFont val="Calibri"/>
        <family val="2"/>
      </rPr>
      <t>117,82</t>
    </r>
  </si>
  <si>
    <r>
      <rPr>
        <sz val="8.5"/>
        <rFont val="Calibri"/>
        <family val="2"/>
      </rPr>
      <t>50.05.430</t>
    </r>
  </si>
  <si>
    <r>
      <rPr>
        <sz val="8.5"/>
        <rFont val="Calibri"/>
        <family val="2"/>
      </rPr>
      <t>Detector óptico de fumaça com base endereçável</t>
    </r>
  </si>
  <si>
    <r>
      <rPr>
        <sz val="8.5"/>
        <rFont val="Calibri"/>
        <family val="2"/>
      </rPr>
      <t>192,83</t>
    </r>
  </si>
  <si>
    <r>
      <rPr>
        <sz val="8.5"/>
        <rFont val="Calibri"/>
        <family val="2"/>
      </rPr>
      <t>229,22</t>
    </r>
  </si>
  <si>
    <r>
      <rPr>
        <sz val="8.5"/>
        <rFont val="Calibri"/>
        <family val="2"/>
      </rPr>
      <t>50.05.440</t>
    </r>
  </si>
  <si>
    <r>
      <rPr>
        <sz val="8.5"/>
        <rFont val="Calibri"/>
        <family val="2"/>
      </rPr>
      <t>Painel repetidor de detecção e alarme de incêndio tipo endereçável</t>
    </r>
  </si>
  <si>
    <r>
      <rPr>
        <sz val="8.5"/>
        <rFont val="Calibri"/>
        <family val="2"/>
      </rPr>
      <t>986,45</t>
    </r>
  </si>
  <si>
    <r>
      <rPr>
        <sz val="8.5"/>
        <rFont val="Calibri"/>
        <family val="2"/>
      </rPr>
      <t>997,37</t>
    </r>
  </si>
  <si>
    <r>
      <rPr>
        <sz val="8.5"/>
        <rFont val="Calibri"/>
        <family val="2"/>
      </rPr>
      <t>50.05.450</t>
    </r>
  </si>
  <si>
    <r>
      <rPr>
        <sz val="8.5"/>
        <rFont val="Calibri"/>
        <family val="2"/>
      </rPr>
      <t>Acionador manual quebra-vidro endereçável</t>
    </r>
  </si>
  <si>
    <r>
      <rPr>
        <sz val="8.5"/>
        <rFont val="Calibri"/>
        <family val="2"/>
      </rPr>
      <t>172,01</t>
    </r>
  </si>
  <si>
    <r>
      <rPr>
        <sz val="8.5"/>
        <rFont val="Calibri"/>
        <family val="2"/>
      </rPr>
      <t>182,93</t>
    </r>
  </si>
  <si>
    <r>
      <rPr>
        <sz val="8.5"/>
        <rFont val="Calibri"/>
        <family val="2"/>
      </rPr>
      <t>50.05.470</t>
    </r>
  </si>
  <si>
    <r>
      <rPr>
        <sz val="8.5"/>
        <rFont val="Calibri"/>
        <family val="2"/>
      </rPr>
      <t>Módulo isolador, módulo endereçador para audiovisual</t>
    </r>
  </si>
  <si>
    <r>
      <rPr>
        <sz val="8.5"/>
        <rFont val="Calibri"/>
        <family val="2"/>
      </rPr>
      <t>454,46</t>
    </r>
  </si>
  <si>
    <r>
      <rPr>
        <sz val="8.5"/>
        <rFont val="Calibri"/>
        <family val="2"/>
      </rPr>
      <t>472,66</t>
    </r>
  </si>
  <si>
    <r>
      <rPr>
        <sz val="8.5"/>
        <rFont val="Calibri"/>
        <family val="2"/>
      </rPr>
      <t>50.05.490</t>
    </r>
  </si>
  <si>
    <r>
      <rPr>
        <sz val="8.5"/>
        <rFont val="Calibri"/>
        <family val="2"/>
      </rPr>
      <t>Sinalizador audiovisual endereçável com LED</t>
    </r>
  </si>
  <si>
    <r>
      <rPr>
        <sz val="8.5"/>
        <rFont val="Calibri"/>
        <family val="2"/>
      </rPr>
      <t>450,61</t>
    </r>
  </si>
  <si>
    <r>
      <rPr>
        <sz val="8.5"/>
        <rFont val="Calibri"/>
        <family val="2"/>
      </rPr>
      <t>461,53</t>
    </r>
  </si>
  <si>
    <r>
      <rPr>
        <sz val="8.5"/>
        <rFont val="Calibri"/>
        <family val="2"/>
      </rPr>
      <t>50.05.491</t>
    </r>
  </si>
  <si>
    <r>
      <rPr>
        <sz val="8.5"/>
        <rFont val="Calibri"/>
        <family val="2"/>
      </rPr>
      <t>Sinalizador visual de advertência</t>
    </r>
  </si>
  <si>
    <r>
      <rPr>
        <sz val="8.5"/>
        <rFont val="Calibri"/>
        <family val="2"/>
      </rPr>
      <t>329,24</t>
    </r>
  </si>
  <si>
    <r>
      <rPr>
        <sz val="8.5"/>
        <rFont val="Calibri"/>
        <family val="2"/>
      </rPr>
      <t>338,34</t>
    </r>
  </si>
  <si>
    <r>
      <rPr>
        <sz val="8.5"/>
        <rFont val="Calibri"/>
        <family val="2"/>
      </rPr>
      <t>50.05.492</t>
    </r>
  </si>
  <si>
    <r>
      <rPr>
        <sz val="8.5"/>
        <rFont val="Calibri"/>
        <family val="2"/>
      </rPr>
      <t>Sinalizador audiovisual de advertência</t>
    </r>
  </si>
  <si>
    <r>
      <rPr>
        <sz val="8.5"/>
        <rFont val="Calibri"/>
        <family val="2"/>
      </rPr>
      <t>156,75</t>
    </r>
  </si>
  <si>
    <r>
      <rPr>
        <sz val="8.5"/>
        <rFont val="Calibri"/>
        <family val="2"/>
      </rPr>
      <t>165,85</t>
    </r>
  </si>
  <si>
    <r>
      <rPr>
        <sz val="8.5"/>
        <rFont val="Calibri"/>
        <family val="2"/>
      </rPr>
      <t>Extintores</t>
    </r>
  </si>
  <si>
    <r>
      <rPr>
        <sz val="8.5"/>
        <rFont val="Calibri"/>
        <family val="2"/>
      </rPr>
      <t>50.10.030</t>
    </r>
  </si>
  <si>
    <r>
      <rPr>
        <sz val="8.5"/>
        <rFont val="Calibri"/>
        <family val="2"/>
      </rPr>
      <t>Extintor sobre rodas de gás carbônico - capacidade de 10 kg</t>
    </r>
  </si>
  <si>
    <r>
      <rPr>
        <sz val="8.5"/>
        <rFont val="Calibri"/>
        <family val="2"/>
      </rPr>
      <t>1.085,92</t>
    </r>
  </si>
  <si>
    <r>
      <rPr>
        <sz val="8.5"/>
        <rFont val="Calibri"/>
        <family val="2"/>
      </rPr>
      <t>1.101,23</t>
    </r>
  </si>
  <si>
    <r>
      <rPr>
        <sz val="8.5"/>
        <rFont val="Calibri"/>
        <family val="2"/>
      </rPr>
      <t>50.10.050</t>
    </r>
  </si>
  <si>
    <r>
      <rPr>
        <sz val="8.5"/>
        <rFont val="Calibri"/>
        <family val="2"/>
      </rPr>
      <t>Extintor sobre rodas de gás carbônico - capacidade de 25 kg</t>
    </r>
  </si>
  <si>
    <r>
      <rPr>
        <sz val="8.5"/>
        <rFont val="Calibri"/>
        <family val="2"/>
      </rPr>
      <t>4.925,55</t>
    </r>
  </si>
  <si>
    <r>
      <rPr>
        <sz val="8.5"/>
        <rFont val="Calibri"/>
        <family val="2"/>
      </rPr>
      <t>4.940,86</t>
    </r>
  </si>
  <si>
    <r>
      <rPr>
        <sz val="8.5"/>
        <rFont val="Calibri"/>
        <family val="2"/>
      </rPr>
      <t>50.10.058</t>
    </r>
  </si>
  <si>
    <r>
      <rPr>
        <sz val="8.5"/>
        <rFont val="Calibri"/>
        <family val="2"/>
      </rPr>
      <t>Extintor manual de pó químico seco BC - capacidade de 4 kg</t>
    </r>
  </si>
  <si>
    <r>
      <rPr>
        <sz val="8.5"/>
        <rFont val="Calibri"/>
        <family val="2"/>
      </rPr>
      <t>153,31</t>
    </r>
  </si>
  <si>
    <r>
      <rPr>
        <sz val="8.5"/>
        <rFont val="Calibri"/>
        <family val="2"/>
      </rPr>
      <t>50.10.060</t>
    </r>
  </si>
  <si>
    <r>
      <rPr>
        <sz val="8.5"/>
        <rFont val="Calibri"/>
        <family val="2"/>
      </rPr>
      <t>Extintor manual de pó químico seco BC - capacidade de 8 kg</t>
    </r>
  </si>
  <si>
    <r>
      <rPr>
        <sz val="8.5"/>
        <rFont val="Calibri"/>
        <family val="2"/>
      </rPr>
      <t>188,00</t>
    </r>
  </si>
  <si>
    <r>
      <rPr>
        <sz val="8.5"/>
        <rFont val="Calibri"/>
        <family val="2"/>
      </rPr>
      <t>203,31</t>
    </r>
  </si>
  <si>
    <r>
      <rPr>
        <sz val="8.5"/>
        <rFont val="Calibri"/>
        <family val="2"/>
      </rPr>
      <t>50.10.084</t>
    </r>
  </si>
  <si>
    <r>
      <rPr>
        <sz val="8.5"/>
        <rFont val="Calibri"/>
        <family val="2"/>
      </rPr>
      <t>Extintor manual de pó químico seco 20 BC - capacidade de 12 kg</t>
    </r>
  </si>
  <si>
    <r>
      <rPr>
        <sz val="8.5"/>
        <rFont val="Calibri"/>
        <family val="2"/>
      </rPr>
      <t>209,60</t>
    </r>
  </si>
  <si>
    <r>
      <rPr>
        <sz val="8.5"/>
        <rFont val="Calibri"/>
        <family val="2"/>
      </rPr>
      <t>224,91</t>
    </r>
  </si>
  <si>
    <r>
      <rPr>
        <sz val="8.5"/>
        <rFont val="Calibri"/>
        <family val="2"/>
      </rPr>
      <t>50.10.096</t>
    </r>
  </si>
  <si>
    <r>
      <rPr>
        <sz val="8.5"/>
        <rFont val="Calibri"/>
        <family val="2"/>
      </rPr>
      <t>Extintor sobre rodas de pó químico seco BC - capacidade de 20 kg</t>
    </r>
  </si>
  <si>
    <r>
      <rPr>
        <sz val="8.5"/>
        <rFont val="Calibri"/>
        <family val="2"/>
      </rPr>
      <t>1.119,14</t>
    </r>
  </si>
  <si>
    <r>
      <rPr>
        <sz val="8.5"/>
        <rFont val="Calibri"/>
        <family val="2"/>
      </rPr>
      <t>50.10.100</t>
    </r>
  </si>
  <si>
    <r>
      <rPr>
        <sz val="8.5"/>
        <rFont val="Calibri"/>
        <family val="2"/>
      </rPr>
      <t>Extintor manual de água pressurizada - capacidade de 10 litros</t>
    </r>
  </si>
  <si>
    <r>
      <rPr>
        <sz val="8.5"/>
        <rFont val="Calibri"/>
        <family val="2"/>
      </rPr>
      <t>134,08</t>
    </r>
  </si>
  <si>
    <r>
      <rPr>
        <sz val="8.5"/>
        <rFont val="Calibri"/>
        <family val="2"/>
      </rPr>
      <t>149,39</t>
    </r>
  </si>
  <si>
    <r>
      <rPr>
        <sz val="8.5"/>
        <rFont val="Calibri"/>
        <family val="2"/>
      </rPr>
      <t>50.10.110</t>
    </r>
  </si>
  <si>
    <r>
      <rPr>
        <sz val="8.5"/>
        <rFont val="Calibri"/>
        <family val="2"/>
      </rPr>
      <t>Extintor manual de pó químico seco ABC - capacidade de 4 kg</t>
    </r>
  </si>
  <si>
    <r>
      <rPr>
        <sz val="8.5"/>
        <rFont val="Calibri"/>
        <family val="2"/>
      </rPr>
      <t>175,08</t>
    </r>
  </si>
  <si>
    <r>
      <rPr>
        <sz val="8.5"/>
        <rFont val="Calibri"/>
        <family val="2"/>
      </rPr>
      <t>190,39</t>
    </r>
  </si>
  <si>
    <r>
      <rPr>
        <sz val="8.5"/>
        <rFont val="Calibri"/>
        <family val="2"/>
      </rPr>
      <t>50.10.120</t>
    </r>
  </si>
  <si>
    <r>
      <rPr>
        <sz val="8.5"/>
        <rFont val="Calibri"/>
        <family val="2"/>
      </rPr>
      <t>Extintor manual de pó químico seco ABC - capacidade de 6 kg</t>
    </r>
  </si>
  <si>
    <r>
      <rPr>
        <sz val="8.5"/>
        <rFont val="Calibri"/>
        <family val="2"/>
      </rPr>
      <t>189,82</t>
    </r>
  </si>
  <si>
    <r>
      <rPr>
        <sz val="8.5"/>
        <rFont val="Calibri"/>
        <family val="2"/>
      </rPr>
      <t>205,13</t>
    </r>
  </si>
  <si>
    <r>
      <rPr>
        <sz val="8.5"/>
        <rFont val="Calibri"/>
        <family val="2"/>
      </rPr>
      <t>50.10.140</t>
    </r>
  </si>
  <si>
    <r>
      <rPr>
        <sz val="8.5"/>
        <rFont val="Calibri"/>
        <family val="2"/>
      </rPr>
      <t>Extintor manual de gás carbônico 5 BC - capacidade de 6 kg</t>
    </r>
  </si>
  <si>
    <r>
      <rPr>
        <sz val="8.5"/>
        <rFont val="Calibri"/>
        <family val="2"/>
      </rPr>
      <t>452,02</t>
    </r>
  </si>
  <si>
    <r>
      <rPr>
        <sz val="8.5"/>
        <rFont val="Calibri"/>
        <family val="2"/>
      </rPr>
      <t>467,33</t>
    </r>
  </si>
  <si>
    <r>
      <rPr>
        <sz val="8.5"/>
        <rFont val="Calibri"/>
        <family val="2"/>
      </rPr>
      <t>50.10.210</t>
    </r>
  </si>
  <si>
    <r>
      <rPr>
        <sz val="8.5"/>
        <rFont val="Calibri"/>
        <family val="2"/>
      </rPr>
      <t>Suporte para extintor de piso em fibra de vidro</t>
    </r>
  </si>
  <si>
    <r>
      <rPr>
        <sz val="8.5"/>
        <rFont val="Calibri"/>
        <family val="2"/>
      </rPr>
      <t>181,24</t>
    </r>
  </si>
  <si>
    <r>
      <rPr>
        <sz val="8.5"/>
        <rFont val="Calibri"/>
        <family val="2"/>
      </rPr>
      <t>50.10.220</t>
    </r>
  </si>
  <si>
    <r>
      <rPr>
        <sz val="8.5"/>
        <rFont val="Calibri"/>
        <family val="2"/>
      </rPr>
      <t>Suporte para extintor de piso em aço inoxidável</t>
    </r>
  </si>
  <si>
    <r>
      <rPr>
        <sz val="8.5"/>
        <rFont val="Calibri"/>
        <family val="2"/>
      </rPr>
      <t>267,38</t>
    </r>
  </si>
  <si>
    <r>
      <rPr>
        <sz val="8.5"/>
        <rFont val="Calibri"/>
        <family val="2"/>
      </rPr>
      <t>268,83</t>
    </r>
  </si>
  <si>
    <r>
      <rPr>
        <sz val="8.5"/>
        <rFont val="Calibri"/>
        <family val="2"/>
      </rPr>
      <t>Reparos, conservacoes e complementos - GRUPO 50</t>
    </r>
  </si>
  <si>
    <r>
      <rPr>
        <sz val="8.5"/>
        <rFont val="Calibri"/>
        <family val="2"/>
      </rPr>
      <t>50.20.110</t>
    </r>
  </si>
  <si>
    <r>
      <rPr>
        <sz val="8.5"/>
        <rFont val="Calibri"/>
        <family val="2"/>
      </rPr>
      <t>Recarga de extintor de água pressurizada</t>
    </r>
  </si>
  <si>
    <r>
      <rPr>
        <sz val="8.5"/>
        <rFont val="Calibri"/>
        <family val="2"/>
      </rPr>
      <t>3,38</t>
    </r>
  </si>
  <si>
    <r>
      <rPr>
        <sz val="8.5"/>
        <rFont val="Calibri"/>
        <family val="2"/>
      </rPr>
      <t>50.20.120</t>
    </r>
  </si>
  <si>
    <r>
      <rPr>
        <sz val="8.5"/>
        <rFont val="Calibri"/>
        <family val="2"/>
      </rPr>
      <t>Recarga de extintor de gás carbônico</t>
    </r>
  </si>
  <si>
    <r>
      <rPr>
        <sz val="8.5"/>
        <rFont val="Calibri"/>
        <family val="2"/>
      </rPr>
      <t>12,31</t>
    </r>
  </si>
  <si>
    <r>
      <rPr>
        <sz val="8.5"/>
        <rFont val="Calibri"/>
        <family val="2"/>
      </rPr>
      <t>50.20.130</t>
    </r>
  </si>
  <si>
    <r>
      <rPr>
        <sz val="8.5"/>
        <rFont val="Calibri"/>
        <family val="2"/>
      </rPr>
      <t>Recarga de extintor de pó químico seco</t>
    </r>
  </si>
  <si>
    <r>
      <rPr>
        <sz val="8.5"/>
        <rFont val="Calibri"/>
        <family val="2"/>
      </rPr>
      <t>10,22</t>
    </r>
  </si>
  <si>
    <r>
      <rPr>
        <sz val="8.5"/>
        <rFont val="Calibri"/>
        <family val="2"/>
      </rPr>
      <t>50.20.160</t>
    </r>
  </si>
  <si>
    <r>
      <rPr>
        <sz val="8.5"/>
        <rFont val="Calibri"/>
        <family val="2"/>
      </rPr>
      <t xml:space="preserve">Pintura de extintor de gás carbônico, pó químico seco, ou água
</t>
    </r>
    <r>
      <rPr>
        <sz val="8.5"/>
        <rFont val="Calibri"/>
        <family val="2"/>
      </rPr>
      <t>pressurizada, com capacidade acima de 12 kg até 20 kg</t>
    </r>
  </si>
  <si>
    <r>
      <rPr>
        <sz val="8.5"/>
        <rFont val="Calibri"/>
        <family val="2"/>
      </rPr>
      <t>40,09</t>
    </r>
  </si>
  <si>
    <r>
      <rPr>
        <sz val="8.5"/>
        <rFont val="Calibri"/>
        <family val="2"/>
      </rPr>
      <t>50.20.170</t>
    </r>
  </si>
  <si>
    <r>
      <rPr>
        <sz val="8.5"/>
        <rFont val="Calibri"/>
        <family val="2"/>
      </rPr>
      <t xml:space="preserve">Pintura de extintor de gás carbônico, pó químico seco, ou água
</t>
    </r>
    <r>
      <rPr>
        <sz val="8.5"/>
        <rFont val="Calibri"/>
        <family val="2"/>
      </rPr>
      <t>pressurizada, com capacidade até 12 kg</t>
    </r>
  </si>
  <si>
    <r>
      <rPr>
        <sz val="8.5"/>
        <rFont val="Calibri"/>
        <family val="2"/>
      </rPr>
      <t>19,28</t>
    </r>
  </si>
  <si>
    <r>
      <rPr>
        <sz val="8.5"/>
        <rFont val="Calibri"/>
        <family val="2"/>
      </rPr>
      <t>50.20.200</t>
    </r>
  </si>
  <si>
    <r>
      <rPr>
        <sz val="8.5"/>
        <rFont val="Calibri"/>
        <family val="2"/>
      </rPr>
      <t>Recolocação de bico de sprinkler</t>
    </r>
  </si>
  <si>
    <r>
      <rPr>
        <sz val="8.5"/>
        <rFont val="Calibri"/>
        <family val="2"/>
      </rPr>
      <t>12,79</t>
    </r>
  </si>
  <si>
    <r>
      <rPr>
        <sz val="8.5"/>
        <rFont val="Calibri"/>
        <family val="2"/>
      </rPr>
      <t>PAVIMENTACAO E PASSEIO</t>
    </r>
  </si>
  <si>
    <r>
      <rPr>
        <sz val="8.5"/>
        <rFont val="Calibri"/>
        <family val="2"/>
      </rPr>
      <t>Pavimentacao preparo de base</t>
    </r>
  </si>
  <si>
    <r>
      <rPr>
        <sz val="8.5"/>
        <rFont val="Calibri"/>
        <family val="2"/>
      </rPr>
      <t>54.01.010</t>
    </r>
  </si>
  <si>
    <r>
      <rPr>
        <sz val="8.5"/>
        <rFont val="Calibri"/>
        <family val="2"/>
      </rPr>
      <t xml:space="preserve">Regularização e compactação mecanizada de superfície, sem controle do
</t>
    </r>
    <r>
      <rPr>
        <sz val="8.5"/>
        <rFont val="Calibri"/>
        <family val="2"/>
      </rPr>
      <t>proctor normal</t>
    </r>
  </si>
  <si>
    <r>
      <rPr>
        <sz val="8.5"/>
        <rFont val="Calibri"/>
        <family val="2"/>
      </rPr>
      <t>2,86</t>
    </r>
  </si>
  <si>
    <r>
      <rPr>
        <sz val="8.5"/>
        <rFont val="Calibri"/>
        <family val="2"/>
      </rPr>
      <t>54.01.030</t>
    </r>
  </si>
  <si>
    <r>
      <rPr>
        <sz val="8.5"/>
        <rFont val="Calibri"/>
        <family val="2"/>
      </rPr>
      <t xml:space="preserve">Abertura e preparo de caixa até 40 cm, compactação do subleito mínimo
</t>
    </r>
    <r>
      <rPr>
        <sz val="8.5"/>
        <rFont val="Calibri"/>
        <family val="2"/>
      </rPr>
      <t>de 95% do PN e transporte até o raio de 1 km</t>
    </r>
  </si>
  <si>
    <r>
      <rPr>
        <sz val="8.5"/>
        <rFont val="Calibri"/>
        <family val="2"/>
      </rPr>
      <t>21,02</t>
    </r>
  </si>
  <si>
    <r>
      <rPr>
        <sz val="8.5"/>
        <rFont val="Calibri"/>
        <family val="2"/>
      </rPr>
      <t>54.01.050</t>
    </r>
  </si>
  <si>
    <r>
      <rPr>
        <sz val="8.5"/>
        <rFont val="Calibri"/>
        <family val="2"/>
      </rPr>
      <t>Compactação do subleito mínimo de 95% do PN</t>
    </r>
  </si>
  <si>
    <r>
      <rPr>
        <sz val="8.5"/>
        <rFont val="Calibri"/>
        <family val="2"/>
      </rPr>
      <t>0,46</t>
    </r>
  </si>
  <si>
    <r>
      <rPr>
        <sz val="8.5"/>
        <rFont val="Calibri"/>
        <family val="2"/>
      </rPr>
      <t>19,17</t>
    </r>
  </si>
  <si>
    <r>
      <rPr>
        <sz val="8.5"/>
        <rFont val="Calibri"/>
        <family val="2"/>
      </rPr>
      <t>54.01.200</t>
    </r>
  </si>
  <si>
    <r>
      <rPr>
        <sz val="8.5"/>
        <rFont val="Calibri"/>
        <family val="2"/>
      </rPr>
      <t>Base de macadame hidráulico</t>
    </r>
  </si>
  <si>
    <r>
      <rPr>
        <sz val="8.5"/>
        <rFont val="Calibri"/>
        <family val="2"/>
      </rPr>
      <t>213,46</t>
    </r>
  </si>
  <si>
    <r>
      <rPr>
        <sz val="8.5"/>
        <rFont val="Calibri"/>
        <family val="2"/>
      </rPr>
      <t>235,24</t>
    </r>
  </si>
  <si>
    <r>
      <rPr>
        <sz val="8.5"/>
        <rFont val="Calibri"/>
        <family val="2"/>
      </rPr>
      <t>54.01.210</t>
    </r>
  </si>
  <si>
    <r>
      <rPr>
        <sz val="8.5"/>
        <rFont val="Calibri"/>
        <family val="2"/>
      </rPr>
      <t>Base de brita graduada</t>
    </r>
  </si>
  <si>
    <r>
      <rPr>
        <sz val="8.5"/>
        <rFont val="Calibri"/>
        <family val="2"/>
      </rPr>
      <t>144,35</t>
    </r>
  </si>
  <si>
    <r>
      <rPr>
        <sz val="8.5"/>
        <rFont val="Calibri"/>
        <family val="2"/>
      </rPr>
      <t>158,87</t>
    </r>
  </si>
  <si>
    <r>
      <rPr>
        <sz val="8.5"/>
        <rFont val="Calibri"/>
        <family val="2"/>
      </rPr>
      <t>54.01.220</t>
    </r>
  </si>
  <si>
    <r>
      <rPr>
        <sz val="8.5"/>
        <rFont val="Calibri"/>
        <family val="2"/>
      </rPr>
      <t>Base de bica corrida</t>
    </r>
  </si>
  <si>
    <r>
      <rPr>
        <sz val="8.5"/>
        <rFont val="Calibri"/>
        <family val="2"/>
      </rPr>
      <t>140,46</t>
    </r>
  </si>
  <si>
    <r>
      <rPr>
        <sz val="8.5"/>
        <rFont val="Calibri"/>
        <family val="2"/>
      </rPr>
      <t>142,70</t>
    </r>
  </si>
  <si>
    <r>
      <rPr>
        <sz val="8.5"/>
        <rFont val="Calibri"/>
        <family val="2"/>
      </rPr>
      <t>54.01.230</t>
    </r>
  </si>
  <si>
    <r>
      <rPr>
        <sz val="8.5"/>
        <rFont val="Calibri"/>
        <family val="2"/>
      </rPr>
      <t>Base de macadame betuminoso</t>
    </r>
  </si>
  <si>
    <r>
      <rPr>
        <sz val="8.5"/>
        <rFont val="Calibri"/>
        <family val="2"/>
      </rPr>
      <t>820,16</t>
    </r>
  </si>
  <si>
    <r>
      <rPr>
        <sz val="8.5"/>
        <rFont val="Calibri"/>
        <family val="2"/>
      </rPr>
      <t>831,05</t>
    </r>
  </si>
  <si>
    <r>
      <rPr>
        <sz val="8.5"/>
        <rFont val="Calibri"/>
        <family val="2"/>
      </rPr>
      <t>54.01.300</t>
    </r>
  </si>
  <si>
    <r>
      <rPr>
        <sz val="8.5"/>
        <rFont val="Calibri"/>
        <family val="2"/>
      </rPr>
      <t xml:space="preserve">Pavimento de concreto rolado (concreto pobre) para base de pavimento
</t>
    </r>
    <r>
      <rPr>
        <sz val="8.5"/>
        <rFont val="Calibri"/>
        <family val="2"/>
      </rPr>
      <t>rígido</t>
    </r>
  </si>
  <si>
    <r>
      <rPr>
        <sz val="8.5"/>
        <rFont val="Calibri"/>
        <family val="2"/>
      </rPr>
      <t>224,53</t>
    </r>
  </si>
  <si>
    <r>
      <rPr>
        <sz val="8.5"/>
        <rFont val="Calibri"/>
        <family val="2"/>
      </rPr>
      <t>54.01.400</t>
    </r>
  </si>
  <si>
    <r>
      <rPr>
        <sz val="8.5"/>
        <rFont val="Calibri"/>
        <family val="2"/>
      </rPr>
      <t xml:space="preserve">Abertura de caixa até 25 cm, inclui escavação, compactação, transporte
</t>
    </r>
    <r>
      <rPr>
        <sz val="8.5"/>
        <rFont val="Calibri"/>
        <family val="2"/>
      </rPr>
      <t>e preparo do sub-leito</t>
    </r>
  </si>
  <si>
    <r>
      <rPr>
        <sz val="8.5"/>
        <rFont val="Calibri"/>
        <family val="2"/>
      </rPr>
      <t>17,11</t>
    </r>
  </si>
  <si>
    <r>
      <rPr>
        <sz val="8.5"/>
        <rFont val="Calibri"/>
        <family val="2"/>
      </rPr>
      <t>54.01.410</t>
    </r>
  </si>
  <si>
    <r>
      <rPr>
        <sz val="8.5"/>
        <rFont val="Calibri"/>
        <family val="2"/>
      </rPr>
      <t>Varrição de pavimento para recapeamento</t>
    </r>
  </si>
  <si>
    <r>
      <rPr>
        <sz val="8.5"/>
        <rFont val="Calibri"/>
        <family val="2"/>
      </rPr>
      <t>Pavimentacao com pedrisco e revestimento primario</t>
    </r>
  </si>
  <si>
    <r>
      <rPr>
        <sz val="8.5"/>
        <rFont val="Calibri"/>
        <family val="2"/>
      </rPr>
      <t>54.02.030</t>
    </r>
  </si>
  <si>
    <r>
      <rPr>
        <sz val="8.5"/>
        <rFont val="Calibri"/>
        <family val="2"/>
      </rPr>
      <t xml:space="preserve">Revestimento primário com pedra britada, compactação mínima de 95%
</t>
    </r>
    <r>
      <rPr>
        <sz val="8.5"/>
        <rFont val="Calibri"/>
        <family val="2"/>
      </rPr>
      <t>do PN</t>
    </r>
  </si>
  <si>
    <r>
      <rPr>
        <sz val="8.5"/>
        <rFont val="Calibri"/>
        <family val="2"/>
      </rPr>
      <t>83,96</t>
    </r>
  </si>
  <si>
    <r>
      <rPr>
        <sz val="8.5"/>
        <rFont val="Calibri"/>
        <family val="2"/>
      </rPr>
      <t>93,25</t>
    </r>
  </si>
  <si>
    <r>
      <rPr>
        <sz val="8.5"/>
        <rFont val="Calibri"/>
        <family val="2"/>
      </rPr>
      <t>Pavimentacao flexivel</t>
    </r>
  </si>
  <si>
    <r>
      <rPr>
        <sz val="8.5"/>
        <rFont val="Calibri"/>
        <family val="2"/>
      </rPr>
      <t>54.03.200</t>
    </r>
  </si>
  <si>
    <r>
      <rPr>
        <sz val="8.5"/>
        <rFont val="Calibri"/>
        <family val="2"/>
      </rPr>
      <t>Concreto asfáltico usinado a quente - Binder</t>
    </r>
  </si>
  <si>
    <r>
      <rPr>
        <sz val="8.5"/>
        <rFont val="Calibri"/>
        <family val="2"/>
      </rPr>
      <t>1.164,61</t>
    </r>
  </si>
  <si>
    <r>
      <rPr>
        <sz val="8.5"/>
        <rFont val="Calibri"/>
        <family val="2"/>
      </rPr>
      <t>12,10</t>
    </r>
  </si>
  <si>
    <r>
      <rPr>
        <sz val="8.5"/>
        <rFont val="Calibri"/>
        <family val="2"/>
      </rPr>
      <t>1.176,71</t>
    </r>
  </si>
  <si>
    <r>
      <rPr>
        <sz val="8.5"/>
        <rFont val="Calibri"/>
        <family val="2"/>
      </rPr>
      <t>54.03.210</t>
    </r>
  </si>
  <si>
    <r>
      <rPr>
        <sz val="8.5"/>
        <rFont val="Calibri"/>
        <family val="2"/>
      </rPr>
      <t>Camada de rolamento em concreto betuminoso usinado quente - CBUQ</t>
    </r>
  </si>
  <si>
    <r>
      <rPr>
        <sz val="8.5"/>
        <rFont val="Calibri"/>
        <family val="2"/>
      </rPr>
      <t>1.387,04</t>
    </r>
  </si>
  <si>
    <r>
      <rPr>
        <sz val="8.5"/>
        <rFont val="Calibri"/>
        <family val="2"/>
      </rPr>
      <t>1.399,14</t>
    </r>
  </si>
  <si>
    <r>
      <rPr>
        <sz val="8.5"/>
        <rFont val="Calibri"/>
        <family val="2"/>
      </rPr>
      <t>54.03.221</t>
    </r>
  </si>
  <si>
    <r>
      <rPr>
        <sz val="8.5"/>
        <rFont val="Calibri"/>
        <family val="2"/>
      </rPr>
      <t xml:space="preserve">Restauração de pavimento asfáltico com concreto betuminoso usinado
</t>
    </r>
    <r>
      <rPr>
        <sz val="8.5"/>
        <rFont val="Calibri"/>
        <family val="2"/>
      </rPr>
      <t>quente - CBUQ</t>
    </r>
  </si>
  <si>
    <r>
      <rPr>
        <sz val="8.5"/>
        <rFont val="Calibri"/>
        <family val="2"/>
      </rPr>
      <t>1.278,95</t>
    </r>
  </si>
  <si>
    <r>
      <rPr>
        <sz val="8.5"/>
        <rFont val="Calibri"/>
        <family val="2"/>
      </rPr>
      <t>1.291,05</t>
    </r>
  </si>
  <si>
    <r>
      <rPr>
        <sz val="8.5"/>
        <rFont val="Calibri"/>
        <family val="2"/>
      </rPr>
      <t>54.03.230</t>
    </r>
  </si>
  <si>
    <r>
      <rPr>
        <sz val="8.5"/>
        <rFont val="Calibri"/>
        <family val="2"/>
      </rPr>
      <t>Imprimação betuminosa ligante</t>
    </r>
  </si>
  <si>
    <r>
      <rPr>
        <sz val="8.5"/>
        <rFont val="Calibri"/>
        <family val="2"/>
      </rPr>
      <t>6,33</t>
    </r>
  </si>
  <si>
    <r>
      <rPr>
        <sz val="8.5"/>
        <rFont val="Calibri"/>
        <family val="2"/>
      </rPr>
      <t>54.03.240</t>
    </r>
  </si>
  <si>
    <r>
      <rPr>
        <sz val="8.5"/>
        <rFont val="Calibri"/>
        <family val="2"/>
      </rPr>
      <t>Imprimação betuminosa impermeabilizante</t>
    </r>
  </si>
  <si>
    <r>
      <rPr>
        <sz val="8.5"/>
        <rFont val="Calibri"/>
        <family val="2"/>
      </rPr>
      <t>13,47</t>
    </r>
  </si>
  <si>
    <r>
      <rPr>
        <sz val="8.5"/>
        <rFont val="Calibri"/>
        <family val="2"/>
      </rPr>
      <t>54.03.250</t>
    </r>
  </si>
  <si>
    <r>
      <rPr>
        <sz val="8.5"/>
        <rFont val="Calibri"/>
        <family val="2"/>
      </rPr>
      <t>Revestimento de pré-misturado a quente</t>
    </r>
  </si>
  <si>
    <r>
      <rPr>
        <sz val="8.5"/>
        <rFont val="Calibri"/>
        <family val="2"/>
      </rPr>
      <t>980,35</t>
    </r>
  </si>
  <si>
    <r>
      <rPr>
        <sz val="8.5"/>
        <rFont val="Calibri"/>
        <family val="2"/>
      </rPr>
      <t>992,45</t>
    </r>
  </si>
  <si>
    <r>
      <rPr>
        <sz val="8.5"/>
        <rFont val="Calibri"/>
        <family val="2"/>
      </rPr>
      <t>54.03.260</t>
    </r>
  </si>
  <si>
    <r>
      <rPr>
        <sz val="8.5"/>
        <rFont val="Calibri"/>
        <family val="2"/>
      </rPr>
      <t>Revestimento de pré-misturado a frio</t>
    </r>
  </si>
  <si>
    <r>
      <rPr>
        <sz val="8.5"/>
        <rFont val="Calibri"/>
        <family val="2"/>
      </rPr>
      <t>971,37</t>
    </r>
  </si>
  <si>
    <r>
      <rPr>
        <sz val="8.5"/>
        <rFont val="Calibri"/>
        <family val="2"/>
      </rPr>
      <t>1.000,41</t>
    </r>
  </si>
  <si>
    <r>
      <rPr>
        <sz val="8.5"/>
        <rFont val="Calibri"/>
        <family val="2"/>
      </rPr>
      <t>Pavimentacao em paralelepipedos e blocos de concreto</t>
    </r>
  </si>
  <si>
    <r>
      <rPr>
        <sz val="8.5"/>
        <rFont val="Calibri"/>
        <family val="2"/>
      </rPr>
      <t>54.04.030</t>
    </r>
  </si>
  <si>
    <r>
      <rPr>
        <sz val="8.5"/>
        <rFont val="Calibri"/>
        <family val="2"/>
      </rPr>
      <t>Pavimentação em paralelepípedo, sem rejunte</t>
    </r>
  </si>
  <si>
    <r>
      <rPr>
        <sz val="8.5"/>
        <rFont val="Calibri"/>
        <family val="2"/>
      </rPr>
      <t>186,78</t>
    </r>
  </si>
  <si>
    <r>
      <rPr>
        <sz val="8.5"/>
        <rFont val="Calibri"/>
        <family val="2"/>
      </rPr>
      <t>205,33</t>
    </r>
  </si>
  <si>
    <r>
      <rPr>
        <sz val="8.5"/>
        <rFont val="Calibri"/>
        <family val="2"/>
      </rPr>
      <t>54.04.040</t>
    </r>
  </si>
  <si>
    <r>
      <rPr>
        <sz val="8.5"/>
        <rFont val="Calibri"/>
        <family val="2"/>
      </rPr>
      <t>Rejuntamento de paralelepípedo com areia</t>
    </r>
  </si>
  <si>
    <r>
      <rPr>
        <sz val="8.5"/>
        <rFont val="Calibri"/>
        <family val="2"/>
      </rPr>
      <t>15,22</t>
    </r>
  </si>
  <si>
    <r>
      <rPr>
        <sz val="8.5"/>
        <rFont val="Calibri"/>
        <family val="2"/>
      </rPr>
      <t>16,67</t>
    </r>
  </si>
  <si>
    <r>
      <rPr>
        <sz val="8.5"/>
        <rFont val="Calibri"/>
        <family val="2"/>
      </rPr>
      <t>54.04.050</t>
    </r>
  </si>
  <si>
    <r>
      <rPr>
        <sz val="8.5"/>
        <rFont val="Calibri"/>
        <family val="2"/>
      </rPr>
      <t>Rejuntamento de paralelepípedo com argamassa de cimento e areia 1:3</t>
    </r>
  </si>
  <si>
    <r>
      <rPr>
        <sz val="8.5"/>
        <rFont val="Calibri"/>
        <family val="2"/>
      </rPr>
      <t>8,85</t>
    </r>
  </si>
  <si>
    <r>
      <rPr>
        <sz val="8.5"/>
        <rFont val="Calibri"/>
        <family val="2"/>
      </rPr>
      <t>13,35</t>
    </r>
  </si>
  <si>
    <r>
      <rPr>
        <sz val="8.5"/>
        <rFont val="Calibri"/>
        <family val="2"/>
      </rPr>
      <t>54.04.060</t>
    </r>
  </si>
  <si>
    <r>
      <rPr>
        <sz val="8.5"/>
        <rFont val="Calibri"/>
        <family val="2"/>
      </rPr>
      <t>Rejuntamento de paralelepípedo com asfalto e pedrisco</t>
    </r>
  </si>
  <si>
    <r>
      <rPr>
        <sz val="8.5"/>
        <rFont val="Calibri"/>
        <family val="2"/>
      </rPr>
      <t>44,51</t>
    </r>
  </si>
  <si>
    <r>
      <rPr>
        <sz val="8.5"/>
        <rFont val="Calibri"/>
        <family val="2"/>
      </rPr>
      <t>48,14</t>
    </r>
  </si>
  <si>
    <r>
      <rPr>
        <sz val="8.5"/>
        <rFont val="Calibri"/>
        <family val="2"/>
      </rPr>
      <t>54.04.340</t>
    </r>
  </si>
  <si>
    <r>
      <rPr>
        <sz val="8.5"/>
        <rFont val="Calibri"/>
        <family val="2"/>
      </rPr>
      <t xml:space="preserve">Pavimentação em lajota de concreto 35 MPa, espessura 6 cm, cor
</t>
    </r>
    <r>
      <rPr>
        <sz val="8.5"/>
        <rFont val="Calibri"/>
        <family val="2"/>
      </rPr>
      <t>natural, tipos: raquete, retangular, sextavado e 16 faces, com rejunte em areia</t>
    </r>
  </si>
  <si>
    <r>
      <rPr>
        <sz val="8.5"/>
        <rFont val="Calibri"/>
        <family val="2"/>
      </rPr>
      <t>56,47</t>
    </r>
  </si>
  <si>
    <r>
      <rPr>
        <sz val="8.5"/>
        <rFont val="Calibri"/>
        <family val="2"/>
      </rPr>
      <t>70,47</t>
    </r>
  </si>
  <si>
    <r>
      <rPr>
        <sz val="8.5"/>
        <rFont val="Calibri"/>
        <family val="2"/>
      </rPr>
      <t>54.04.342</t>
    </r>
  </si>
  <si>
    <r>
      <rPr>
        <sz val="8.5"/>
        <rFont val="Calibri"/>
        <family val="2"/>
      </rPr>
      <t>Pavimentação em lajota de concreto 35 MPa, espessura 6 cm, colorido, tipos: raquete, retangular, sextavado e 16 faces, com rejunte em areia</t>
    </r>
  </si>
  <si>
    <r>
      <rPr>
        <sz val="8.5"/>
        <rFont val="Calibri"/>
        <family val="2"/>
      </rPr>
      <t>53,73</t>
    </r>
  </si>
  <si>
    <r>
      <rPr>
        <sz val="8.5"/>
        <rFont val="Calibri"/>
        <family val="2"/>
      </rPr>
      <t>67,73</t>
    </r>
  </si>
  <si>
    <r>
      <rPr>
        <sz val="8.5"/>
        <rFont val="Calibri"/>
        <family val="2"/>
      </rPr>
      <t>54.04.350</t>
    </r>
  </si>
  <si>
    <r>
      <rPr>
        <sz val="8.5"/>
        <rFont val="Calibri"/>
        <family val="2"/>
      </rPr>
      <t>Pavimentação em lajota de concreto 35 MPa, espessura 8 cm, tipos: raquete, retangular, sextavado e 16 faces, com rejunte em areia</t>
    </r>
  </si>
  <si>
    <r>
      <rPr>
        <sz val="8.5"/>
        <rFont val="Calibri"/>
        <family val="2"/>
      </rPr>
      <t>67,35</t>
    </r>
  </si>
  <si>
    <r>
      <rPr>
        <sz val="8.5"/>
        <rFont val="Calibri"/>
        <family val="2"/>
      </rPr>
      <t>86,03</t>
    </r>
  </si>
  <si>
    <r>
      <rPr>
        <sz val="8.5"/>
        <rFont val="Calibri"/>
        <family val="2"/>
      </rPr>
      <t>54.04.360</t>
    </r>
  </si>
  <si>
    <r>
      <rPr>
        <sz val="8.5"/>
        <rFont val="Calibri"/>
        <family val="2"/>
      </rPr>
      <t xml:space="preserve">Bloco diagonal em concreto tipo piso drenante para plantio de grama -
</t>
    </r>
    <r>
      <rPr>
        <sz val="8.5"/>
        <rFont val="Calibri"/>
        <family val="2"/>
      </rPr>
      <t>50 x 50 x 10 cm</t>
    </r>
  </si>
  <si>
    <r>
      <rPr>
        <sz val="8.5"/>
        <rFont val="Calibri"/>
        <family val="2"/>
      </rPr>
      <t>75,36</t>
    </r>
  </si>
  <si>
    <r>
      <rPr>
        <sz val="8.5"/>
        <rFont val="Calibri"/>
        <family val="2"/>
      </rPr>
      <t>82,22</t>
    </r>
  </si>
  <si>
    <r>
      <rPr>
        <sz val="8.5"/>
        <rFont val="Calibri"/>
        <family val="2"/>
      </rPr>
      <t>54.04.392</t>
    </r>
  </si>
  <si>
    <r>
      <rPr>
        <sz val="8.5"/>
        <rFont val="Calibri"/>
        <family val="2"/>
      </rPr>
      <t xml:space="preserve">Piso em placa de concreto permeável drenante, cor natural, com resina
</t>
    </r>
    <r>
      <rPr>
        <sz val="8.5"/>
        <rFont val="Calibri"/>
        <family val="2"/>
      </rPr>
      <t>protetora</t>
    </r>
  </si>
  <si>
    <r>
      <rPr>
        <sz val="8.5"/>
        <rFont val="Calibri"/>
        <family val="2"/>
      </rPr>
      <t>97,32</t>
    </r>
  </si>
  <si>
    <r>
      <rPr>
        <sz val="8.5"/>
        <rFont val="Calibri"/>
        <family val="2"/>
      </rPr>
      <t>111,84</t>
    </r>
  </si>
  <si>
    <r>
      <rPr>
        <sz val="8.5"/>
        <rFont val="Calibri"/>
        <family val="2"/>
      </rPr>
      <t>Guias e sarjetas</t>
    </r>
  </si>
  <si>
    <r>
      <rPr>
        <sz val="8.5"/>
        <rFont val="Calibri"/>
        <family val="2"/>
      </rPr>
      <t>54.06.020</t>
    </r>
  </si>
  <si>
    <r>
      <rPr>
        <sz val="8.5"/>
        <rFont val="Calibri"/>
        <family val="2"/>
      </rPr>
      <t>Guia pré-moldada curva tipo PMSP 100 - fck 25 MPa</t>
    </r>
  </si>
  <si>
    <r>
      <rPr>
        <sz val="8.5"/>
        <rFont val="Calibri"/>
        <family val="2"/>
      </rPr>
      <t>41,12</t>
    </r>
  </si>
  <si>
    <r>
      <rPr>
        <sz val="8.5"/>
        <rFont val="Calibri"/>
        <family val="2"/>
      </rPr>
      <t>8,76</t>
    </r>
  </si>
  <si>
    <r>
      <rPr>
        <sz val="8.5"/>
        <rFont val="Calibri"/>
        <family val="2"/>
      </rPr>
      <t>49,88</t>
    </r>
  </si>
  <si>
    <r>
      <rPr>
        <sz val="8.5"/>
        <rFont val="Calibri"/>
        <family val="2"/>
      </rPr>
      <t>54.06.040</t>
    </r>
  </si>
  <si>
    <r>
      <rPr>
        <sz val="8.5"/>
        <rFont val="Calibri"/>
        <family val="2"/>
      </rPr>
      <t>Guia pré-moldada reta tipo PMSP 100 - fck 25 MPa</t>
    </r>
  </si>
  <si>
    <r>
      <rPr>
        <sz val="8.5"/>
        <rFont val="Calibri"/>
        <family val="2"/>
      </rPr>
      <t>36,05</t>
    </r>
  </si>
  <si>
    <r>
      <rPr>
        <sz val="8.5"/>
        <rFont val="Calibri"/>
        <family val="2"/>
      </rPr>
      <t>54.06.100</t>
    </r>
  </si>
  <si>
    <r>
      <rPr>
        <sz val="8.5"/>
        <rFont val="Calibri"/>
        <family val="2"/>
      </rPr>
      <t>Base em concreto com fck de 20 MPa, para guias, sarjetas ou sarjetões</t>
    </r>
  </si>
  <si>
    <r>
      <rPr>
        <sz val="8.5"/>
        <rFont val="Calibri"/>
        <family val="2"/>
      </rPr>
      <t>389,58</t>
    </r>
  </si>
  <si>
    <r>
      <rPr>
        <sz val="8.5"/>
        <rFont val="Calibri"/>
        <family val="2"/>
      </rPr>
      <t>31,53</t>
    </r>
  </si>
  <si>
    <r>
      <rPr>
        <sz val="8.5"/>
        <rFont val="Calibri"/>
        <family val="2"/>
      </rPr>
      <t>421,11</t>
    </r>
  </si>
  <si>
    <r>
      <rPr>
        <sz val="8.5"/>
        <rFont val="Calibri"/>
        <family val="2"/>
      </rPr>
      <t>54.06.110</t>
    </r>
  </si>
  <si>
    <r>
      <rPr>
        <sz val="8.5"/>
        <rFont val="Calibri"/>
        <family val="2"/>
      </rPr>
      <t>Base em concreto com fck de 25 MPa, para guias, sarjetas ou sarjetões</t>
    </r>
  </si>
  <si>
    <r>
      <rPr>
        <sz val="8.5"/>
        <rFont val="Calibri"/>
        <family val="2"/>
      </rPr>
      <t>402,98</t>
    </r>
  </si>
  <si>
    <r>
      <rPr>
        <sz val="8.5"/>
        <rFont val="Calibri"/>
        <family val="2"/>
      </rPr>
      <t>434,51</t>
    </r>
  </si>
  <si>
    <r>
      <rPr>
        <sz val="8.5"/>
        <rFont val="Calibri"/>
        <family val="2"/>
      </rPr>
      <t>54.06.150</t>
    </r>
  </si>
  <si>
    <r>
      <rPr>
        <sz val="8.5"/>
        <rFont val="Calibri"/>
        <family val="2"/>
      </rPr>
      <t>Execução de perfil extrusado no local</t>
    </r>
  </si>
  <si>
    <r>
      <rPr>
        <sz val="8.5"/>
        <rFont val="Calibri"/>
        <family val="2"/>
      </rPr>
      <t>1.084,98</t>
    </r>
  </si>
  <si>
    <r>
      <rPr>
        <sz val="8.5"/>
        <rFont val="Calibri"/>
        <family val="2"/>
      </rPr>
      <t>54.06.160</t>
    </r>
  </si>
  <si>
    <r>
      <rPr>
        <sz val="8.5"/>
        <rFont val="Calibri"/>
        <family val="2"/>
      </rPr>
      <t xml:space="preserve">Sarjeta ou sarjetão moldado no local, tipo PMSP em concreto com fck 20
</t>
    </r>
    <r>
      <rPr>
        <sz val="8.5"/>
        <rFont val="Calibri"/>
        <family val="2"/>
      </rPr>
      <t>MPa</t>
    </r>
  </si>
  <si>
    <r>
      <rPr>
        <sz val="8.5"/>
        <rFont val="Calibri"/>
        <family val="2"/>
      </rPr>
      <t>534,52</t>
    </r>
  </si>
  <si>
    <r>
      <rPr>
        <sz val="8.5"/>
        <rFont val="Calibri"/>
        <family val="2"/>
      </rPr>
      <t>598,84</t>
    </r>
  </si>
  <si>
    <r>
      <rPr>
        <sz val="8.5"/>
        <rFont val="Calibri"/>
        <family val="2"/>
      </rPr>
      <t>54.06.170</t>
    </r>
  </si>
  <si>
    <r>
      <rPr>
        <sz val="8.5"/>
        <rFont val="Calibri"/>
        <family val="2"/>
      </rPr>
      <t xml:space="preserve">Sarjeta ou sarjetão moldado no local, tipo PMSP em concreto com fck 25
</t>
    </r>
    <r>
      <rPr>
        <sz val="8.5"/>
        <rFont val="Calibri"/>
        <family val="2"/>
      </rPr>
      <t>MPa</t>
    </r>
  </si>
  <si>
    <r>
      <rPr>
        <sz val="8.5"/>
        <rFont val="Calibri"/>
        <family val="2"/>
      </rPr>
      <t>547,92</t>
    </r>
  </si>
  <si>
    <r>
      <rPr>
        <sz val="8.5"/>
        <rFont val="Calibri"/>
        <family val="2"/>
      </rPr>
      <t>612,24</t>
    </r>
  </si>
  <si>
    <r>
      <rPr>
        <sz val="8.5"/>
        <rFont val="Calibri"/>
        <family val="2"/>
      </rPr>
      <t>Calcadas e passeios.</t>
    </r>
  </si>
  <si>
    <r>
      <rPr>
        <sz val="8.5"/>
        <rFont val="Calibri"/>
        <family val="2"/>
      </rPr>
      <t>54.07.040</t>
    </r>
  </si>
  <si>
    <r>
      <rPr>
        <sz val="8.5"/>
        <rFont val="Calibri"/>
        <family val="2"/>
      </rPr>
      <t>Passeio em mosaico português</t>
    </r>
  </si>
  <si>
    <r>
      <rPr>
        <sz val="8.5"/>
        <rFont val="Calibri"/>
        <family val="2"/>
      </rPr>
      <t>192,58</t>
    </r>
  </si>
  <si>
    <r>
      <rPr>
        <sz val="8.5"/>
        <rFont val="Calibri"/>
        <family val="2"/>
      </rPr>
      <t>54.07.110</t>
    </r>
  </si>
  <si>
    <r>
      <rPr>
        <sz val="8.5"/>
        <rFont val="Calibri"/>
        <family val="2"/>
      </rPr>
      <t xml:space="preserve">Piso em ladrilho hidráulico preto, branco e cinza 20 x 20 cm, assentado
</t>
    </r>
    <r>
      <rPr>
        <sz val="8.5"/>
        <rFont val="Calibri"/>
        <family val="2"/>
      </rPr>
      <t>com argamassa colante industrializada</t>
    </r>
  </si>
  <si>
    <r>
      <rPr>
        <sz val="8.5"/>
        <rFont val="Calibri"/>
        <family val="2"/>
      </rPr>
      <t>74,07</t>
    </r>
  </si>
  <si>
    <r>
      <rPr>
        <sz val="8.5"/>
        <rFont val="Calibri"/>
        <family val="2"/>
      </rPr>
      <t>82,26</t>
    </r>
  </si>
  <si>
    <r>
      <rPr>
        <sz val="8.5"/>
        <rFont val="Calibri"/>
        <family val="2"/>
      </rPr>
      <t>54.07.130</t>
    </r>
  </si>
  <si>
    <r>
      <rPr>
        <sz val="8.5"/>
        <rFont val="Calibri"/>
        <family val="2"/>
      </rPr>
      <t xml:space="preserve">Piso em ladrilho hidráulico várias cores 20 x 20 cm, assentado com
</t>
    </r>
    <r>
      <rPr>
        <sz val="8.5"/>
        <rFont val="Calibri"/>
        <family val="2"/>
      </rPr>
      <t>argamassa colante industrializada</t>
    </r>
  </si>
  <si>
    <r>
      <rPr>
        <sz val="8.5"/>
        <rFont val="Calibri"/>
        <family val="2"/>
      </rPr>
      <t>74,10</t>
    </r>
  </si>
  <si>
    <r>
      <rPr>
        <sz val="8.5"/>
        <rFont val="Calibri"/>
        <family val="2"/>
      </rPr>
      <t>82,29</t>
    </r>
  </si>
  <si>
    <r>
      <rPr>
        <sz val="8.5"/>
        <rFont val="Calibri"/>
        <family val="2"/>
      </rPr>
      <t>54.07.210</t>
    </r>
  </si>
  <si>
    <r>
      <rPr>
        <sz val="8.5"/>
        <rFont val="Calibri"/>
        <family val="2"/>
      </rPr>
      <t xml:space="preserve">Rejuntamento de piso em ladrilho hidráulico (20 x 20 x 1,8 cm) com
</t>
    </r>
    <r>
      <rPr>
        <sz val="8.5"/>
        <rFont val="Calibri"/>
        <family val="2"/>
      </rPr>
      <t>argamassa industrializada para rejunte, juntas de 2 mm</t>
    </r>
  </si>
  <si>
    <r>
      <rPr>
        <sz val="8.5"/>
        <rFont val="Calibri"/>
        <family val="2"/>
      </rPr>
      <t>3,35</t>
    </r>
  </si>
  <si>
    <r>
      <rPr>
        <sz val="8.5"/>
        <rFont val="Calibri"/>
        <family val="2"/>
      </rPr>
      <t>10,66</t>
    </r>
  </si>
  <si>
    <r>
      <rPr>
        <sz val="8.5"/>
        <rFont val="Calibri"/>
        <family val="2"/>
      </rPr>
      <t>54.07.240</t>
    </r>
  </si>
  <si>
    <r>
      <rPr>
        <sz val="8.5"/>
        <rFont val="Calibri"/>
        <family val="2"/>
      </rPr>
      <t xml:space="preserve">Rejuntamento de piso em ladrilho hidráulico (30 x 30 x 2,5 cm), com
</t>
    </r>
    <r>
      <rPr>
        <sz val="8.5"/>
        <rFont val="Calibri"/>
        <family val="2"/>
      </rPr>
      <t>cimento branco, juntas de 2 mm</t>
    </r>
  </si>
  <si>
    <r>
      <rPr>
        <sz val="8.5"/>
        <rFont val="Calibri"/>
        <family val="2"/>
      </rPr>
      <t>8,73</t>
    </r>
  </si>
  <si>
    <r>
      <rPr>
        <sz val="8.5"/>
        <rFont val="Calibri"/>
        <family val="2"/>
      </rPr>
      <t>54.07.260</t>
    </r>
  </si>
  <si>
    <r>
      <rPr>
        <sz val="8.5"/>
        <rFont val="Calibri"/>
        <family val="2"/>
      </rPr>
      <t xml:space="preserve">Piso em ladrilho hidráulico tipo rampa várias cores 30 x 30 cm,
</t>
    </r>
    <r>
      <rPr>
        <sz val="8.5"/>
        <rFont val="Calibri"/>
        <family val="2"/>
      </rPr>
      <t>antiderrapante, assentado com argamassa mista</t>
    </r>
  </si>
  <si>
    <r>
      <rPr>
        <sz val="8.5"/>
        <rFont val="Calibri"/>
        <family val="2"/>
      </rPr>
      <t>83,78</t>
    </r>
  </si>
  <si>
    <r>
      <rPr>
        <sz val="8.5"/>
        <rFont val="Calibri"/>
        <family val="2"/>
      </rPr>
      <t>104,52</t>
    </r>
  </si>
  <si>
    <r>
      <rPr>
        <sz val="8.5"/>
        <rFont val="Calibri"/>
        <family val="2"/>
      </rPr>
      <t>Reparos, conservacoes e complementos - GRUPO 54</t>
    </r>
  </si>
  <si>
    <r>
      <rPr>
        <sz val="8.5"/>
        <rFont val="Calibri"/>
        <family val="2"/>
      </rPr>
      <t>54.20.040</t>
    </r>
  </si>
  <si>
    <r>
      <rPr>
        <sz val="8.5"/>
        <rFont val="Calibri"/>
        <family val="2"/>
      </rPr>
      <t>Bate-roda em concreto pré-moldado</t>
    </r>
  </si>
  <si>
    <r>
      <rPr>
        <sz val="8.5"/>
        <rFont val="Calibri"/>
        <family val="2"/>
      </rPr>
      <t>51,49</t>
    </r>
  </si>
  <si>
    <r>
      <rPr>
        <sz val="8.5"/>
        <rFont val="Calibri"/>
        <family val="2"/>
      </rPr>
      <t>10,01</t>
    </r>
  </si>
  <si>
    <r>
      <rPr>
        <sz val="8.5"/>
        <rFont val="Calibri"/>
        <family val="2"/>
      </rPr>
      <t>61,50</t>
    </r>
  </si>
  <si>
    <r>
      <rPr>
        <sz val="8.5"/>
        <rFont val="Calibri"/>
        <family val="2"/>
      </rPr>
      <t>54.20.100</t>
    </r>
  </si>
  <si>
    <r>
      <rPr>
        <sz val="8.5"/>
        <rFont val="Calibri"/>
        <family val="2"/>
      </rPr>
      <t>Reassentamento de guia pré-moldada reta e/ou curva</t>
    </r>
  </si>
  <si>
    <r>
      <rPr>
        <sz val="8.5"/>
        <rFont val="Calibri"/>
        <family val="2"/>
      </rPr>
      <t>16,69</t>
    </r>
  </si>
  <si>
    <r>
      <rPr>
        <sz val="8.5"/>
        <rFont val="Calibri"/>
        <family val="2"/>
      </rPr>
      <t>54.20.110</t>
    </r>
  </si>
  <si>
    <r>
      <rPr>
        <sz val="8.5"/>
        <rFont val="Calibri"/>
        <family val="2"/>
      </rPr>
      <t>Reassentamento de paralelepípedos, sem rejunte</t>
    </r>
  </si>
  <si>
    <r>
      <rPr>
        <sz val="8.5"/>
        <rFont val="Calibri"/>
        <family val="2"/>
      </rPr>
      <t>11,22</t>
    </r>
  </si>
  <si>
    <r>
      <rPr>
        <sz val="8.5"/>
        <rFont val="Calibri"/>
        <family val="2"/>
      </rPr>
      <t>54.20.120</t>
    </r>
  </si>
  <si>
    <r>
      <rPr>
        <sz val="8.5"/>
        <rFont val="Calibri"/>
        <family val="2"/>
      </rPr>
      <t xml:space="preserve">Reassentamento de pavimentação em lajota de concreto, espessura 6
</t>
    </r>
    <r>
      <rPr>
        <sz val="8.5"/>
        <rFont val="Calibri"/>
        <family val="2"/>
      </rPr>
      <t>cm, com rejunte em areia</t>
    </r>
  </si>
  <si>
    <r>
      <rPr>
        <sz val="8.5"/>
        <rFont val="Calibri"/>
        <family val="2"/>
      </rPr>
      <t>18,66</t>
    </r>
  </si>
  <si>
    <r>
      <rPr>
        <sz val="8.5"/>
        <rFont val="Calibri"/>
        <family val="2"/>
      </rPr>
      <t>54.20.130</t>
    </r>
  </si>
  <si>
    <r>
      <rPr>
        <sz val="8.5"/>
        <rFont val="Calibri"/>
        <family val="2"/>
      </rPr>
      <t xml:space="preserve">Reassentamento de pavimentação em lajota de concreto, espessura 8
</t>
    </r>
    <r>
      <rPr>
        <sz val="8.5"/>
        <rFont val="Calibri"/>
        <family val="2"/>
      </rPr>
      <t>cm, com rejunte em areia</t>
    </r>
  </si>
  <si>
    <r>
      <rPr>
        <sz val="8.5"/>
        <rFont val="Calibri"/>
        <family val="2"/>
      </rPr>
      <t>7,30</t>
    </r>
  </si>
  <si>
    <r>
      <rPr>
        <sz val="8.5"/>
        <rFont val="Calibri"/>
        <family val="2"/>
      </rPr>
      <t>20,57</t>
    </r>
  </si>
  <si>
    <r>
      <rPr>
        <sz val="8.5"/>
        <rFont val="Calibri"/>
        <family val="2"/>
      </rPr>
      <t>54.20.140</t>
    </r>
  </si>
  <si>
    <r>
      <rPr>
        <sz val="8.5"/>
        <rFont val="Calibri"/>
        <family val="2"/>
      </rPr>
      <t xml:space="preserve">Reassentamento de pavimentação em lajota de concreto, espessura 10
</t>
    </r>
    <r>
      <rPr>
        <sz val="8.5"/>
        <rFont val="Calibri"/>
        <family val="2"/>
      </rPr>
      <t>cm, com rejunte em areia</t>
    </r>
  </si>
  <si>
    <r>
      <rPr>
        <sz val="8.5"/>
        <rFont val="Calibri"/>
        <family val="2"/>
      </rPr>
      <t>7,44</t>
    </r>
  </si>
  <si>
    <r>
      <rPr>
        <sz val="8.5"/>
        <rFont val="Calibri"/>
        <family val="2"/>
      </rPr>
      <t>15,94</t>
    </r>
  </si>
  <si>
    <r>
      <rPr>
        <sz val="8.5"/>
        <rFont val="Calibri"/>
        <family val="2"/>
      </rPr>
      <t>23,38</t>
    </r>
  </si>
  <si>
    <r>
      <rPr>
        <sz val="8.5"/>
        <rFont val="Calibri"/>
        <family val="2"/>
      </rPr>
      <t>LIMPEZA E ARREMATE</t>
    </r>
  </si>
  <si>
    <r>
      <rPr>
        <sz val="8.5"/>
        <rFont val="Calibri"/>
        <family val="2"/>
      </rPr>
      <t>Limpeza de obra</t>
    </r>
  </si>
  <si>
    <r>
      <rPr>
        <sz val="8.5"/>
        <rFont val="Calibri"/>
        <family val="2"/>
      </rPr>
      <t>55.01.020</t>
    </r>
  </si>
  <si>
    <r>
      <rPr>
        <sz val="8.5"/>
        <rFont val="Calibri"/>
        <family val="2"/>
      </rPr>
      <t>Limpeza final da obra</t>
    </r>
  </si>
  <si>
    <r>
      <rPr>
        <sz val="8.5"/>
        <rFont val="Calibri"/>
        <family val="2"/>
      </rPr>
      <t>55.01.030</t>
    </r>
  </si>
  <si>
    <r>
      <rPr>
        <sz val="8.5"/>
        <rFont val="Calibri"/>
        <family val="2"/>
      </rPr>
      <t>Limpeza complementar com hidrojateamento</t>
    </r>
  </si>
  <si>
    <r>
      <rPr>
        <sz val="8.5"/>
        <rFont val="Calibri"/>
        <family val="2"/>
      </rPr>
      <t>4,30</t>
    </r>
  </si>
  <si>
    <r>
      <rPr>
        <sz val="8.5"/>
        <rFont val="Calibri"/>
        <family val="2"/>
      </rPr>
      <t>6,54</t>
    </r>
  </si>
  <si>
    <r>
      <rPr>
        <sz val="8.5"/>
        <rFont val="Calibri"/>
        <family val="2"/>
      </rPr>
      <t>55.01.070</t>
    </r>
  </si>
  <si>
    <r>
      <rPr>
        <sz val="8.5"/>
        <rFont val="Calibri"/>
        <family val="2"/>
      </rPr>
      <t>Limpeza complementar e especial de piso com produtos químicos</t>
    </r>
  </si>
  <si>
    <r>
      <rPr>
        <sz val="8.5"/>
        <rFont val="Calibri"/>
        <family val="2"/>
      </rPr>
      <t>4,35</t>
    </r>
  </si>
  <si>
    <r>
      <rPr>
        <sz val="8.5"/>
        <rFont val="Calibri"/>
        <family val="2"/>
      </rPr>
      <t>55.01.080</t>
    </r>
  </si>
  <si>
    <r>
      <rPr>
        <sz val="8.5"/>
        <rFont val="Calibri"/>
        <family val="2"/>
      </rPr>
      <t>Limpeza complementar e especial de peças e aparelhos sanitários</t>
    </r>
  </si>
  <si>
    <r>
      <rPr>
        <sz val="8.5"/>
        <rFont val="Calibri"/>
        <family val="2"/>
      </rPr>
      <t>55.01.100</t>
    </r>
  </si>
  <si>
    <r>
      <rPr>
        <sz val="8.5"/>
        <rFont val="Calibri"/>
        <family val="2"/>
      </rPr>
      <t>Limpeza complementar e especial de vidros</t>
    </r>
  </si>
  <si>
    <r>
      <rPr>
        <sz val="8.5"/>
        <rFont val="Calibri"/>
        <family val="2"/>
      </rPr>
      <t>55.01.130</t>
    </r>
  </si>
  <si>
    <r>
      <rPr>
        <sz val="8.5"/>
        <rFont val="Calibri"/>
        <family val="2"/>
      </rPr>
      <t xml:space="preserve">Limpeza e lavagem de superfície revestida com material cerâmico ou
</t>
    </r>
    <r>
      <rPr>
        <sz val="8.5"/>
        <rFont val="Calibri"/>
        <family val="2"/>
      </rPr>
      <t>pastilhas por hidrojateamento com rejuntamento</t>
    </r>
  </si>
  <si>
    <r>
      <rPr>
        <sz val="8.5"/>
        <rFont val="Calibri"/>
        <family val="2"/>
      </rPr>
      <t>10,10</t>
    </r>
  </si>
  <si>
    <r>
      <rPr>
        <sz val="8.5"/>
        <rFont val="Calibri"/>
        <family val="2"/>
      </rPr>
      <t>55.01.140</t>
    </r>
  </si>
  <si>
    <r>
      <rPr>
        <sz val="8.5"/>
        <rFont val="Calibri"/>
        <family val="2"/>
      </rPr>
      <t>Limpeza de superfície com hidrojateamento</t>
    </r>
  </si>
  <si>
    <r>
      <rPr>
        <sz val="8.5"/>
        <rFont val="Calibri"/>
        <family val="2"/>
      </rPr>
      <t>6,64</t>
    </r>
  </si>
  <si>
    <r>
      <rPr>
        <sz val="8.5"/>
        <rFont val="Calibri"/>
        <family val="2"/>
      </rPr>
      <t>Limpeza e desinfeccao sanitaria</t>
    </r>
  </si>
  <si>
    <r>
      <rPr>
        <sz val="8.5"/>
        <rFont val="Calibri"/>
        <family val="2"/>
      </rPr>
      <t>55.02.010</t>
    </r>
  </si>
  <si>
    <r>
      <rPr>
        <sz val="8.5"/>
        <rFont val="Calibri"/>
        <family val="2"/>
      </rPr>
      <t>Limpeza de caixa de inspeção</t>
    </r>
  </si>
  <si>
    <r>
      <rPr>
        <sz val="8.5"/>
        <rFont val="Calibri"/>
        <family val="2"/>
      </rPr>
      <t>55.02.012</t>
    </r>
  </si>
  <si>
    <r>
      <rPr>
        <sz val="8.5"/>
        <rFont val="Calibri"/>
        <family val="2"/>
      </rPr>
      <t>Limpeza de caixa de passagem, poço de visita ou bueiro</t>
    </r>
  </si>
  <si>
    <r>
      <rPr>
        <sz val="8.5"/>
        <rFont val="Calibri"/>
        <family val="2"/>
      </rPr>
      <t>55.02.020</t>
    </r>
  </si>
  <si>
    <r>
      <rPr>
        <sz val="8.5"/>
        <rFont val="Calibri"/>
        <family val="2"/>
      </rPr>
      <t>Limpeza de fossa</t>
    </r>
  </si>
  <si>
    <r>
      <rPr>
        <sz val="8.5"/>
        <rFont val="Calibri"/>
        <family val="2"/>
      </rPr>
      <t>144,61</t>
    </r>
  </si>
  <si>
    <r>
      <rPr>
        <sz val="8.5"/>
        <rFont val="Calibri"/>
        <family val="2"/>
      </rPr>
      <t>55.02.040</t>
    </r>
  </si>
  <si>
    <r>
      <rPr>
        <sz val="8.5"/>
        <rFont val="Calibri"/>
        <family val="2"/>
      </rPr>
      <t>Limpeza e desobstrução de boca de lobo</t>
    </r>
  </si>
  <si>
    <r>
      <rPr>
        <sz val="8.5"/>
        <rFont val="Calibri"/>
        <family val="2"/>
      </rPr>
      <t>55.02.050</t>
    </r>
  </si>
  <si>
    <r>
      <rPr>
        <sz val="8.5"/>
        <rFont val="Calibri"/>
        <family val="2"/>
      </rPr>
      <t>Limpeza e desobstrução de canaletas ou tubulações de águas pluviais</t>
    </r>
  </si>
  <si>
    <r>
      <rPr>
        <sz val="8.5"/>
        <rFont val="Calibri"/>
        <family val="2"/>
      </rPr>
      <t>55.02.060</t>
    </r>
  </si>
  <si>
    <r>
      <rPr>
        <sz val="8.5"/>
        <rFont val="Calibri"/>
        <family val="2"/>
      </rPr>
      <t>Limpeza e desentupimento manual de tubulação de esgoto predial</t>
    </r>
  </si>
  <si>
    <r>
      <rPr>
        <sz val="8.5"/>
        <rFont val="Calibri"/>
        <family val="2"/>
      </rPr>
      <t>Remocao de entulho</t>
    </r>
  </si>
  <si>
    <r>
      <rPr>
        <sz val="8.5"/>
        <rFont val="Calibri"/>
        <family val="2"/>
      </rPr>
      <t>55.10.030</t>
    </r>
  </si>
  <si>
    <r>
      <rPr>
        <sz val="8.5"/>
        <rFont val="Calibri"/>
        <family val="2"/>
      </rPr>
      <t>Locação de duto coletor de entulho</t>
    </r>
  </si>
  <si>
    <r>
      <rPr>
        <sz val="8.5"/>
        <rFont val="Calibri"/>
        <family val="2"/>
      </rPr>
      <t>CONFORTO MECANICO, EQUIPAMENTO E SISTEMA</t>
    </r>
  </si>
  <si>
    <r>
      <rPr>
        <sz val="8.5"/>
        <rFont val="Calibri"/>
        <family val="2"/>
      </rPr>
      <t>Elevador</t>
    </r>
  </si>
  <si>
    <r>
      <rPr>
        <sz val="8.5"/>
        <rFont val="Calibri"/>
        <family val="2"/>
      </rPr>
      <t>61.01.670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</si>
  <si>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duas paradas, portas unilaterais</t>
    </r>
  </si>
  <si>
    <r>
      <rPr>
        <sz val="8.5"/>
        <rFont val="Calibri"/>
        <family val="2"/>
      </rPr>
      <t>77.329,66</t>
    </r>
  </si>
  <si>
    <r>
      <rPr>
        <sz val="8.5"/>
        <rFont val="Calibri"/>
        <family val="2"/>
      </rPr>
      <t>61.01.680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</si>
  <si>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três paradas, portas unilaterais</t>
    </r>
  </si>
  <si>
    <r>
      <rPr>
        <sz val="8.5"/>
        <rFont val="Calibri"/>
        <family val="2"/>
      </rPr>
      <t>100.258,81</t>
    </r>
  </si>
  <si>
    <r>
      <rPr>
        <sz val="8.5"/>
        <rFont val="Calibri"/>
        <family val="2"/>
      </rPr>
      <t>61.01.690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</si>
  <si>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três paradas, portas bilaterais</t>
    </r>
  </si>
  <si>
    <r>
      <rPr>
        <sz val="8.5"/>
        <rFont val="Calibri"/>
        <family val="2"/>
      </rPr>
      <t>87.220,67</t>
    </r>
  </si>
  <si>
    <r>
      <rPr>
        <sz val="8.5"/>
        <rFont val="Calibri"/>
        <family val="2"/>
      </rPr>
      <t>61.01.760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</si>
  <si>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quatro paradas, portas bilaterais</t>
    </r>
  </si>
  <si>
    <r>
      <rPr>
        <sz val="8.5"/>
        <rFont val="Calibri"/>
        <family val="2"/>
      </rPr>
      <t>93.514,94</t>
    </r>
  </si>
  <si>
    <r>
      <rPr>
        <sz val="8.5"/>
        <rFont val="Calibri"/>
        <family val="2"/>
      </rPr>
      <t>61.01.770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</si>
  <si>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quatro paradas, portas unilaterais</t>
    </r>
  </si>
  <si>
    <r>
      <rPr>
        <sz val="8.5"/>
        <rFont val="Calibri"/>
        <family val="2"/>
      </rPr>
      <t>107.901,85</t>
    </r>
  </si>
  <si>
    <r>
      <rPr>
        <sz val="8.5"/>
        <rFont val="Calibri"/>
        <family val="2"/>
      </rPr>
      <t>61.01.800</t>
    </r>
  </si>
  <si>
    <r>
      <rPr>
        <sz val="8.5"/>
        <rFont val="Calibri"/>
        <family val="2"/>
      </rPr>
      <t>Fechamento em vidro laminado para caixa de elevador</t>
    </r>
  </si>
  <si>
    <r>
      <rPr>
        <sz val="8.5"/>
        <rFont val="Calibri"/>
        <family val="2"/>
      </rPr>
      <t>658,16</t>
    </r>
  </si>
  <si>
    <r>
      <rPr>
        <sz val="8.5"/>
        <rFont val="Calibri"/>
        <family val="2"/>
      </rPr>
      <t>Climatizacao</t>
    </r>
  </si>
  <si>
    <r>
      <rPr>
        <sz val="8.5"/>
        <rFont val="Calibri"/>
        <family val="2"/>
      </rPr>
      <t>61.10.001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</si>
  <si>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120 TR</t>
    </r>
  </si>
  <si>
    <r>
      <rPr>
        <sz val="8.5"/>
        <rFont val="Calibri"/>
        <family val="2"/>
      </rPr>
      <t>416.591,42</t>
    </r>
  </si>
  <si>
    <r>
      <rPr>
        <sz val="8.5"/>
        <rFont val="Calibri"/>
        <family val="2"/>
      </rPr>
      <t>22.489,85</t>
    </r>
  </si>
  <si>
    <r>
      <rPr>
        <sz val="8.5"/>
        <rFont val="Calibri"/>
        <family val="2"/>
      </rPr>
      <t>439.081,27</t>
    </r>
  </si>
  <si>
    <r>
      <rPr>
        <sz val="8.5"/>
        <rFont val="Calibri"/>
        <family val="2"/>
      </rPr>
      <t>61.10.007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</si>
  <si>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160 TR</t>
    </r>
  </si>
  <si>
    <r>
      <rPr>
        <sz val="8.5"/>
        <rFont val="Calibri"/>
        <family val="2"/>
      </rPr>
      <t>381.805,38</t>
    </r>
  </si>
  <si>
    <r>
      <rPr>
        <sz val="8.5"/>
        <rFont val="Calibri"/>
        <family val="2"/>
      </rPr>
      <t>23.956,52</t>
    </r>
  </si>
  <si>
    <r>
      <rPr>
        <sz val="8.5"/>
        <rFont val="Calibri"/>
        <family val="2"/>
      </rPr>
      <t>405.761,90</t>
    </r>
  </si>
  <si>
    <r>
      <rPr>
        <sz val="8.5"/>
        <rFont val="Calibri"/>
        <family val="2"/>
      </rPr>
      <t>61.10.010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</si>
  <si>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200-210 TR</t>
    </r>
  </si>
  <si>
    <r>
      <rPr>
        <sz val="8.5"/>
        <rFont val="Calibri"/>
        <family val="2"/>
      </rPr>
      <t>656.975,07</t>
    </r>
  </si>
  <si>
    <r>
      <rPr>
        <sz val="8.5"/>
        <rFont val="Calibri"/>
        <family val="2"/>
      </rPr>
      <t>21.781,95</t>
    </r>
  </si>
  <si>
    <r>
      <rPr>
        <sz val="8.5"/>
        <rFont val="Calibri"/>
        <family val="2"/>
      </rPr>
      <t>678.757,02</t>
    </r>
  </si>
  <si>
    <r>
      <rPr>
        <sz val="8.5"/>
        <rFont val="Calibri"/>
        <family val="2"/>
      </rPr>
      <t>61.10.012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</si>
  <si>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80 TR</t>
    </r>
  </si>
  <si>
    <r>
      <rPr>
        <sz val="8.5"/>
        <rFont val="Calibri"/>
        <family val="2"/>
      </rPr>
      <t>230.509,98</t>
    </r>
  </si>
  <si>
    <r>
      <rPr>
        <sz val="8.5"/>
        <rFont val="Calibri"/>
        <family val="2"/>
      </rPr>
      <t>17.991,88</t>
    </r>
  </si>
  <si>
    <r>
      <rPr>
        <sz val="8.5"/>
        <rFont val="Calibri"/>
        <family val="2"/>
      </rPr>
      <t>248.501,86</t>
    </r>
  </si>
  <si>
    <r>
      <rPr>
        <sz val="8.5"/>
        <rFont val="Calibri"/>
        <family val="2"/>
      </rPr>
      <t>61.10.014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</si>
  <si>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20 TR</t>
    </r>
  </si>
  <si>
    <r>
      <rPr>
        <sz val="8.5"/>
        <rFont val="Calibri"/>
        <family val="2"/>
      </rPr>
      <t>85.836,14</t>
    </r>
  </si>
  <si>
    <r>
      <rPr>
        <sz val="8.5"/>
        <rFont val="Calibri"/>
        <family val="2"/>
      </rPr>
      <t>11.244,93</t>
    </r>
  </si>
  <si>
    <r>
      <rPr>
        <sz val="8.5"/>
        <rFont val="Calibri"/>
        <family val="2"/>
      </rPr>
      <t>97.081,07</t>
    </r>
  </si>
  <si>
    <r>
      <rPr>
        <sz val="8.5"/>
        <rFont val="Calibri"/>
        <family val="2"/>
      </rPr>
      <t>61.10.100</t>
    </r>
  </si>
  <si>
    <r>
      <rPr>
        <sz val="8.5"/>
        <rFont val="Calibri"/>
        <family val="2"/>
      </rPr>
      <t xml:space="preserve">Tratamento de ar (fan-coil) tipo Air Handling Unit de concepção modular,
</t>
    </r>
    <r>
      <rPr>
        <sz val="8.5"/>
        <rFont val="Calibri"/>
        <family val="2"/>
      </rPr>
      <t>capacidade de 10 TR</t>
    </r>
  </si>
  <si>
    <r>
      <rPr>
        <sz val="8.5"/>
        <rFont val="Calibri"/>
        <family val="2"/>
      </rPr>
      <t>18.578,19</t>
    </r>
  </si>
  <si>
    <r>
      <rPr>
        <sz val="8.5"/>
        <rFont val="Calibri"/>
        <family val="2"/>
      </rPr>
      <t>2.659,60</t>
    </r>
  </si>
  <si>
    <r>
      <rPr>
        <sz val="8.5"/>
        <rFont val="Calibri"/>
        <family val="2"/>
      </rPr>
      <t>21.237,79</t>
    </r>
  </si>
  <si>
    <r>
      <rPr>
        <sz val="8.5"/>
        <rFont val="Calibri"/>
        <family val="2"/>
      </rPr>
      <t>61.10.101</t>
    </r>
  </si>
  <si>
    <r>
      <rPr>
        <sz val="8.5"/>
        <rFont val="Calibri"/>
        <family val="2"/>
      </rPr>
      <t xml:space="preserve">Tratamento de ar (Fan-Coil) tipo Air Handling Unit de concepção
</t>
    </r>
    <r>
      <rPr>
        <sz val="8.5"/>
        <rFont val="Calibri"/>
        <family val="2"/>
      </rPr>
      <t>modular, capacidade de 6 TR</t>
    </r>
  </si>
  <si>
    <r>
      <rPr>
        <sz val="8.5"/>
        <rFont val="Calibri"/>
        <family val="2"/>
      </rPr>
      <t>15.893,08</t>
    </r>
  </si>
  <si>
    <r>
      <rPr>
        <sz val="8.5"/>
        <rFont val="Calibri"/>
        <family val="2"/>
      </rPr>
      <t>18.552,68</t>
    </r>
  </si>
  <si>
    <r>
      <rPr>
        <sz val="8.5"/>
        <rFont val="Calibri"/>
        <family val="2"/>
      </rPr>
      <t>61.10.110</t>
    </r>
  </si>
  <si>
    <r>
      <rPr>
        <sz val="8.5"/>
        <rFont val="Calibri"/>
        <family val="2"/>
      </rPr>
      <t xml:space="preserve">Tratamento de ar (fan-coil) tipo Air Handling Unit de concepção modular,
</t>
    </r>
    <r>
      <rPr>
        <sz val="8.5"/>
        <rFont val="Calibri"/>
        <family val="2"/>
      </rPr>
      <t>capacidade de 40 TR</t>
    </r>
  </si>
  <si>
    <r>
      <rPr>
        <sz val="8.5"/>
        <rFont val="Calibri"/>
        <family val="2"/>
      </rPr>
      <t>51.231,76</t>
    </r>
  </si>
  <si>
    <r>
      <rPr>
        <sz val="8.5"/>
        <rFont val="Calibri"/>
        <family val="2"/>
      </rPr>
      <t>5.808,76</t>
    </r>
  </si>
  <si>
    <r>
      <rPr>
        <sz val="8.5"/>
        <rFont val="Calibri"/>
        <family val="2"/>
      </rPr>
      <t>57.040,52</t>
    </r>
  </si>
  <si>
    <r>
      <rPr>
        <sz val="8.5"/>
        <rFont val="Calibri"/>
        <family val="2"/>
      </rPr>
      <t>61.10.120</t>
    </r>
  </si>
  <si>
    <r>
      <rPr>
        <sz val="8.5"/>
        <rFont val="Calibri"/>
        <family val="2"/>
      </rPr>
      <t xml:space="preserve">Tratamento de ar (fan-coil) tipo Air Handling Unit de concepção modular,
</t>
    </r>
    <r>
      <rPr>
        <sz val="8.5"/>
        <rFont val="Calibri"/>
        <family val="2"/>
      </rPr>
      <t>capacidade de 50 TR</t>
    </r>
  </si>
  <si>
    <r>
      <rPr>
        <sz val="8.5"/>
        <rFont val="Calibri"/>
        <family val="2"/>
      </rPr>
      <t>46.705,32</t>
    </r>
  </si>
  <si>
    <r>
      <rPr>
        <sz val="8.5"/>
        <rFont val="Calibri"/>
        <family val="2"/>
      </rPr>
      <t>7.088,95</t>
    </r>
  </si>
  <si>
    <r>
      <rPr>
        <sz val="8.5"/>
        <rFont val="Calibri"/>
        <family val="2"/>
      </rPr>
      <t>53.794,27</t>
    </r>
  </si>
  <si>
    <r>
      <rPr>
        <sz val="8.5"/>
        <rFont val="Calibri"/>
        <family val="2"/>
      </rPr>
      <t>61.10.200</t>
    </r>
  </si>
  <si>
    <r>
      <rPr>
        <sz val="8.5"/>
        <rFont val="Calibri"/>
        <family val="2"/>
      </rPr>
      <t>Tratamento de ar compacta fancolete hidrônico tipo piso-teto, vazão de ar nominal 637 m³/h, capacidade de refrigeração 14.000 Btu/h - 1,2 TR</t>
    </r>
  </si>
  <si>
    <r>
      <rPr>
        <sz val="8.5"/>
        <rFont val="Calibri"/>
        <family val="2"/>
      </rPr>
      <t>4.044,01</t>
    </r>
  </si>
  <si>
    <r>
      <rPr>
        <sz val="8.5"/>
        <rFont val="Calibri"/>
        <family val="2"/>
      </rPr>
      <t>450,16</t>
    </r>
  </si>
  <si>
    <r>
      <rPr>
        <sz val="8.5"/>
        <rFont val="Calibri"/>
        <family val="2"/>
      </rPr>
      <t>4.494,17</t>
    </r>
  </si>
  <si>
    <r>
      <rPr>
        <sz val="8.5"/>
        <rFont val="Calibri"/>
        <family val="2"/>
      </rPr>
      <t>61.10.210</t>
    </r>
  </si>
  <si>
    <r>
      <rPr>
        <sz val="8.5"/>
        <rFont val="Calibri"/>
        <family val="2"/>
      </rPr>
      <t>Tratamento de ar compacta fancolete hidrônico tipo piso-teto, vazão de ar nominal 1.215 m³/h, capacidade de refrigeração 25.000 Btu/h - 2,1 TR</t>
    </r>
  </si>
  <si>
    <r>
      <rPr>
        <sz val="8.5"/>
        <rFont val="Calibri"/>
        <family val="2"/>
      </rPr>
      <t>4.534,72</t>
    </r>
  </si>
  <si>
    <r>
      <rPr>
        <sz val="8.5"/>
        <rFont val="Calibri"/>
        <family val="2"/>
      </rPr>
      <t>562,70</t>
    </r>
  </si>
  <si>
    <r>
      <rPr>
        <sz val="8.5"/>
        <rFont val="Calibri"/>
        <family val="2"/>
      </rPr>
      <t>5.097,42</t>
    </r>
  </si>
  <si>
    <r>
      <rPr>
        <sz val="8.5"/>
        <rFont val="Calibri"/>
        <family val="2"/>
      </rPr>
      <t>61.10.220</t>
    </r>
  </si>
  <si>
    <r>
      <rPr>
        <sz val="8.5"/>
        <rFont val="Calibri"/>
        <family val="2"/>
      </rPr>
      <t>Tratamento de ar compacta fancolete hidrônico tipo piso-teto, vazão de ar nominal 1.758 m³/h, capacidade de refrigeração 36.000 Btu/h - 3,0 TR</t>
    </r>
  </si>
  <si>
    <r>
      <rPr>
        <sz val="8.5"/>
        <rFont val="Calibri"/>
        <family val="2"/>
      </rPr>
      <t>5.776,70</t>
    </r>
  </si>
  <si>
    <r>
      <rPr>
        <sz val="8.5"/>
        <rFont val="Calibri"/>
        <family val="2"/>
      </rPr>
      <t>675,24</t>
    </r>
  </si>
  <si>
    <r>
      <rPr>
        <sz val="8.5"/>
        <rFont val="Calibri"/>
        <family val="2"/>
      </rPr>
      <t>6.451,94</t>
    </r>
  </si>
  <si>
    <r>
      <rPr>
        <sz val="8.5"/>
        <rFont val="Calibri"/>
        <family val="2"/>
      </rPr>
      <t>61.10.230</t>
    </r>
  </si>
  <si>
    <r>
      <rPr>
        <sz val="8.5"/>
        <rFont val="Calibri"/>
        <family val="2"/>
      </rPr>
      <t>Tratamento de ar compacta fancolete hidrônico tipo piso-teto, vazão de ar nominal 2.166 m³/h, capacidade de refrigeração 48.000 Btu/h - 4,0 TR</t>
    </r>
  </si>
  <si>
    <r>
      <rPr>
        <sz val="8.5"/>
        <rFont val="Calibri"/>
        <family val="2"/>
      </rPr>
      <t>5.819,80</t>
    </r>
  </si>
  <si>
    <r>
      <rPr>
        <sz val="8.5"/>
        <rFont val="Calibri"/>
        <family val="2"/>
      </rPr>
      <t>731,51</t>
    </r>
  </si>
  <si>
    <r>
      <rPr>
        <sz val="8.5"/>
        <rFont val="Calibri"/>
        <family val="2"/>
      </rPr>
      <t>6.551,31</t>
    </r>
  </si>
  <si>
    <r>
      <rPr>
        <sz val="8.5"/>
        <rFont val="Calibri"/>
        <family val="2"/>
      </rPr>
      <t>61.10.250</t>
    </r>
  </si>
  <si>
    <r>
      <rPr>
        <sz val="8.5"/>
        <rFont val="Calibri"/>
        <family val="2"/>
      </rPr>
      <t xml:space="preserve">Tratamento de ar compacta fancolete hidrônico tipo cassete, capacidade
</t>
    </r>
    <r>
      <rPr>
        <sz val="8.5"/>
        <rFont val="Calibri"/>
        <family val="2"/>
      </rPr>
      <t>de refrigeração 20.000 Btu/h - 1,6 TR</t>
    </r>
  </si>
  <si>
    <r>
      <rPr>
        <sz val="8.5"/>
        <rFont val="Calibri"/>
        <family val="2"/>
      </rPr>
      <t>4.194,86</t>
    </r>
  </si>
  <si>
    <r>
      <rPr>
        <sz val="8.5"/>
        <rFont val="Calibri"/>
        <family val="2"/>
      </rPr>
      <t>352,14</t>
    </r>
  </si>
  <si>
    <r>
      <rPr>
        <sz val="8.5"/>
        <rFont val="Calibri"/>
        <family val="2"/>
      </rPr>
      <t>4.547,00</t>
    </r>
  </si>
  <si>
    <r>
      <rPr>
        <sz val="8.5"/>
        <rFont val="Calibri"/>
        <family val="2"/>
      </rPr>
      <t>61.10.260</t>
    </r>
  </si>
  <si>
    <r>
      <rPr>
        <sz val="8.5"/>
        <rFont val="Calibri"/>
        <family val="2"/>
      </rPr>
      <t xml:space="preserve">Tratamento de ar compacta fancolete hidrônico tipo cassete, capacidade
</t>
    </r>
    <r>
      <rPr>
        <sz val="8.5"/>
        <rFont val="Calibri"/>
        <family val="2"/>
      </rPr>
      <t>de refrigeração 25.000 Btu/h - 2,1 TR</t>
    </r>
  </si>
  <si>
    <r>
      <rPr>
        <sz val="8.5"/>
        <rFont val="Calibri"/>
        <family val="2"/>
      </rPr>
      <t>4.764,80</t>
    </r>
  </si>
  <si>
    <r>
      <rPr>
        <sz val="8.5"/>
        <rFont val="Calibri"/>
        <family val="2"/>
      </rPr>
      <t>5.116,94</t>
    </r>
  </si>
  <si>
    <r>
      <rPr>
        <sz val="8.5"/>
        <rFont val="Calibri"/>
        <family val="2"/>
      </rPr>
      <t>61.10.270</t>
    </r>
  </si>
  <si>
    <r>
      <rPr>
        <sz val="8.5"/>
        <rFont val="Calibri"/>
        <family val="2"/>
      </rPr>
      <t xml:space="preserve">Tratamento de ar compacta fancolete hidrônico tipo cassete, capacidade
</t>
    </r>
    <r>
      <rPr>
        <sz val="8.5"/>
        <rFont val="Calibri"/>
        <family val="2"/>
      </rPr>
      <t>de refrigeração 32.000 Btu/h - 2,6 TR</t>
    </r>
  </si>
  <si>
    <r>
      <rPr>
        <sz val="8.5"/>
        <rFont val="Calibri"/>
        <family val="2"/>
      </rPr>
      <t>5.428,62</t>
    </r>
  </si>
  <si>
    <r>
      <rPr>
        <sz val="8.5"/>
        <rFont val="Calibri"/>
        <family val="2"/>
      </rPr>
      <t>5.780,76</t>
    </r>
  </si>
  <si>
    <r>
      <rPr>
        <sz val="8.5"/>
        <rFont val="Calibri"/>
        <family val="2"/>
      </rPr>
      <t>61.10.300</t>
    </r>
  </si>
  <si>
    <r>
      <rPr>
        <sz val="8.5"/>
        <rFont val="Calibri"/>
        <family val="2"/>
      </rPr>
      <t>Duto flexível aluminizado, seção circular de 10cm (4")</t>
    </r>
  </si>
  <si>
    <r>
      <rPr>
        <sz val="8.5"/>
        <rFont val="Calibri"/>
        <family val="2"/>
      </rPr>
      <t>10,35</t>
    </r>
  </si>
  <si>
    <r>
      <rPr>
        <sz val="8.5"/>
        <rFont val="Calibri"/>
        <family val="2"/>
      </rPr>
      <t>20,16</t>
    </r>
  </si>
  <si>
    <r>
      <rPr>
        <sz val="8.5"/>
        <rFont val="Calibri"/>
        <family val="2"/>
      </rPr>
      <t>61.10.310</t>
    </r>
  </si>
  <si>
    <r>
      <rPr>
        <sz val="8.5"/>
        <rFont val="Calibri"/>
        <family val="2"/>
      </rPr>
      <t>Duto flexível aluminizado, seção circular de 15cm (6")</t>
    </r>
  </si>
  <si>
    <r>
      <rPr>
        <sz val="8.5"/>
        <rFont val="Calibri"/>
        <family val="2"/>
      </rPr>
      <t>15,49</t>
    </r>
  </si>
  <si>
    <r>
      <rPr>
        <sz val="8.5"/>
        <rFont val="Calibri"/>
        <family val="2"/>
      </rPr>
      <t>25,30</t>
    </r>
  </si>
  <si>
    <r>
      <rPr>
        <sz val="8.5"/>
        <rFont val="Calibri"/>
        <family val="2"/>
      </rPr>
      <t>61.10.320</t>
    </r>
  </si>
  <si>
    <r>
      <rPr>
        <sz val="8.5"/>
        <rFont val="Calibri"/>
        <family val="2"/>
      </rPr>
      <t>Duto flexível aluminizado, seção circular de 20cm (8")</t>
    </r>
  </si>
  <si>
    <r>
      <rPr>
        <sz val="8.5"/>
        <rFont val="Calibri"/>
        <family val="2"/>
      </rPr>
      <t>28,02</t>
    </r>
  </si>
  <si>
    <r>
      <rPr>
        <sz val="8.5"/>
        <rFont val="Calibri"/>
        <family val="2"/>
      </rPr>
      <t>61.10.380</t>
    </r>
  </si>
  <si>
    <r>
      <rPr>
        <sz val="8.5"/>
        <rFont val="Calibri"/>
        <family val="2"/>
      </rPr>
      <t>Duto em painel rígido de lã de vidro acústico, espessura 25 mm</t>
    </r>
  </si>
  <si>
    <r>
      <rPr>
        <sz val="8.5"/>
        <rFont val="Calibri"/>
        <family val="2"/>
      </rPr>
      <t>87,87</t>
    </r>
  </si>
  <si>
    <r>
      <rPr>
        <sz val="8.5"/>
        <rFont val="Calibri"/>
        <family val="2"/>
      </rPr>
      <t>158,21</t>
    </r>
  </si>
  <si>
    <r>
      <rPr>
        <sz val="8.5"/>
        <rFont val="Calibri"/>
        <family val="2"/>
      </rPr>
      <t>61.10.400</t>
    </r>
  </si>
  <si>
    <r>
      <rPr>
        <sz val="8.5"/>
        <rFont val="Calibri"/>
        <family val="2"/>
      </rPr>
      <t xml:space="preserve">Damper corta fogo (DCF) tipo comporta, com elemento fusível e chave
</t>
    </r>
    <r>
      <rPr>
        <sz val="8.5"/>
        <rFont val="Calibri"/>
        <family val="2"/>
      </rPr>
      <t>fim de curso.</t>
    </r>
  </si>
  <si>
    <r>
      <rPr>
        <sz val="8.5"/>
        <rFont val="Calibri"/>
        <family val="2"/>
      </rPr>
      <t>3.924,91</t>
    </r>
  </si>
  <si>
    <r>
      <rPr>
        <sz val="8.5"/>
        <rFont val="Calibri"/>
        <family val="2"/>
      </rPr>
      <t>61.10.401</t>
    </r>
  </si>
  <si>
    <r>
      <rPr>
        <sz val="8.5"/>
        <rFont val="Calibri"/>
        <family val="2"/>
      </rPr>
      <t>Damper de regulagem manual, tamanho: 0,10 m² a 0,14 m²</t>
    </r>
  </si>
  <si>
    <r>
      <rPr>
        <sz val="8.5"/>
        <rFont val="Calibri"/>
        <family val="2"/>
      </rPr>
      <t>1.544,47</t>
    </r>
  </si>
  <si>
    <r>
      <rPr>
        <sz val="8.5"/>
        <rFont val="Calibri"/>
        <family val="2"/>
      </rPr>
      <t>91,85</t>
    </r>
  </si>
  <si>
    <r>
      <rPr>
        <sz val="8.5"/>
        <rFont val="Calibri"/>
        <family val="2"/>
      </rPr>
      <t>1.636,32</t>
    </r>
  </si>
  <si>
    <r>
      <rPr>
        <sz val="8.5"/>
        <rFont val="Calibri"/>
        <family val="2"/>
      </rPr>
      <t>61.10.402</t>
    </r>
  </si>
  <si>
    <r>
      <rPr>
        <sz val="8.5"/>
        <rFont val="Calibri"/>
        <family val="2"/>
      </rPr>
      <t>Damper de regulagem manual, tamanho: 0,15 m² a 0,20 m²</t>
    </r>
  </si>
  <si>
    <r>
      <rPr>
        <sz val="8.5"/>
        <rFont val="Calibri"/>
        <family val="2"/>
      </rPr>
      <t>1.318,69</t>
    </r>
  </si>
  <si>
    <r>
      <rPr>
        <sz val="8.5"/>
        <rFont val="Calibri"/>
        <family val="2"/>
      </rPr>
      <t>70,97</t>
    </r>
  </si>
  <si>
    <r>
      <rPr>
        <sz val="8.5"/>
        <rFont val="Calibri"/>
        <family val="2"/>
      </rPr>
      <t>1.389,66</t>
    </r>
  </si>
  <si>
    <r>
      <rPr>
        <sz val="8.5"/>
        <rFont val="Calibri"/>
        <family val="2"/>
      </rPr>
      <t>61.10.403</t>
    </r>
  </si>
  <si>
    <r>
      <rPr>
        <sz val="8.5"/>
        <rFont val="Calibri"/>
        <family val="2"/>
      </rPr>
      <t>Damper de regulagem manual, tamanho: 0,21 m² a 0,40 m²</t>
    </r>
  </si>
  <si>
    <r>
      <rPr>
        <sz val="8.5"/>
        <rFont val="Calibri"/>
        <family val="2"/>
      </rPr>
      <t>1.012,05</t>
    </r>
  </si>
  <si>
    <r>
      <rPr>
        <sz val="8.5"/>
        <rFont val="Calibri"/>
        <family val="2"/>
      </rPr>
      <t>62,63</t>
    </r>
  </si>
  <si>
    <r>
      <rPr>
        <sz val="8.5"/>
        <rFont val="Calibri"/>
        <family val="2"/>
      </rPr>
      <t>1.074,68</t>
    </r>
  </si>
  <si>
    <r>
      <rPr>
        <sz val="8.5"/>
        <rFont val="Calibri"/>
        <family val="2"/>
      </rPr>
      <t>61.10.410</t>
    </r>
  </si>
  <si>
    <r>
      <rPr>
        <sz val="8.5"/>
        <rFont val="Calibri"/>
        <family val="2"/>
      </rPr>
      <t>Serviço de instalação de Damper Corta Fogo</t>
    </r>
  </si>
  <si>
    <r>
      <rPr>
        <sz val="8.5"/>
        <rFont val="Calibri"/>
        <family val="2"/>
      </rPr>
      <t>268,28</t>
    </r>
  </si>
  <si>
    <r>
      <rPr>
        <sz val="8.5"/>
        <rFont val="Calibri"/>
        <family val="2"/>
      </rPr>
      <t>61.10.430</t>
    </r>
  </si>
  <si>
    <r>
      <rPr>
        <sz val="8.5"/>
        <rFont val="Calibri"/>
        <family val="2"/>
      </rPr>
      <t xml:space="preserve">Tanque de compensação pressurizado, capacidade (volume mínimo) de
</t>
    </r>
    <r>
      <rPr>
        <sz val="8.5"/>
        <rFont val="Calibri"/>
        <family val="2"/>
      </rPr>
      <t>250 litros</t>
    </r>
  </si>
  <si>
    <r>
      <rPr>
        <sz val="8.5"/>
        <rFont val="Calibri"/>
        <family val="2"/>
      </rPr>
      <t>5.760,22</t>
    </r>
  </si>
  <si>
    <r>
      <rPr>
        <sz val="8.5"/>
        <rFont val="Calibri"/>
        <family val="2"/>
      </rPr>
      <t>1.125,40</t>
    </r>
  </si>
  <si>
    <r>
      <rPr>
        <sz val="8.5"/>
        <rFont val="Calibri"/>
        <family val="2"/>
      </rPr>
      <t>6.885,62</t>
    </r>
  </si>
  <si>
    <r>
      <rPr>
        <sz val="8.5"/>
        <rFont val="Calibri"/>
        <family val="2"/>
      </rPr>
      <t>61.10.440</t>
    </r>
  </si>
  <si>
    <r>
      <rPr>
        <sz val="8.5"/>
        <rFont val="Calibri"/>
        <family val="2"/>
      </rPr>
      <t>Registro de regulagem de vazão de ar</t>
    </r>
  </si>
  <si>
    <r>
      <rPr>
        <sz val="8.5"/>
        <rFont val="Calibri"/>
        <family val="2"/>
      </rPr>
      <t>147,34</t>
    </r>
  </si>
  <si>
    <r>
      <rPr>
        <sz val="8.5"/>
        <rFont val="Calibri"/>
        <family val="2"/>
      </rPr>
      <t>180,74</t>
    </r>
  </si>
  <si>
    <r>
      <rPr>
        <sz val="8.5"/>
        <rFont val="Calibri"/>
        <family val="2"/>
      </rPr>
      <t>61.10.510</t>
    </r>
  </si>
  <si>
    <r>
      <rPr>
        <sz val="8.5"/>
        <rFont val="Calibri"/>
        <family val="2"/>
      </rPr>
      <t>Difusor de ar de longo alcance tipo Jet-Nozzles, vazão de ar 1.330 m³/h</t>
    </r>
  </si>
  <si>
    <r>
      <rPr>
        <sz val="8.5"/>
        <rFont val="Calibri"/>
        <family val="2"/>
      </rPr>
      <t>1.091,91</t>
    </r>
  </si>
  <si>
    <r>
      <rPr>
        <sz val="8.5"/>
        <rFont val="Calibri"/>
        <family val="2"/>
      </rPr>
      <t>96,03</t>
    </r>
  </si>
  <si>
    <r>
      <rPr>
        <sz val="8.5"/>
        <rFont val="Calibri"/>
        <family val="2"/>
      </rPr>
      <t>1.187,94</t>
    </r>
  </si>
  <si>
    <r>
      <rPr>
        <sz val="8.5"/>
        <rFont val="Calibri"/>
        <family val="2"/>
      </rPr>
      <t>61.10.511</t>
    </r>
  </si>
  <si>
    <r>
      <rPr>
        <sz val="8.5"/>
        <rFont val="Calibri"/>
        <family val="2"/>
      </rPr>
      <t>Difusor para insuflamento de ar com plenum, multivias e colarinho</t>
    </r>
  </si>
  <si>
    <r>
      <rPr>
        <sz val="8.5"/>
        <rFont val="Calibri"/>
        <family val="2"/>
      </rPr>
      <t>3.398,81</t>
    </r>
  </si>
  <si>
    <r>
      <rPr>
        <sz val="8.5"/>
        <rFont val="Calibri"/>
        <family val="2"/>
      </rPr>
      <t>146,13</t>
    </r>
  </si>
  <si>
    <r>
      <rPr>
        <sz val="8.5"/>
        <rFont val="Calibri"/>
        <family val="2"/>
      </rPr>
      <t>3.544,94</t>
    </r>
  </si>
  <si>
    <r>
      <rPr>
        <sz val="8.5"/>
        <rFont val="Calibri"/>
        <family val="2"/>
      </rPr>
      <t>61.10.512</t>
    </r>
  </si>
  <si>
    <r>
      <rPr>
        <sz val="8.5"/>
        <rFont val="Calibri"/>
        <family val="2"/>
      </rPr>
      <t>Difusor para insuflamento de ar com plenum, com 2 aberturas</t>
    </r>
  </si>
  <si>
    <r>
      <rPr>
        <sz val="8.5"/>
        <rFont val="Calibri"/>
        <family val="2"/>
      </rPr>
      <t>3.533,13</t>
    </r>
  </si>
  <si>
    <r>
      <rPr>
        <sz val="8.5"/>
        <rFont val="Calibri"/>
        <family val="2"/>
      </rPr>
      <t>3.569,52</t>
    </r>
  </si>
  <si>
    <r>
      <rPr>
        <sz val="8.5"/>
        <rFont val="Calibri"/>
        <family val="2"/>
      </rPr>
      <t>61.10.513</t>
    </r>
  </si>
  <si>
    <r>
      <rPr>
        <sz val="8.5"/>
        <rFont val="Calibri"/>
        <family val="2"/>
      </rPr>
      <t>Difusor de plástico, diâmetro 15 cm</t>
    </r>
  </si>
  <si>
    <r>
      <rPr>
        <sz val="8.5"/>
        <rFont val="Calibri"/>
        <family val="2"/>
      </rPr>
      <t>85,44</t>
    </r>
  </si>
  <si>
    <r>
      <rPr>
        <sz val="8.5"/>
        <rFont val="Calibri"/>
        <family val="2"/>
      </rPr>
      <t>118,84</t>
    </r>
  </si>
  <si>
    <r>
      <rPr>
        <sz val="8.5"/>
        <rFont val="Calibri"/>
        <family val="2"/>
      </rPr>
      <t>61.10.514</t>
    </r>
  </si>
  <si>
    <r>
      <rPr>
        <sz val="8.5"/>
        <rFont val="Calibri"/>
        <family val="2"/>
      </rPr>
      <t>Difusor de plástico, diâmetro 20 cm</t>
    </r>
  </si>
  <si>
    <r>
      <rPr>
        <sz val="8.5"/>
        <rFont val="Calibri"/>
        <family val="2"/>
      </rPr>
      <t>88,40</t>
    </r>
  </si>
  <si>
    <r>
      <rPr>
        <sz val="8.5"/>
        <rFont val="Calibri"/>
        <family val="2"/>
      </rPr>
      <t>121,80</t>
    </r>
  </si>
  <si>
    <r>
      <rPr>
        <sz val="8.5"/>
        <rFont val="Calibri"/>
        <family val="2"/>
      </rPr>
      <t>61.10.530</t>
    </r>
  </si>
  <si>
    <r>
      <rPr>
        <sz val="8.5"/>
        <rFont val="Calibri"/>
        <family val="2"/>
      </rPr>
      <t>Difusor de insuflação de ar tipo direcional, medindo 30 x 30 cm</t>
    </r>
  </si>
  <si>
    <r>
      <rPr>
        <sz val="8.5"/>
        <rFont val="Calibri"/>
        <family val="2"/>
      </rPr>
      <t>296,58</t>
    </r>
  </si>
  <si>
    <r>
      <rPr>
        <sz val="8.5"/>
        <rFont val="Calibri"/>
        <family val="2"/>
      </rPr>
      <t>329,98</t>
    </r>
  </si>
  <si>
    <r>
      <rPr>
        <sz val="8.5"/>
        <rFont val="Calibri"/>
        <family val="2"/>
      </rPr>
      <t>61.10.550</t>
    </r>
  </si>
  <si>
    <r>
      <rPr>
        <sz val="8.5"/>
        <rFont val="Calibri"/>
        <family val="2"/>
      </rPr>
      <t>Difusor de insuflação de ar tipo direcional, medindo 45 x 15 cm</t>
    </r>
  </si>
  <si>
    <r>
      <rPr>
        <sz val="8.5"/>
        <rFont val="Calibri"/>
        <family val="2"/>
      </rPr>
      <t>232,26</t>
    </r>
  </si>
  <si>
    <r>
      <rPr>
        <sz val="8.5"/>
        <rFont val="Calibri"/>
        <family val="2"/>
      </rPr>
      <t>265,66</t>
    </r>
  </si>
  <si>
    <r>
      <rPr>
        <sz val="8.5"/>
        <rFont val="Calibri"/>
        <family val="2"/>
      </rPr>
      <t>61.10.564</t>
    </r>
  </si>
  <si>
    <r>
      <rPr>
        <sz val="8.5"/>
        <rFont val="Calibri"/>
        <family val="2"/>
      </rPr>
      <t xml:space="preserve">Grelha de insuflação de ar em alumínio anodizado, de dupla deflexão,
</t>
    </r>
    <r>
      <rPr>
        <sz val="8.5"/>
        <rFont val="Calibri"/>
        <family val="2"/>
      </rPr>
      <t>tamanho: até 0,10 m²</t>
    </r>
  </si>
  <si>
    <r>
      <rPr>
        <sz val="8.5"/>
        <rFont val="Calibri"/>
        <family val="2"/>
      </rPr>
      <t>2.239,70</t>
    </r>
  </si>
  <si>
    <r>
      <rPr>
        <sz val="8.5"/>
        <rFont val="Calibri"/>
        <family val="2"/>
      </rPr>
      <t>204,58</t>
    </r>
  </si>
  <si>
    <r>
      <rPr>
        <sz val="8.5"/>
        <rFont val="Calibri"/>
        <family val="2"/>
      </rPr>
      <t>2.444,28</t>
    </r>
  </si>
  <si>
    <r>
      <rPr>
        <sz val="8.5"/>
        <rFont val="Calibri"/>
        <family val="2"/>
      </rPr>
      <t>61.10.565</t>
    </r>
  </si>
  <si>
    <r>
      <rPr>
        <sz val="8.5"/>
        <rFont val="Calibri"/>
        <family val="2"/>
      </rPr>
      <t xml:space="preserve">Grelha de insuflação de ar em alumínio anodizado, de dupla deflexão,
</t>
    </r>
    <r>
      <rPr>
        <sz val="8.5"/>
        <rFont val="Calibri"/>
        <family val="2"/>
      </rPr>
      <t>tamanho: acima de 0,10 m² até 0,50 m²</t>
    </r>
  </si>
  <si>
    <r>
      <rPr>
        <sz val="8.5"/>
        <rFont val="Calibri"/>
        <family val="2"/>
      </rPr>
      <t>1.425,09</t>
    </r>
  </si>
  <si>
    <r>
      <rPr>
        <sz val="8.5"/>
        <rFont val="Calibri"/>
        <family val="2"/>
      </rPr>
      <t>83,50</t>
    </r>
  </si>
  <si>
    <r>
      <rPr>
        <sz val="8.5"/>
        <rFont val="Calibri"/>
        <family val="2"/>
      </rPr>
      <t>1.508,59</t>
    </r>
  </si>
  <si>
    <r>
      <rPr>
        <sz val="8.5"/>
        <rFont val="Calibri"/>
        <family val="2"/>
      </rPr>
      <t>61.10.566</t>
    </r>
  </si>
  <si>
    <r>
      <rPr>
        <sz val="8.5"/>
        <rFont val="Calibri"/>
        <family val="2"/>
      </rPr>
      <t xml:space="preserve">Grelha de insuflação de ar em alumínio anodizado, de dupla deflexão,
</t>
    </r>
    <r>
      <rPr>
        <sz val="8.5"/>
        <rFont val="Calibri"/>
        <family val="2"/>
      </rPr>
      <t>tamanho: acima de 0,50 m² até 1,00 m²</t>
    </r>
  </si>
  <si>
    <r>
      <rPr>
        <sz val="8.5"/>
        <rFont val="Calibri"/>
        <family val="2"/>
      </rPr>
      <t>1.304,61</t>
    </r>
  </si>
  <si>
    <r>
      <rPr>
        <sz val="8.5"/>
        <rFont val="Calibri"/>
        <family val="2"/>
      </rPr>
      <t>1.346,36</t>
    </r>
  </si>
  <si>
    <r>
      <rPr>
        <sz val="8.5"/>
        <rFont val="Calibri"/>
        <family val="2"/>
      </rPr>
      <t>61.10.567</t>
    </r>
  </si>
  <si>
    <r>
      <rPr>
        <sz val="8.5"/>
        <rFont val="Calibri"/>
        <family val="2"/>
      </rPr>
      <t>Grelha de porta, tamanho: 0,14 m² a 0,30 m²</t>
    </r>
  </si>
  <si>
    <r>
      <rPr>
        <sz val="8.5"/>
        <rFont val="Calibri"/>
        <family val="2"/>
      </rPr>
      <t>1.318,82</t>
    </r>
  </si>
  <si>
    <r>
      <rPr>
        <sz val="8.5"/>
        <rFont val="Calibri"/>
        <family val="2"/>
      </rPr>
      <t>1.410,67</t>
    </r>
  </si>
  <si>
    <r>
      <rPr>
        <sz val="8.5"/>
        <rFont val="Calibri"/>
        <family val="2"/>
      </rPr>
      <t>61.10.568</t>
    </r>
  </si>
  <si>
    <r>
      <rPr>
        <sz val="8.5"/>
        <rFont val="Calibri"/>
        <family val="2"/>
      </rPr>
      <t>Grelha de porta, tamanho: 0,07 m² a 0,13 m²</t>
    </r>
  </si>
  <si>
    <r>
      <rPr>
        <sz val="8.5"/>
        <rFont val="Calibri"/>
        <family val="2"/>
      </rPr>
      <t>1.657,84</t>
    </r>
  </si>
  <si>
    <r>
      <rPr>
        <sz val="8.5"/>
        <rFont val="Calibri"/>
        <family val="2"/>
      </rPr>
      <t>121,08</t>
    </r>
  </si>
  <si>
    <r>
      <rPr>
        <sz val="8.5"/>
        <rFont val="Calibri"/>
        <family val="2"/>
      </rPr>
      <t>1.778,92</t>
    </r>
  </si>
  <si>
    <r>
      <rPr>
        <sz val="8.5"/>
        <rFont val="Calibri"/>
        <family val="2"/>
      </rPr>
      <t>61.10.569</t>
    </r>
  </si>
  <si>
    <r>
      <rPr>
        <sz val="8.5"/>
        <rFont val="Calibri"/>
        <family val="2"/>
      </rPr>
      <t>Grelha de porta, tamanho: 0,03 m² a 0,06 m²</t>
    </r>
  </si>
  <si>
    <r>
      <rPr>
        <sz val="8.5"/>
        <rFont val="Calibri"/>
        <family val="2"/>
      </rPr>
      <t>2.884,78</t>
    </r>
  </si>
  <si>
    <r>
      <rPr>
        <sz val="8.5"/>
        <rFont val="Calibri"/>
        <family val="2"/>
      </rPr>
      <t>3.085,18</t>
    </r>
  </si>
  <si>
    <r>
      <rPr>
        <sz val="8.5"/>
        <rFont val="Calibri"/>
        <family val="2"/>
      </rPr>
      <t>61.10.574</t>
    </r>
  </si>
  <si>
    <r>
      <rPr>
        <sz val="8.5"/>
        <rFont val="Calibri"/>
        <family val="2"/>
      </rPr>
      <t>Grelha de retorno/exaustão com registro, tamanho: 0,03 m² a 0,06 m²</t>
    </r>
  </si>
  <si>
    <r>
      <rPr>
        <sz val="8.5"/>
        <rFont val="Calibri"/>
        <family val="2"/>
      </rPr>
      <t>2.005,52</t>
    </r>
  </si>
  <si>
    <r>
      <rPr>
        <sz val="8.5"/>
        <rFont val="Calibri"/>
        <family val="2"/>
      </rPr>
      <t>150,30</t>
    </r>
  </si>
  <si>
    <r>
      <rPr>
        <sz val="8.5"/>
        <rFont val="Calibri"/>
        <family val="2"/>
      </rPr>
      <t>2.155,82</t>
    </r>
  </si>
  <si>
    <r>
      <rPr>
        <sz val="8.5"/>
        <rFont val="Calibri"/>
        <family val="2"/>
      </rPr>
      <t>61.10.575</t>
    </r>
  </si>
  <si>
    <r>
      <rPr>
        <sz val="8.5"/>
        <rFont val="Calibri"/>
        <family val="2"/>
      </rPr>
      <t>Grelha de retorno/exaustão com registro, tamanho: 0,07 m² a 0,13 m²</t>
    </r>
  </si>
  <si>
    <r>
      <rPr>
        <sz val="8.5"/>
        <rFont val="Calibri"/>
        <family val="2"/>
      </rPr>
      <t>1.486,28</t>
    </r>
  </si>
  <si>
    <r>
      <rPr>
        <sz val="8.5"/>
        <rFont val="Calibri"/>
        <family val="2"/>
      </rPr>
      <t>104,38</t>
    </r>
  </si>
  <si>
    <r>
      <rPr>
        <sz val="8.5"/>
        <rFont val="Calibri"/>
        <family val="2"/>
      </rPr>
      <t>1.590,66</t>
    </r>
  </si>
  <si>
    <r>
      <rPr>
        <sz val="8.5"/>
        <rFont val="Calibri"/>
        <family val="2"/>
      </rPr>
      <t>61.10.576</t>
    </r>
  </si>
  <si>
    <r>
      <rPr>
        <sz val="8.5"/>
        <rFont val="Calibri"/>
        <family val="2"/>
      </rPr>
      <t>Grelha de retorno/exaustão com registro, tamanho: 0,14 m² a 0,19 m²</t>
    </r>
  </si>
  <si>
    <r>
      <rPr>
        <sz val="8.5"/>
        <rFont val="Calibri"/>
        <family val="2"/>
      </rPr>
      <t>1.213,47</t>
    </r>
  </si>
  <si>
    <r>
      <rPr>
        <sz val="8.5"/>
        <rFont val="Calibri"/>
        <family val="2"/>
      </rPr>
      <t>1.296,97</t>
    </r>
  </si>
  <si>
    <r>
      <rPr>
        <sz val="8.5"/>
        <rFont val="Calibri"/>
        <family val="2"/>
      </rPr>
      <t>61.10.577</t>
    </r>
  </si>
  <si>
    <r>
      <rPr>
        <sz val="8.5"/>
        <rFont val="Calibri"/>
        <family val="2"/>
      </rPr>
      <t>Grelha de retorno/exaustão com registro, tamanho: 0,20 m² a 0,40 m²</t>
    </r>
  </si>
  <si>
    <r>
      <rPr>
        <sz val="8.5"/>
        <rFont val="Calibri"/>
        <family val="2"/>
      </rPr>
      <t>1.083,73</t>
    </r>
  </si>
  <si>
    <r>
      <rPr>
        <sz val="8.5"/>
        <rFont val="Calibri"/>
        <family val="2"/>
      </rPr>
      <t>1.154,70</t>
    </r>
  </si>
  <si>
    <r>
      <rPr>
        <sz val="8.5"/>
        <rFont val="Calibri"/>
        <family val="2"/>
      </rPr>
      <t>61.10.578</t>
    </r>
  </si>
  <si>
    <r>
      <rPr>
        <sz val="8.5"/>
        <rFont val="Calibri"/>
        <family val="2"/>
      </rPr>
      <t>Grelha de retorno/exaustão com registro, tamanho: 0,41 m² a 0,65 m²</t>
    </r>
  </si>
  <si>
    <r>
      <rPr>
        <sz val="8.5"/>
        <rFont val="Calibri"/>
        <family val="2"/>
      </rPr>
      <t>904,95</t>
    </r>
  </si>
  <si>
    <r>
      <rPr>
        <sz val="8.5"/>
        <rFont val="Calibri"/>
        <family val="2"/>
      </rPr>
      <t>967,58</t>
    </r>
  </si>
  <si>
    <r>
      <rPr>
        <sz val="8.5"/>
        <rFont val="Calibri"/>
        <family val="2"/>
      </rPr>
      <t>61.10.581</t>
    </r>
  </si>
  <si>
    <r>
      <rPr>
        <sz val="8.5"/>
        <rFont val="Calibri"/>
        <family val="2"/>
      </rPr>
      <t>Veneziana com tela e filtro G4</t>
    </r>
  </si>
  <si>
    <r>
      <rPr>
        <sz val="8.5"/>
        <rFont val="Calibri"/>
        <family val="2"/>
      </rPr>
      <t>1.679,79</t>
    </r>
  </si>
  <si>
    <r>
      <rPr>
        <sz val="8.5"/>
        <rFont val="Calibri"/>
        <family val="2"/>
      </rPr>
      <t>1.763,29</t>
    </r>
  </si>
  <si>
    <r>
      <rPr>
        <sz val="8.5"/>
        <rFont val="Calibri"/>
        <family val="2"/>
      </rPr>
      <t>61.10.582</t>
    </r>
  </si>
  <si>
    <r>
      <rPr>
        <sz val="8.5"/>
        <rFont val="Calibri"/>
        <family val="2"/>
      </rPr>
      <t>Veneziana com tela</t>
    </r>
  </si>
  <si>
    <r>
      <rPr>
        <sz val="8.5"/>
        <rFont val="Calibri"/>
        <family val="2"/>
      </rPr>
      <t>985,03</t>
    </r>
  </si>
  <si>
    <r>
      <rPr>
        <sz val="8.5"/>
        <rFont val="Calibri"/>
        <family val="2"/>
      </rPr>
      <t>50,10</t>
    </r>
  </si>
  <si>
    <r>
      <rPr>
        <sz val="8.5"/>
        <rFont val="Calibri"/>
        <family val="2"/>
      </rPr>
      <t>1.035,13</t>
    </r>
  </si>
  <si>
    <r>
      <rPr>
        <sz val="8.5"/>
        <rFont val="Calibri"/>
        <family val="2"/>
      </rPr>
      <t>61.10.583</t>
    </r>
  </si>
  <si>
    <r>
      <rPr>
        <sz val="8.5"/>
        <rFont val="Calibri"/>
        <family val="2"/>
      </rPr>
      <t>Veneziana com tela, tamanho 38,5 x 33 cm</t>
    </r>
  </si>
  <si>
    <r>
      <rPr>
        <sz val="8.5"/>
        <rFont val="Calibri"/>
        <family val="2"/>
      </rPr>
      <t>163,11</t>
    </r>
  </si>
  <si>
    <r>
      <rPr>
        <sz val="8.5"/>
        <rFont val="Calibri"/>
        <family val="2"/>
      </rPr>
      <t>200,69</t>
    </r>
  </si>
  <si>
    <r>
      <rPr>
        <sz val="8.5"/>
        <rFont val="Calibri"/>
        <family val="2"/>
      </rPr>
      <t>61.10.584</t>
    </r>
  </si>
  <si>
    <r>
      <rPr>
        <sz val="8.5"/>
        <rFont val="Calibri"/>
        <family val="2"/>
      </rPr>
      <t>Veneziana com tela, tamanho 78,5 x 33 cm</t>
    </r>
  </si>
  <si>
    <r>
      <rPr>
        <sz val="8.5"/>
        <rFont val="Calibri"/>
        <family val="2"/>
      </rPr>
      <t>252,63</t>
    </r>
  </si>
  <si>
    <r>
      <rPr>
        <sz val="8.5"/>
        <rFont val="Calibri"/>
        <family val="2"/>
      </rPr>
      <t>302,73</t>
    </r>
  </si>
  <si>
    <r>
      <rPr>
        <sz val="8.5"/>
        <rFont val="Calibri"/>
        <family val="2"/>
      </rPr>
      <t>Ventilacao</t>
    </r>
  </si>
  <si>
    <r>
      <rPr>
        <sz val="8.5"/>
        <rFont val="Calibri"/>
        <family val="2"/>
      </rPr>
      <t>61.14.005</t>
    </r>
  </si>
  <si>
    <r>
      <rPr>
        <sz val="8.5"/>
        <rFont val="Calibri"/>
        <family val="2"/>
      </rPr>
      <t xml:space="preserve">Caixa ventiladora com ventilador centrífugo, vazão 4.600 m³/h, pressão
</t>
    </r>
    <r>
      <rPr>
        <sz val="8.5"/>
        <rFont val="Calibri"/>
        <family val="2"/>
      </rPr>
      <t>30 mmCA - 220 / 380 V / 60HZ</t>
    </r>
  </si>
  <si>
    <r>
      <rPr>
        <sz val="8.5"/>
        <rFont val="Calibri"/>
        <family val="2"/>
      </rPr>
      <t>5.398,52</t>
    </r>
  </si>
  <si>
    <r>
      <rPr>
        <sz val="8.5"/>
        <rFont val="Calibri"/>
        <family val="2"/>
      </rPr>
      <t>1.688,10</t>
    </r>
  </si>
  <si>
    <r>
      <rPr>
        <sz val="8.5"/>
        <rFont val="Calibri"/>
        <family val="2"/>
      </rPr>
      <t>7.086,62</t>
    </r>
  </si>
  <si>
    <r>
      <rPr>
        <sz val="8.5"/>
        <rFont val="Calibri"/>
        <family val="2"/>
      </rPr>
      <t>61.14.015</t>
    </r>
  </si>
  <si>
    <r>
      <rPr>
        <sz val="8.5"/>
        <rFont val="Calibri"/>
        <family val="2"/>
      </rPr>
      <t xml:space="preserve">Caixa ventiladora com ventilador centrífugo, vazão 28.000 m³/h, pressão
</t>
    </r>
    <r>
      <rPr>
        <sz val="8.5"/>
        <rFont val="Calibri"/>
        <family val="2"/>
      </rPr>
      <t>30 mmCA - 220 / 380 V / 60HZ</t>
    </r>
  </si>
  <si>
    <r>
      <rPr>
        <sz val="8.5"/>
        <rFont val="Calibri"/>
        <family val="2"/>
      </rPr>
      <t>22.194,23</t>
    </r>
  </si>
  <si>
    <r>
      <rPr>
        <sz val="8.5"/>
        <rFont val="Calibri"/>
        <family val="2"/>
      </rPr>
      <t>3.938,90</t>
    </r>
  </si>
  <si>
    <r>
      <rPr>
        <sz val="8.5"/>
        <rFont val="Calibri"/>
        <family val="2"/>
      </rPr>
      <t>26.133,13</t>
    </r>
  </si>
  <si>
    <r>
      <rPr>
        <sz val="8.5"/>
        <rFont val="Calibri"/>
        <family val="2"/>
      </rPr>
      <t>61.14.050</t>
    </r>
  </si>
  <si>
    <r>
      <rPr>
        <sz val="8.5"/>
        <rFont val="Calibri"/>
        <family val="2"/>
      </rPr>
      <t xml:space="preserve">Caixa ventiladora com ventilador centrífugo, vazão 8.800 m³/h, pressão
</t>
    </r>
    <r>
      <rPr>
        <sz val="8.5"/>
        <rFont val="Calibri"/>
        <family val="2"/>
      </rPr>
      <t>35 mmCA - 220/380 V / 60Hz</t>
    </r>
  </si>
  <si>
    <r>
      <rPr>
        <sz val="8.5"/>
        <rFont val="Calibri"/>
        <family val="2"/>
      </rPr>
      <t>8.347,73</t>
    </r>
  </si>
  <si>
    <r>
      <rPr>
        <sz val="8.5"/>
        <rFont val="Calibri"/>
        <family val="2"/>
      </rPr>
      <t>218,34</t>
    </r>
  </si>
  <si>
    <r>
      <rPr>
        <sz val="8.5"/>
        <rFont val="Calibri"/>
        <family val="2"/>
      </rPr>
      <t>8.566,07</t>
    </r>
  </si>
  <si>
    <r>
      <rPr>
        <sz val="8.5"/>
        <rFont val="Calibri"/>
        <family val="2"/>
      </rPr>
      <t>61.14.051</t>
    </r>
  </si>
  <si>
    <r>
      <rPr>
        <sz val="8.5"/>
        <rFont val="Calibri"/>
        <family val="2"/>
      </rPr>
      <t xml:space="preserve">Caixa ventiladora com ventilador centrífugo, vazão 10.000 m³/h, pressão
</t>
    </r>
    <r>
      <rPr>
        <sz val="8.5"/>
        <rFont val="Calibri"/>
        <family val="2"/>
      </rPr>
      <t>30 mmCA - 220/380 V / 60Hz</t>
    </r>
  </si>
  <si>
    <r>
      <rPr>
        <sz val="8.5"/>
        <rFont val="Calibri"/>
        <family val="2"/>
      </rPr>
      <t>7.733,00</t>
    </r>
  </si>
  <si>
    <r>
      <rPr>
        <sz val="8.5"/>
        <rFont val="Calibri"/>
        <family val="2"/>
      </rPr>
      <t>7.951,34</t>
    </r>
  </si>
  <si>
    <r>
      <rPr>
        <sz val="8.5"/>
        <rFont val="Calibri"/>
        <family val="2"/>
      </rPr>
      <t>61.14.070</t>
    </r>
  </si>
  <si>
    <r>
      <rPr>
        <sz val="8.5"/>
        <rFont val="Calibri"/>
        <family val="2"/>
      </rPr>
      <t xml:space="preserve">Caixa ventiladora com ventilador centrífugo, vazão 1.710 m³/h, pressão
</t>
    </r>
    <r>
      <rPr>
        <sz val="8.5"/>
        <rFont val="Calibri"/>
        <family val="2"/>
      </rPr>
      <t>35 mmCA - 220/380 V / 60Hz</t>
    </r>
  </si>
  <si>
    <r>
      <rPr>
        <sz val="8.5"/>
        <rFont val="Calibri"/>
        <family val="2"/>
      </rPr>
      <t>4.336,44</t>
    </r>
  </si>
  <si>
    <r>
      <rPr>
        <sz val="8.5"/>
        <rFont val="Calibri"/>
        <family val="2"/>
      </rPr>
      <t>4.554,78</t>
    </r>
  </si>
  <si>
    <r>
      <rPr>
        <sz val="8.5"/>
        <rFont val="Calibri"/>
        <family val="2"/>
      </rPr>
      <t>61.14.080</t>
    </r>
  </si>
  <si>
    <r>
      <rPr>
        <sz val="8.5"/>
        <rFont val="Calibri"/>
        <family val="2"/>
      </rPr>
      <t xml:space="preserve">Caixa ventiladora com ventilador centrífugo, vazão 1.190 m³/h, pressão
</t>
    </r>
    <r>
      <rPr>
        <sz val="8.5"/>
        <rFont val="Calibri"/>
        <family val="2"/>
      </rPr>
      <t>35 mmCA - 220/380 V / 60Hz</t>
    </r>
  </si>
  <si>
    <r>
      <rPr>
        <sz val="8.5"/>
        <rFont val="Calibri"/>
        <family val="2"/>
      </rPr>
      <t>4.118,88</t>
    </r>
  </si>
  <si>
    <r>
      <rPr>
        <sz val="8.5"/>
        <rFont val="Calibri"/>
        <family val="2"/>
      </rPr>
      <t>4.337,22</t>
    </r>
  </si>
  <si>
    <r>
      <rPr>
        <sz val="8.5"/>
        <rFont val="Calibri"/>
        <family val="2"/>
      </rPr>
      <t>61.14.100</t>
    </r>
  </si>
  <si>
    <r>
      <rPr>
        <sz val="8.5"/>
        <rFont val="Calibri"/>
        <family val="2"/>
      </rPr>
      <t xml:space="preserve">Ventilador centrífugo de dupla aspiração "limite-load", vazão 20.000
</t>
    </r>
    <r>
      <rPr>
        <sz val="8.5"/>
        <rFont val="Calibri"/>
        <family val="2"/>
      </rPr>
      <t>m³/h, pressão 50 mmCA - 380/660 V / 60 Hz</t>
    </r>
  </si>
  <si>
    <r>
      <rPr>
        <sz val="8.5"/>
        <rFont val="Calibri"/>
        <family val="2"/>
      </rPr>
      <t>13.030,79</t>
    </r>
  </si>
  <si>
    <r>
      <rPr>
        <sz val="8.5"/>
        <rFont val="Calibri"/>
        <family val="2"/>
      </rPr>
      <t>509,10</t>
    </r>
  </si>
  <si>
    <r>
      <rPr>
        <sz val="8.5"/>
        <rFont val="Calibri"/>
        <family val="2"/>
      </rPr>
      <t>13.539,89</t>
    </r>
  </si>
  <si>
    <r>
      <rPr>
        <sz val="8.5"/>
        <rFont val="Calibri"/>
        <family val="2"/>
      </rPr>
      <t>Controles para Fan-Coil e CAG</t>
    </r>
  </si>
  <si>
    <r>
      <rPr>
        <sz val="8.5"/>
        <rFont val="Calibri"/>
        <family val="2"/>
      </rPr>
      <t>61.15.010</t>
    </r>
  </si>
  <si>
    <r>
      <rPr>
        <sz val="8.5"/>
        <rFont val="Calibri"/>
        <family val="2"/>
      </rPr>
      <t>Fonte de alimentação universal bivolt com saída de 24 V - 1,5 A - 35 W</t>
    </r>
  </si>
  <si>
    <r>
      <rPr>
        <sz val="8.5"/>
        <rFont val="Calibri"/>
        <family val="2"/>
      </rPr>
      <t>178,24</t>
    </r>
  </si>
  <si>
    <r>
      <rPr>
        <sz val="8.5"/>
        <rFont val="Calibri"/>
        <family val="2"/>
      </rPr>
      <t>180,06</t>
    </r>
  </si>
  <si>
    <r>
      <rPr>
        <sz val="8.5"/>
        <rFont val="Calibri"/>
        <family val="2"/>
      </rPr>
      <t>61.15.020</t>
    </r>
  </si>
  <si>
    <r>
      <rPr>
        <sz val="8.5"/>
        <rFont val="Calibri"/>
        <family val="2"/>
      </rPr>
      <t>Tomada simples de sobrepor universal 2P+T - 10 A - 250 V</t>
    </r>
  </si>
  <si>
    <r>
      <rPr>
        <sz val="8.5"/>
        <rFont val="Calibri"/>
        <family val="2"/>
      </rPr>
      <t>9,93</t>
    </r>
  </si>
  <si>
    <r>
      <rPr>
        <sz val="8.5"/>
        <rFont val="Calibri"/>
        <family val="2"/>
      </rPr>
      <t>61.15.030</t>
    </r>
  </si>
  <si>
    <r>
      <rPr>
        <sz val="8.5"/>
        <rFont val="Calibri"/>
        <family val="2"/>
      </rPr>
      <t xml:space="preserve">Transformador abaixador, entrada 110/220V, saída 24V+24V, corrente
</t>
    </r>
    <r>
      <rPr>
        <sz val="8.5"/>
        <rFont val="Calibri"/>
        <family val="2"/>
      </rPr>
      <t>secundário 6A</t>
    </r>
  </si>
  <si>
    <r>
      <rPr>
        <sz val="8.5"/>
        <rFont val="Calibri"/>
        <family val="2"/>
      </rPr>
      <t>202,88</t>
    </r>
  </si>
  <si>
    <r>
      <rPr>
        <sz val="8.5"/>
        <rFont val="Calibri"/>
        <family val="2"/>
      </rPr>
      <t>204,70</t>
    </r>
  </si>
  <si>
    <r>
      <rPr>
        <sz val="8.5"/>
        <rFont val="Calibri"/>
        <family val="2"/>
      </rPr>
      <t>61.15.040</t>
    </r>
  </si>
  <si>
    <r>
      <rPr>
        <sz val="8.5"/>
        <rFont val="Calibri"/>
        <family val="2"/>
      </rPr>
      <t xml:space="preserve">Atuador Floating de 40Nm, sinal de controle 3 e 2 pontos, tensão de
</t>
    </r>
    <r>
      <rPr>
        <sz val="8.5"/>
        <rFont val="Calibri"/>
        <family val="2"/>
      </rPr>
      <t>entrada AC/DC 24V, IP 54</t>
    </r>
  </si>
  <si>
    <r>
      <rPr>
        <sz val="8.5"/>
        <rFont val="Calibri"/>
        <family val="2"/>
      </rPr>
      <t>1.914,90</t>
    </r>
  </si>
  <si>
    <r>
      <rPr>
        <sz val="8.5"/>
        <rFont val="Calibri"/>
        <family val="2"/>
      </rPr>
      <t>1.926,08</t>
    </r>
  </si>
  <si>
    <r>
      <rPr>
        <sz val="8.5"/>
        <rFont val="Calibri"/>
        <family val="2"/>
      </rPr>
      <t>61.15.050</t>
    </r>
  </si>
  <si>
    <r>
      <rPr>
        <sz val="8.5"/>
        <rFont val="Calibri"/>
        <family val="2"/>
      </rPr>
      <t xml:space="preserve">Válvula motorizada esfera, com duas vias atuador floating, diâmetro 3/4"
</t>
    </r>
    <r>
      <rPr>
        <sz val="8.5"/>
        <rFont val="Calibri"/>
        <family val="2"/>
      </rPr>
      <t>a 1 1/2"</t>
    </r>
  </si>
  <si>
    <r>
      <rPr>
        <sz val="8.5"/>
        <rFont val="Calibri"/>
        <family val="2"/>
      </rPr>
      <t>1.709,49</t>
    </r>
  </si>
  <si>
    <r>
      <rPr>
        <sz val="8.5"/>
        <rFont val="Calibri"/>
        <family val="2"/>
      </rPr>
      <t>16,77</t>
    </r>
  </si>
  <si>
    <r>
      <rPr>
        <sz val="8.5"/>
        <rFont val="Calibri"/>
        <family val="2"/>
      </rPr>
      <t>1.726,26</t>
    </r>
  </si>
  <si>
    <r>
      <rPr>
        <sz val="8.5"/>
        <rFont val="Calibri"/>
        <family val="2"/>
      </rPr>
      <t>61.15.060</t>
    </r>
  </si>
  <si>
    <r>
      <rPr>
        <sz val="8.5"/>
        <rFont val="Calibri"/>
        <family val="2"/>
      </rPr>
      <t>Válvula de balanceamento diâmetro 1 " a 2-1/2"</t>
    </r>
  </si>
  <si>
    <r>
      <rPr>
        <sz val="8.5"/>
        <rFont val="Calibri"/>
        <family val="2"/>
      </rPr>
      <t>816,41</t>
    </r>
  </si>
  <si>
    <r>
      <rPr>
        <sz val="8.5"/>
        <rFont val="Calibri"/>
        <family val="2"/>
      </rPr>
      <t>829,55</t>
    </r>
  </si>
  <si>
    <r>
      <rPr>
        <sz val="8.5"/>
        <rFont val="Calibri"/>
        <family val="2"/>
      </rPr>
      <t>61.15.070</t>
    </r>
  </si>
  <si>
    <r>
      <rPr>
        <sz val="8.5"/>
        <rFont val="Calibri"/>
        <family val="2"/>
      </rPr>
      <t xml:space="preserve">Válvula borboleta na configuração wafer motorizada atuador floating
</t>
    </r>
    <r>
      <rPr>
        <sz val="8.5"/>
        <rFont val="Calibri"/>
        <family val="2"/>
      </rPr>
      <t>diâmetro 3'' a 4"</t>
    </r>
  </si>
  <si>
    <r>
      <rPr>
        <sz val="8.5"/>
        <rFont val="Calibri"/>
        <family val="2"/>
      </rPr>
      <t>2.381,86</t>
    </r>
  </si>
  <si>
    <r>
      <rPr>
        <sz val="8.5"/>
        <rFont val="Calibri"/>
        <family val="2"/>
      </rPr>
      <t>2.398,63</t>
    </r>
  </si>
  <si>
    <r>
      <rPr>
        <sz val="8.5"/>
        <rFont val="Calibri"/>
        <family val="2"/>
      </rPr>
      <t>61.15.080</t>
    </r>
  </si>
  <si>
    <r>
      <rPr>
        <sz val="8.5"/>
        <rFont val="Calibri"/>
        <family val="2"/>
      </rPr>
      <t>Válvula duas vias on/off retorno elétrico diâmetro 1/2" a 3/4"</t>
    </r>
  </si>
  <si>
    <r>
      <rPr>
        <sz val="8.5"/>
        <rFont val="Calibri"/>
        <family val="2"/>
      </rPr>
      <t>302,11</t>
    </r>
  </si>
  <si>
    <r>
      <rPr>
        <sz val="8.5"/>
        <rFont val="Calibri"/>
        <family val="2"/>
      </rPr>
      <t>318,88</t>
    </r>
  </si>
  <si>
    <r>
      <rPr>
        <sz val="8.5"/>
        <rFont val="Calibri"/>
        <family val="2"/>
      </rPr>
      <t>61.15.090</t>
    </r>
  </si>
  <si>
    <r>
      <rPr>
        <sz val="8.5"/>
        <rFont val="Calibri"/>
        <family val="2"/>
      </rPr>
      <t xml:space="preserve">Válvula esfera motorizada de duas vias de atuador proporcional
</t>
    </r>
    <r>
      <rPr>
        <sz val="8.5"/>
        <rFont val="Calibri"/>
        <family val="2"/>
      </rPr>
      <t>diâmetro 2" a 2-1/2"</t>
    </r>
  </si>
  <si>
    <r>
      <rPr>
        <sz val="8.5"/>
        <rFont val="Calibri"/>
        <family val="2"/>
      </rPr>
      <t>1.978,63</t>
    </r>
  </si>
  <si>
    <r>
      <rPr>
        <sz val="8.5"/>
        <rFont val="Calibri"/>
        <family val="2"/>
      </rPr>
      <t>1.995,40</t>
    </r>
  </si>
  <si>
    <r>
      <rPr>
        <sz val="8.5"/>
        <rFont val="Calibri"/>
        <family val="2"/>
      </rPr>
      <t>61.15.100</t>
    </r>
  </si>
  <si>
    <r>
      <rPr>
        <sz val="8.5"/>
        <rFont val="Calibri"/>
        <family val="2"/>
      </rPr>
      <t>Atuador proporcional de 10 Nm, tensão de entrada AC/DC 24 V - IP 54</t>
    </r>
  </si>
  <si>
    <r>
      <rPr>
        <sz val="8.5"/>
        <rFont val="Calibri"/>
        <family val="2"/>
      </rPr>
      <t>905,30</t>
    </r>
  </si>
  <si>
    <r>
      <rPr>
        <sz val="8.5"/>
        <rFont val="Calibri"/>
        <family val="2"/>
      </rPr>
      <t>916,48</t>
    </r>
  </si>
  <si>
    <r>
      <rPr>
        <sz val="8.5"/>
        <rFont val="Calibri"/>
        <family val="2"/>
      </rPr>
      <t>61.15.110</t>
    </r>
  </si>
  <si>
    <r>
      <rPr>
        <sz val="8.5"/>
        <rFont val="Calibri"/>
        <family val="2"/>
      </rPr>
      <t>Válvula esfera duas vias flangeada, diâmetro 3''</t>
    </r>
  </si>
  <si>
    <r>
      <rPr>
        <sz val="8.5"/>
        <rFont val="Calibri"/>
        <family val="2"/>
      </rPr>
      <t>2.014,05</t>
    </r>
  </si>
  <si>
    <r>
      <rPr>
        <sz val="8.5"/>
        <rFont val="Calibri"/>
        <family val="2"/>
      </rPr>
      <t>2.027,19</t>
    </r>
  </si>
  <si>
    <r>
      <rPr>
        <sz val="8.5"/>
        <rFont val="Calibri"/>
        <family val="2"/>
      </rPr>
      <t>61.15.120</t>
    </r>
  </si>
  <si>
    <r>
      <rPr>
        <sz val="8.5"/>
        <rFont val="Calibri"/>
        <family val="2"/>
      </rPr>
      <t>Acoplador a relé 24 VCC/VAC - 1 contato reversível</t>
    </r>
  </si>
  <si>
    <r>
      <rPr>
        <sz val="8.5"/>
        <rFont val="Calibri"/>
        <family val="2"/>
      </rPr>
      <t>103,89</t>
    </r>
  </si>
  <si>
    <r>
      <rPr>
        <sz val="8.5"/>
        <rFont val="Calibri"/>
        <family val="2"/>
      </rPr>
      <t>109,35</t>
    </r>
  </si>
  <si>
    <r>
      <rPr>
        <sz val="8.5"/>
        <rFont val="Calibri"/>
        <family val="2"/>
      </rPr>
      <t>61.15.130</t>
    </r>
  </si>
  <si>
    <r>
      <rPr>
        <sz val="8.5"/>
        <rFont val="Calibri"/>
        <family val="2"/>
      </rPr>
      <t>Chave de fluxo para ar</t>
    </r>
  </si>
  <si>
    <r>
      <rPr>
        <sz val="8.5"/>
        <rFont val="Calibri"/>
        <family val="2"/>
      </rPr>
      <t>191,27</t>
    </r>
  </si>
  <si>
    <r>
      <rPr>
        <sz val="8.5"/>
        <rFont val="Calibri"/>
        <family val="2"/>
      </rPr>
      <t>55,81</t>
    </r>
  </si>
  <si>
    <r>
      <rPr>
        <sz val="8.5"/>
        <rFont val="Calibri"/>
        <family val="2"/>
      </rPr>
      <t>247,08</t>
    </r>
  </si>
  <si>
    <r>
      <rPr>
        <sz val="8.5"/>
        <rFont val="Calibri"/>
        <family val="2"/>
      </rPr>
      <t>61.15.140</t>
    </r>
  </si>
  <si>
    <r>
      <rPr>
        <sz val="8.5"/>
        <rFont val="Calibri"/>
        <family val="2"/>
      </rPr>
      <t>Repetidor de sinal I/I e V/I</t>
    </r>
  </si>
  <si>
    <r>
      <rPr>
        <sz val="8.5"/>
        <rFont val="Calibri"/>
        <family val="2"/>
      </rPr>
      <t>1.491,13</t>
    </r>
  </si>
  <si>
    <r>
      <rPr>
        <sz val="8.5"/>
        <rFont val="Calibri"/>
        <family val="2"/>
      </rPr>
      <t>1.529,34</t>
    </r>
  </si>
  <si>
    <r>
      <rPr>
        <sz val="8.5"/>
        <rFont val="Calibri"/>
        <family val="2"/>
      </rPr>
      <t>61.15.150</t>
    </r>
  </si>
  <si>
    <r>
      <rPr>
        <sz val="8.5"/>
        <rFont val="Calibri"/>
        <family val="2"/>
      </rPr>
      <t>Relé de corrente ajustável de 0 a 200 A</t>
    </r>
  </si>
  <si>
    <r>
      <rPr>
        <sz val="8.5"/>
        <rFont val="Calibri"/>
        <family val="2"/>
      </rPr>
      <t>394,62</t>
    </r>
  </si>
  <si>
    <r>
      <rPr>
        <sz val="8.5"/>
        <rFont val="Calibri"/>
        <family val="2"/>
      </rPr>
      <t>421,91</t>
    </r>
  </si>
  <si>
    <r>
      <rPr>
        <sz val="8.5"/>
        <rFont val="Calibri"/>
        <family val="2"/>
      </rPr>
      <t>61.15.160</t>
    </r>
  </si>
  <si>
    <r>
      <rPr>
        <sz val="8.5"/>
        <rFont val="Calibri"/>
        <family val="2"/>
      </rPr>
      <t>Sensor de temperatura ambiente PT100 - 2 fios</t>
    </r>
  </si>
  <si>
    <r>
      <rPr>
        <sz val="8.5"/>
        <rFont val="Calibri"/>
        <family val="2"/>
      </rPr>
      <t>239,05</t>
    </r>
  </si>
  <si>
    <r>
      <rPr>
        <sz val="8.5"/>
        <rFont val="Calibri"/>
        <family val="2"/>
      </rPr>
      <t>61.15.163</t>
    </r>
  </si>
  <si>
    <r>
      <rPr>
        <sz val="8.5"/>
        <rFont val="Calibri"/>
        <family val="2"/>
      </rPr>
      <t xml:space="preserve">Pressostato diferencial para utilização em sistema central de ar
</t>
    </r>
    <r>
      <rPr>
        <sz val="8.5"/>
        <rFont val="Calibri"/>
        <family val="2"/>
      </rPr>
      <t>condicionado, controle de pressão diferencial 55 de 414 kPa</t>
    </r>
  </si>
  <si>
    <r>
      <rPr>
        <sz val="8.5"/>
        <rFont val="Calibri"/>
        <family val="2"/>
      </rPr>
      <t>1.851,00</t>
    </r>
  </si>
  <si>
    <r>
      <rPr>
        <sz val="8.5"/>
        <rFont val="Calibri"/>
        <family val="2"/>
      </rPr>
      <t>1.927,46</t>
    </r>
  </si>
  <si>
    <r>
      <rPr>
        <sz val="8.5"/>
        <rFont val="Calibri"/>
        <family val="2"/>
      </rPr>
      <t>61.15.164</t>
    </r>
  </si>
  <si>
    <r>
      <rPr>
        <sz val="8.5"/>
        <rFont val="Calibri"/>
        <family val="2"/>
      </rPr>
      <t>Termostato de segurança com temperatura ajustável de 90°C - 110°C</t>
    </r>
  </si>
  <si>
    <r>
      <rPr>
        <sz val="8.5"/>
        <rFont val="Calibri"/>
        <family val="2"/>
      </rPr>
      <t>73,45</t>
    </r>
  </si>
  <si>
    <r>
      <rPr>
        <sz val="8.5"/>
        <rFont val="Calibri"/>
        <family val="2"/>
      </rPr>
      <t>133,86</t>
    </r>
  </si>
  <si>
    <r>
      <rPr>
        <sz val="8.5"/>
        <rFont val="Calibri"/>
        <family val="2"/>
      </rPr>
      <t>61.15.170</t>
    </r>
  </si>
  <si>
    <r>
      <rPr>
        <sz val="8.5"/>
        <rFont val="Calibri"/>
        <family val="2"/>
      </rPr>
      <t>Transmissor de pressão diferencial, operação de 0 a 750 Pa</t>
    </r>
  </si>
  <si>
    <r>
      <rPr>
        <sz val="8.5"/>
        <rFont val="Calibri"/>
        <family val="2"/>
      </rPr>
      <t>936,59</t>
    </r>
  </si>
  <si>
    <r>
      <rPr>
        <sz val="8.5"/>
        <rFont val="Calibri"/>
        <family val="2"/>
      </rPr>
      <t>992,40</t>
    </r>
  </si>
  <si>
    <r>
      <rPr>
        <sz val="8.5"/>
        <rFont val="Calibri"/>
        <family val="2"/>
      </rPr>
      <t>61.15.172</t>
    </r>
  </si>
  <si>
    <r>
      <rPr>
        <sz val="8.5"/>
        <rFont val="Calibri"/>
        <family val="2"/>
      </rPr>
      <t xml:space="preserve">Transmissor de pressão compacto, escala de pressão 0 a 10 Bar, sinal de
</t>
    </r>
    <r>
      <rPr>
        <sz val="8.5"/>
        <rFont val="Calibri"/>
        <family val="2"/>
      </rPr>
      <t>saída 4 - 20 mA</t>
    </r>
  </si>
  <si>
    <r>
      <rPr>
        <sz val="8.5"/>
        <rFont val="Calibri"/>
        <family val="2"/>
      </rPr>
      <t>886,67</t>
    </r>
  </si>
  <si>
    <r>
      <rPr>
        <sz val="8.5"/>
        <rFont val="Calibri"/>
        <family val="2"/>
      </rPr>
      <t>942,48</t>
    </r>
  </si>
  <si>
    <r>
      <rPr>
        <sz val="8.5"/>
        <rFont val="Calibri"/>
        <family val="2"/>
      </rPr>
      <t>61.15.174</t>
    </r>
  </si>
  <si>
    <r>
      <rPr>
        <sz val="8.5"/>
        <rFont val="Calibri"/>
        <family val="2"/>
      </rPr>
      <t xml:space="preserve">Transmissor de temperatura e umidade para dutos, alta precisão,
</t>
    </r>
    <r>
      <rPr>
        <sz val="8.5"/>
        <rFont val="Calibri"/>
        <family val="2"/>
      </rPr>
      <t>corrente de 0 a 20 mA, alimentação 12Vcc a 30Vcc</t>
    </r>
  </si>
  <si>
    <r>
      <rPr>
        <sz val="8.5"/>
        <rFont val="Calibri"/>
        <family val="2"/>
      </rPr>
      <t>1.761,49</t>
    </r>
  </si>
  <si>
    <r>
      <rPr>
        <sz val="8.5"/>
        <rFont val="Calibri"/>
        <family val="2"/>
      </rPr>
      <t>1.817,30</t>
    </r>
  </si>
  <si>
    <r>
      <rPr>
        <sz val="8.5"/>
        <rFont val="Calibri"/>
        <family val="2"/>
      </rPr>
      <t>61.15.181</t>
    </r>
  </si>
  <si>
    <r>
      <rPr>
        <sz val="8.5"/>
        <rFont val="Calibri"/>
        <family val="2"/>
      </rPr>
      <t>Controlador lógico programável para 16 entradas/16 saídas</t>
    </r>
  </si>
  <si>
    <r>
      <rPr>
        <sz val="8.5"/>
        <rFont val="Calibri"/>
        <family val="2"/>
      </rPr>
      <t>3.443,59</t>
    </r>
  </si>
  <si>
    <r>
      <rPr>
        <sz val="8.5"/>
        <rFont val="Calibri"/>
        <family val="2"/>
      </rPr>
      <t>254,03</t>
    </r>
  </si>
  <si>
    <r>
      <rPr>
        <sz val="8.5"/>
        <rFont val="Calibri"/>
        <family val="2"/>
      </rPr>
      <t>3.697,62</t>
    </r>
  </si>
  <si>
    <r>
      <rPr>
        <sz val="8.5"/>
        <rFont val="Calibri"/>
        <family val="2"/>
      </rPr>
      <t>61.15.191</t>
    </r>
  </si>
  <si>
    <r>
      <rPr>
        <sz val="8.5"/>
        <rFont val="Calibri"/>
        <family val="2"/>
      </rPr>
      <t>Módulo de expansão para 4 canais de saída analógica</t>
    </r>
  </si>
  <si>
    <r>
      <rPr>
        <sz val="8.5"/>
        <rFont val="Calibri"/>
        <family val="2"/>
      </rPr>
      <t>2.768,07</t>
    </r>
  </si>
  <si>
    <r>
      <rPr>
        <sz val="8.5"/>
        <rFont val="Calibri"/>
        <family val="2"/>
      </rPr>
      <t>148,89</t>
    </r>
  </si>
  <si>
    <r>
      <rPr>
        <sz val="8.5"/>
        <rFont val="Calibri"/>
        <family val="2"/>
      </rPr>
      <t>2.916,96</t>
    </r>
  </si>
  <si>
    <r>
      <rPr>
        <sz val="8.5"/>
        <rFont val="Calibri"/>
        <family val="2"/>
      </rPr>
      <t>61.15.196</t>
    </r>
  </si>
  <si>
    <r>
      <rPr>
        <sz val="8.5"/>
        <rFont val="Calibri"/>
        <family val="2"/>
      </rPr>
      <t>Módulo de expansão para 8 canais de entrada analógica</t>
    </r>
  </si>
  <si>
    <r>
      <rPr>
        <sz val="8.5"/>
        <rFont val="Calibri"/>
        <family val="2"/>
      </rPr>
      <t>4.101,92</t>
    </r>
  </si>
  <si>
    <r>
      <rPr>
        <sz val="8.5"/>
        <rFont val="Calibri"/>
        <family val="2"/>
      </rPr>
      <t>4.250,81</t>
    </r>
  </si>
  <si>
    <r>
      <rPr>
        <sz val="8.5"/>
        <rFont val="Calibri"/>
        <family val="2"/>
      </rPr>
      <t>61.15.201</t>
    </r>
  </si>
  <si>
    <r>
      <rPr>
        <sz val="8.5"/>
        <rFont val="Calibri"/>
        <family val="2"/>
      </rPr>
      <t>Módulo de expansão para 8 canais de entrada e saída digitais</t>
    </r>
  </si>
  <si>
    <r>
      <rPr>
        <sz val="8.5"/>
        <rFont val="Calibri"/>
        <family val="2"/>
      </rPr>
      <t>705,56</t>
    </r>
  </si>
  <si>
    <r>
      <rPr>
        <sz val="8.5"/>
        <rFont val="Calibri"/>
        <family val="2"/>
      </rPr>
      <t>170,80</t>
    </r>
  </si>
  <si>
    <r>
      <rPr>
        <sz val="8.5"/>
        <rFont val="Calibri"/>
        <family val="2"/>
      </rPr>
      <t>876,36</t>
    </r>
  </si>
  <si>
    <r>
      <rPr>
        <sz val="8.5"/>
        <rFont val="Calibri"/>
        <family val="2"/>
      </rPr>
      <t>Reparos, conservacoes e complementos - GRUPO 61</t>
    </r>
  </si>
  <si>
    <r>
      <rPr>
        <sz val="8.5"/>
        <rFont val="Calibri"/>
        <family val="2"/>
      </rPr>
      <t>61.20.040</t>
    </r>
  </si>
  <si>
    <r>
      <rPr>
        <sz val="8.5"/>
        <rFont val="Calibri"/>
        <family val="2"/>
      </rPr>
      <t>Cortina de ar com duas velocidades, para vão de 1,20 m</t>
    </r>
  </si>
  <si>
    <r>
      <rPr>
        <sz val="8.5"/>
        <rFont val="Calibri"/>
        <family val="2"/>
      </rPr>
      <t>795,44</t>
    </r>
  </si>
  <si>
    <r>
      <rPr>
        <sz val="8.5"/>
        <rFont val="Calibri"/>
        <family val="2"/>
      </rPr>
      <t>9,45</t>
    </r>
  </si>
  <si>
    <r>
      <rPr>
        <sz val="8.5"/>
        <rFont val="Calibri"/>
        <family val="2"/>
      </rPr>
      <t>804,89</t>
    </r>
  </si>
  <si>
    <r>
      <rPr>
        <sz val="8.5"/>
        <rFont val="Calibri"/>
        <family val="2"/>
      </rPr>
      <t>61.20.092</t>
    </r>
  </si>
  <si>
    <r>
      <rPr>
        <sz val="8.5"/>
        <rFont val="Calibri"/>
        <family val="2"/>
      </rPr>
      <t>Cortina de ar com duas velocidades, para vão de 1,50 m</t>
    </r>
  </si>
  <si>
    <r>
      <rPr>
        <sz val="8.5"/>
        <rFont val="Calibri"/>
        <family val="2"/>
      </rPr>
      <t>1.013,50</t>
    </r>
  </si>
  <si>
    <r>
      <rPr>
        <sz val="8.5"/>
        <rFont val="Calibri"/>
        <family val="2"/>
      </rPr>
      <t>1.022,95</t>
    </r>
  </si>
  <si>
    <r>
      <rPr>
        <sz val="8.5"/>
        <rFont val="Calibri"/>
        <family val="2"/>
      </rPr>
      <t>61.20.100</t>
    </r>
  </si>
  <si>
    <r>
      <rPr>
        <sz val="8.5"/>
        <rFont val="Calibri"/>
        <family val="2"/>
      </rPr>
      <t>Ligação típica, (cavalete), para ar condicionado ´fancoil´, diâmetro de 1/2´</t>
    </r>
  </si>
  <si>
    <r>
      <rPr>
        <sz val="8.5"/>
        <rFont val="Calibri"/>
        <family val="2"/>
      </rPr>
      <t>1.130,96</t>
    </r>
  </si>
  <si>
    <r>
      <rPr>
        <sz val="8.5"/>
        <rFont val="Calibri"/>
        <family val="2"/>
      </rPr>
      <t>384,37</t>
    </r>
  </si>
  <si>
    <r>
      <rPr>
        <sz val="8.5"/>
        <rFont val="Calibri"/>
        <family val="2"/>
      </rPr>
      <t>1.515,33</t>
    </r>
  </si>
  <si>
    <r>
      <rPr>
        <sz val="8.5"/>
        <rFont val="Calibri"/>
        <family val="2"/>
      </rPr>
      <t>61.20.110</t>
    </r>
  </si>
  <si>
    <r>
      <rPr>
        <sz val="8.5"/>
        <rFont val="Calibri"/>
        <family val="2"/>
      </rPr>
      <t>Ligação típica, (cavalete), para ar condicionado ´fancoil´, diâmetro de 3/4´</t>
    </r>
  </si>
  <si>
    <r>
      <rPr>
        <sz val="8.5"/>
        <rFont val="Calibri"/>
        <family val="2"/>
      </rPr>
      <t>1.338,35</t>
    </r>
  </si>
  <si>
    <r>
      <rPr>
        <sz val="8.5"/>
        <rFont val="Calibri"/>
        <family val="2"/>
      </rPr>
      <t>409,82</t>
    </r>
  </si>
  <si>
    <r>
      <rPr>
        <sz val="8.5"/>
        <rFont val="Calibri"/>
        <family val="2"/>
      </rPr>
      <t>1.748,17</t>
    </r>
  </si>
  <si>
    <r>
      <rPr>
        <sz val="8.5"/>
        <rFont val="Calibri"/>
        <family val="2"/>
      </rPr>
      <t>61.20.120</t>
    </r>
  </si>
  <si>
    <r>
      <rPr>
        <sz val="8.5"/>
        <rFont val="Calibri"/>
        <family val="2"/>
      </rPr>
      <t>Ligação típica, (cavalete), para ar condicionado ´fancoil´, diâmetro de 1´</t>
    </r>
  </si>
  <si>
    <r>
      <rPr>
        <sz val="8.5"/>
        <rFont val="Calibri"/>
        <family val="2"/>
      </rPr>
      <t>1.593,43</t>
    </r>
  </si>
  <si>
    <r>
      <rPr>
        <sz val="8.5"/>
        <rFont val="Calibri"/>
        <family val="2"/>
      </rPr>
      <t>460,73</t>
    </r>
  </si>
  <si>
    <r>
      <rPr>
        <sz val="8.5"/>
        <rFont val="Calibri"/>
        <family val="2"/>
      </rPr>
      <t>2.054,16</t>
    </r>
  </si>
  <si>
    <r>
      <rPr>
        <sz val="8.5"/>
        <rFont val="Calibri"/>
        <family val="2"/>
      </rPr>
      <t>61.20.130</t>
    </r>
  </si>
  <si>
    <r>
      <rPr>
        <sz val="8.5"/>
        <rFont val="Calibri"/>
        <family val="2"/>
      </rPr>
      <t xml:space="preserve">Ligação típica, (cavalete), para ar condicionado ´fancoil´, diâmetro de 1
</t>
    </r>
    <r>
      <rPr>
        <sz val="8.5"/>
        <rFont val="Calibri"/>
        <family val="2"/>
      </rPr>
      <t>1/4´</t>
    </r>
  </si>
  <si>
    <r>
      <rPr>
        <sz val="8.5"/>
        <rFont val="Calibri"/>
        <family val="2"/>
      </rPr>
      <t>2.009,24</t>
    </r>
  </si>
  <si>
    <r>
      <rPr>
        <sz val="8.5"/>
        <rFont val="Calibri"/>
        <family val="2"/>
      </rPr>
      <t>486,19</t>
    </r>
  </si>
  <si>
    <r>
      <rPr>
        <sz val="8.5"/>
        <rFont val="Calibri"/>
        <family val="2"/>
      </rPr>
      <t>2.495,43</t>
    </r>
  </si>
  <si>
    <r>
      <rPr>
        <sz val="8.5"/>
        <rFont val="Calibri"/>
        <family val="2"/>
      </rPr>
      <t>61.20.450</t>
    </r>
  </si>
  <si>
    <r>
      <rPr>
        <sz val="8.5"/>
        <rFont val="Calibri"/>
        <family val="2"/>
      </rPr>
      <t>Duto em chapa de aço galvanizado</t>
    </r>
  </si>
  <si>
    <r>
      <rPr>
        <sz val="8.5"/>
        <rFont val="Calibri"/>
        <family val="2"/>
      </rPr>
      <t>29,35</t>
    </r>
  </si>
  <si>
    <r>
      <rPr>
        <sz val="8.5"/>
        <rFont val="Calibri"/>
        <family val="2"/>
      </rPr>
      <t>50,53</t>
    </r>
  </si>
  <si>
    <r>
      <rPr>
        <sz val="8.5"/>
        <rFont val="Calibri"/>
        <family val="2"/>
      </rPr>
      <t>COZINHA, REFEITORIO, LAVANDERIA INDUSTRIAL E EQUIPAMENTOS</t>
    </r>
  </si>
  <si>
    <r>
      <rPr>
        <sz val="8.5"/>
        <rFont val="Calibri"/>
        <family val="2"/>
      </rPr>
      <t>Mobiliario e acessorios</t>
    </r>
  </si>
  <si>
    <r>
      <rPr>
        <sz val="8.5"/>
        <rFont val="Calibri"/>
        <family val="2"/>
      </rPr>
      <t>62.04.060</t>
    </r>
  </si>
  <si>
    <r>
      <rPr>
        <sz val="8.5"/>
        <rFont val="Calibri"/>
        <family val="2"/>
      </rPr>
      <t>Tanque duplo com pés em aço inoxidável de 1600 x 700 x 850 mm</t>
    </r>
  </si>
  <si>
    <r>
      <rPr>
        <sz val="8.5"/>
        <rFont val="Calibri"/>
        <family val="2"/>
      </rPr>
      <t>4.231,40</t>
    </r>
  </si>
  <si>
    <r>
      <rPr>
        <sz val="8.5"/>
        <rFont val="Calibri"/>
        <family val="2"/>
      </rPr>
      <t>4.249,60</t>
    </r>
  </si>
  <si>
    <r>
      <rPr>
        <sz val="8.5"/>
        <rFont val="Calibri"/>
        <family val="2"/>
      </rPr>
      <t>62.04.070</t>
    </r>
  </si>
  <si>
    <r>
      <rPr>
        <sz val="8.5"/>
        <rFont val="Calibri"/>
        <family val="2"/>
      </rPr>
      <t>Mesa em aço inoxidável, largura até 700 mm</t>
    </r>
  </si>
  <si>
    <r>
      <rPr>
        <sz val="8.5"/>
        <rFont val="Calibri"/>
        <family val="2"/>
      </rPr>
      <t>1.981,48</t>
    </r>
  </si>
  <si>
    <r>
      <rPr>
        <sz val="8.5"/>
        <rFont val="Calibri"/>
        <family val="2"/>
      </rPr>
      <t>62.04.090</t>
    </r>
  </si>
  <si>
    <r>
      <rPr>
        <sz val="8.5"/>
        <rFont val="Calibri"/>
        <family val="2"/>
      </rPr>
      <t xml:space="preserve">Mesa lateral em aço inoxidável com prateleira inferior, largura até 700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</si>
  <si>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2.110,15</t>
    </r>
  </si>
  <si>
    <r>
      <rPr>
        <sz val="8.5"/>
        <rFont val="Calibri"/>
        <family val="2"/>
      </rPr>
      <t>Reparos, conservacoes e complementos - GRUPO 62</t>
    </r>
  </si>
  <si>
    <r>
      <rPr>
        <sz val="8.5"/>
        <rFont val="Calibri"/>
        <family val="2"/>
      </rPr>
      <t>62.20.330</t>
    </r>
  </si>
  <si>
    <r>
      <rPr>
        <sz val="8.5"/>
        <rFont val="Calibri"/>
        <family val="2"/>
      </rPr>
      <t>Coifa em aço inoxidável com filtro e exaustor axial - área até 3,00 m²</t>
    </r>
  </si>
  <si>
    <r>
      <rPr>
        <sz val="8.5"/>
        <rFont val="Calibri"/>
        <family val="2"/>
      </rPr>
      <t>9.773,45</t>
    </r>
  </si>
  <si>
    <r>
      <rPr>
        <sz val="8.5"/>
        <rFont val="Calibri"/>
        <family val="2"/>
      </rPr>
      <t>62.20.340</t>
    </r>
  </si>
  <si>
    <r>
      <rPr>
        <sz val="8.5"/>
        <rFont val="Calibri"/>
        <family val="2"/>
      </rPr>
      <t xml:space="preserve">Coifa em aço inoxidável com filtro e exaustor axial - área de 3,01 até 7,50
</t>
    </r>
    <r>
      <rPr>
        <sz val="8.5"/>
        <rFont val="Calibri"/>
        <family val="2"/>
      </rPr>
      <t>m²</t>
    </r>
  </si>
  <si>
    <r>
      <rPr>
        <sz val="8.5"/>
        <rFont val="Calibri"/>
        <family val="2"/>
      </rPr>
      <t>8.859,23</t>
    </r>
  </si>
  <si>
    <r>
      <rPr>
        <sz val="8.5"/>
        <rFont val="Calibri"/>
        <family val="2"/>
      </rPr>
      <t>62.20.350</t>
    </r>
  </si>
  <si>
    <r>
      <rPr>
        <sz val="8.5"/>
        <rFont val="Calibri"/>
        <family val="2"/>
      </rPr>
      <t xml:space="preserve">Coifa em aço inoxidável com filtro e exaustor axial - área de 7,51 até
</t>
    </r>
    <r>
      <rPr>
        <sz val="8.5"/>
        <rFont val="Calibri"/>
        <family val="2"/>
      </rPr>
      <t>16,00 m²</t>
    </r>
  </si>
  <si>
    <r>
      <rPr>
        <sz val="8.5"/>
        <rFont val="Calibri"/>
        <family val="2"/>
      </rPr>
      <t>4.549,53</t>
    </r>
  </si>
  <si>
    <r>
      <rPr>
        <sz val="8.5"/>
        <rFont val="Calibri"/>
        <family val="2"/>
      </rPr>
      <t>RESFRIAMENTO E CONSERVACAO DE MATERIAL PERECIVEL</t>
    </r>
  </si>
  <si>
    <r>
      <rPr>
        <sz val="8.5"/>
        <rFont val="Calibri"/>
        <family val="2"/>
      </rPr>
      <t>Camara frigorifica para resfriado</t>
    </r>
  </si>
  <si>
    <r>
      <rPr>
        <sz val="8.5"/>
        <rFont val="Calibri"/>
        <family val="2"/>
      </rPr>
      <t>65.01.210</t>
    </r>
  </si>
  <si>
    <r>
      <rPr>
        <sz val="8.5"/>
        <rFont val="Calibri"/>
        <family val="2"/>
      </rPr>
      <t>Câmara frigorífica para resfriados</t>
    </r>
  </si>
  <si>
    <r>
      <rPr>
        <sz val="8.5"/>
        <rFont val="Calibri"/>
        <family val="2"/>
      </rPr>
      <t>1.846,08</t>
    </r>
  </si>
  <si>
    <r>
      <rPr>
        <sz val="8.5"/>
        <rFont val="Calibri"/>
        <family val="2"/>
      </rPr>
      <t>Camara frigorifica para congelado</t>
    </r>
  </si>
  <si>
    <r>
      <rPr>
        <sz val="8.5"/>
        <rFont val="Calibri"/>
        <family val="2"/>
      </rPr>
      <t>65.02.100</t>
    </r>
  </si>
  <si>
    <r>
      <rPr>
        <sz val="8.5"/>
        <rFont val="Calibri"/>
        <family val="2"/>
      </rPr>
      <t>Câmara frigorífica para congelados</t>
    </r>
  </si>
  <si>
    <r>
      <rPr>
        <sz val="8.5"/>
        <rFont val="Calibri"/>
        <family val="2"/>
      </rPr>
      <t>2.241,07</t>
    </r>
  </si>
  <si>
    <r>
      <rPr>
        <sz val="8.5"/>
        <rFont val="Calibri"/>
        <family val="2"/>
      </rPr>
      <t>SEGURANCA, VIGILANCIA E CONTROLE, EQUIPAMENTO E SISTEMA</t>
    </r>
  </si>
  <si>
    <r>
      <rPr>
        <sz val="8.5"/>
        <rFont val="Calibri"/>
        <family val="2"/>
      </rPr>
      <t>Controle de acessos e alarme</t>
    </r>
  </si>
  <si>
    <r>
      <rPr>
        <sz val="8.5"/>
        <rFont val="Calibri"/>
        <family val="2"/>
      </rPr>
      <t>66.02.060</t>
    </r>
  </si>
  <si>
    <r>
      <rPr>
        <sz val="8.5"/>
        <rFont val="Calibri"/>
        <family val="2"/>
      </rPr>
      <t xml:space="preserve">Repetidora de sinais de ocorrências, do painel sinóptico da central de
</t>
    </r>
    <r>
      <rPr>
        <sz val="8.5"/>
        <rFont val="Calibri"/>
        <family val="2"/>
      </rPr>
      <t>alarme</t>
    </r>
  </si>
  <si>
    <r>
      <rPr>
        <sz val="8.5"/>
        <rFont val="Calibri"/>
        <family val="2"/>
      </rPr>
      <t>946,25</t>
    </r>
  </si>
  <si>
    <r>
      <rPr>
        <sz val="8.5"/>
        <rFont val="Calibri"/>
        <family val="2"/>
      </rPr>
      <t>957,17</t>
    </r>
  </si>
  <si>
    <r>
      <rPr>
        <sz val="8.5"/>
        <rFont val="Calibri"/>
        <family val="2"/>
      </rPr>
      <t>66.02.090</t>
    </r>
  </si>
  <si>
    <r>
      <rPr>
        <sz val="8.5"/>
        <rFont val="Calibri"/>
        <family val="2"/>
      </rPr>
      <t>Detector de metais, tipo portal, microprocessado</t>
    </r>
  </si>
  <si>
    <r>
      <rPr>
        <sz val="8.5"/>
        <rFont val="Calibri"/>
        <family val="2"/>
      </rPr>
      <t>10.245,34</t>
    </r>
  </si>
  <si>
    <r>
      <rPr>
        <sz val="8.5"/>
        <rFont val="Calibri"/>
        <family val="2"/>
      </rPr>
      <t>66.02.130</t>
    </r>
  </si>
  <si>
    <r>
      <rPr>
        <sz val="8.5"/>
        <rFont val="Calibri"/>
        <family val="2"/>
      </rPr>
      <t>Porteiro eletrônico com um interfone</t>
    </r>
  </si>
  <si>
    <r>
      <rPr>
        <sz val="8.5"/>
        <rFont val="Calibri"/>
        <family val="2"/>
      </rPr>
      <t>193,54</t>
    </r>
  </si>
  <si>
    <r>
      <rPr>
        <sz val="8.5"/>
        <rFont val="Calibri"/>
        <family val="2"/>
      </rPr>
      <t>229,93</t>
    </r>
  </si>
  <si>
    <r>
      <rPr>
        <sz val="8.5"/>
        <rFont val="Calibri"/>
        <family val="2"/>
      </rPr>
      <t>66.02.239</t>
    </r>
  </si>
  <si>
    <r>
      <rPr>
        <sz val="8.5"/>
        <rFont val="Calibri"/>
        <family val="2"/>
      </rPr>
      <t xml:space="preserve">Sistema eletrônico de automatização de portão deslizante, para esforços
</t>
    </r>
    <r>
      <rPr>
        <sz val="8.5"/>
        <rFont val="Calibri"/>
        <family val="2"/>
      </rPr>
      <t>até 800 kg</t>
    </r>
  </si>
  <si>
    <r>
      <rPr>
        <sz val="8.5"/>
        <rFont val="Calibri"/>
        <family val="2"/>
      </rPr>
      <t>2.782,44</t>
    </r>
  </si>
  <si>
    <r>
      <rPr>
        <sz val="8.5"/>
        <rFont val="Calibri"/>
        <family val="2"/>
      </rPr>
      <t>66.02.240</t>
    </r>
  </si>
  <si>
    <r>
      <rPr>
        <sz val="8.5"/>
        <rFont val="Calibri"/>
        <family val="2"/>
      </rPr>
      <t xml:space="preserve">Sistema eletrônico de automatização de portão deslizante, para esforços
</t>
    </r>
    <r>
      <rPr>
        <sz val="8.5"/>
        <rFont val="Calibri"/>
        <family val="2"/>
      </rPr>
      <t>maior de 800 kg e até 1400 kg</t>
    </r>
  </si>
  <si>
    <r>
      <rPr>
        <sz val="8.5"/>
        <rFont val="Calibri"/>
        <family val="2"/>
      </rPr>
      <t>5.653,13</t>
    </r>
  </si>
  <si>
    <r>
      <rPr>
        <sz val="8.5"/>
        <rFont val="Calibri"/>
        <family val="2"/>
      </rPr>
      <t>66.02.460</t>
    </r>
  </si>
  <si>
    <r>
      <rPr>
        <sz val="8.5"/>
        <rFont val="Calibri"/>
        <family val="2"/>
      </rPr>
      <t>Vídeo porteiro eletrônico colorido, com um interfone</t>
    </r>
  </si>
  <si>
    <r>
      <rPr>
        <sz val="8.5"/>
        <rFont val="Calibri"/>
        <family val="2"/>
      </rPr>
      <t>1.190,65</t>
    </r>
  </si>
  <si>
    <r>
      <rPr>
        <sz val="8.5"/>
        <rFont val="Calibri"/>
        <family val="2"/>
      </rPr>
      <t>1.281,63</t>
    </r>
  </si>
  <si>
    <r>
      <rPr>
        <sz val="8.5"/>
        <rFont val="Calibri"/>
        <family val="2"/>
      </rPr>
      <t>66.02.500</t>
    </r>
  </si>
  <si>
    <r>
      <rPr>
        <sz val="8.5"/>
        <rFont val="Calibri"/>
        <family val="2"/>
      </rPr>
      <t>Central de alarme microprocessada, para até 125 zonas</t>
    </r>
  </si>
  <si>
    <r>
      <rPr>
        <sz val="8.5"/>
        <rFont val="Calibri"/>
        <family val="2"/>
      </rPr>
      <t>2.574,95</t>
    </r>
  </si>
  <si>
    <r>
      <rPr>
        <sz val="8.5"/>
        <rFont val="Calibri"/>
        <family val="2"/>
      </rPr>
      <t>2.585,87</t>
    </r>
  </si>
  <si>
    <r>
      <rPr>
        <sz val="8.5"/>
        <rFont val="Calibri"/>
        <family val="2"/>
      </rPr>
      <t>66.02.560</t>
    </r>
  </si>
  <si>
    <r>
      <rPr>
        <sz val="8.5"/>
        <rFont val="Calibri"/>
        <family val="2"/>
      </rPr>
      <t xml:space="preserve">Controlador de acesso com identificação por impressão digital
</t>
    </r>
    <r>
      <rPr>
        <sz val="8.5"/>
        <rFont val="Calibri"/>
        <family val="2"/>
      </rPr>
      <t>(biometria) e software de gerenciamento</t>
    </r>
  </si>
  <si>
    <r>
      <rPr>
        <sz val="8.5"/>
        <rFont val="Calibri"/>
        <family val="2"/>
      </rPr>
      <t>2.545,04</t>
    </r>
  </si>
  <si>
    <r>
      <rPr>
        <sz val="8.5"/>
        <rFont val="Calibri"/>
        <family val="2"/>
      </rPr>
      <t>497,62</t>
    </r>
  </si>
  <si>
    <r>
      <rPr>
        <sz val="8.5"/>
        <rFont val="Calibri"/>
        <family val="2"/>
      </rPr>
      <t>3.042,66</t>
    </r>
  </si>
  <si>
    <r>
      <rPr>
        <sz val="8.5"/>
        <rFont val="Calibri"/>
        <family val="2"/>
      </rPr>
      <t>Equipamentos para sistema de seguranca, vigilancia e controle</t>
    </r>
  </si>
  <si>
    <r>
      <rPr>
        <sz val="8.5"/>
        <rFont val="Calibri"/>
        <family val="2"/>
      </rPr>
      <t>66.08.061</t>
    </r>
  </si>
  <si>
    <r>
      <rPr>
        <sz val="8.5"/>
        <rFont val="Calibri"/>
        <family val="2"/>
      </rPr>
      <t xml:space="preserve">Mesa controladora híbrida para até 32 câmeras IPs, com teclado e
</t>
    </r>
    <r>
      <rPr>
        <sz val="8.5"/>
        <rFont val="Calibri"/>
        <family val="2"/>
      </rPr>
      <t>joystick, compatível com sistema de CFTV, IP ou analógico</t>
    </r>
  </si>
  <si>
    <r>
      <rPr>
        <sz val="8.5"/>
        <rFont val="Calibri"/>
        <family val="2"/>
      </rPr>
      <t>3.884,64</t>
    </r>
  </si>
  <si>
    <r>
      <rPr>
        <sz val="8.5"/>
        <rFont val="Calibri"/>
        <family val="2"/>
      </rPr>
      <t>4.705,28</t>
    </r>
  </si>
  <si>
    <r>
      <rPr>
        <sz val="8.5"/>
        <rFont val="Calibri"/>
        <family val="2"/>
      </rPr>
      <t>66.08.100</t>
    </r>
  </si>
  <si>
    <r>
      <rPr>
        <sz val="8.5"/>
        <rFont val="Calibri"/>
        <family val="2"/>
      </rPr>
      <t>Rack fechado padrão metálico, 19 x 12 Us x 470 mm</t>
    </r>
  </si>
  <si>
    <r>
      <rPr>
        <sz val="8.5"/>
        <rFont val="Calibri"/>
        <family val="2"/>
      </rPr>
      <t>703,78</t>
    </r>
  </si>
  <si>
    <r>
      <rPr>
        <sz val="8.5"/>
        <rFont val="Calibri"/>
        <family val="2"/>
      </rPr>
      <t>256,45</t>
    </r>
  </si>
  <si>
    <r>
      <rPr>
        <sz val="8.5"/>
        <rFont val="Calibri"/>
        <family val="2"/>
      </rPr>
      <t>960,23</t>
    </r>
  </si>
  <si>
    <r>
      <rPr>
        <sz val="8.5"/>
        <rFont val="Calibri"/>
        <family val="2"/>
      </rPr>
      <t>66.08.110</t>
    </r>
  </si>
  <si>
    <r>
      <rPr>
        <sz val="8.5"/>
        <rFont val="Calibri"/>
        <family val="2"/>
      </rPr>
      <t>Rack fechado padrão metálico, 19 x 20 Us x 470 mm</t>
    </r>
  </si>
  <si>
    <r>
      <rPr>
        <sz val="8.5"/>
        <rFont val="Calibri"/>
        <family val="2"/>
      </rPr>
      <t>1.148,84</t>
    </r>
  </si>
  <si>
    <r>
      <rPr>
        <sz val="8.5"/>
        <rFont val="Calibri"/>
        <family val="2"/>
      </rPr>
      <t>1.405,29</t>
    </r>
  </si>
  <si>
    <r>
      <rPr>
        <sz val="8.5"/>
        <rFont val="Calibri"/>
        <family val="2"/>
      </rPr>
      <t>66.08.111</t>
    </r>
  </si>
  <si>
    <r>
      <rPr>
        <sz val="8.5"/>
        <rFont val="Calibri"/>
        <family val="2"/>
      </rPr>
      <t>Rack fechado de piso padrão metálico, 19 x 24 Us x 570 mm</t>
    </r>
  </si>
  <si>
    <r>
      <rPr>
        <sz val="8.5"/>
        <rFont val="Calibri"/>
        <family val="2"/>
      </rPr>
      <t>1.039,64</t>
    </r>
  </si>
  <si>
    <r>
      <rPr>
        <sz val="8.5"/>
        <rFont val="Calibri"/>
        <family val="2"/>
      </rPr>
      <t>1.296,09</t>
    </r>
  </si>
  <si>
    <r>
      <rPr>
        <sz val="8.5"/>
        <rFont val="Calibri"/>
        <family val="2"/>
      </rPr>
      <t>66.08.115</t>
    </r>
  </si>
  <si>
    <r>
      <rPr>
        <sz val="8.5"/>
        <rFont val="Calibri"/>
        <family val="2"/>
      </rPr>
      <t>Rack fechado de piso padrão metálico, 19 x 44 Us x 770 mm</t>
    </r>
  </si>
  <si>
    <r>
      <rPr>
        <sz val="8.5"/>
        <rFont val="Calibri"/>
        <family val="2"/>
      </rPr>
      <t>2.259,10</t>
    </r>
  </si>
  <si>
    <r>
      <rPr>
        <sz val="8.5"/>
        <rFont val="Calibri"/>
        <family val="2"/>
      </rPr>
      <t>512,90</t>
    </r>
  </si>
  <si>
    <r>
      <rPr>
        <sz val="8.5"/>
        <rFont val="Calibri"/>
        <family val="2"/>
      </rPr>
      <t>2.772,00</t>
    </r>
  </si>
  <si>
    <r>
      <rPr>
        <sz val="8.5"/>
        <rFont val="Calibri"/>
        <family val="2"/>
      </rPr>
      <t>66.08.131</t>
    </r>
  </si>
  <si>
    <r>
      <rPr>
        <sz val="8.5"/>
        <rFont val="Calibri"/>
        <family val="2"/>
      </rPr>
      <t>Monitor LCD ou LED colorido, tela plana de 21,5"</t>
    </r>
  </si>
  <si>
    <r>
      <rPr>
        <sz val="8.5"/>
        <rFont val="Calibri"/>
        <family val="2"/>
      </rPr>
      <t>925,70</t>
    </r>
  </si>
  <si>
    <r>
      <rPr>
        <sz val="8.5"/>
        <rFont val="Calibri"/>
        <family val="2"/>
      </rPr>
      <t>8,18</t>
    </r>
  </si>
  <si>
    <r>
      <rPr>
        <sz val="8.5"/>
        <rFont val="Calibri"/>
        <family val="2"/>
      </rPr>
      <t>933,88</t>
    </r>
  </si>
  <si>
    <r>
      <rPr>
        <sz val="8.5"/>
        <rFont val="Calibri"/>
        <family val="2"/>
      </rPr>
      <t>66.08.240</t>
    </r>
  </si>
  <si>
    <r>
      <rPr>
        <sz val="8.5"/>
        <rFont val="Calibri"/>
        <family val="2"/>
      </rPr>
      <t>Filtro passivo e misturador de sinais VHF / UHF / CATV</t>
    </r>
  </si>
  <si>
    <r>
      <rPr>
        <sz val="8.5"/>
        <rFont val="Calibri"/>
        <family val="2"/>
      </rPr>
      <t>66.08.258</t>
    </r>
  </si>
  <si>
    <r>
      <rPr>
        <sz val="8.5"/>
        <rFont val="Calibri"/>
        <family val="2"/>
      </rPr>
      <t xml:space="preserve">Ponto de acesso de dados (Access Point), uso interno, compatível com
</t>
    </r>
    <r>
      <rPr>
        <sz val="8.5"/>
        <rFont val="Calibri"/>
        <family val="2"/>
      </rPr>
      <t>PoE 802.3af</t>
    </r>
  </si>
  <si>
    <r>
      <rPr>
        <sz val="8.5"/>
        <rFont val="Calibri"/>
        <family val="2"/>
      </rPr>
      <t>1.283,43</t>
    </r>
  </si>
  <si>
    <r>
      <rPr>
        <sz val="8.5"/>
        <rFont val="Calibri"/>
        <family val="2"/>
      </rPr>
      <t>1.428,99</t>
    </r>
  </si>
  <si>
    <r>
      <rPr>
        <sz val="8.5"/>
        <rFont val="Calibri"/>
        <family val="2"/>
      </rPr>
      <t>66.08.260</t>
    </r>
  </si>
  <si>
    <r>
      <rPr>
        <sz val="8.5"/>
        <rFont val="Calibri"/>
        <family val="2"/>
      </rPr>
      <t>Modulador de canais VHF / UHF / CATV / CFTV</t>
    </r>
  </si>
  <si>
    <r>
      <rPr>
        <sz val="8.5"/>
        <rFont val="Calibri"/>
        <family val="2"/>
      </rPr>
      <t>172,91</t>
    </r>
  </si>
  <si>
    <r>
      <rPr>
        <sz val="8.5"/>
        <rFont val="Calibri"/>
        <family val="2"/>
      </rPr>
      <t>209,30</t>
    </r>
  </si>
  <si>
    <r>
      <rPr>
        <sz val="8.5"/>
        <rFont val="Calibri"/>
        <family val="2"/>
      </rPr>
      <t>66.08.270</t>
    </r>
  </si>
  <si>
    <r>
      <rPr>
        <sz val="8.5"/>
        <rFont val="Calibri"/>
        <family val="2"/>
      </rPr>
      <t>Amplificador de linha VHF / UHF com conector de F-50 dB</t>
    </r>
  </si>
  <si>
    <r>
      <rPr>
        <sz val="8.5"/>
        <rFont val="Calibri"/>
        <family val="2"/>
      </rPr>
      <t>449,50</t>
    </r>
  </si>
  <si>
    <r>
      <rPr>
        <sz val="8.5"/>
        <rFont val="Calibri"/>
        <family val="2"/>
      </rPr>
      <t>460,42</t>
    </r>
  </si>
  <si>
    <r>
      <rPr>
        <sz val="8.5"/>
        <rFont val="Calibri"/>
        <family val="2"/>
      </rPr>
      <t>66.08.324</t>
    </r>
  </si>
  <si>
    <r>
      <rPr>
        <sz val="8.5"/>
        <rFont val="Calibri"/>
        <family val="2"/>
      </rPr>
      <t xml:space="preserve">Câmera fixa colorida compacta com domo, para áreas internas e
</t>
    </r>
    <r>
      <rPr>
        <sz val="8.5"/>
        <rFont val="Calibri"/>
        <family val="2"/>
      </rPr>
      <t>externas - 1,3 MP</t>
    </r>
  </si>
  <si>
    <r>
      <rPr>
        <sz val="8.5"/>
        <rFont val="Calibri"/>
        <family val="2"/>
      </rPr>
      <t>891,90</t>
    </r>
  </si>
  <si>
    <r>
      <rPr>
        <sz val="8.5"/>
        <rFont val="Calibri"/>
        <family val="2"/>
      </rPr>
      <t>150,62</t>
    </r>
  </si>
  <si>
    <r>
      <rPr>
        <sz val="8.5"/>
        <rFont val="Calibri"/>
        <family val="2"/>
      </rPr>
      <t>1.042,52</t>
    </r>
  </si>
  <si>
    <r>
      <rPr>
        <sz val="8.5"/>
        <rFont val="Calibri"/>
        <family val="2"/>
      </rPr>
      <t>66.08.326</t>
    </r>
  </si>
  <si>
    <r>
      <rPr>
        <sz val="8.5"/>
        <rFont val="Calibri"/>
        <family val="2"/>
      </rPr>
      <t>Câmera fixa colorida tipo bullet, para áreas internas e externas - 1,3 MP</t>
    </r>
  </si>
  <si>
    <r>
      <rPr>
        <sz val="8.5"/>
        <rFont val="Calibri"/>
        <family val="2"/>
      </rPr>
      <t>3.369,98</t>
    </r>
  </si>
  <si>
    <r>
      <rPr>
        <sz val="8.5"/>
        <rFont val="Calibri"/>
        <family val="2"/>
      </rPr>
      <t>3.520,60</t>
    </r>
  </si>
  <si>
    <r>
      <rPr>
        <sz val="8.5"/>
        <rFont val="Calibri"/>
        <family val="2"/>
      </rPr>
      <t>66.08.328</t>
    </r>
  </si>
  <si>
    <r>
      <rPr>
        <sz val="8.5"/>
        <rFont val="Calibri"/>
        <family val="2"/>
      </rPr>
      <t>Câmera fixa colorida com domo, para áreas internas e externas - 5 MP</t>
    </r>
  </si>
  <si>
    <r>
      <rPr>
        <sz val="8.5"/>
        <rFont val="Calibri"/>
        <family val="2"/>
      </rPr>
      <t>9.639,41</t>
    </r>
  </si>
  <si>
    <r>
      <rPr>
        <sz val="8.5"/>
        <rFont val="Calibri"/>
        <family val="2"/>
      </rPr>
      <t>9.790,03</t>
    </r>
  </si>
  <si>
    <r>
      <rPr>
        <sz val="8.5"/>
        <rFont val="Calibri"/>
        <family val="2"/>
      </rPr>
      <t>66.08.340</t>
    </r>
  </si>
  <si>
    <r>
      <rPr>
        <sz val="8.5"/>
        <rFont val="Calibri"/>
        <family val="2"/>
      </rPr>
      <t>Unidade de disco rígido (HD) externo de 5 TB</t>
    </r>
  </si>
  <si>
    <r>
      <rPr>
        <sz val="8.5"/>
        <rFont val="Calibri"/>
        <family val="2"/>
      </rPr>
      <t>1.213,01</t>
    </r>
  </si>
  <si>
    <r>
      <rPr>
        <sz val="8.5"/>
        <rFont val="Calibri"/>
        <family val="2"/>
      </rPr>
      <t>2,73</t>
    </r>
  </si>
  <si>
    <r>
      <rPr>
        <sz val="8.5"/>
        <rFont val="Calibri"/>
        <family val="2"/>
      </rPr>
      <t>1.215,74</t>
    </r>
  </si>
  <si>
    <r>
      <rPr>
        <sz val="8.5"/>
        <rFont val="Calibri"/>
        <family val="2"/>
      </rPr>
      <t>66.08.400</t>
    </r>
  </si>
  <si>
    <r>
      <rPr>
        <sz val="8.5"/>
        <rFont val="Calibri"/>
        <family val="2"/>
      </rPr>
      <t xml:space="preserve">Estação de monitoramento "WorkStation" para até 3 monitores -
</t>
    </r>
    <r>
      <rPr>
        <sz val="8.5"/>
        <rFont val="Calibri"/>
        <family val="2"/>
      </rPr>
      <t>memória RAM de 8 GB</t>
    </r>
  </si>
  <si>
    <r>
      <rPr>
        <sz val="8.5"/>
        <rFont val="Calibri"/>
        <family val="2"/>
      </rPr>
      <t>9.867,78</t>
    </r>
  </si>
  <si>
    <r>
      <rPr>
        <sz val="8.5"/>
        <rFont val="Calibri"/>
        <family val="2"/>
      </rPr>
      <t>194,78</t>
    </r>
  </si>
  <si>
    <r>
      <rPr>
        <sz val="8.5"/>
        <rFont val="Calibri"/>
        <family val="2"/>
      </rPr>
      <t>10.062,56</t>
    </r>
  </si>
  <si>
    <r>
      <rPr>
        <sz val="8.5"/>
        <rFont val="Calibri"/>
        <family val="2"/>
      </rPr>
      <t>66.08.401</t>
    </r>
  </si>
  <si>
    <r>
      <rPr>
        <sz val="8.5"/>
        <rFont val="Calibri"/>
        <family val="2"/>
      </rPr>
      <t xml:space="preserve">Estação de monitoramento "WorkStation" para até 3 monitores -
</t>
    </r>
    <r>
      <rPr>
        <sz val="8.5"/>
        <rFont val="Calibri"/>
        <family val="2"/>
      </rPr>
      <t>memória RAM de 16 GB</t>
    </r>
  </si>
  <si>
    <r>
      <rPr>
        <sz val="8.5"/>
        <rFont val="Calibri"/>
        <family val="2"/>
      </rPr>
      <t>14.916,45</t>
    </r>
  </si>
  <si>
    <r>
      <rPr>
        <sz val="8.5"/>
        <rFont val="Calibri"/>
        <family val="2"/>
      </rPr>
      <t>15.111,23</t>
    </r>
  </si>
  <si>
    <r>
      <rPr>
        <sz val="8.5"/>
        <rFont val="Calibri"/>
        <family val="2"/>
      </rPr>
      <t>66.08.600</t>
    </r>
  </si>
  <si>
    <r>
      <rPr>
        <sz val="8.5"/>
        <rFont val="Calibri"/>
        <family val="2"/>
      </rPr>
      <t>Unidade gerenciadora digital de vídeo em rede (NVR) de até 8 câmeras IP, armazenamento de 6 TB, 1 interface de rede Fast Ethernet</t>
    </r>
  </si>
  <si>
    <r>
      <rPr>
        <sz val="8.5"/>
        <rFont val="Calibri"/>
        <family val="2"/>
      </rPr>
      <t>1.175,75</t>
    </r>
  </si>
  <si>
    <r>
      <rPr>
        <sz val="8.5"/>
        <rFont val="Calibri"/>
        <family val="2"/>
      </rPr>
      <t>129,85</t>
    </r>
  </si>
  <si>
    <r>
      <rPr>
        <sz val="8.5"/>
        <rFont val="Calibri"/>
        <family val="2"/>
      </rPr>
      <t>1.305,60</t>
    </r>
  </si>
  <si>
    <r>
      <rPr>
        <sz val="8.5"/>
        <rFont val="Calibri"/>
        <family val="2"/>
      </rPr>
      <t>66.08.610</t>
    </r>
  </si>
  <si>
    <r>
      <rPr>
        <sz val="8.5"/>
        <rFont val="Calibri"/>
        <family val="2"/>
      </rPr>
      <t xml:space="preserve">Unidade gerenciadora digital de vídeo em rede (NVR) de até 16 câmeras IP, armazenamento de 12 TB, 1 interface de rede Gigabit Ethernet e 4
</t>
    </r>
    <r>
      <rPr>
        <sz val="8.5"/>
        <rFont val="Calibri"/>
        <family val="2"/>
      </rPr>
      <t>entradas de alarme</t>
    </r>
  </si>
  <si>
    <r>
      <rPr>
        <sz val="8.5"/>
        <rFont val="Calibri"/>
        <family val="2"/>
      </rPr>
      <t>1.485,54</t>
    </r>
  </si>
  <si>
    <r>
      <rPr>
        <sz val="8.5"/>
        <rFont val="Calibri"/>
        <family val="2"/>
      </rPr>
      <t>1.680,32</t>
    </r>
  </si>
  <si>
    <r>
      <rPr>
        <sz val="8.5"/>
        <rFont val="Calibri"/>
        <family val="2"/>
      </rPr>
      <t>66.08.620</t>
    </r>
  </si>
  <si>
    <r>
      <rPr>
        <sz val="8.5"/>
        <rFont val="Calibri"/>
        <family val="2"/>
      </rPr>
      <t xml:space="preserve">Unidade gerenciadora digital vídeo em rede (NVR) de até 32 câmeras IP, armazenamento de 48 TB, 2 interface de rede Gigabit Ethernet e 16
</t>
    </r>
    <r>
      <rPr>
        <sz val="8.5"/>
        <rFont val="Calibri"/>
        <family val="2"/>
      </rPr>
      <t>entradas de alarme</t>
    </r>
  </si>
  <si>
    <r>
      <rPr>
        <sz val="8.5"/>
        <rFont val="Calibri"/>
        <family val="2"/>
      </rPr>
      <t>3.633,51</t>
    </r>
  </si>
  <si>
    <r>
      <rPr>
        <sz val="8.5"/>
        <rFont val="Calibri"/>
        <family val="2"/>
      </rPr>
      <t>3.889,96</t>
    </r>
  </si>
  <si>
    <r>
      <rPr>
        <sz val="8.5"/>
        <rFont val="Calibri"/>
        <family val="2"/>
      </rPr>
      <t>Reparos, conservacoes e complementos - GRUPO 66</t>
    </r>
  </si>
  <si>
    <r>
      <rPr>
        <sz val="8.5"/>
        <rFont val="Calibri"/>
        <family val="2"/>
      </rPr>
      <t>66.20.150</t>
    </r>
  </si>
  <si>
    <r>
      <rPr>
        <sz val="8.5"/>
        <rFont val="Calibri"/>
        <family val="2"/>
      </rPr>
      <t>Guia organizadora de cabos para rack, 19´ 1 U</t>
    </r>
  </si>
  <si>
    <r>
      <rPr>
        <sz val="8.5"/>
        <rFont val="Calibri"/>
        <family val="2"/>
      </rPr>
      <t>10,25</t>
    </r>
  </si>
  <si>
    <r>
      <rPr>
        <sz val="8.5"/>
        <rFont val="Calibri"/>
        <family val="2"/>
      </rPr>
      <t>28,24</t>
    </r>
  </si>
  <si>
    <r>
      <rPr>
        <sz val="8.5"/>
        <rFont val="Calibri"/>
        <family val="2"/>
      </rPr>
      <t>66.20.170</t>
    </r>
  </si>
  <si>
    <r>
      <rPr>
        <sz val="8.5"/>
        <rFont val="Calibri"/>
        <family val="2"/>
      </rPr>
      <t>Guia organizadora de cabos para rack, 19´ 2 U</t>
    </r>
  </si>
  <si>
    <r>
      <rPr>
        <sz val="8.5"/>
        <rFont val="Calibri"/>
        <family val="2"/>
      </rPr>
      <t>30,62</t>
    </r>
  </si>
  <si>
    <r>
      <rPr>
        <sz val="8.5"/>
        <rFont val="Calibri"/>
        <family val="2"/>
      </rPr>
      <t>40,87</t>
    </r>
  </si>
  <si>
    <r>
      <rPr>
        <sz val="8.5"/>
        <rFont val="Calibri"/>
        <family val="2"/>
      </rPr>
      <t>66.20.202</t>
    </r>
  </si>
  <si>
    <r>
      <rPr>
        <sz val="8.5"/>
        <rFont val="Calibri"/>
        <family val="2"/>
      </rPr>
      <t>Instalação de câmera fixa para CFTV</t>
    </r>
  </si>
  <si>
    <r>
      <rPr>
        <sz val="8.5"/>
        <rFont val="Calibri"/>
        <family val="2"/>
      </rPr>
      <t>66.20.212</t>
    </r>
  </si>
  <si>
    <r>
      <rPr>
        <sz val="8.5"/>
        <rFont val="Calibri"/>
        <family val="2"/>
      </rPr>
      <t>Instalação de câmera móvel para CFTV</t>
    </r>
  </si>
  <si>
    <r>
      <rPr>
        <sz val="8.5"/>
        <rFont val="Calibri"/>
        <family val="2"/>
      </rPr>
      <t>66.20.221</t>
    </r>
  </si>
  <si>
    <r>
      <rPr>
        <sz val="8.5"/>
        <rFont val="Calibri"/>
        <family val="2"/>
      </rPr>
      <t xml:space="preserve">Switch Gigabit para servidor central com 24 portas frontais e 2 portas
</t>
    </r>
    <r>
      <rPr>
        <sz val="8.5"/>
        <rFont val="Calibri"/>
        <family val="2"/>
      </rPr>
      <t>SFP, capacidade 10 / 100 / 1000 Mbps</t>
    </r>
  </si>
  <si>
    <r>
      <rPr>
        <sz val="8.5"/>
        <rFont val="Calibri"/>
        <family val="2"/>
      </rPr>
      <t>14.014,14</t>
    </r>
  </si>
  <si>
    <r>
      <rPr>
        <sz val="8.5"/>
        <rFont val="Calibri"/>
        <family val="2"/>
      </rPr>
      <t>14.027,78</t>
    </r>
  </si>
  <si>
    <r>
      <rPr>
        <sz val="8.5"/>
        <rFont val="Calibri"/>
        <family val="2"/>
      </rPr>
      <t>66.20.225</t>
    </r>
  </si>
  <si>
    <r>
      <rPr>
        <sz val="8.5"/>
        <rFont val="Calibri"/>
        <family val="2"/>
      </rPr>
      <t>Switch Gigabit 24 portas com capacidade de 10/100/1000/Mbps</t>
    </r>
  </si>
  <si>
    <r>
      <rPr>
        <sz val="8.5"/>
        <rFont val="Calibri"/>
        <family val="2"/>
      </rPr>
      <t>2.355,31</t>
    </r>
  </si>
  <si>
    <r>
      <rPr>
        <sz val="8.5"/>
        <rFont val="Calibri"/>
        <family val="2"/>
      </rPr>
      <t>2.368,95</t>
    </r>
  </si>
  <si>
    <r>
      <rPr>
        <sz val="8.5"/>
        <rFont val="Calibri"/>
        <family val="2"/>
      </rPr>
      <t xml:space="preserve">CAPTACAO, ADUCAO E TRATAMENTO DE AGUA E ESGOTO,
</t>
    </r>
    <r>
      <rPr>
        <sz val="8.5"/>
        <rFont val="Calibri"/>
        <family val="2"/>
      </rPr>
      <t>EQUIPAMENTOS E SISTEMA</t>
    </r>
  </si>
  <si>
    <r>
      <rPr>
        <sz val="8.5"/>
        <rFont val="Calibri"/>
        <family val="2"/>
      </rPr>
      <t>Tratamento</t>
    </r>
  </si>
  <si>
    <r>
      <rPr>
        <sz val="8.5"/>
        <rFont val="Calibri"/>
        <family val="2"/>
      </rPr>
      <t>67.02.160</t>
    </r>
  </si>
  <si>
    <r>
      <rPr>
        <sz val="8.5"/>
        <rFont val="Calibri"/>
        <family val="2"/>
      </rPr>
      <t>Medidor de vazão tipo calha Parshall com garganta W= 3´</t>
    </r>
  </si>
  <si>
    <r>
      <rPr>
        <sz val="8.5"/>
        <rFont val="Calibri"/>
        <family val="2"/>
      </rPr>
      <t>1.403,49</t>
    </r>
  </si>
  <si>
    <r>
      <rPr>
        <sz val="8.5"/>
        <rFont val="Calibri"/>
        <family val="2"/>
      </rPr>
      <t>1.467,81</t>
    </r>
  </si>
  <si>
    <r>
      <rPr>
        <sz val="8.5"/>
        <rFont val="Calibri"/>
        <family val="2"/>
      </rPr>
      <t>67.02.210</t>
    </r>
  </si>
  <si>
    <r>
      <rPr>
        <sz val="8.5"/>
        <rFont val="Calibri"/>
        <family val="2"/>
      </rPr>
      <t>Tela galvanizada revestida em poliamida, malha de 10 mm</t>
    </r>
  </si>
  <si>
    <r>
      <rPr>
        <sz val="8.5"/>
        <rFont val="Calibri"/>
        <family val="2"/>
      </rPr>
      <t>845,59</t>
    </r>
  </si>
  <si>
    <r>
      <rPr>
        <sz val="8.5"/>
        <rFont val="Calibri"/>
        <family val="2"/>
      </rPr>
      <t>852,85</t>
    </r>
  </si>
  <si>
    <r>
      <rPr>
        <sz val="8.5"/>
        <rFont val="Calibri"/>
        <family val="2"/>
      </rPr>
      <t>67.02.240</t>
    </r>
  </si>
  <si>
    <r>
      <rPr>
        <sz val="8.5"/>
        <rFont val="Calibri"/>
        <family val="2"/>
      </rPr>
      <t xml:space="preserve">Grade média em aço carbono, espaçamento de 2 cm com barras chatas
</t>
    </r>
    <r>
      <rPr>
        <sz val="8.5"/>
        <rFont val="Calibri"/>
        <family val="2"/>
      </rPr>
      <t>de 1´ x 3/8´</t>
    </r>
  </si>
  <si>
    <r>
      <rPr>
        <sz val="8.5"/>
        <rFont val="Calibri"/>
        <family val="2"/>
      </rPr>
      <t>1.990,57</t>
    </r>
  </si>
  <si>
    <r>
      <rPr>
        <sz val="8.5"/>
        <rFont val="Calibri"/>
        <family val="2"/>
      </rPr>
      <t>1.997,83</t>
    </r>
  </si>
  <si>
    <r>
      <rPr>
        <sz val="8.5"/>
        <rFont val="Calibri"/>
        <family val="2"/>
      </rPr>
      <t>67.02.280</t>
    </r>
  </si>
  <si>
    <r>
      <rPr>
        <sz val="8.5"/>
        <rFont val="Calibri"/>
        <family val="2"/>
      </rPr>
      <t xml:space="preserve">Cesto em chapa de aço inoxidável com espessura de 1,5 mm e furos de
</t>
    </r>
    <r>
      <rPr>
        <sz val="8.5"/>
        <rFont val="Calibri"/>
        <family val="2"/>
      </rPr>
      <t>1/2´</t>
    </r>
  </si>
  <si>
    <r>
      <rPr>
        <sz val="8.5"/>
        <rFont val="Calibri"/>
        <family val="2"/>
      </rPr>
      <t>785,33</t>
    </r>
  </si>
  <si>
    <r>
      <rPr>
        <sz val="8.5"/>
        <rFont val="Calibri"/>
        <family val="2"/>
      </rPr>
      <t>788,96</t>
    </r>
  </si>
  <si>
    <r>
      <rPr>
        <sz val="8.5"/>
        <rFont val="Calibri"/>
        <family val="2"/>
      </rPr>
      <t>67.02.301</t>
    </r>
  </si>
  <si>
    <r>
      <rPr>
        <sz val="8.5"/>
        <rFont val="Calibri"/>
        <family val="2"/>
      </rPr>
      <t>Peneira estática em poliéster reforçado de fibra de vidro (PRFV) com tela de aço inoxidável AISI 304, malha de 1,5 mm, vazão de 50 l/s</t>
    </r>
  </si>
  <si>
    <r>
      <rPr>
        <sz val="8.5"/>
        <rFont val="Calibri"/>
        <family val="2"/>
      </rPr>
      <t>18.626,75</t>
    </r>
  </si>
  <si>
    <r>
      <rPr>
        <sz val="8.5"/>
        <rFont val="Calibri"/>
        <family val="2"/>
      </rPr>
      <t>129,75</t>
    </r>
  </si>
  <si>
    <r>
      <rPr>
        <sz val="8.5"/>
        <rFont val="Calibri"/>
        <family val="2"/>
      </rPr>
      <t>18.756,50</t>
    </r>
  </si>
  <si>
    <r>
      <rPr>
        <sz val="8.5"/>
        <rFont val="Calibri"/>
        <family val="2"/>
      </rPr>
      <t>67.02.320</t>
    </r>
  </si>
  <si>
    <r>
      <rPr>
        <sz val="8.5"/>
        <rFont val="Calibri"/>
        <family val="2"/>
      </rPr>
      <t>Comporta em fibra de vidro (stop log) - espessura de 10 mm</t>
    </r>
  </si>
  <si>
    <r>
      <rPr>
        <sz val="8.5"/>
        <rFont val="Calibri"/>
        <family val="2"/>
      </rPr>
      <t>1.684,34</t>
    </r>
  </si>
  <si>
    <r>
      <rPr>
        <sz val="8.5"/>
        <rFont val="Calibri"/>
        <family val="2"/>
      </rPr>
      <t>1.707,68</t>
    </r>
  </si>
  <si>
    <r>
      <rPr>
        <sz val="8.5"/>
        <rFont val="Calibri"/>
        <family val="2"/>
      </rPr>
      <t>67.02.330</t>
    </r>
  </si>
  <si>
    <r>
      <rPr>
        <sz val="8.5"/>
        <rFont val="Calibri"/>
        <family val="2"/>
      </rPr>
      <t xml:space="preserve">Sistema de tratamento de águas cinzas e aproveitamento de águas
</t>
    </r>
    <r>
      <rPr>
        <sz val="8.5"/>
        <rFont val="Calibri"/>
        <family val="2"/>
      </rPr>
      <t>pluviais, para reuso em fins não potáveis, vazão de 2 m³/h</t>
    </r>
  </si>
  <si>
    <r>
      <rPr>
        <sz val="8.5"/>
        <rFont val="Calibri"/>
        <family val="2"/>
      </rPr>
      <t>88.643,40</t>
    </r>
  </si>
  <si>
    <r>
      <rPr>
        <sz val="8.5"/>
        <rFont val="Calibri"/>
        <family val="2"/>
      </rPr>
      <t>67.02.400</t>
    </r>
  </si>
  <si>
    <r>
      <rPr>
        <sz val="8.5"/>
        <rFont val="Calibri"/>
        <family val="2"/>
      </rPr>
      <t xml:space="preserve">Tanque em fibra de vidro (PRFV) com quebra ondas, capacidade de
</t>
    </r>
    <r>
      <rPr>
        <sz val="8.5"/>
        <rFont val="Calibri"/>
        <family val="2"/>
      </rPr>
      <t>25.000 l e misturador interno vertical em aço inoxidável</t>
    </r>
  </si>
  <si>
    <r>
      <rPr>
        <sz val="8.5"/>
        <rFont val="Calibri"/>
        <family val="2"/>
      </rPr>
      <t>46.539,56</t>
    </r>
  </si>
  <si>
    <r>
      <rPr>
        <sz val="8.5"/>
        <rFont val="Calibri"/>
        <family val="2"/>
      </rPr>
      <t>210,81</t>
    </r>
  </si>
  <si>
    <r>
      <rPr>
        <sz val="8.5"/>
        <rFont val="Calibri"/>
        <family val="2"/>
      </rPr>
      <t>46.750,37</t>
    </r>
  </si>
  <si>
    <r>
      <rPr>
        <sz val="8.5"/>
        <rFont val="Calibri"/>
        <family val="2"/>
      </rPr>
      <t>67.02.410</t>
    </r>
  </si>
  <si>
    <r>
      <rPr>
        <sz val="8.5"/>
        <rFont val="Calibri"/>
        <family val="2"/>
      </rPr>
      <t>Sistema de tratamento de efluente por reator anaeróbio (UASB) e filtro aeróbio (FAS), para obras de segurança com vazão máxima horária 12 l/s</t>
    </r>
  </si>
  <si>
    <r>
      <rPr>
        <sz val="8.5"/>
        <rFont val="Calibri"/>
        <family val="2"/>
      </rPr>
      <t>399.721,81</t>
    </r>
  </si>
  <si>
    <r>
      <rPr>
        <sz val="8.5"/>
        <rFont val="Calibri"/>
        <family val="2"/>
      </rPr>
      <t>67.02.502</t>
    </r>
  </si>
  <si>
    <r>
      <rPr>
        <sz val="8.5"/>
        <rFont val="Calibri"/>
        <family val="2"/>
      </rPr>
      <t>Elaboração de projeto de sistema de estação compacta de tratamento de esgoto para vazão máxima horária 12 l/s e atendimento classe II, assessoria, documentação e aprovação na CETESB</t>
    </r>
  </si>
  <si>
    <r>
      <rPr>
        <sz val="8.5"/>
        <rFont val="Calibri"/>
        <family val="2"/>
      </rPr>
      <t>5.073,09</t>
    </r>
  </si>
  <si>
    <r>
      <rPr>
        <sz val="8.5"/>
        <rFont val="Calibri"/>
        <family val="2"/>
      </rPr>
      <t>46.817,02</t>
    </r>
  </si>
  <si>
    <r>
      <rPr>
        <sz val="8.5"/>
        <rFont val="Calibri"/>
        <family val="2"/>
      </rPr>
      <t>51.890,11</t>
    </r>
  </si>
  <si>
    <r>
      <rPr>
        <sz val="8.5"/>
        <rFont val="Calibri"/>
        <family val="2"/>
      </rPr>
      <t>67.02.503</t>
    </r>
  </si>
  <si>
    <r>
      <rPr>
        <sz val="8.5"/>
        <rFont val="Calibri"/>
        <family val="2"/>
      </rPr>
      <t xml:space="preserve">Elaboração de projeto de sistema de estação compacta de tratamento de esgoto para vazão máxima horária 12 l/s, atendimento classe II, tratamento de nitrogênio e fósforo, assessoria, documentação e
</t>
    </r>
    <r>
      <rPr>
        <sz val="8.5"/>
        <rFont val="Calibri"/>
        <family val="2"/>
      </rPr>
      <t>aprovação na CETESB</t>
    </r>
  </si>
  <si>
    <r>
      <rPr>
        <sz val="8.5"/>
        <rFont val="Calibri"/>
        <family val="2"/>
      </rPr>
      <t>7.021,84</t>
    </r>
  </si>
  <si>
    <r>
      <rPr>
        <sz val="8.5"/>
        <rFont val="Calibri"/>
        <family val="2"/>
      </rPr>
      <t>56.510,98</t>
    </r>
  </si>
  <si>
    <r>
      <rPr>
        <sz val="8.5"/>
        <rFont val="Calibri"/>
        <family val="2"/>
      </rPr>
      <t>63.532,82</t>
    </r>
  </si>
  <si>
    <r>
      <rPr>
        <sz val="8.5"/>
        <rFont val="Calibri"/>
        <family val="2"/>
      </rPr>
      <t>ELETRIFICACAO, EQUIPAMENTOS E SISTEMA</t>
    </r>
  </si>
  <si>
    <r>
      <rPr>
        <sz val="8.5"/>
        <rFont val="Calibri"/>
        <family val="2"/>
      </rPr>
      <t>Posteamento</t>
    </r>
  </si>
  <si>
    <r>
      <rPr>
        <sz val="8.5"/>
        <rFont val="Calibri"/>
        <family val="2"/>
      </rPr>
      <t>68.01.600</t>
    </r>
  </si>
  <si>
    <r>
      <rPr>
        <sz val="8.5"/>
        <rFont val="Calibri"/>
        <family val="2"/>
      </rPr>
      <t>Poste de concreto circular, 200 kg, H = 7,00 m</t>
    </r>
  </si>
  <si>
    <r>
      <rPr>
        <sz val="8.5"/>
        <rFont val="Calibri"/>
        <family val="2"/>
      </rPr>
      <t>1.314,52</t>
    </r>
  </si>
  <si>
    <r>
      <rPr>
        <sz val="8.5"/>
        <rFont val="Calibri"/>
        <family val="2"/>
      </rPr>
      <t>1.532,72</t>
    </r>
  </si>
  <si>
    <r>
      <rPr>
        <sz val="8.5"/>
        <rFont val="Calibri"/>
        <family val="2"/>
      </rPr>
      <t>68.01.620</t>
    </r>
  </si>
  <si>
    <r>
      <rPr>
        <sz val="8.5"/>
        <rFont val="Calibri"/>
        <family val="2"/>
      </rPr>
      <t>Poste de concreto circular, 200 kg, H = 9,00 m</t>
    </r>
  </si>
  <si>
    <r>
      <rPr>
        <sz val="8.5"/>
        <rFont val="Calibri"/>
        <family val="2"/>
      </rPr>
      <t>1.109,92</t>
    </r>
  </si>
  <si>
    <r>
      <rPr>
        <sz val="8.5"/>
        <rFont val="Calibri"/>
        <family val="2"/>
      </rPr>
      <t>1.328,12</t>
    </r>
  </si>
  <si>
    <r>
      <rPr>
        <sz val="8.5"/>
        <rFont val="Calibri"/>
        <family val="2"/>
      </rPr>
      <t>68.01.630</t>
    </r>
  </si>
  <si>
    <r>
      <rPr>
        <sz val="8.5"/>
        <rFont val="Calibri"/>
        <family val="2"/>
      </rPr>
      <t>Poste de concreto circular, 200 kg, H = 10,00 m</t>
    </r>
  </si>
  <si>
    <r>
      <rPr>
        <sz val="8.5"/>
        <rFont val="Calibri"/>
        <family val="2"/>
      </rPr>
      <t>1.622,50</t>
    </r>
  </si>
  <si>
    <r>
      <rPr>
        <sz val="8.5"/>
        <rFont val="Calibri"/>
        <family val="2"/>
      </rPr>
      <t>1.840,70</t>
    </r>
  </si>
  <si>
    <r>
      <rPr>
        <sz val="8.5"/>
        <rFont val="Calibri"/>
        <family val="2"/>
      </rPr>
      <t>68.01.650</t>
    </r>
  </si>
  <si>
    <r>
      <rPr>
        <sz val="8.5"/>
        <rFont val="Calibri"/>
        <family val="2"/>
      </rPr>
      <t>Poste de concreto circular, 200 kg, H = 12,00 m</t>
    </r>
  </si>
  <si>
    <r>
      <rPr>
        <sz val="8.5"/>
        <rFont val="Calibri"/>
        <family val="2"/>
      </rPr>
      <t>1.791,33</t>
    </r>
  </si>
  <si>
    <r>
      <rPr>
        <sz val="8.5"/>
        <rFont val="Calibri"/>
        <family val="2"/>
      </rPr>
      <t>2.009,53</t>
    </r>
  </si>
  <si>
    <r>
      <rPr>
        <sz val="8.5"/>
        <rFont val="Calibri"/>
        <family val="2"/>
      </rPr>
      <t>68.01.670</t>
    </r>
  </si>
  <si>
    <r>
      <rPr>
        <sz val="8.5"/>
        <rFont val="Calibri"/>
        <family val="2"/>
      </rPr>
      <t>Poste de concreto circular, 300 kg, H = 9,00 m</t>
    </r>
  </si>
  <si>
    <r>
      <rPr>
        <sz val="8.5"/>
        <rFont val="Calibri"/>
        <family val="2"/>
      </rPr>
      <t>1.304,91</t>
    </r>
  </si>
  <si>
    <r>
      <rPr>
        <sz val="8.5"/>
        <rFont val="Calibri"/>
        <family val="2"/>
      </rPr>
      <t>1.523,11</t>
    </r>
  </si>
  <si>
    <r>
      <rPr>
        <sz val="8.5"/>
        <rFont val="Calibri"/>
        <family val="2"/>
      </rPr>
      <t>68.01.730</t>
    </r>
  </si>
  <si>
    <r>
      <rPr>
        <sz val="8.5"/>
        <rFont val="Calibri"/>
        <family val="2"/>
      </rPr>
      <t>Poste de concreto circular, 400 kg, H = 9,00 m</t>
    </r>
  </si>
  <si>
    <r>
      <rPr>
        <sz val="8.5"/>
        <rFont val="Calibri"/>
        <family val="2"/>
      </rPr>
      <t>1.543,97</t>
    </r>
  </si>
  <si>
    <r>
      <rPr>
        <sz val="8.5"/>
        <rFont val="Calibri"/>
        <family val="2"/>
      </rPr>
      <t>1.762,17</t>
    </r>
  </si>
  <si>
    <r>
      <rPr>
        <sz val="8.5"/>
        <rFont val="Calibri"/>
        <family val="2"/>
      </rPr>
      <t>68.01.740</t>
    </r>
  </si>
  <si>
    <r>
      <rPr>
        <sz val="8.5"/>
        <rFont val="Calibri"/>
        <family val="2"/>
      </rPr>
      <t>Poste de concreto circular, 400 kg, H = 10,00 m</t>
    </r>
  </si>
  <si>
    <r>
      <rPr>
        <sz val="8.5"/>
        <rFont val="Calibri"/>
        <family val="2"/>
      </rPr>
      <t>1.761,51</t>
    </r>
  </si>
  <si>
    <r>
      <rPr>
        <sz val="8.5"/>
        <rFont val="Calibri"/>
        <family val="2"/>
      </rPr>
      <t>1.979,71</t>
    </r>
  </si>
  <si>
    <r>
      <rPr>
        <sz val="8.5"/>
        <rFont val="Calibri"/>
        <family val="2"/>
      </rPr>
      <t>68.01.750</t>
    </r>
  </si>
  <si>
    <r>
      <rPr>
        <sz val="8.5"/>
        <rFont val="Calibri"/>
        <family val="2"/>
      </rPr>
      <t>Poste de concreto circular, 400 kg, H = 11,00 m</t>
    </r>
  </si>
  <si>
    <r>
      <rPr>
        <sz val="8.5"/>
        <rFont val="Calibri"/>
        <family val="2"/>
      </rPr>
      <t>2.136,57</t>
    </r>
  </si>
  <si>
    <r>
      <rPr>
        <sz val="8.5"/>
        <rFont val="Calibri"/>
        <family val="2"/>
      </rPr>
      <t>2.354,77</t>
    </r>
  </si>
  <si>
    <r>
      <rPr>
        <sz val="8.5"/>
        <rFont val="Calibri"/>
        <family val="2"/>
      </rPr>
      <t>68.01.760</t>
    </r>
  </si>
  <si>
    <r>
      <rPr>
        <sz val="8.5"/>
        <rFont val="Calibri"/>
        <family val="2"/>
      </rPr>
      <t>Poste de concreto circular, 400 kg, H = 12,00 m</t>
    </r>
  </si>
  <si>
    <r>
      <rPr>
        <sz val="8.5"/>
        <rFont val="Calibri"/>
        <family val="2"/>
      </rPr>
      <t>2.447,12</t>
    </r>
  </si>
  <si>
    <r>
      <rPr>
        <sz val="8.5"/>
        <rFont val="Calibri"/>
        <family val="2"/>
      </rPr>
      <t>2.665,32</t>
    </r>
  </si>
  <si>
    <r>
      <rPr>
        <sz val="8.5"/>
        <rFont val="Calibri"/>
        <family val="2"/>
      </rPr>
      <t>68.01.800</t>
    </r>
  </si>
  <si>
    <r>
      <rPr>
        <sz val="8.5"/>
        <rFont val="Calibri"/>
        <family val="2"/>
      </rPr>
      <t>Poste de concreto circular, 600 kg, H = 11,00 m</t>
    </r>
  </si>
  <si>
    <r>
      <rPr>
        <sz val="8.5"/>
        <rFont val="Calibri"/>
        <family val="2"/>
      </rPr>
      <t>2.727,94</t>
    </r>
  </si>
  <si>
    <r>
      <rPr>
        <sz val="8.5"/>
        <rFont val="Calibri"/>
        <family val="2"/>
      </rPr>
      <t>2.946,14</t>
    </r>
  </si>
  <si>
    <r>
      <rPr>
        <sz val="8.5"/>
        <rFont val="Calibri"/>
        <family val="2"/>
      </rPr>
      <t>68.01.810</t>
    </r>
  </si>
  <si>
    <r>
      <rPr>
        <sz val="8.5"/>
        <rFont val="Calibri"/>
        <family val="2"/>
      </rPr>
      <t>Poste de concreto circular, 600 kg, H = 12,00 m</t>
    </r>
  </si>
  <si>
    <r>
      <rPr>
        <sz val="8.5"/>
        <rFont val="Calibri"/>
        <family val="2"/>
      </rPr>
      <t>2.923,19</t>
    </r>
  </si>
  <si>
    <r>
      <rPr>
        <sz val="8.5"/>
        <rFont val="Calibri"/>
        <family val="2"/>
      </rPr>
      <t>3.141,39</t>
    </r>
  </si>
  <si>
    <r>
      <rPr>
        <sz val="8.5"/>
        <rFont val="Calibri"/>
        <family val="2"/>
      </rPr>
      <t>68.01.850</t>
    </r>
  </si>
  <si>
    <r>
      <rPr>
        <sz val="8.5"/>
        <rFont val="Calibri"/>
        <family val="2"/>
      </rPr>
      <t>Poste de concreto circular, 1000 kg, H = 12,00 m</t>
    </r>
  </si>
  <si>
    <r>
      <rPr>
        <sz val="8.5"/>
        <rFont val="Calibri"/>
        <family val="2"/>
      </rPr>
      <t>4.099,16</t>
    </r>
  </si>
  <si>
    <r>
      <rPr>
        <sz val="8.5"/>
        <rFont val="Calibri"/>
        <family val="2"/>
      </rPr>
      <t>4.317,36</t>
    </r>
  </si>
  <si>
    <r>
      <rPr>
        <sz val="8.5"/>
        <rFont val="Calibri"/>
        <family val="2"/>
      </rPr>
      <t>Estrutura especifica</t>
    </r>
  </si>
  <si>
    <r>
      <rPr>
        <sz val="8.5"/>
        <rFont val="Calibri"/>
        <family val="2"/>
      </rPr>
      <t>68.02.010</t>
    </r>
  </si>
  <si>
    <r>
      <rPr>
        <sz val="8.5"/>
        <rFont val="Calibri"/>
        <family val="2"/>
      </rPr>
      <t>Estai</t>
    </r>
  </si>
  <si>
    <r>
      <rPr>
        <sz val="8.5"/>
        <rFont val="Calibri"/>
        <family val="2"/>
      </rPr>
      <t>508,95</t>
    </r>
  </si>
  <si>
    <r>
      <rPr>
        <sz val="8.5"/>
        <rFont val="Calibri"/>
        <family val="2"/>
      </rPr>
      <t>130,90</t>
    </r>
  </si>
  <si>
    <r>
      <rPr>
        <sz val="8.5"/>
        <rFont val="Calibri"/>
        <family val="2"/>
      </rPr>
      <t>639,85</t>
    </r>
  </si>
  <si>
    <r>
      <rPr>
        <sz val="8.5"/>
        <rFont val="Calibri"/>
        <family val="2"/>
      </rPr>
      <t>68.02.020</t>
    </r>
  </si>
  <si>
    <r>
      <rPr>
        <sz val="8.5"/>
        <rFont val="Calibri"/>
        <family val="2"/>
      </rPr>
      <t>Estrutura tipo M1</t>
    </r>
  </si>
  <si>
    <r>
      <rPr>
        <sz val="8.5"/>
        <rFont val="Calibri"/>
        <family val="2"/>
      </rPr>
      <t>389,22</t>
    </r>
  </si>
  <si>
    <r>
      <rPr>
        <sz val="8.5"/>
        <rFont val="Calibri"/>
        <family val="2"/>
      </rPr>
      <t>157,08</t>
    </r>
  </si>
  <si>
    <r>
      <rPr>
        <sz val="8.5"/>
        <rFont val="Calibri"/>
        <family val="2"/>
      </rPr>
      <t>546,30</t>
    </r>
  </si>
  <si>
    <r>
      <rPr>
        <sz val="8.5"/>
        <rFont val="Calibri"/>
        <family val="2"/>
      </rPr>
      <t>68.02.030</t>
    </r>
  </si>
  <si>
    <r>
      <rPr>
        <sz val="8.5"/>
        <rFont val="Calibri"/>
        <family val="2"/>
      </rPr>
      <t>Estrutura tipo M2</t>
    </r>
  </si>
  <si>
    <r>
      <rPr>
        <sz val="8.5"/>
        <rFont val="Calibri"/>
        <family val="2"/>
      </rPr>
      <t>832,14</t>
    </r>
  </si>
  <si>
    <r>
      <rPr>
        <sz val="8.5"/>
        <rFont val="Calibri"/>
        <family val="2"/>
      </rPr>
      <t>989,22</t>
    </r>
  </si>
  <si>
    <r>
      <rPr>
        <sz val="8.5"/>
        <rFont val="Calibri"/>
        <family val="2"/>
      </rPr>
      <t>68.02.040</t>
    </r>
  </si>
  <si>
    <r>
      <rPr>
        <sz val="8.5"/>
        <rFont val="Calibri"/>
        <family val="2"/>
      </rPr>
      <t>Estrutura tipo N3</t>
    </r>
  </si>
  <si>
    <r>
      <rPr>
        <sz val="8.5"/>
        <rFont val="Calibri"/>
        <family val="2"/>
      </rPr>
      <t>1.042,10</t>
    </r>
  </si>
  <si>
    <r>
      <rPr>
        <sz val="8.5"/>
        <rFont val="Calibri"/>
        <family val="2"/>
      </rPr>
      <t>235,62</t>
    </r>
  </si>
  <si>
    <r>
      <rPr>
        <sz val="8.5"/>
        <rFont val="Calibri"/>
        <family val="2"/>
      </rPr>
      <t>1.277,72</t>
    </r>
  </si>
  <si>
    <r>
      <rPr>
        <sz val="8.5"/>
        <rFont val="Calibri"/>
        <family val="2"/>
      </rPr>
      <t>68.02.050</t>
    </r>
  </si>
  <si>
    <r>
      <rPr>
        <sz val="8.5"/>
        <rFont val="Calibri"/>
        <family val="2"/>
      </rPr>
      <t>Estrutura tipo M1 - N3</t>
    </r>
  </si>
  <si>
    <r>
      <rPr>
        <sz val="8.5"/>
        <rFont val="Calibri"/>
        <family val="2"/>
      </rPr>
      <t>1.198,18</t>
    </r>
  </si>
  <si>
    <r>
      <rPr>
        <sz val="8.5"/>
        <rFont val="Calibri"/>
        <family val="2"/>
      </rPr>
      <t>314,16</t>
    </r>
  </si>
  <si>
    <r>
      <rPr>
        <sz val="8.5"/>
        <rFont val="Calibri"/>
        <family val="2"/>
      </rPr>
      <t>1.512,34</t>
    </r>
  </si>
  <si>
    <r>
      <rPr>
        <sz val="8.5"/>
        <rFont val="Calibri"/>
        <family val="2"/>
      </rPr>
      <t>68.02.060</t>
    </r>
  </si>
  <si>
    <r>
      <rPr>
        <sz val="8.5"/>
        <rFont val="Calibri"/>
        <family val="2"/>
      </rPr>
      <t>Estrutura tipo M4</t>
    </r>
  </si>
  <si>
    <r>
      <rPr>
        <sz val="8.5"/>
        <rFont val="Calibri"/>
        <family val="2"/>
      </rPr>
      <t>1.849,43</t>
    </r>
  </si>
  <si>
    <r>
      <rPr>
        <sz val="8.5"/>
        <rFont val="Calibri"/>
        <family val="2"/>
      </rPr>
      <t>2.085,05</t>
    </r>
  </si>
  <si>
    <r>
      <rPr>
        <sz val="8.5"/>
        <rFont val="Calibri"/>
        <family val="2"/>
      </rPr>
      <t>68.02.070</t>
    </r>
  </si>
  <si>
    <r>
      <rPr>
        <sz val="8.5"/>
        <rFont val="Calibri"/>
        <family val="2"/>
      </rPr>
      <t>Estrutura tipo N2</t>
    </r>
  </si>
  <si>
    <r>
      <rPr>
        <sz val="8.5"/>
        <rFont val="Calibri"/>
        <family val="2"/>
      </rPr>
      <t>943,29</t>
    </r>
  </si>
  <si>
    <r>
      <rPr>
        <sz val="8.5"/>
        <rFont val="Calibri"/>
        <family val="2"/>
      </rPr>
      <t>1.178,91</t>
    </r>
  </si>
  <si>
    <r>
      <rPr>
        <sz val="8.5"/>
        <rFont val="Calibri"/>
        <family val="2"/>
      </rPr>
      <t>68.02.090</t>
    </r>
  </si>
  <si>
    <r>
      <rPr>
        <sz val="8.5"/>
        <rFont val="Calibri"/>
        <family val="2"/>
      </rPr>
      <t>Estrutura tipo N4</t>
    </r>
  </si>
  <si>
    <r>
      <rPr>
        <sz val="8.5"/>
        <rFont val="Calibri"/>
        <family val="2"/>
      </rPr>
      <t>1.843,68</t>
    </r>
  </si>
  <si>
    <r>
      <rPr>
        <sz val="8.5"/>
        <rFont val="Calibri"/>
        <family val="2"/>
      </rPr>
      <t>2.157,84</t>
    </r>
  </si>
  <si>
    <r>
      <rPr>
        <sz val="8.5"/>
        <rFont val="Calibri"/>
        <family val="2"/>
      </rPr>
      <t>68.02.100</t>
    </r>
  </si>
  <si>
    <r>
      <rPr>
        <sz val="8.5"/>
        <rFont val="Calibri"/>
        <family val="2"/>
      </rPr>
      <t>Armação secundária tipo 1C - 2R</t>
    </r>
  </si>
  <si>
    <r>
      <rPr>
        <sz val="8.5"/>
        <rFont val="Calibri"/>
        <family val="2"/>
      </rPr>
      <t>91,02</t>
    </r>
  </si>
  <si>
    <r>
      <rPr>
        <sz val="8.5"/>
        <rFont val="Calibri"/>
        <family val="2"/>
      </rPr>
      <t>104,72</t>
    </r>
  </si>
  <si>
    <r>
      <rPr>
        <sz val="8.5"/>
        <rFont val="Calibri"/>
        <family val="2"/>
      </rPr>
      <t>195,74</t>
    </r>
  </si>
  <si>
    <r>
      <rPr>
        <sz val="8.5"/>
        <rFont val="Calibri"/>
        <family val="2"/>
      </rPr>
      <t>68.02.110</t>
    </r>
  </si>
  <si>
    <r>
      <rPr>
        <sz val="8.5"/>
        <rFont val="Calibri"/>
        <family val="2"/>
      </rPr>
      <t>Armação secundária tipo 1C - 3R</t>
    </r>
  </si>
  <si>
    <r>
      <rPr>
        <sz val="8.5"/>
        <rFont val="Calibri"/>
        <family val="2"/>
      </rPr>
      <t>98,36</t>
    </r>
  </si>
  <si>
    <r>
      <rPr>
        <sz val="8.5"/>
        <rFont val="Calibri"/>
        <family val="2"/>
      </rPr>
      <t>203,08</t>
    </r>
  </si>
  <si>
    <r>
      <rPr>
        <sz val="8.5"/>
        <rFont val="Calibri"/>
        <family val="2"/>
      </rPr>
      <t>68.02.120</t>
    </r>
  </si>
  <si>
    <r>
      <rPr>
        <sz val="8.5"/>
        <rFont val="Calibri"/>
        <family val="2"/>
      </rPr>
      <t>Armação secundária tipo 2C - 3R</t>
    </r>
  </si>
  <si>
    <r>
      <rPr>
        <sz val="8.5"/>
        <rFont val="Calibri"/>
        <family val="2"/>
      </rPr>
      <t>164,28</t>
    </r>
  </si>
  <si>
    <r>
      <rPr>
        <sz val="8.5"/>
        <rFont val="Calibri"/>
        <family val="2"/>
      </rPr>
      <t>68.02.140</t>
    </r>
  </si>
  <si>
    <r>
      <rPr>
        <sz val="8.5"/>
        <rFont val="Calibri"/>
        <family val="2"/>
      </rPr>
      <t>Armação secundária tipo 4C - 6R</t>
    </r>
  </si>
  <si>
    <r>
      <rPr>
        <sz val="8.5"/>
        <rFont val="Calibri"/>
        <family val="2"/>
      </rPr>
      <t>328,56</t>
    </r>
  </si>
  <si>
    <r>
      <rPr>
        <sz val="8.5"/>
        <rFont val="Calibri"/>
        <family val="2"/>
      </rPr>
      <t>485,64</t>
    </r>
  </si>
  <si>
    <r>
      <rPr>
        <sz val="8.5"/>
        <rFont val="Calibri"/>
        <family val="2"/>
      </rPr>
      <t>Reparos, conservacoes e complementos - GRUPO 68</t>
    </r>
  </si>
  <si>
    <r>
      <rPr>
        <sz val="8.5"/>
        <rFont val="Calibri"/>
        <family val="2"/>
      </rPr>
      <t>68.20.010</t>
    </r>
  </si>
  <si>
    <r>
      <rPr>
        <sz val="8.5"/>
        <rFont val="Calibri"/>
        <family val="2"/>
      </rPr>
      <t>Recolocação de poste de madeira</t>
    </r>
  </si>
  <si>
    <r>
      <rPr>
        <sz val="8.5"/>
        <rFont val="Calibri"/>
        <family val="2"/>
      </rPr>
      <t>205,89</t>
    </r>
  </si>
  <si>
    <r>
      <rPr>
        <sz val="8.5"/>
        <rFont val="Calibri"/>
        <family val="2"/>
      </rPr>
      <t>171,98</t>
    </r>
  </si>
  <si>
    <r>
      <rPr>
        <sz val="8.5"/>
        <rFont val="Calibri"/>
        <family val="2"/>
      </rPr>
      <t>377,87</t>
    </r>
  </si>
  <si>
    <r>
      <rPr>
        <sz val="8.5"/>
        <rFont val="Calibri"/>
        <family val="2"/>
      </rPr>
      <t>68.20.040</t>
    </r>
  </si>
  <si>
    <r>
      <rPr>
        <sz val="8.5"/>
        <rFont val="Calibri"/>
        <family val="2"/>
      </rPr>
      <t xml:space="preserve">Braçadeira circular em aço carbono galvanizado, diâmetro nominal de
</t>
    </r>
    <r>
      <rPr>
        <sz val="8.5"/>
        <rFont val="Calibri"/>
        <family val="2"/>
      </rPr>
      <t>140 até 300 mm</t>
    </r>
  </si>
  <si>
    <r>
      <rPr>
        <sz val="8.5"/>
        <rFont val="Calibri"/>
        <family val="2"/>
      </rPr>
      <t>45,71</t>
    </r>
  </si>
  <si>
    <r>
      <rPr>
        <sz val="8.5"/>
        <rFont val="Calibri"/>
        <family val="2"/>
      </rPr>
      <t>58,44</t>
    </r>
  </si>
  <si>
    <r>
      <rPr>
        <sz val="8.5"/>
        <rFont val="Calibri"/>
        <family val="2"/>
      </rPr>
      <t>68.20.050</t>
    </r>
  </si>
  <si>
    <r>
      <rPr>
        <sz val="8.5"/>
        <rFont val="Calibri"/>
        <family val="2"/>
      </rPr>
      <t xml:space="preserve">Cruzeta em aço carbono galvanizado perfil ´L´ 75 x 75 x 8 mm,
</t>
    </r>
    <r>
      <rPr>
        <sz val="8.5"/>
        <rFont val="Calibri"/>
        <family val="2"/>
      </rPr>
      <t>comprimento 2500 mm</t>
    </r>
  </si>
  <si>
    <r>
      <rPr>
        <sz val="8.5"/>
        <rFont val="Calibri"/>
        <family val="2"/>
      </rPr>
      <t>529,65</t>
    </r>
  </si>
  <si>
    <r>
      <rPr>
        <sz val="8.5"/>
        <rFont val="Calibri"/>
        <family val="2"/>
      </rPr>
      <t>555,11</t>
    </r>
  </si>
  <si>
    <r>
      <rPr>
        <sz val="8.5"/>
        <rFont val="Calibri"/>
        <family val="2"/>
      </rPr>
      <t>68.20.120</t>
    </r>
  </si>
  <si>
    <r>
      <rPr>
        <sz val="8.5"/>
        <rFont val="Calibri"/>
        <family val="2"/>
      </rPr>
      <t>Bengala em PVC para ramal de entrada, diâmetro de 32 mm</t>
    </r>
  </si>
  <si>
    <r>
      <rPr>
        <sz val="8.5"/>
        <rFont val="Calibri"/>
        <family val="2"/>
      </rPr>
      <t>29,67</t>
    </r>
  </si>
  <si>
    <r>
      <rPr>
        <sz val="8.5"/>
        <rFont val="Calibri"/>
        <family val="2"/>
      </rPr>
      <t xml:space="preserve">TELEFONIA, LOGICA E TRANSMISSAO DE DADOS, EQUIPAMENTOS E
</t>
    </r>
    <r>
      <rPr>
        <sz val="8.5"/>
        <rFont val="Calibri"/>
        <family val="2"/>
      </rPr>
      <t>SISTEMA</t>
    </r>
  </si>
  <si>
    <r>
      <rPr>
        <sz val="8.5"/>
        <rFont val="Calibri"/>
        <family val="2"/>
      </rPr>
      <t>Distribuicao e comando, caixas e equipamentos especificos</t>
    </r>
  </si>
  <si>
    <r>
      <rPr>
        <sz val="8.5"/>
        <rFont val="Calibri"/>
        <family val="2"/>
      </rPr>
      <t>69.03.090</t>
    </r>
  </si>
  <si>
    <r>
      <rPr>
        <sz val="8.5"/>
        <rFont val="Calibri"/>
        <family val="2"/>
      </rPr>
      <t xml:space="preserve">Aparelho telefônico multifrequencial, com teclas ´FLASH´, ´HOOK´,
</t>
    </r>
    <r>
      <rPr>
        <sz val="8.5"/>
        <rFont val="Calibri"/>
        <family val="2"/>
      </rPr>
      <t>´PAUSE´, ´LND´, ´MODE´</t>
    </r>
  </si>
  <si>
    <r>
      <rPr>
        <sz val="8.5"/>
        <rFont val="Calibri"/>
        <family val="2"/>
      </rPr>
      <t>62,94</t>
    </r>
  </si>
  <si>
    <r>
      <rPr>
        <sz val="8.5"/>
        <rFont val="Calibri"/>
        <family val="2"/>
      </rPr>
      <t>69.03.130</t>
    </r>
  </si>
  <si>
    <r>
      <rPr>
        <sz val="8.5"/>
        <rFont val="Calibri"/>
        <family val="2"/>
      </rPr>
      <t xml:space="preserve">Caixa subterrânea de entrada de telefonia, tipo R1 (600 x 350 x 500) mm,
</t>
    </r>
    <r>
      <rPr>
        <sz val="8.5"/>
        <rFont val="Calibri"/>
        <family val="2"/>
      </rPr>
      <t>padrão TELEBRÁS, com tampa</t>
    </r>
  </si>
  <si>
    <r>
      <rPr>
        <sz val="8.5"/>
        <rFont val="Calibri"/>
        <family val="2"/>
      </rPr>
      <t>414,88</t>
    </r>
  </si>
  <si>
    <r>
      <rPr>
        <sz val="8.5"/>
        <rFont val="Calibri"/>
        <family val="2"/>
      </rPr>
      <t>69.03.140</t>
    </r>
  </si>
  <si>
    <r>
      <rPr>
        <sz val="8.5"/>
        <rFont val="Calibri"/>
        <family val="2"/>
      </rPr>
      <t xml:space="preserve">Caixa subterrânea de entrada de telefonia, tipo R2 (1070 x 520 x 500)
</t>
    </r>
    <r>
      <rPr>
        <sz val="8.5"/>
        <rFont val="Calibri"/>
        <family val="2"/>
      </rPr>
      <t>mm, padrão TELEBRÁS, com tampa</t>
    </r>
  </si>
  <si>
    <r>
      <rPr>
        <sz val="8.5"/>
        <rFont val="Calibri"/>
        <family val="2"/>
      </rPr>
      <t>774,51</t>
    </r>
  </si>
  <si>
    <r>
      <rPr>
        <sz val="8.5"/>
        <rFont val="Calibri"/>
        <family val="2"/>
      </rPr>
      <t>95,61</t>
    </r>
  </si>
  <si>
    <r>
      <rPr>
        <sz val="8.5"/>
        <rFont val="Calibri"/>
        <family val="2"/>
      </rPr>
      <t>870,12</t>
    </r>
  </si>
  <si>
    <r>
      <rPr>
        <sz val="8.5"/>
        <rFont val="Calibri"/>
        <family val="2"/>
      </rPr>
      <t>69.03.310</t>
    </r>
  </si>
  <si>
    <r>
      <rPr>
        <sz val="8.5"/>
        <rFont val="Calibri"/>
        <family val="2"/>
      </rPr>
      <t>Caixa de tomada em poliamida e tampa para piso elevado, com 4 alojamentos para elétrica e até 8 alojamentos para telefonia e dados</t>
    </r>
  </si>
  <si>
    <r>
      <rPr>
        <sz val="8.5"/>
        <rFont val="Calibri"/>
        <family val="2"/>
      </rPr>
      <t>168,80</t>
    </r>
  </si>
  <si>
    <r>
      <rPr>
        <sz val="8.5"/>
        <rFont val="Calibri"/>
        <family val="2"/>
      </rPr>
      <t>183,36</t>
    </r>
  </si>
  <si>
    <r>
      <rPr>
        <sz val="8.5"/>
        <rFont val="Calibri"/>
        <family val="2"/>
      </rPr>
      <t>69.03.340</t>
    </r>
  </si>
  <si>
    <r>
      <rPr>
        <sz val="8.5"/>
        <rFont val="Calibri"/>
        <family val="2"/>
      </rPr>
      <t>Conector RJ-45 fêmea - categoria 6</t>
    </r>
  </si>
  <si>
    <r>
      <rPr>
        <sz val="8.5"/>
        <rFont val="Calibri"/>
        <family val="2"/>
      </rPr>
      <t>32,76</t>
    </r>
  </si>
  <si>
    <r>
      <rPr>
        <sz val="8.5"/>
        <rFont val="Calibri"/>
        <family val="2"/>
      </rPr>
      <t>38,22</t>
    </r>
  </si>
  <si>
    <r>
      <rPr>
        <sz val="8.5"/>
        <rFont val="Calibri"/>
        <family val="2"/>
      </rPr>
      <t>69.03.360</t>
    </r>
  </si>
  <si>
    <r>
      <rPr>
        <sz val="8.5"/>
        <rFont val="Calibri"/>
        <family val="2"/>
      </rPr>
      <t>Conector RJ-45 fêmea - categoria 6A</t>
    </r>
  </si>
  <si>
    <r>
      <rPr>
        <sz val="8.5"/>
        <rFont val="Calibri"/>
        <family val="2"/>
      </rPr>
      <t>143,10</t>
    </r>
  </si>
  <si>
    <r>
      <rPr>
        <sz val="8.5"/>
        <rFont val="Calibri"/>
        <family val="2"/>
      </rPr>
      <t>148,56</t>
    </r>
  </si>
  <si>
    <r>
      <rPr>
        <sz val="8.5"/>
        <rFont val="Calibri"/>
        <family val="2"/>
      </rPr>
      <t>69.03.400</t>
    </r>
  </si>
  <si>
    <r>
      <rPr>
        <sz val="8.5"/>
        <rFont val="Calibri"/>
        <family val="2"/>
      </rPr>
      <t xml:space="preserve">Central PABX híbrida de telefonia para 8 linhas tronco e 24 a 32 ramais
</t>
    </r>
    <r>
      <rPr>
        <sz val="8.5"/>
        <rFont val="Calibri"/>
        <family val="2"/>
      </rPr>
      <t>digital e analógico</t>
    </r>
  </si>
  <si>
    <r>
      <rPr>
        <sz val="8.5"/>
        <rFont val="Calibri"/>
        <family val="2"/>
      </rPr>
      <t>5.298,37</t>
    </r>
  </si>
  <si>
    <r>
      <rPr>
        <sz val="8.5"/>
        <rFont val="Calibri"/>
        <family val="2"/>
      </rPr>
      <t>69.03.410</t>
    </r>
  </si>
  <si>
    <r>
      <rPr>
        <sz val="8.5"/>
        <rFont val="Calibri"/>
        <family val="2"/>
      </rPr>
      <t xml:space="preserve">Central PABX híbrida de telefonia para 8 linhas tronco e 128 ramais
</t>
    </r>
    <r>
      <rPr>
        <sz val="8.5"/>
        <rFont val="Calibri"/>
        <family val="2"/>
      </rPr>
      <t>digital e analógico</t>
    </r>
  </si>
  <si>
    <r>
      <rPr>
        <sz val="8.5"/>
        <rFont val="Calibri"/>
        <family val="2"/>
      </rPr>
      <t>23.281,01</t>
    </r>
  </si>
  <si>
    <r>
      <rPr>
        <sz val="8.5"/>
        <rFont val="Calibri"/>
        <family val="2"/>
      </rPr>
      <t>69.03.420</t>
    </r>
  </si>
  <si>
    <r>
      <rPr>
        <sz val="8.5"/>
        <rFont val="Calibri"/>
        <family val="2"/>
      </rPr>
      <t xml:space="preserve">Central PABX híbrida de telefonia para 8 linhas tronco e 128 ramais
</t>
    </r>
    <r>
      <rPr>
        <sz val="8.5"/>
        <rFont val="Calibri"/>
        <family val="2"/>
      </rPr>
      <t>digital e analógico, com recursos PBX Networking</t>
    </r>
  </si>
  <si>
    <r>
      <rPr>
        <sz val="8.5"/>
        <rFont val="Calibri"/>
        <family val="2"/>
      </rPr>
      <t>69.048,08</t>
    </r>
  </si>
  <si>
    <r>
      <rPr>
        <sz val="8.5"/>
        <rFont val="Calibri"/>
        <family val="2"/>
      </rPr>
      <t>Estabilizacao de tensao</t>
    </r>
  </si>
  <si>
    <r>
      <rPr>
        <sz val="8.5"/>
        <rFont val="Calibri"/>
        <family val="2"/>
      </rPr>
      <t>69.05.010</t>
    </r>
  </si>
  <si>
    <r>
      <rPr>
        <sz val="8.5"/>
        <rFont val="Calibri"/>
        <family val="2"/>
      </rPr>
      <t>Estabilizador eletrônico de tensão, monofásico, com potência de 5 kVA</t>
    </r>
  </si>
  <si>
    <r>
      <rPr>
        <sz val="8.5"/>
        <rFont val="Calibri"/>
        <family val="2"/>
      </rPr>
      <t>8.294,82</t>
    </r>
  </si>
  <si>
    <r>
      <rPr>
        <sz val="8.5"/>
        <rFont val="Calibri"/>
        <family val="2"/>
      </rPr>
      <t>8.349,41</t>
    </r>
  </si>
  <si>
    <r>
      <rPr>
        <sz val="8.5"/>
        <rFont val="Calibri"/>
        <family val="2"/>
      </rPr>
      <t>69.05.040</t>
    </r>
  </si>
  <si>
    <r>
      <rPr>
        <sz val="8.5"/>
        <rFont val="Calibri"/>
        <family val="2"/>
      </rPr>
      <t>Estabilizador eletrônico de tensão, monofásico, com potência de 10 kVA</t>
    </r>
  </si>
  <si>
    <r>
      <rPr>
        <sz val="8.5"/>
        <rFont val="Calibri"/>
        <family val="2"/>
      </rPr>
      <t>11.205,47</t>
    </r>
  </si>
  <si>
    <r>
      <rPr>
        <sz val="8.5"/>
        <rFont val="Calibri"/>
        <family val="2"/>
      </rPr>
      <t>11.260,06</t>
    </r>
  </si>
  <si>
    <r>
      <rPr>
        <sz val="8.5"/>
        <rFont val="Calibri"/>
        <family val="2"/>
      </rPr>
      <t>69.05.230</t>
    </r>
  </si>
  <si>
    <r>
      <rPr>
        <sz val="8.5"/>
        <rFont val="Calibri"/>
        <family val="2"/>
      </rPr>
      <t>Estabilizador eletrônico de tensão, trifásico, com potência de 40 kVA</t>
    </r>
  </si>
  <si>
    <r>
      <rPr>
        <sz val="8.5"/>
        <rFont val="Calibri"/>
        <family val="2"/>
      </rPr>
      <t>31.548,01</t>
    </r>
  </si>
  <si>
    <r>
      <rPr>
        <sz val="8.5"/>
        <rFont val="Calibri"/>
        <family val="2"/>
      </rPr>
      <t>31.602,60</t>
    </r>
  </si>
  <si>
    <r>
      <rPr>
        <sz val="8.5"/>
        <rFont val="Calibri"/>
        <family val="2"/>
      </rPr>
      <t>Sistemas ininterruptos de energia</t>
    </r>
  </si>
  <si>
    <r>
      <rPr>
        <sz val="8.5"/>
        <rFont val="Calibri"/>
        <family val="2"/>
      </rPr>
      <t>69.06.020</t>
    </r>
  </si>
  <si>
    <r>
      <rPr>
        <sz val="8.5"/>
        <rFont val="Calibri"/>
        <family val="2"/>
      </rPr>
      <t xml:space="preserve">Sistema ininterrupto de energia, trifásico on line de 10 kVA (220 V/220
</t>
    </r>
    <r>
      <rPr>
        <sz val="8.5"/>
        <rFont val="Calibri"/>
        <family val="2"/>
      </rPr>
      <t>V), com autonomia de 15 minutos</t>
    </r>
  </si>
  <si>
    <r>
      <rPr>
        <sz val="8.5"/>
        <rFont val="Calibri"/>
        <family val="2"/>
      </rPr>
      <t>34.753,78</t>
    </r>
  </si>
  <si>
    <r>
      <rPr>
        <sz val="8.5"/>
        <rFont val="Calibri"/>
        <family val="2"/>
      </rPr>
      <t>34.855,60</t>
    </r>
  </si>
  <si>
    <r>
      <rPr>
        <sz val="8.5"/>
        <rFont val="Calibri"/>
        <family val="2"/>
      </rPr>
      <t>69.06.030</t>
    </r>
  </si>
  <si>
    <r>
      <rPr>
        <sz val="8.5"/>
        <rFont val="Calibri"/>
        <family val="2"/>
      </rPr>
      <t xml:space="preserve">Sistema ininterrupto de energia, trifásico on line de 20 kVA (220 V/208 V-
</t>
    </r>
    <r>
      <rPr>
        <sz val="8.5"/>
        <rFont val="Calibri"/>
        <family val="2"/>
      </rPr>
      <t>108 V), com autonomia 15 minutos</t>
    </r>
  </si>
  <si>
    <r>
      <rPr>
        <sz val="8.5"/>
        <rFont val="Calibri"/>
        <family val="2"/>
      </rPr>
      <t>38.062,67</t>
    </r>
  </si>
  <si>
    <r>
      <rPr>
        <sz val="8.5"/>
        <rFont val="Calibri"/>
        <family val="2"/>
      </rPr>
      <t>38.164,49</t>
    </r>
  </si>
  <si>
    <r>
      <rPr>
        <sz val="8.5"/>
        <rFont val="Calibri"/>
        <family val="2"/>
      </rPr>
      <t>69.06.040</t>
    </r>
  </si>
  <si>
    <r>
      <rPr>
        <sz val="8.5"/>
        <rFont val="Calibri"/>
        <family val="2"/>
      </rPr>
      <t xml:space="preserve">Sistema ininterrupto de energia, trifásico on line senoidal de 15 kVA (208
</t>
    </r>
    <r>
      <rPr>
        <sz val="8.5"/>
        <rFont val="Calibri"/>
        <family val="2"/>
      </rPr>
      <t>V/110 V), com autonomia de 15 minutos</t>
    </r>
  </si>
  <si>
    <r>
      <rPr>
        <sz val="8.5"/>
        <rFont val="Calibri"/>
        <family val="2"/>
      </rPr>
      <t>49.252,11</t>
    </r>
  </si>
  <si>
    <r>
      <rPr>
        <sz val="8.5"/>
        <rFont val="Calibri"/>
        <family val="2"/>
      </rPr>
      <t>49.353,93</t>
    </r>
  </si>
  <si>
    <r>
      <rPr>
        <sz val="8.5"/>
        <rFont val="Calibri"/>
        <family val="2"/>
      </rPr>
      <t>69.06.050</t>
    </r>
  </si>
  <si>
    <r>
      <rPr>
        <sz val="8.5"/>
        <rFont val="Calibri"/>
        <family val="2"/>
      </rPr>
      <t>Sistema ininterrupto de energia, monofásico, com potência de 2 kVA</t>
    </r>
  </si>
  <si>
    <r>
      <rPr>
        <sz val="8.5"/>
        <rFont val="Calibri"/>
        <family val="2"/>
      </rPr>
      <t>4.736,79</t>
    </r>
  </si>
  <si>
    <r>
      <rPr>
        <sz val="8.5"/>
        <rFont val="Calibri"/>
        <family val="2"/>
      </rPr>
      <t>4.809,57</t>
    </r>
  </si>
  <si>
    <r>
      <rPr>
        <sz val="8.5"/>
        <rFont val="Calibri"/>
        <family val="2"/>
      </rPr>
      <t>69.06.080</t>
    </r>
  </si>
  <si>
    <r>
      <rPr>
        <sz val="8.5"/>
        <rFont val="Calibri"/>
        <family val="2"/>
      </rPr>
      <t xml:space="preserve">Sistema ininterrupto de energia, monofásico on line senoidal de 5 kVA
</t>
    </r>
    <r>
      <rPr>
        <sz val="8.5"/>
        <rFont val="Calibri"/>
        <family val="2"/>
      </rPr>
      <t>(220 V/110 V), com autonomia de 15 minutos</t>
    </r>
  </si>
  <si>
    <r>
      <rPr>
        <sz val="8.5"/>
        <rFont val="Calibri"/>
        <family val="2"/>
      </rPr>
      <t>12.685,17</t>
    </r>
  </si>
  <si>
    <r>
      <rPr>
        <sz val="8.5"/>
        <rFont val="Calibri"/>
        <family val="2"/>
      </rPr>
      <t>12.786,99</t>
    </r>
  </si>
  <si>
    <r>
      <rPr>
        <sz val="8.5"/>
        <rFont val="Calibri"/>
        <family val="2"/>
      </rPr>
      <t>69.06.100</t>
    </r>
  </si>
  <si>
    <r>
      <rPr>
        <sz val="8.5"/>
        <rFont val="Calibri"/>
        <family val="2"/>
      </rPr>
      <t xml:space="preserve">Sistema ininterrupto de energia, monofásico, com potência entre 5 a 7,5
</t>
    </r>
    <r>
      <rPr>
        <sz val="8.5"/>
        <rFont val="Calibri"/>
        <family val="2"/>
      </rPr>
      <t>kVA</t>
    </r>
  </si>
  <si>
    <r>
      <rPr>
        <sz val="8.5"/>
        <rFont val="Calibri"/>
        <family val="2"/>
      </rPr>
      <t>18.825,41</t>
    </r>
  </si>
  <si>
    <r>
      <rPr>
        <sz val="8.5"/>
        <rFont val="Calibri"/>
        <family val="2"/>
      </rPr>
      <t>18.898,19</t>
    </r>
  </si>
  <si>
    <r>
      <rPr>
        <sz val="8.5"/>
        <rFont val="Calibri"/>
        <family val="2"/>
      </rPr>
      <t>69.06.110</t>
    </r>
  </si>
  <si>
    <r>
      <rPr>
        <sz val="8.5"/>
        <rFont val="Calibri"/>
        <family val="2"/>
      </rPr>
      <t xml:space="preserve">Sistema ininterrupto de energia, monofásico de 600 VA (127 V/127 V),
</t>
    </r>
    <r>
      <rPr>
        <sz val="8.5"/>
        <rFont val="Calibri"/>
        <family val="2"/>
      </rPr>
      <t>com autonomia de 10 a 15 minutos</t>
    </r>
  </si>
  <si>
    <r>
      <rPr>
        <sz val="8.5"/>
        <rFont val="Calibri"/>
        <family val="2"/>
      </rPr>
      <t>618,33</t>
    </r>
  </si>
  <si>
    <r>
      <rPr>
        <sz val="8.5"/>
        <rFont val="Calibri"/>
        <family val="2"/>
      </rPr>
      <t>654,72</t>
    </r>
  </si>
  <si>
    <r>
      <rPr>
        <sz val="8.5"/>
        <rFont val="Calibri"/>
        <family val="2"/>
      </rPr>
      <t>69.06.120</t>
    </r>
  </si>
  <si>
    <r>
      <rPr>
        <sz val="8.5"/>
        <rFont val="Calibri"/>
        <family val="2"/>
      </rPr>
      <t xml:space="preserve">Sistema ininterrupto de energia, trifásico on line senoidal de 10 kVA (220
</t>
    </r>
    <r>
      <rPr>
        <sz val="8.5"/>
        <rFont val="Calibri"/>
        <family val="2"/>
      </rPr>
      <t>V/110 V), com autonomia de 2 horas</t>
    </r>
  </si>
  <si>
    <r>
      <rPr>
        <sz val="8.5"/>
        <rFont val="Calibri"/>
        <family val="2"/>
      </rPr>
      <t>40.545,71</t>
    </r>
  </si>
  <si>
    <r>
      <rPr>
        <sz val="8.5"/>
        <rFont val="Calibri"/>
        <family val="2"/>
      </rPr>
      <t>40.647,53</t>
    </r>
  </si>
  <si>
    <r>
      <rPr>
        <sz val="8.5"/>
        <rFont val="Calibri"/>
        <family val="2"/>
      </rPr>
      <t>69.06.200</t>
    </r>
  </si>
  <si>
    <r>
      <rPr>
        <sz val="8.5"/>
        <rFont val="Calibri"/>
        <family val="2"/>
      </rPr>
      <t xml:space="preserve">Sistema ininterrupto de energia, trifásico on line de 20 kVA (220/127 V),
</t>
    </r>
    <r>
      <rPr>
        <sz val="8.5"/>
        <rFont val="Calibri"/>
        <family val="2"/>
      </rPr>
      <t>com autonomia de 15 minutos</t>
    </r>
  </si>
  <si>
    <r>
      <rPr>
        <sz val="8.5"/>
        <rFont val="Calibri"/>
        <family val="2"/>
      </rPr>
      <t>52.140,68</t>
    </r>
  </si>
  <si>
    <r>
      <rPr>
        <sz val="8.5"/>
        <rFont val="Calibri"/>
        <family val="2"/>
      </rPr>
      <t>52.242,50</t>
    </r>
  </si>
  <si>
    <r>
      <rPr>
        <sz val="8.5"/>
        <rFont val="Calibri"/>
        <family val="2"/>
      </rPr>
      <t>69.06.210</t>
    </r>
  </si>
  <si>
    <r>
      <rPr>
        <sz val="8.5"/>
        <rFont val="Calibri"/>
        <family val="2"/>
      </rPr>
      <t xml:space="preserve">Sistema ininterrupto de energia, trifásico on line de 60 kVA (220/127 V),
</t>
    </r>
    <r>
      <rPr>
        <sz val="8.5"/>
        <rFont val="Calibri"/>
        <family val="2"/>
      </rPr>
      <t>com autonomia de 15 minutos</t>
    </r>
  </si>
  <si>
    <r>
      <rPr>
        <sz val="8.5"/>
        <rFont val="Calibri"/>
        <family val="2"/>
      </rPr>
      <t>120.943,81</t>
    </r>
  </si>
  <si>
    <r>
      <rPr>
        <sz val="8.5"/>
        <rFont val="Calibri"/>
        <family val="2"/>
      </rPr>
      <t>121.045,63</t>
    </r>
  </si>
  <si>
    <r>
      <rPr>
        <sz val="8.5"/>
        <rFont val="Calibri"/>
        <family val="2"/>
      </rPr>
      <t>69.06.220</t>
    </r>
  </si>
  <si>
    <r>
      <rPr>
        <sz val="8.5"/>
        <rFont val="Calibri"/>
        <family val="2"/>
      </rPr>
      <t xml:space="preserve">Sistema ininterrupto de energia, trifásico on line de 80 kVA (220/127 V),
</t>
    </r>
    <r>
      <rPr>
        <sz val="8.5"/>
        <rFont val="Calibri"/>
        <family val="2"/>
      </rPr>
      <t>com autonomia de 15 minutos</t>
    </r>
  </si>
  <si>
    <r>
      <rPr>
        <sz val="8.5"/>
        <rFont val="Calibri"/>
        <family val="2"/>
      </rPr>
      <t>128.377,25</t>
    </r>
  </si>
  <si>
    <r>
      <rPr>
        <sz val="8.5"/>
        <rFont val="Calibri"/>
        <family val="2"/>
      </rPr>
      <t>128.479,07</t>
    </r>
  </si>
  <si>
    <r>
      <rPr>
        <sz val="8.5"/>
        <rFont val="Calibri"/>
        <family val="2"/>
      </rPr>
      <t>69.06.240</t>
    </r>
  </si>
  <si>
    <r>
      <rPr>
        <sz val="8.5"/>
        <rFont val="Calibri"/>
        <family val="2"/>
      </rPr>
      <t xml:space="preserve">Sistema ininterrupto de energia, trifásico on line de 20 kVA (380/220 V),
</t>
    </r>
    <r>
      <rPr>
        <sz val="8.5"/>
        <rFont val="Calibri"/>
        <family val="2"/>
      </rPr>
      <t>com autonomia de 15 minutos</t>
    </r>
  </si>
  <si>
    <r>
      <rPr>
        <sz val="8.5"/>
        <rFont val="Calibri"/>
        <family val="2"/>
      </rPr>
      <t>51.149,82</t>
    </r>
  </si>
  <si>
    <r>
      <rPr>
        <sz val="8.5"/>
        <rFont val="Calibri"/>
        <family val="2"/>
      </rPr>
      <t>51.251,64</t>
    </r>
  </si>
  <si>
    <r>
      <rPr>
        <sz val="8.5"/>
        <rFont val="Calibri"/>
        <family val="2"/>
      </rPr>
      <t>69.06.280</t>
    </r>
  </si>
  <si>
    <r>
      <rPr>
        <sz val="8.5"/>
        <rFont val="Calibri"/>
        <family val="2"/>
      </rPr>
      <t xml:space="preserve">Sistema ininterrupto de energia, trifásico on line senoidal de 5 kVA
</t>
    </r>
    <r>
      <rPr>
        <sz val="8.5"/>
        <rFont val="Calibri"/>
        <family val="2"/>
      </rPr>
      <t>(220/110 V), com autonomia de 15 minutos</t>
    </r>
  </si>
  <si>
    <r>
      <rPr>
        <sz val="8.5"/>
        <rFont val="Calibri"/>
        <family val="2"/>
      </rPr>
      <t>23.183,21</t>
    </r>
  </si>
  <si>
    <r>
      <rPr>
        <sz val="8.5"/>
        <rFont val="Calibri"/>
        <family val="2"/>
      </rPr>
      <t>23.285,03</t>
    </r>
  </si>
  <si>
    <r>
      <rPr>
        <sz val="8.5"/>
        <rFont val="Calibri"/>
        <family val="2"/>
      </rPr>
      <t>69.06.290</t>
    </r>
  </si>
  <si>
    <r>
      <rPr>
        <sz val="8.5"/>
        <rFont val="Calibri"/>
        <family val="2"/>
      </rPr>
      <t xml:space="preserve">Sistema ininterrupto de energia, trifásico on line senoidal de 10 kVA
</t>
    </r>
    <r>
      <rPr>
        <sz val="8.5"/>
        <rFont val="Calibri"/>
        <family val="2"/>
      </rPr>
      <t>(220/110 V), com autonomia de 10 a 15 minutos</t>
    </r>
  </si>
  <si>
    <r>
      <rPr>
        <sz val="8.5"/>
        <rFont val="Calibri"/>
        <family val="2"/>
      </rPr>
      <t>33.206,60</t>
    </r>
  </si>
  <si>
    <r>
      <rPr>
        <sz val="8.5"/>
        <rFont val="Calibri"/>
        <family val="2"/>
      </rPr>
      <t>33.308,42</t>
    </r>
  </si>
  <si>
    <r>
      <rPr>
        <sz val="8.5"/>
        <rFont val="Calibri"/>
        <family val="2"/>
      </rPr>
      <t>69.06.300</t>
    </r>
  </si>
  <si>
    <r>
      <rPr>
        <sz val="8.5"/>
        <rFont val="Calibri"/>
        <family val="2"/>
      </rPr>
      <t xml:space="preserve">Sistema ininterrupto de energia, trifásico on line senoidal de 50 kVA
</t>
    </r>
    <r>
      <rPr>
        <sz val="8.5"/>
        <rFont val="Calibri"/>
        <family val="2"/>
      </rPr>
      <t>(220/110 V), com autonomia de 15 minutos</t>
    </r>
  </si>
  <si>
    <r>
      <rPr>
        <sz val="8.5"/>
        <rFont val="Calibri"/>
        <family val="2"/>
      </rPr>
      <t>78.874,09</t>
    </r>
  </si>
  <si>
    <r>
      <rPr>
        <sz val="8.5"/>
        <rFont val="Calibri"/>
        <family val="2"/>
      </rPr>
      <t>78.975,91</t>
    </r>
  </si>
  <si>
    <r>
      <rPr>
        <sz val="8.5"/>
        <rFont val="Calibri"/>
        <family val="2"/>
      </rPr>
      <t>69.06.320</t>
    </r>
  </si>
  <si>
    <r>
      <rPr>
        <sz val="8.5"/>
        <rFont val="Calibri"/>
        <family val="2"/>
      </rPr>
      <t xml:space="preserve">Sistema ininterrupto de energia, trifásico on line senoidal de 7,5 kVA
</t>
    </r>
    <r>
      <rPr>
        <sz val="8.5"/>
        <rFont val="Calibri"/>
        <family val="2"/>
      </rPr>
      <t>(220/110 V), com autonomia de 15 minutos</t>
    </r>
  </si>
  <si>
    <r>
      <rPr>
        <sz val="8.5"/>
        <rFont val="Calibri"/>
        <family val="2"/>
      </rPr>
      <t>30.035,37</t>
    </r>
  </si>
  <si>
    <r>
      <rPr>
        <sz val="8.5"/>
        <rFont val="Calibri"/>
        <family val="2"/>
      </rPr>
      <t>30.137,19</t>
    </r>
  </si>
  <si>
    <r>
      <rPr>
        <sz val="8.5"/>
        <rFont val="Calibri"/>
        <family val="2"/>
      </rPr>
      <t>69.06.390</t>
    </r>
  </si>
  <si>
    <r>
      <rPr>
        <sz val="8.5"/>
        <rFont val="Calibri"/>
        <family val="2"/>
      </rPr>
      <t xml:space="preserve">Sistema ininterrupto de energia, trifásico on line senoidal de 40 kVA
</t>
    </r>
    <r>
      <rPr>
        <sz val="8.5"/>
        <rFont val="Calibri"/>
        <family val="2"/>
      </rPr>
      <t>(380/220 V), com autonomia de 15 minutos</t>
    </r>
  </si>
  <si>
    <r>
      <rPr>
        <sz val="8.5"/>
        <rFont val="Calibri"/>
        <family val="2"/>
      </rPr>
      <t>76.725,34</t>
    </r>
  </si>
  <si>
    <r>
      <rPr>
        <sz val="8.5"/>
        <rFont val="Calibri"/>
        <family val="2"/>
      </rPr>
      <t>76.827,16</t>
    </r>
  </si>
  <si>
    <r>
      <rPr>
        <sz val="8.5"/>
        <rFont val="Calibri"/>
        <family val="2"/>
      </rPr>
      <t>Equipamentos para informatica</t>
    </r>
  </si>
  <si>
    <r>
      <rPr>
        <sz val="8.5"/>
        <rFont val="Calibri"/>
        <family val="2"/>
      </rPr>
      <t>69.08.010</t>
    </r>
  </si>
  <si>
    <r>
      <rPr>
        <sz val="8.5"/>
        <rFont val="Calibri"/>
        <family val="2"/>
      </rPr>
      <t>Distribuidor interno óptico - 1 U para até 24 fibras</t>
    </r>
  </si>
  <si>
    <r>
      <rPr>
        <sz val="8.5"/>
        <rFont val="Calibri"/>
        <family val="2"/>
      </rPr>
      <t>660,29</t>
    </r>
  </si>
  <si>
    <r>
      <rPr>
        <sz val="8.5"/>
        <rFont val="Calibri"/>
        <family val="2"/>
      </rPr>
      <t>702,08</t>
    </r>
  </si>
  <si>
    <r>
      <rPr>
        <sz val="8.5"/>
        <rFont val="Calibri"/>
        <family val="2"/>
      </rPr>
      <t>Sistema de rede</t>
    </r>
  </si>
  <si>
    <r>
      <rPr>
        <sz val="8.5"/>
        <rFont val="Calibri"/>
        <family val="2"/>
      </rPr>
      <t>69.09.250</t>
    </r>
  </si>
  <si>
    <r>
      <rPr>
        <sz val="8.5"/>
        <rFont val="Calibri"/>
        <family val="2"/>
      </rPr>
      <t>Patch cords de 1,50 ou 3,00 m - RJ-45 / RJ-45 - categoria 6A</t>
    </r>
  </si>
  <si>
    <r>
      <rPr>
        <sz val="8.5"/>
        <rFont val="Calibri"/>
        <family val="2"/>
      </rPr>
      <t>45,55</t>
    </r>
  </si>
  <si>
    <r>
      <rPr>
        <sz val="8.5"/>
        <rFont val="Calibri"/>
        <family val="2"/>
      </rPr>
      <t>52,82</t>
    </r>
  </si>
  <si>
    <r>
      <rPr>
        <sz val="8.5"/>
        <rFont val="Calibri"/>
        <family val="2"/>
      </rPr>
      <t>69.09.260</t>
    </r>
  </si>
  <si>
    <r>
      <rPr>
        <sz val="8.5"/>
        <rFont val="Calibri"/>
        <family val="2"/>
      </rPr>
      <t>Patch panel de 24 portas - categoria 6</t>
    </r>
  </si>
  <si>
    <r>
      <rPr>
        <sz val="8.5"/>
        <rFont val="Calibri"/>
        <family val="2"/>
      </rPr>
      <t>680,64</t>
    </r>
  </si>
  <si>
    <r>
      <rPr>
        <sz val="8.5"/>
        <rFont val="Calibri"/>
        <family val="2"/>
      </rPr>
      <t>709,76</t>
    </r>
  </si>
  <si>
    <r>
      <rPr>
        <sz val="8.5"/>
        <rFont val="Calibri"/>
        <family val="2"/>
      </rPr>
      <t>69.09.300</t>
    </r>
  </si>
  <si>
    <r>
      <rPr>
        <sz val="8.5"/>
        <rFont val="Calibri"/>
        <family val="2"/>
      </rPr>
      <t>Voice panel de 50 portas - categoria 3</t>
    </r>
  </si>
  <si>
    <r>
      <rPr>
        <sz val="8.5"/>
        <rFont val="Calibri"/>
        <family val="2"/>
      </rPr>
      <t>528,88</t>
    </r>
  </si>
  <si>
    <r>
      <rPr>
        <sz val="8.5"/>
        <rFont val="Calibri"/>
        <family val="2"/>
      </rPr>
      <t>558,00</t>
    </r>
  </si>
  <si>
    <r>
      <rPr>
        <sz val="8.5"/>
        <rFont val="Calibri"/>
        <family val="2"/>
      </rPr>
      <t>69.09.360</t>
    </r>
  </si>
  <si>
    <r>
      <rPr>
        <sz val="8.5"/>
        <rFont val="Calibri"/>
        <family val="2"/>
      </rPr>
      <t>Patch cords de 2,00 ou 3,00 m - RJ-45 / RJ-45 - categoria 6A</t>
    </r>
  </si>
  <si>
    <r>
      <rPr>
        <sz val="8.5"/>
        <rFont val="Calibri"/>
        <family val="2"/>
      </rPr>
      <t>150,63</t>
    </r>
  </si>
  <si>
    <r>
      <rPr>
        <sz val="8.5"/>
        <rFont val="Calibri"/>
        <family val="2"/>
      </rPr>
      <t>157,90</t>
    </r>
  </si>
  <si>
    <r>
      <rPr>
        <sz val="8.5"/>
        <rFont val="Calibri"/>
        <family val="2"/>
      </rPr>
      <t>69.09.370</t>
    </r>
  </si>
  <si>
    <r>
      <rPr>
        <sz val="8.5"/>
        <rFont val="Calibri"/>
        <family val="2"/>
      </rPr>
      <t>Transceptor Gigabit SX - LC conectável de formato pequeno (SFP)</t>
    </r>
  </si>
  <si>
    <r>
      <rPr>
        <sz val="8.5"/>
        <rFont val="Calibri"/>
        <family val="2"/>
      </rPr>
      <t>1.356,08</t>
    </r>
  </si>
  <si>
    <r>
      <rPr>
        <sz val="8.5"/>
        <rFont val="Calibri"/>
        <family val="2"/>
      </rPr>
      <t>1.358,81</t>
    </r>
  </si>
  <si>
    <r>
      <rPr>
        <sz val="8.5"/>
        <rFont val="Calibri"/>
        <family val="2"/>
      </rPr>
      <t>Telecomunicacoes</t>
    </r>
  </si>
  <si>
    <r>
      <rPr>
        <sz val="8.5"/>
        <rFont val="Calibri"/>
        <family val="2"/>
      </rPr>
      <t>69.10.130</t>
    </r>
  </si>
  <si>
    <r>
      <rPr>
        <sz val="8.5"/>
        <rFont val="Calibri"/>
        <family val="2"/>
      </rPr>
      <t xml:space="preserve">Amplificador de potência para VHF e CATV-50 dB, frequência 40 a 550
</t>
    </r>
    <r>
      <rPr>
        <sz val="8.5"/>
        <rFont val="Calibri"/>
        <family val="2"/>
      </rPr>
      <t>MHz</t>
    </r>
  </si>
  <si>
    <r>
      <rPr>
        <sz val="8.5"/>
        <rFont val="Calibri"/>
        <family val="2"/>
      </rPr>
      <t>481,92</t>
    </r>
  </si>
  <si>
    <r>
      <rPr>
        <sz val="8.5"/>
        <rFont val="Calibri"/>
        <family val="2"/>
      </rPr>
      <t>498,64</t>
    </r>
  </si>
  <si>
    <r>
      <rPr>
        <sz val="8.5"/>
        <rFont val="Calibri"/>
        <family val="2"/>
      </rPr>
      <t>69.10.140</t>
    </r>
  </si>
  <si>
    <r>
      <rPr>
        <sz val="8.5"/>
        <rFont val="Calibri"/>
        <family val="2"/>
      </rPr>
      <t>Antena parabólica com captador de sinais e modulador de áudio e vídeo</t>
    </r>
  </si>
  <si>
    <r>
      <rPr>
        <sz val="8.5"/>
        <rFont val="Calibri"/>
        <family val="2"/>
      </rPr>
      <t>460,77</t>
    </r>
  </si>
  <si>
    <r>
      <rPr>
        <sz val="8.5"/>
        <rFont val="Calibri"/>
        <family val="2"/>
      </rPr>
      <t>751,89</t>
    </r>
  </si>
  <si>
    <r>
      <rPr>
        <sz val="8.5"/>
        <rFont val="Calibri"/>
        <family val="2"/>
      </rPr>
      <t>Reparos, conservacoes e complementos - GRUPO 69</t>
    </r>
  </si>
  <si>
    <r>
      <rPr>
        <sz val="8.5"/>
        <rFont val="Calibri"/>
        <family val="2"/>
      </rPr>
      <t>69.20.010</t>
    </r>
  </si>
  <si>
    <r>
      <rPr>
        <sz val="8.5"/>
        <rFont val="Calibri"/>
        <family val="2"/>
      </rPr>
      <t>Arame de espinar em aço inoxidável nu, para TV a cabo</t>
    </r>
  </si>
  <si>
    <r>
      <rPr>
        <sz val="8.5"/>
        <rFont val="Calibri"/>
        <family val="2"/>
      </rPr>
      <t>0,59</t>
    </r>
  </si>
  <si>
    <r>
      <rPr>
        <sz val="8.5"/>
        <rFont val="Calibri"/>
        <family val="2"/>
      </rPr>
      <t>69.20.040</t>
    </r>
  </si>
  <si>
    <r>
      <rPr>
        <sz val="8.5"/>
        <rFont val="Calibri"/>
        <family val="2"/>
      </rPr>
      <t>Isolador roldana em porcelana de 72 x 72 mm</t>
    </r>
  </si>
  <si>
    <r>
      <rPr>
        <sz val="8.5"/>
        <rFont val="Calibri"/>
        <family val="2"/>
      </rPr>
      <t>69.20.050</t>
    </r>
  </si>
  <si>
    <r>
      <rPr>
        <sz val="8.5"/>
        <rFont val="Calibri"/>
        <family val="2"/>
      </rPr>
      <t>Suporte para isolador roldana tipo DM, padrão TELEBRÁS</t>
    </r>
  </si>
  <si>
    <r>
      <rPr>
        <sz val="8.5"/>
        <rFont val="Calibri"/>
        <family val="2"/>
      </rPr>
      <t>2,19</t>
    </r>
  </si>
  <si>
    <r>
      <rPr>
        <sz val="8.5"/>
        <rFont val="Calibri"/>
        <family val="2"/>
      </rPr>
      <t>9,46</t>
    </r>
  </si>
  <si>
    <r>
      <rPr>
        <sz val="8.5"/>
        <rFont val="Calibri"/>
        <family val="2"/>
      </rPr>
      <t>69.20.070</t>
    </r>
  </si>
  <si>
    <r>
      <rPr>
        <sz val="8.5"/>
        <rFont val="Calibri"/>
        <family val="2"/>
      </rPr>
      <t xml:space="preserve">Fita em aço inoxidável para poste de 0,50 m x 19 mm, com fecho em aço
</t>
    </r>
    <r>
      <rPr>
        <sz val="8.5"/>
        <rFont val="Calibri"/>
        <family val="2"/>
      </rPr>
      <t>inoxidável</t>
    </r>
  </si>
  <si>
    <r>
      <rPr>
        <sz val="8.5"/>
        <rFont val="Calibri"/>
        <family val="2"/>
      </rPr>
      <t>9,91</t>
    </r>
  </si>
  <si>
    <r>
      <rPr>
        <sz val="8.5"/>
        <rFont val="Calibri"/>
        <family val="2"/>
      </rPr>
      <t>69.20.100</t>
    </r>
  </si>
  <si>
    <r>
      <rPr>
        <sz val="8.5"/>
        <rFont val="Calibri"/>
        <family val="2"/>
      </rPr>
      <t>Tampa para caixa R1, padrão TELEBRÁS</t>
    </r>
  </si>
  <si>
    <r>
      <rPr>
        <sz val="8.5"/>
        <rFont val="Calibri"/>
        <family val="2"/>
      </rPr>
      <t>261,21</t>
    </r>
  </si>
  <si>
    <r>
      <rPr>
        <sz val="8.5"/>
        <rFont val="Calibri"/>
        <family val="2"/>
      </rPr>
      <t>8,00</t>
    </r>
  </si>
  <si>
    <r>
      <rPr>
        <sz val="8.5"/>
        <rFont val="Calibri"/>
        <family val="2"/>
      </rPr>
      <t>269,21</t>
    </r>
  </si>
  <si>
    <r>
      <rPr>
        <sz val="8.5"/>
        <rFont val="Calibri"/>
        <family val="2"/>
      </rPr>
      <t>69.20.110</t>
    </r>
  </si>
  <si>
    <r>
      <rPr>
        <sz val="8.5"/>
        <rFont val="Calibri"/>
        <family val="2"/>
      </rPr>
      <t>Tampa para caixa R2, padrão TELEBRÁS</t>
    </r>
  </si>
  <si>
    <r>
      <rPr>
        <sz val="8.5"/>
        <rFont val="Calibri"/>
        <family val="2"/>
      </rPr>
      <t>580,12</t>
    </r>
  </si>
  <si>
    <r>
      <rPr>
        <sz val="8.5"/>
        <rFont val="Calibri"/>
        <family val="2"/>
      </rPr>
      <t>588,12</t>
    </r>
  </si>
  <si>
    <r>
      <rPr>
        <sz val="8.5"/>
        <rFont val="Calibri"/>
        <family val="2"/>
      </rPr>
      <t>69.20.130</t>
    </r>
  </si>
  <si>
    <r>
      <rPr>
        <sz val="8.5"/>
        <rFont val="Calibri"/>
        <family val="2"/>
      </rPr>
      <t>Bloco de ligação interna para 10 pares, BLI-10</t>
    </r>
  </si>
  <si>
    <r>
      <rPr>
        <sz val="8.5"/>
        <rFont val="Calibri"/>
        <family val="2"/>
      </rPr>
      <t>69.20.140</t>
    </r>
  </si>
  <si>
    <r>
      <rPr>
        <sz val="8.5"/>
        <rFont val="Calibri"/>
        <family val="2"/>
      </rPr>
      <t>Bloco de ligação com engate rápido para 10 pares, BER-10</t>
    </r>
  </si>
  <si>
    <r>
      <rPr>
        <sz val="8.5"/>
        <rFont val="Calibri"/>
        <family val="2"/>
      </rPr>
      <t>69.20.170</t>
    </r>
  </si>
  <si>
    <r>
      <rPr>
        <sz val="8.5"/>
        <rFont val="Calibri"/>
        <family val="2"/>
      </rPr>
      <t>Calha de aço com 4 tomadas 2P+T - 250 V, com cabo</t>
    </r>
  </si>
  <si>
    <r>
      <rPr>
        <sz val="8.5"/>
        <rFont val="Calibri"/>
        <family val="2"/>
      </rPr>
      <t>67,18</t>
    </r>
  </si>
  <si>
    <r>
      <rPr>
        <sz val="8.5"/>
        <rFont val="Calibri"/>
        <family val="2"/>
      </rPr>
      <t>69.20.180</t>
    </r>
  </si>
  <si>
    <r>
      <rPr>
        <sz val="8.5"/>
        <rFont val="Calibri"/>
        <family val="2"/>
      </rPr>
      <t>Cordão óptico duplex, multimodo com conector LC/LC - 2,5 m</t>
    </r>
  </si>
  <si>
    <r>
      <rPr>
        <sz val="8.5"/>
        <rFont val="Calibri"/>
        <family val="2"/>
      </rPr>
      <t>171,94</t>
    </r>
  </si>
  <si>
    <r>
      <rPr>
        <sz val="8.5"/>
        <rFont val="Calibri"/>
        <family val="2"/>
      </rPr>
      <t>180,29</t>
    </r>
  </si>
  <si>
    <r>
      <rPr>
        <sz val="8.5"/>
        <rFont val="Calibri"/>
        <family val="2"/>
      </rPr>
      <t>69.20.200</t>
    </r>
  </si>
  <si>
    <r>
      <rPr>
        <sz val="8.5"/>
        <rFont val="Calibri"/>
        <family val="2"/>
      </rPr>
      <t>Bandeja fixa para rack, 19" x 500 mm</t>
    </r>
  </si>
  <si>
    <r>
      <rPr>
        <sz val="8.5"/>
        <rFont val="Calibri"/>
        <family val="2"/>
      </rPr>
      <t>71,43</t>
    </r>
  </si>
  <si>
    <r>
      <rPr>
        <sz val="8.5"/>
        <rFont val="Calibri"/>
        <family val="2"/>
      </rPr>
      <t>76,88</t>
    </r>
  </si>
  <si>
    <r>
      <rPr>
        <sz val="8.5"/>
        <rFont val="Calibri"/>
        <family val="2"/>
      </rPr>
      <t>69.20.210</t>
    </r>
  </si>
  <si>
    <r>
      <rPr>
        <sz val="8.5"/>
        <rFont val="Calibri"/>
        <family val="2"/>
      </rPr>
      <t>Bandeja fixa para rack, 19" x 800 mm</t>
    </r>
  </si>
  <si>
    <r>
      <rPr>
        <sz val="8.5"/>
        <rFont val="Calibri"/>
        <family val="2"/>
      </rPr>
      <t>96,23</t>
    </r>
  </si>
  <si>
    <r>
      <rPr>
        <sz val="8.5"/>
        <rFont val="Calibri"/>
        <family val="2"/>
      </rPr>
      <t>101,68</t>
    </r>
  </si>
  <si>
    <r>
      <rPr>
        <sz val="8.5"/>
        <rFont val="Calibri"/>
        <family val="2"/>
      </rPr>
      <t>69.20.220</t>
    </r>
  </si>
  <si>
    <r>
      <rPr>
        <sz val="8.5"/>
        <rFont val="Calibri"/>
        <family val="2"/>
      </rPr>
      <t>Bandeja deslizante para rack, 19" x 800 mm</t>
    </r>
  </si>
  <si>
    <r>
      <rPr>
        <sz val="8.5"/>
        <rFont val="Calibri"/>
        <family val="2"/>
      </rPr>
      <t>166,78</t>
    </r>
  </si>
  <si>
    <r>
      <rPr>
        <sz val="8.5"/>
        <rFont val="Calibri"/>
        <family val="2"/>
      </rPr>
      <t>69.20.230</t>
    </r>
  </si>
  <si>
    <r>
      <rPr>
        <sz val="8.5"/>
        <rFont val="Calibri"/>
        <family val="2"/>
      </rPr>
      <t>Calha de aço com 8 tomadas 2P+T - 250 V, com cabo</t>
    </r>
  </si>
  <si>
    <r>
      <rPr>
        <sz val="8.5"/>
        <rFont val="Calibri"/>
        <family val="2"/>
      </rPr>
      <t>76,67</t>
    </r>
  </si>
  <si>
    <r>
      <rPr>
        <sz val="8.5"/>
        <rFont val="Calibri"/>
        <family val="2"/>
      </rPr>
      <t>78,12</t>
    </r>
  </si>
  <si>
    <r>
      <rPr>
        <sz val="8.5"/>
        <rFont val="Calibri"/>
        <family val="2"/>
      </rPr>
      <t>69.20.240</t>
    </r>
  </si>
  <si>
    <r>
      <rPr>
        <sz val="8.5"/>
        <rFont val="Calibri"/>
        <family val="2"/>
      </rPr>
      <t>Calha de aço com 12 tomadas 2P+T - 250 V, com cabo</t>
    </r>
  </si>
  <si>
    <r>
      <rPr>
        <sz val="8.5"/>
        <rFont val="Calibri"/>
        <family val="2"/>
      </rPr>
      <t>92,64</t>
    </r>
  </si>
  <si>
    <r>
      <rPr>
        <sz val="8.5"/>
        <rFont val="Calibri"/>
        <family val="2"/>
      </rPr>
      <t>69.20.248</t>
    </r>
  </si>
  <si>
    <r>
      <rPr>
        <sz val="8.5"/>
        <rFont val="Calibri"/>
        <family val="2"/>
      </rPr>
      <t>Painel frontal cego - 19" x 1 U</t>
    </r>
  </si>
  <si>
    <r>
      <rPr>
        <sz val="8.5"/>
        <rFont val="Calibri"/>
        <family val="2"/>
      </rPr>
      <t>9,44</t>
    </r>
  </si>
  <si>
    <r>
      <rPr>
        <sz val="8.5"/>
        <rFont val="Calibri"/>
        <family val="2"/>
      </rPr>
      <t>69.20.250</t>
    </r>
  </si>
  <si>
    <r>
      <rPr>
        <sz val="8.5"/>
        <rFont val="Calibri"/>
        <family val="2"/>
      </rPr>
      <t>Painel frontal cego - 19" x 2 U</t>
    </r>
  </si>
  <si>
    <r>
      <rPr>
        <sz val="8.5"/>
        <rFont val="Calibri"/>
        <family val="2"/>
      </rPr>
      <t>69.20.260</t>
    </r>
  </si>
  <si>
    <r>
      <rPr>
        <sz val="8.5"/>
        <rFont val="Calibri"/>
        <family val="2"/>
      </rPr>
      <t>Protetor de surto híbrido para rede de telecomunicações</t>
    </r>
  </si>
  <si>
    <r>
      <rPr>
        <sz val="8.5"/>
        <rFont val="Calibri"/>
        <family val="2"/>
      </rPr>
      <t>34,23</t>
    </r>
  </si>
  <si>
    <r>
      <rPr>
        <sz val="8.5"/>
        <rFont val="Calibri"/>
        <family val="2"/>
      </rPr>
      <t>69.20.270</t>
    </r>
  </si>
  <si>
    <r>
      <rPr>
        <sz val="8.5"/>
        <rFont val="Calibri"/>
        <family val="2"/>
      </rPr>
      <t>Divisor interno com 1 entrada e 2 saídas - 75 Ohms</t>
    </r>
  </si>
  <si>
    <r>
      <rPr>
        <sz val="8.5"/>
        <rFont val="Calibri"/>
        <family val="2"/>
      </rPr>
      <t>8,12</t>
    </r>
  </si>
  <si>
    <r>
      <rPr>
        <sz val="8.5"/>
        <rFont val="Calibri"/>
        <family val="2"/>
      </rPr>
      <t>16,47</t>
    </r>
  </si>
  <si>
    <r>
      <rPr>
        <sz val="8.5"/>
        <rFont val="Calibri"/>
        <family val="2"/>
      </rPr>
      <t>69.20.280</t>
    </r>
  </si>
  <si>
    <r>
      <rPr>
        <sz val="8.5"/>
        <rFont val="Calibri"/>
        <family val="2"/>
      </rPr>
      <t>Divisor interno com 1 entrada e 4 saídas - 75 Ohms</t>
    </r>
  </si>
  <si>
    <r>
      <rPr>
        <sz val="8.5"/>
        <rFont val="Calibri"/>
        <family val="2"/>
      </rPr>
      <t>12,99</t>
    </r>
  </si>
  <si>
    <r>
      <rPr>
        <sz val="8.5"/>
        <rFont val="Calibri"/>
        <family val="2"/>
      </rPr>
      <t>69.20.290</t>
    </r>
  </si>
  <si>
    <r>
      <rPr>
        <sz val="8.5"/>
        <rFont val="Calibri"/>
        <family val="2"/>
      </rPr>
      <t>Tomada blindada para VHF/UHF, CATV e FM, frequência 5 MHz a 1 GHz</t>
    </r>
  </si>
  <si>
    <r>
      <rPr>
        <sz val="8.5"/>
        <rFont val="Calibri"/>
        <family val="2"/>
      </rPr>
      <t>10,24</t>
    </r>
  </si>
  <si>
    <r>
      <rPr>
        <sz val="8.5"/>
        <rFont val="Calibri"/>
        <family val="2"/>
      </rPr>
      <t>18,59</t>
    </r>
  </si>
  <si>
    <r>
      <rPr>
        <sz val="8.5"/>
        <rFont val="Calibri"/>
        <family val="2"/>
      </rPr>
      <t>69.20.300</t>
    </r>
  </si>
  <si>
    <r>
      <rPr>
        <sz val="8.5"/>
        <rFont val="Calibri"/>
        <family val="2"/>
      </rPr>
      <t>Bloco de distribuição com protetor de surtos, para 10 pares, BTDG-10</t>
    </r>
  </si>
  <si>
    <r>
      <rPr>
        <sz val="8.5"/>
        <rFont val="Calibri"/>
        <family val="2"/>
      </rPr>
      <t>14,08</t>
    </r>
  </si>
  <si>
    <r>
      <rPr>
        <sz val="8.5"/>
        <rFont val="Calibri"/>
        <family val="2"/>
      </rPr>
      <t>39,80</t>
    </r>
  </si>
  <si>
    <r>
      <rPr>
        <sz val="8.5"/>
        <rFont val="Calibri"/>
        <family val="2"/>
      </rPr>
      <t>69.20.340</t>
    </r>
  </si>
  <si>
    <r>
      <rPr>
        <sz val="8.5"/>
        <rFont val="Calibri"/>
        <family val="2"/>
      </rPr>
      <t>Tomada para TV, tipo pino Jack, com placa</t>
    </r>
  </si>
  <si>
    <r>
      <rPr>
        <sz val="8.5"/>
        <rFont val="Calibri"/>
        <family val="2"/>
      </rPr>
      <t>17,88</t>
    </r>
  </si>
  <si>
    <r>
      <rPr>
        <sz val="8.5"/>
        <rFont val="Calibri"/>
        <family val="2"/>
      </rPr>
      <t>69.20.350</t>
    </r>
  </si>
  <si>
    <r>
      <rPr>
        <sz val="8.5"/>
        <rFont val="Calibri"/>
        <family val="2"/>
      </rPr>
      <t>Caixa de emenda ventilada, em polipropileno, para até 200 pares</t>
    </r>
  </si>
  <si>
    <r>
      <rPr>
        <sz val="8.5"/>
        <rFont val="Calibri"/>
        <family val="2"/>
      </rPr>
      <t>146,30</t>
    </r>
  </si>
  <si>
    <r>
      <rPr>
        <sz val="8.5"/>
        <rFont val="Calibri"/>
        <family val="2"/>
      </rPr>
      <t>171,76</t>
    </r>
  </si>
  <si>
    <r>
      <rPr>
        <sz val="8.5"/>
        <rFont val="Calibri"/>
        <family val="2"/>
      </rPr>
      <t>SINALIZACAO VIARIA</t>
    </r>
  </si>
  <si>
    <r>
      <rPr>
        <sz val="8.5"/>
        <rFont val="Calibri"/>
        <family val="2"/>
      </rPr>
      <t>Dispositivo viario</t>
    </r>
  </si>
  <si>
    <r>
      <rPr>
        <sz val="8.5"/>
        <rFont val="Calibri"/>
        <family val="2"/>
      </rPr>
      <t>70.01.001</t>
    </r>
  </si>
  <si>
    <r>
      <rPr>
        <sz val="8.5"/>
        <rFont val="Calibri"/>
        <family val="2"/>
      </rPr>
      <t>Faixa elevada para travessia de pedestres</t>
    </r>
  </si>
  <si>
    <r>
      <rPr>
        <sz val="8.5"/>
        <rFont val="Calibri"/>
        <family val="2"/>
      </rPr>
      <t>128,69</t>
    </r>
  </si>
  <si>
    <r>
      <rPr>
        <sz val="8.5"/>
        <rFont val="Calibri"/>
        <family val="2"/>
      </rPr>
      <t>16,20</t>
    </r>
  </si>
  <si>
    <r>
      <rPr>
        <sz val="8.5"/>
        <rFont val="Calibri"/>
        <family val="2"/>
      </rPr>
      <t>144,89</t>
    </r>
  </si>
  <si>
    <r>
      <rPr>
        <sz val="8.5"/>
        <rFont val="Calibri"/>
        <family val="2"/>
      </rPr>
      <t>70.01.010</t>
    </r>
  </si>
  <si>
    <r>
      <rPr>
        <sz val="8.5"/>
        <rFont val="Calibri"/>
        <family val="2"/>
      </rPr>
      <t>Ondulação transversal - lombada tipo A</t>
    </r>
  </si>
  <si>
    <r>
      <rPr>
        <sz val="8.5"/>
        <rFont val="Calibri"/>
        <family val="2"/>
      </rPr>
      <t>189,53</t>
    </r>
  </si>
  <si>
    <r>
      <rPr>
        <sz val="8.5"/>
        <rFont val="Calibri"/>
        <family val="2"/>
      </rPr>
      <t>25,76</t>
    </r>
  </si>
  <si>
    <r>
      <rPr>
        <sz val="8.5"/>
        <rFont val="Calibri"/>
        <family val="2"/>
      </rPr>
      <t>70.01.011</t>
    </r>
  </si>
  <si>
    <r>
      <rPr>
        <sz val="8.5"/>
        <rFont val="Calibri"/>
        <family val="2"/>
      </rPr>
      <t>Ondulação transversal - lombada tipo B</t>
    </r>
  </si>
  <si>
    <r>
      <rPr>
        <sz val="8.5"/>
        <rFont val="Calibri"/>
        <family val="2"/>
      </rPr>
      <t>354,68</t>
    </r>
  </si>
  <si>
    <r>
      <rPr>
        <sz val="8.5"/>
        <rFont val="Calibri"/>
        <family val="2"/>
      </rPr>
      <t>417,10</t>
    </r>
  </si>
  <si>
    <r>
      <rPr>
        <sz val="8.5"/>
        <rFont val="Calibri"/>
        <family val="2"/>
      </rPr>
      <t>70.01.050</t>
    </r>
  </si>
  <si>
    <r>
      <rPr>
        <sz val="8.5"/>
        <rFont val="Calibri"/>
        <family val="2"/>
      </rPr>
      <t>Defensa semimaleavel simples</t>
    </r>
  </si>
  <si>
    <r>
      <rPr>
        <sz val="8.5"/>
        <rFont val="Calibri"/>
        <family val="2"/>
      </rPr>
      <t>91,65</t>
    </r>
  </si>
  <si>
    <r>
      <rPr>
        <sz val="8.5"/>
        <rFont val="Calibri"/>
        <family val="2"/>
      </rPr>
      <t>10,44</t>
    </r>
  </si>
  <si>
    <r>
      <rPr>
        <sz val="8.5"/>
        <rFont val="Calibri"/>
        <family val="2"/>
      </rPr>
      <t>102,09</t>
    </r>
  </si>
  <si>
    <r>
      <rPr>
        <sz val="8.5"/>
        <rFont val="Calibri"/>
        <family val="2"/>
      </rPr>
      <t>70.01.060</t>
    </r>
  </si>
  <si>
    <r>
      <rPr>
        <sz val="8.5"/>
        <rFont val="Calibri"/>
        <family val="2"/>
      </rPr>
      <t>Terminal absorvedor de impacto não direcionável</t>
    </r>
  </si>
  <si>
    <r>
      <rPr>
        <sz val="8.5"/>
        <rFont val="Calibri"/>
        <family val="2"/>
      </rPr>
      <t>9.831,11</t>
    </r>
  </si>
  <si>
    <r>
      <rPr>
        <sz val="8.5"/>
        <rFont val="Calibri"/>
        <family val="2"/>
      </rPr>
      <t>Sinalizacao horizontal</t>
    </r>
  </si>
  <si>
    <r>
      <rPr>
        <sz val="8.5"/>
        <rFont val="Calibri"/>
        <family val="2"/>
      </rPr>
      <t>70.02.001</t>
    </r>
  </si>
  <si>
    <r>
      <rPr>
        <sz val="8.5"/>
        <rFont val="Calibri"/>
        <family val="2"/>
      </rPr>
      <t>Limpeza, pré marcação e pré pintura de solo</t>
    </r>
  </si>
  <si>
    <r>
      <rPr>
        <sz val="8.5"/>
        <rFont val="Calibri"/>
        <family val="2"/>
      </rPr>
      <t>66,50</t>
    </r>
  </si>
  <si>
    <r>
      <rPr>
        <sz val="8.5"/>
        <rFont val="Calibri"/>
        <family val="2"/>
      </rPr>
      <t>70.02.010</t>
    </r>
  </si>
  <si>
    <r>
      <rPr>
        <sz val="8.5"/>
        <rFont val="Calibri"/>
        <family val="2"/>
      </rPr>
      <t>Sinalização horizontal com tinta vinílica ou acrílica</t>
    </r>
  </si>
  <si>
    <r>
      <rPr>
        <sz val="8.5"/>
        <rFont val="Calibri"/>
        <family val="2"/>
      </rPr>
      <t>27,79</t>
    </r>
  </si>
  <si>
    <r>
      <rPr>
        <sz val="8.5"/>
        <rFont val="Calibri"/>
        <family val="2"/>
      </rPr>
      <t>70.02.012</t>
    </r>
  </si>
  <si>
    <r>
      <rPr>
        <sz val="8.5"/>
        <rFont val="Calibri"/>
        <family val="2"/>
      </rPr>
      <t xml:space="preserve">Sinalização horizontal em laminado elastoplástico retrorefletivo e
</t>
    </r>
    <r>
      <rPr>
        <sz val="8.5"/>
        <rFont val="Calibri"/>
        <family val="2"/>
      </rPr>
      <t>antiderrapante, para faixas</t>
    </r>
  </si>
  <si>
    <r>
      <rPr>
        <sz val="8.5"/>
        <rFont val="Calibri"/>
        <family val="2"/>
      </rPr>
      <t>166,87</t>
    </r>
  </si>
  <si>
    <r>
      <rPr>
        <sz val="8.5"/>
        <rFont val="Calibri"/>
        <family val="2"/>
      </rPr>
      <t>70.02.013</t>
    </r>
  </si>
  <si>
    <r>
      <rPr>
        <sz val="8.5"/>
        <rFont val="Calibri"/>
        <family val="2"/>
      </rPr>
      <t xml:space="preserve">Sinalização horizontal em laminado elastoplástico retrorefletivo e
</t>
    </r>
    <r>
      <rPr>
        <sz val="8.5"/>
        <rFont val="Calibri"/>
        <family val="2"/>
      </rPr>
      <t>antiderrapante, para símbolos e letras</t>
    </r>
  </si>
  <si>
    <r>
      <rPr>
        <sz val="8.5"/>
        <rFont val="Calibri"/>
        <family val="2"/>
      </rPr>
      <t>70.02.014</t>
    </r>
  </si>
  <si>
    <r>
      <rPr>
        <sz val="8.5"/>
        <rFont val="Calibri"/>
        <family val="2"/>
      </rPr>
      <t xml:space="preserve">Sinalização horizontal em massa termoplástica à quente por aspersão,
</t>
    </r>
    <r>
      <rPr>
        <sz val="8.5"/>
        <rFont val="Calibri"/>
        <family val="2"/>
      </rPr>
      <t>espessura de 1,5 mm, para faixas</t>
    </r>
  </si>
  <si>
    <r>
      <rPr>
        <sz val="8.5"/>
        <rFont val="Calibri"/>
        <family val="2"/>
      </rPr>
      <t>68,76</t>
    </r>
  </si>
  <si>
    <r>
      <rPr>
        <sz val="8.5"/>
        <rFont val="Calibri"/>
        <family val="2"/>
      </rPr>
      <t>70.02.016</t>
    </r>
  </si>
  <si>
    <r>
      <rPr>
        <sz val="8.5"/>
        <rFont val="Calibri"/>
        <family val="2"/>
      </rPr>
      <t xml:space="preserve">Sinalização horizontal em massa termoplástica à quente por extrusão,
</t>
    </r>
    <r>
      <rPr>
        <sz val="8.5"/>
        <rFont val="Calibri"/>
        <family val="2"/>
      </rPr>
      <t>espessura de 3,0 mm, para faixas</t>
    </r>
  </si>
  <si>
    <r>
      <rPr>
        <sz val="8.5"/>
        <rFont val="Calibri"/>
        <family val="2"/>
      </rPr>
      <t>99,61</t>
    </r>
  </si>
  <si>
    <r>
      <rPr>
        <sz val="8.5"/>
        <rFont val="Calibri"/>
        <family val="2"/>
      </rPr>
      <t>70.02.017</t>
    </r>
  </si>
  <si>
    <r>
      <rPr>
        <sz val="8.5"/>
        <rFont val="Calibri"/>
        <family val="2"/>
      </rPr>
      <t xml:space="preserve">Sinalização horizontal em massa termoplástica à quente por extrusão,
</t>
    </r>
    <r>
      <rPr>
        <sz val="8.5"/>
        <rFont val="Calibri"/>
        <family val="2"/>
      </rPr>
      <t>espessura de 3,0 mm, para legendas</t>
    </r>
  </si>
  <si>
    <r>
      <rPr>
        <sz val="8.5"/>
        <rFont val="Calibri"/>
        <family val="2"/>
      </rPr>
      <t>70.02.020</t>
    </r>
  </si>
  <si>
    <r>
      <rPr>
        <sz val="8.5"/>
        <rFont val="Calibri"/>
        <family val="2"/>
      </rPr>
      <t>Sinalização horizontal em plástico a frio manual, para faixas</t>
    </r>
  </si>
  <si>
    <r>
      <rPr>
        <sz val="8.5"/>
        <rFont val="Calibri"/>
        <family val="2"/>
      </rPr>
      <t>198,60</t>
    </r>
  </si>
  <si>
    <r>
      <rPr>
        <sz val="8.5"/>
        <rFont val="Calibri"/>
        <family val="2"/>
      </rPr>
      <t>70.02.021</t>
    </r>
  </si>
  <si>
    <r>
      <rPr>
        <sz val="8.5"/>
        <rFont val="Calibri"/>
        <family val="2"/>
      </rPr>
      <t>Sinalização horizontal em termoplástico de alto relevo</t>
    </r>
  </si>
  <si>
    <r>
      <rPr>
        <sz val="8.5"/>
        <rFont val="Calibri"/>
        <family val="2"/>
      </rPr>
      <t>196,85</t>
    </r>
  </si>
  <si>
    <r>
      <rPr>
        <sz val="8.5"/>
        <rFont val="Calibri"/>
        <family val="2"/>
      </rPr>
      <t>70.02.022</t>
    </r>
  </si>
  <si>
    <r>
      <rPr>
        <sz val="8.5"/>
        <rFont val="Calibri"/>
        <family val="2"/>
      </rPr>
      <t xml:space="preserve">Sinalização horizontal em tinta a base de resina acrílica emulsionada em
</t>
    </r>
    <r>
      <rPr>
        <sz val="8.5"/>
        <rFont val="Calibri"/>
        <family val="2"/>
      </rPr>
      <t>água</t>
    </r>
  </si>
  <si>
    <r>
      <rPr>
        <sz val="8.5"/>
        <rFont val="Calibri"/>
        <family val="2"/>
      </rPr>
      <t>33,04</t>
    </r>
  </si>
  <si>
    <r>
      <rPr>
        <sz val="8.5"/>
        <rFont val="Calibri"/>
        <family val="2"/>
      </rPr>
      <t>Sinalizacao vertical</t>
    </r>
  </si>
  <si>
    <r>
      <rPr>
        <sz val="8.5"/>
        <rFont val="Calibri"/>
        <family val="2"/>
      </rPr>
      <t>70.03.001</t>
    </r>
  </si>
  <si>
    <r>
      <rPr>
        <sz val="8.5"/>
        <rFont val="Calibri"/>
        <family val="2"/>
      </rPr>
      <t xml:space="preserve">Placa para sinalização viária em chapa de aço, totalmente refletiva com
</t>
    </r>
    <r>
      <rPr>
        <sz val="8.5"/>
        <rFont val="Calibri"/>
        <family val="2"/>
      </rPr>
      <t>película IA/IA - área até 2,0 m²</t>
    </r>
  </si>
  <si>
    <r>
      <rPr>
        <sz val="8.5"/>
        <rFont val="Calibri"/>
        <family val="2"/>
      </rPr>
      <t>853,98</t>
    </r>
  </si>
  <si>
    <r>
      <rPr>
        <sz val="8.5"/>
        <rFont val="Calibri"/>
        <family val="2"/>
      </rPr>
      <t>18,76</t>
    </r>
  </si>
  <si>
    <r>
      <rPr>
        <sz val="8.5"/>
        <rFont val="Calibri"/>
        <family val="2"/>
      </rPr>
      <t>872,74</t>
    </r>
  </si>
  <si>
    <r>
      <rPr>
        <sz val="8.5"/>
        <rFont val="Calibri"/>
        <family val="2"/>
      </rPr>
      <t>70.03.003</t>
    </r>
  </si>
  <si>
    <r>
      <rPr>
        <sz val="8.5"/>
        <rFont val="Calibri"/>
        <family val="2"/>
      </rPr>
      <t xml:space="preserve">Placa para sinalização viária em chapa de aço, totalmente refletiva com
</t>
    </r>
    <r>
      <rPr>
        <sz val="8.5"/>
        <rFont val="Calibri"/>
        <family val="2"/>
      </rPr>
      <t>película III/III - área até 2,0 m²</t>
    </r>
  </si>
  <si>
    <r>
      <rPr>
        <sz val="8.5"/>
        <rFont val="Calibri"/>
        <family val="2"/>
      </rPr>
      <t>900,62</t>
    </r>
  </si>
  <si>
    <r>
      <rPr>
        <sz val="8.5"/>
        <rFont val="Calibri"/>
        <family val="2"/>
      </rPr>
      <t>919,38</t>
    </r>
  </si>
  <si>
    <r>
      <rPr>
        <sz val="8.5"/>
        <rFont val="Calibri"/>
        <family val="2"/>
      </rPr>
      <t>70.03.006</t>
    </r>
  </si>
  <si>
    <r>
      <rPr>
        <sz val="8.5"/>
        <rFont val="Calibri"/>
        <family val="2"/>
      </rPr>
      <t xml:space="preserve">Placa para sinalização viária em chapa de alumínio, totalmente refletiva
</t>
    </r>
    <r>
      <rPr>
        <sz val="8.5"/>
        <rFont val="Calibri"/>
        <family val="2"/>
      </rPr>
      <t>com película IA/IA - área até 2,0 m²</t>
    </r>
  </si>
  <si>
    <r>
      <rPr>
        <sz val="8.5"/>
        <rFont val="Calibri"/>
        <family val="2"/>
      </rPr>
      <t>1.044,34</t>
    </r>
  </si>
  <si>
    <r>
      <rPr>
        <sz val="8.5"/>
        <rFont val="Calibri"/>
        <family val="2"/>
      </rPr>
      <t>1.063,10</t>
    </r>
  </si>
  <si>
    <r>
      <rPr>
        <sz val="8.5"/>
        <rFont val="Calibri"/>
        <family val="2"/>
      </rPr>
      <t>70.03.008</t>
    </r>
  </si>
  <si>
    <r>
      <rPr>
        <sz val="8.5"/>
        <rFont val="Calibri"/>
        <family val="2"/>
      </rPr>
      <t xml:space="preserve">Placa para sinalização viária em chapa de alumínio, totalmente refletiva
</t>
    </r>
    <r>
      <rPr>
        <sz val="8.5"/>
        <rFont val="Calibri"/>
        <family val="2"/>
      </rPr>
      <t>com película III/III - área até 2,0 m²</t>
    </r>
  </si>
  <si>
    <r>
      <rPr>
        <sz val="8.5"/>
        <rFont val="Calibri"/>
        <family val="2"/>
      </rPr>
      <t>1.102,31</t>
    </r>
  </si>
  <si>
    <r>
      <rPr>
        <sz val="8.5"/>
        <rFont val="Calibri"/>
        <family val="2"/>
      </rPr>
      <t>1.121,07</t>
    </r>
  </si>
  <si>
    <r>
      <rPr>
        <sz val="8.5"/>
        <rFont val="Calibri"/>
        <family val="2"/>
      </rPr>
      <t>70.03.009</t>
    </r>
  </si>
  <si>
    <r>
      <rPr>
        <sz val="8.5"/>
        <rFont val="Calibri"/>
        <family val="2"/>
      </rPr>
      <t xml:space="preserve">Placa para sinalização viária em chapa de alumínio, totalmente refletiva
</t>
    </r>
    <r>
      <rPr>
        <sz val="8.5"/>
        <rFont val="Calibri"/>
        <family val="2"/>
      </rPr>
      <t>com película III/III - área maior que 2,0 m²</t>
    </r>
  </si>
  <si>
    <r>
      <rPr>
        <sz val="8.5"/>
        <rFont val="Calibri"/>
        <family val="2"/>
      </rPr>
      <t>1.310,23</t>
    </r>
  </si>
  <si>
    <r>
      <rPr>
        <sz val="8.5"/>
        <rFont val="Calibri"/>
        <family val="2"/>
      </rPr>
      <t>1.328,99</t>
    </r>
  </si>
  <si>
    <r>
      <rPr>
        <sz val="8.5"/>
        <rFont val="Calibri"/>
        <family val="2"/>
      </rPr>
      <t>70.03.010</t>
    </r>
  </si>
  <si>
    <r>
      <rPr>
        <sz val="8.5"/>
        <rFont val="Calibri"/>
        <family val="2"/>
      </rPr>
      <t xml:space="preserve">Placa para sinalização viária em alumínio composto, totalmente refletiva
</t>
    </r>
    <r>
      <rPr>
        <sz val="8.5"/>
        <rFont val="Calibri"/>
        <family val="2"/>
      </rPr>
      <t>com película IA/IA - área até 2,0 m²</t>
    </r>
  </si>
  <si>
    <r>
      <rPr>
        <sz val="8.5"/>
        <rFont val="Calibri"/>
        <family val="2"/>
      </rPr>
      <t>837,87</t>
    </r>
  </si>
  <si>
    <r>
      <rPr>
        <sz val="8.5"/>
        <rFont val="Calibri"/>
        <family val="2"/>
      </rPr>
      <t>28,14</t>
    </r>
  </si>
  <si>
    <r>
      <rPr>
        <sz val="8.5"/>
        <rFont val="Calibri"/>
        <family val="2"/>
      </rPr>
      <t>866,01</t>
    </r>
  </si>
  <si>
    <r>
      <rPr>
        <sz val="8.5"/>
        <rFont val="Calibri"/>
        <family val="2"/>
      </rPr>
      <t>70.03.012</t>
    </r>
  </si>
  <si>
    <r>
      <rPr>
        <sz val="8.5"/>
        <rFont val="Calibri"/>
        <family val="2"/>
      </rPr>
      <t xml:space="preserve">Placa para sinalização viária em alumínio composto, totalmente refletiva
</t>
    </r>
    <r>
      <rPr>
        <sz val="8.5"/>
        <rFont val="Calibri"/>
        <family val="2"/>
      </rPr>
      <t>com película III/III - área até 2,0 m²</t>
    </r>
  </si>
  <si>
    <r>
      <rPr>
        <sz val="8.5"/>
        <rFont val="Calibri"/>
        <family val="2"/>
      </rPr>
      <t>902,90</t>
    </r>
  </si>
  <si>
    <r>
      <rPr>
        <sz val="8.5"/>
        <rFont val="Calibri"/>
        <family val="2"/>
      </rPr>
      <t>931,04</t>
    </r>
  </si>
  <si>
    <r>
      <rPr>
        <sz val="8.5"/>
        <rFont val="Calibri"/>
        <family val="2"/>
      </rPr>
      <t>70.03.013</t>
    </r>
  </si>
  <si>
    <r>
      <rPr>
        <sz val="8.5"/>
        <rFont val="Calibri"/>
        <family val="2"/>
      </rPr>
      <t xml:space="preserve">Placa para sinalização viária em alumínio composto, totalmente refletiva
</t>
    </r>
    <r>
      <rPr>
        <sz val="8.5"/>
        <rFont val="Calibri"/>
        <family val="2"/>
      </rPr>
      <t>com película III/III - área maior que 2,0 m²</t>
    </r>
  </si>
  <si>
    <r>
      <rPr>
        <sz val="8.5"/>
        <rFont val="Calibri"/>
        <family val="2"/>
      </rPr>
      <t>1.071,46</t>
    </r>
  </si>
  <si>
    <r>
      <rPr>
        <sz val="8.5"/>
        <rFont val="Calibri"/>
        <family val="2"/>
      </rPr>
      <t>1.099,60</t>
    </r>
  </si>
  <si>
    <r>
      <rPr>
        <sz val="8.5"/>
        <rFont val="Calibri"/>
        <family val="2"/>
      </rPr>
      <t>Coluna cônica</t>
    </r>
  </si>
  <si>
    <r>
      <rPr>
        <sz val="8.5"/>
        <rFont val="Calibri"/>
        <family val="2"/>
      </rPr>
      <t>70.04.001</t>
    </r>
  </si>
  <si>
    <r>
      <rPr>
        <sz val="8.5"/>
        <rFont val="Calibri"/>
        <family val="2"/>
      </rPr>
      <t>Coluna simples (PP), diâmetro de 2 1/2" e comprimento de 3,6 m</t>
    </r>
  </si>
  <si>
    <r>
      <rPr>
        <sz val="8.5"/>
        <rFont val="Calibri"/>
        <family val="2"/>
      </rPr>
      <t>1.052,86</t>
    </r>
  </si>
  <si>
    <r>
      <rPr>
        <sz val="8.5"/>
        <rFont val="Calibri"/>
        <family val="2"/>
      </rPr>
      <t>1.133,82</t>
    </r>
  </si>
  <si>
    <r>
      <rPr>
        <sz val="8.5"/>
        <rFont val="Calibri"/>
        <family val="2"/>
      </rPr>
      <t>70.04.002</t>
    </r>
  </si>
  <si>
    <r>
      <rPr>
        <sz val="8.5"/>
        <rFont val="Calibri"/>
        <family val="2"/>
      </rPr>
      <t>Coluna simples (P-51), para fixação de placa de orientação</t>
    </r>
  </si>
  <si>
    <r>
      <rPr>
        <sz val="8.5"/>
        <rFont val="Calibri"/>
        <family val="2"/>
      </rPr>
      <t>2.534,29</t>
    </r>
  </si>
  <si>
    <r>
      <rPr>
        <sz val="8.5"/>
        <rFont val="Calibri"/>
        <family val="2"/>
      </rPr>
      <t>2.615,25</t>
    </r>
  </si>
  <si>
    <r>
      <rPr>
        <sz val="8.5"/>
        <rFont val="Calibri"/>
        <family val="2"/>
      </rPr>
      <t>70.04.003</t>
    </r>
  </si>
  <si>
    <r>
      <rPr>
        <sz val="8.5"/>
        <rFont val="Calibri"/>
        <family val="2"/>
      </rPr>
      <t>Coluna dupla (P-53) para fixação de placa de orientação</t>
    </r>
  </si>
  <si>
    <r>
      <rPr>
        <sz val="8.5"/>
        <rFont val="Calibri"/>
        <family val="2"/>
      </rPr>
      <t>3.834,04</t>
    </r>
  </si>
  <si>
    <r>
      <rPr>
        <sz val="8.5"/>
        <rFont val="Calibri"/>
        <family val="2"/>
      </rPr>
      <t>138,57</t>
    </r>
  </si>
  <si>
    <r>
      <rPr>
        <sz val="8.5"/>
        <rFont val="Calibri"/>
        <family val="2"/>
      </rPr>
      <t>3.972,61</t>
    </r>
  </si>
  <si>
    <r>
      <rPr>
        <sz val="8.5"/>
        <rFont val="Calibri"/>
        <family val="2"/>
      </rPr>
      <t>70.04.004</t>
    </r>
  </si>
  <si>
    <r>
      <rPr>
        <sz val="8.5"/>
        <rFont val="Calibri"/>
        <family val="2"/>
      </rPr>
      <t>Coluna (P-57) para fixação de placa de orientação, com braço projetado</t>
    </r>
  </si>
  <si>
    <r>
      <rPr>
        <sz val="8.5"/>
        <rFont val="Calibri"/>
        <family val="2"/>
      </rPr>
      <t>3.182,24</t>
    </r>
  </si>
  <si>
    <r>
      <rPr>
        <sz val="8.5"/>
        <rFont val="Calibri"/>
        <family val="2"/>
      </rPr>
      <t>3.263,20</t>
    </r>
  </si>
  <si>
    <r>
      <rPr>
        <sz val="8.5"/>
        <rFont val="Calibri"/>
        <family val="2"/>
      </rPr>
      <t>70.04.005</t>
    </r>
  </si>
  <si>
    <r>
      <rPr>
        <sz val="8.5"/>
        <rFont val="Calibri"/>
        <family val="2"/>
      </rPr>
      <t>Braço (P-55) para fixação em poste de concreto</t>
    </r>
  </si>
  <si>
    <r>
      <rPr>
        <sz val="8.5"/>
        <rFont val="Calibri"/>
        <family val="2"/>
      </rPr>
      <t>1.920,74</t>
    </r>
  </si>
  <si>
    <r>
      <rPr>
        <sz val="8.5"/>
        <rFont val="Calibri"/>
        <family val="2"/>
      </rPr>
      <t>1.971,65</t>
    </r>
  </si>
  <si>
    <r>
      <rPr>
        <sz val="8.5"/>
        <rFont val="Calibri"/>
        <family val="2"/>
      </rPr>
      <t>70.04.006</t>
    </r>
  </si>
  <si>
    <r>
      <rPr>
        <sz val="8.5"/>
        <rFont val="Calibri"/>
        <family val="2"/>
      </rPr>
      <t>Coluna dupla (PP), diâmetro de 2 x 2 1/2' e comprimento de 3,6 m</t>
    </r>
  </si>
  <si>
    <r>
      <rPr>
        <sz val="8.5"/>
        <rFont val="Calibri"/>
        <family val="2"/>
      </rPr>
      <t>1.790,98</t>
    </r>
  </si>
  <si>
    <r>
      <rPr>
        <sz val="8.5"/>
        <rFont val="Calibri"/>
        <family val="2"/>
      </rPr>
      <t>1.871,94</t>
    </r>
  </si>
  <si>
    <r>
      <rPr>
        <sz val="8.5"/>
        <rFont val="Calibri"/>
        <family val="2"/>
      </rPr>
      <t>70.04.007</t>
    </r>
  </si>
  <si>
    <r>
      <rPr>
        <sz val="8.5"/>
        <rFont val="Calibri"/>
        <family val="2"/>
      </rPr>
      <t>Coluna semafórica simples 101 mm x 6 m</t>
    </r>
  </si>
  <si>
    <r>
      <rPr>
        <sz val="8.5"/>
        <rFont val="Calibri"/>
        <family val="2"/>
      </rPr>
      <t>2.394,50</t>
    </r>
  </si>
  <si>
    <r>
      <rPr>
        <sz val="8.5"/>
        <rFont val="Calibri"/>
        <family val="2"/>
      </rPr>
      <t>2.475,46</t>
    </r>
  </si>
  <si>
    <r>
      <rPr>
        <sz val="8.5"/>
        <rFont val="Calibri"/>
        <family val="2"/>
      </rPr>
      <t>Sinalizacao semaforica e complementar</t>
    </r>
  </si>
  <si>
    <r>
      <rPr>
        <sz val="8.5"/>
        <rFont val="Calibri"/>
        <family val="2"/>
      </rPr>
      <t>70.05.001</t>
    </r>
  </si>
  <si>
    <r>
      <rPr>
        <sz val="8.5"/>
        <rFont val="Calibri"/>
        <family val="2"/>
      </rPr>
      <t>Botoeira convencional para pedestre</t>
    </r>
  </si>
  <si>
    <r>
      <rPr>
        <sz val="8.5"/>
        <rFont val="Calibri"/>
        <family val="2"/>
      </rPr>
      <t>17,33</t>
    </r>
  </si>
  <si>
    <r>
      <rPr>
        <sz val="8.5"/>
        <rFont val="Calibri"/>
        <family val="2"/>
      </rPr>
      <t>347,33</t>
    </r>
  </si>
  <si>
    <r>
      <rPr>
        <sz val="8.5"/>
        <rFont val="Calibri"/>
        <family val="2"/>
      </rPr>
      <t>70.05.002</t>
    </r>
  </si>
  <si>
    <r>
      <rPr>
        <sz val="8.5"/>
        <rFont val="Calibri"/>
        <family val="2"/>
      </rPr>
      <t>Botoeira sonora para deficientes visuais</t>
    </r>
  </si>
  <si>
    <r>
      <rPr>
        <sz val="8.5"/>
        <rFont val="Calibri"/>
        <family val="2"/>
      </rPr>
      <t>3.283,16</t>
    </r>
  </si>
  <si>
    <r>
      <rPr>
        <sz val="8.5"/>
        <rFont val="Calibri"/>
        <family val="2"/>
      </rPr>
      <t>3.321,67</t>
    </r>
  </si>
  <si>
    <r>
      <rPr>
        <sz val="8.5"/>
        <rFont val="Calibri"/>
        <family val="2"/>
      </rPr>
      <t>70.05.006</t>
    </r>
  </si>
  <si>
    <r>
      <rPr>
        <sz val="8.5"/>
        <rFont val="Calibri"/>
        <family val="2"/>
      </rPr>
      <t>Luminária LED 20W com braço, para travessia de pedestre</t>
    </r>
  </si>
  <si>
    <r>
      <rPr>
        <sz val="8.5"/>
        <rFont val="Calibri"/>
        <family val="2"/>
      </rPr>
      <t>1.215,81</t>
    </r>
  </si>
  <si>
    <r>
      <rPr>
        <sz val="8.5"/>
        <rFont val="Calibri"/>
        <family val="2"/>
      </rPr>
      <t>1.241,27</t>
    </r>
  </si>
  <si>
    <r>
      <rPr>
        <sz val="8.5"/>
        <rFont val="Calibri"/>
        <family val="2"/>
      </rPr>
      <t>70.05.011</t>
    </r>
  </si>
  <si>
    <r>
      <rPr>
        <sz val="8.5"/>
        <rFont val="Calibri"/>
        <family val="2"/>
      </rPr>
      <t>Grupo focal para pedestre com lâmpada LED e contador regressivo</t>
    </r>
  </si>
  <si>
    <r>
      <rPr>
        <sz val="8.5"/>
        <rFont val="Calibri"/>
        <family val="2"/>
      </rPr>
      <t>1.886,67</t>
    </r>
  </si>
  <si>
    <r>
      <rPr>
        <sz val="8.5"/>
        <rFont val="Calibri"/>
        <family val="2"/>
      </rPr>
      <t>436,50</t>
    </r>
  </si>
  <si>
    <r>
      <rPr>
        <sz val="8.5"/>
        <rFont val="Calibri"/>
        <family val="2"/>
      </rPr>
      <t>2.323,17</t>
    </r>
  </si>
  <si>
    <r>
      <rPr>
        <sz val="8.5"/>
        <rFont val="Calibri"/>
        <family val="2"/>
      </rPr>
      <t>70.05.020</t>
    </r>
  </si>
  <si>
    <r>
      <rPr>
        <sz val="8.5"/>
        <rFont val="Calibri"/>
        <family val="2"/>
      </rPr>
      <t xml:space="preserve">Grupo focal veicular com lâmpada LED, com anteparo e suportes de
</t>
    </r>
    <r>
      <rPr>
        <sz val="8.5"/>
        <rFont val="Calibri"/>
        <family val="2"/>
      </rPr>
      <t>fixação</t>
    </r>
  </si>
  <si>
    <r>
      <rPr>
        <sz val="8.5"/>
        <rFont val="Calibri"/>
        <family val="2"/>
      </rPr>
      <t>5.376,89</t>
    </r>
  </si>
  <si>
    <r>
      <rPr>
        <sz val="8.5"/>
        <rFont val="Calibri"/>
        <family val="2"/>
      </rPr>
      <t>509,28</t>
    </r>
  </si>
  <si>
    <r>
      <rPr>
        <sz val="8.5"/>
        <rFont val="Calibri"/>
        <family val="2"/>
      </rPr>
      <t>5.886,17</t>
    </r>
  </si>
  <si>
    <r>
      <rPr>
        <sz val="8.5"/>
        <rFont val="Calibri"/>
        <family val="2"/>
      </rPr>
      <t>Tachas e tachoes</t>
    </r>
  </si>
  <si>
    <r>
      <rPr>
        <sz val="8.5"/>
        <rFont val="Calibri"/>
        <family val="2"/>
      </rPr>
      <t>70.06.001</t>
    </r>
  </si>
  <si>
    <r>
      <rPr>
        <sz val="8.5"/>
        <rFont val="Calibri"/>
        <family val="2"/>
      </rPr>
      <t>Segregador (bate rodas) refletivo</t>
    </r>
  </si>
  <si>
    <r>
      <rPr>
        <sz val="8.5"/>
        <rFont val="Calibri"/>
        <family val="2"/>
      </rPr>
      <t>74,97</t>
    </r>
  </si>
  <si>
    <r>
      <rPr>
        <sz val="8.5"/>
        <rFont val="Calibri"/>
        <family val="2"/>
      </rPr>
      <t>83,32</t>
    </r>
  </si>
  <si>
    <r>
      <rPr>
        <sz val="8.5"/>
        <rFont val="Calibri"/>
        <family val="2"/>
      </rPr>
      <t>70.06.010</t>
    </r>
  </si>
  <si>
    <r>
      <rPr>
        <sz val="8.5"/>
        <rFont val="Calibri"/>
        <family val="2"/>
      </rPr>
      <t>Tacha refletiva de vidro temperado</t>
    </r>
  </si>
  <si>
    <r>
      <rPr>
        <sz val="8.5"/>
        <rFont val="Calibri"/>
        <family val="2"/>
      </rPr>
      <t>21,28</t>
    </r>
  </si>
  <si>
    <r>
      <rPr>
        <sz val="8.5"/>
        <rFont val="Calibri"/>
        <family val="2"/>
      </rPr>
      <t>6,26</t>
    </r>
  </si>
  <si>
    <r>
      <rPr>
        <sz val="8.5"/>
        <rFont val="Calibri"/>
        <family val="2"/>
      </rPr>
      <t>27,54</t>
    </r>
  </si>
  <si>
    <r>
      <rPr>
        <sz val="8.5"/>
        <rFont val="Calibri"/>
        <family val="2"/>
      </rPr>
      <t>70.06.011</t>
    </r>
  </si>
  <si>
    <r>
      <rPr>
        <sz val="8.5"/>
        <rFont val="Calibri"/>
        <family val="2"/>
      </rPr>
      <t>Tacha tipo I bidirecional refletiva</t>
    </r>
  </si>
  <si>
    <r>
      <rPr>
        <sz val="8.5"/>
        <rFont val="Calibri"/>
        <family val="2"/>
      </rPr>
      <t>70.06.012</t>
    </r>
  </si>
  <si>
    <r>
      <rPr>
        <sz val="8.5"/>
        <rFont val="Calibri"/>
        <family val="2"/>
      </rPr>
      <t>Tacha tipo I monodirecional refletiva</t>
    </r>
  </si>
  <si>
    <r>
      <rPr>
        <sz val="8.5"/>
        <rFont val="Calibri"/>
        <family val="2"/>
      </rPr>
      <t>10,09</t>
    </r>
  </si>
  <si>
    <r>
      <rPr>
        <sz val="8.5"/>
        <rFont val="Calibri"/>
        <family val="2"/>
      </rPr>
      <t>70.06.013</t>
    </r>
  </si>
  <si>
    <r>
      <rPr>
        <sz val="8.5"/>
        <rFont val="Calibri"/>
        <family val="2"/>
      </rPr>
      <t>Tacha tipo II bidirecional refletiva</t>
    </r>
  </si>
  <si>
    <r>
      <rPr>
        <sz val="8.5"/>
        <rFont val="Calibri"/>
        <family val="2"/>
      </rPr>
      <t>15,55</t>
    </r>
  </si>
  <si>
    <r>
      <rPr>
        <sz val="8.5"/>
        <rFont val="Calibri"/>
        <family val="2"/>
      </rPr>
      <t>21,81</t>
    </r>
  </si>
  <si>
    <r>
      <rPr>
        <sz val="8.5"/>
        <rFont val="Calibri"/>
        <family val="2"/>
      </rPr>
      <t>70.06.014</t>
    </r>
  </si>
  <si>
    <r>
      <rPr>
        <sz val="8.5"/>
        <rFont val="Calibri"/>
        <family val="2"/>
      </rPr>
      <t>Tacha tipo II monodirecional refletiva</t>
    </r>
  </si>
  <si>
    <r>
      <rPr>
        <sz val="8.5"/>
        <rFont val="Calibri"/>
        <family val="2"/>
      </rPr>
      <t>12,13</t>
    </r>
  </si>
  <si>
    <r>
      <rPr>
        <sz val="8.5"/>
        <rFont val="Calibri"/>
        <family val="2"/>
      </rPr>
      <t>18,39</t>
    </r>
  </si>
  <si>
    <r>
      <rPr>
        <sz val="8.5"/>
        <rFont val="Calibri"/>
        <family val="2"/>
      </rPr>
      <t>70.06.020</t>
    </r>
  </si>
  <si>
    <r>
      <rPr>
        <sz val="8.5"/>
        <rFont val="Calibri"/>
        <family val="2"/>
      </rPr>
      <t>Tachão tipo I bidirecional refletivo</t>
    </r>
  </si>
  <si>
    <r>
      <rPr>
        <sz val="8.5"/>
        <rFont val="Calibri"/>
        <family val="2"/>
      </rPr>
      <t>33,07</t>
    </r>
  </si>
  <si>
    <r>
      <rPr>
        <sz val="8.5"/>
        <rFont val="Calibri"/>
        <family val="2"/>
      </rPr>
      <t>6,98</t>
    </r>
  </si>
  <si>
    <r>
      <rPr>
        <sz val="8.5"/>
        <rFont val="Calibri"/>
        <family val="2"/>
      </rPr>
      <t>40,05</t>
    </r>
  </si>
  <si>
    <r>
      <rPr>
        <sz val="8.5"/>
        <rFont val="Calibri"/>
        <family val="2"/>
      </rPr>
      <t>70.06.021</t>
    </r>
  </si>
  <si>
    <r>
      <rPr>
        <sz val="8.5"/>
        <rFont val="Calibri"/>
        <family val="2"/>
      </rPr>
      <t>Tachão tipo I monodirecional refletivo</t>
    </r>
  </si>
  <si>
    <r>
      <rPr>
        <sz val="8.5"/>
        <rFont val="Calibri"/>
        <family val="2"/>
      </rPr>
      <t>29,54</t>
    </r>
  </si>
  <si>
    <r>
      <rPr>
        <sz val="8.5"/>
        <rFont val="Calibri"/>
        <family val="2"/>
      </rPr>
      <t>SINALIZACAO E COMUNICACAO VISUAL</t>
    </r>
  </si>
  <si>
    <r>
      <rPr>
        <sz val="8.5"/>
        <rFont val="Calibri"/>
        <family val="2"/>
      </rPr>
      <t>Placas, porticos e obeliscos arquitetônicos</t>
    </r>
  </si>
  <si>
    <r>
      <rPr>
        <sz val="8.5"/>
        <rFont val="Calibri"/>
        <family val="2"/>
      </rPr>
      <t>97.02.030</t>
    </r>
  </si>
  <si>
    <r>
      <rPr>
        <sz val="8.5"/>
        <rFont val="Calibri"/>
        <family val="2"/>
      </rPr>
      <t>Placa comemorativa em aço inoxidável escovado</t>
    </r>
  </si>
  <si>
    <r>
      <rPr>
        <sz val="8.5"/>
        <rFont val="Calibri"/>
        <family val="2"/>
      </rPr>
      <t>7.878,26</t>
    </r>
  </si>
  <si>
    <r>
      <rPr>
        <sz val="8.5"/>
        <rFont val="Calibri"/>
        <family val="2"/>
      </rPr>
      <t>7.942,58</t>
    </r>
  </si>
  <si>
    <r>
      <rPr>
        <sz val="8.5"/>
        <rFont val="Calibri"/>
        <family val="2"/>
      </rPr>
      <t>97.02.036</t>
    </r>
  </si>
  <si>
    <r>
      <rPr>
        <sz val="8.5"/>
        <rFont val="Calibri"/>
        <family val="2"/>
      </rPr>
      <t>Placa de identificação em PVC com texto em vinil</t>
    </r>
  </si>
  <si>
    <r>
      <rPr>
        <sz val="8.5"/>
        <rFont val="Calibri"/>
        <family val="2"/>
      </rPr>
      <t>291,96</t>
    </r>
  </si>
  <si>
    <r>
      <rPr>
        <sz val="8.5"/>
        <rFont val="Calibri"/>
        <family val="2"/>
      </rPr>
      <t>356,28</t>
    </r>
  </si>
  <si>
    <r>
      <rPr>
        <sz val="8.5"/>
        <rFont val="Calibri"/>
        <family val="2"/>
      </rPr>
      <t>97.02.190</t>
    </r>
  </si>
  <si>
    <r>
      <rPr>
        <sz val="8.5"/>
        <rFont val="Calibri"/>
        <family val="2"/>
      </rPr>
      <t>Placa de identificação em acrílico com texto em vinil</t>
    </r>
  </si>
  <si>
    <r>
      <rPr>
        <sz val="8.5"/>
        <rFont val="Calibri"/>
        <family val="2"/>
      </rPr>
      <t>1.888,21</t>
    </r>
  </si>
  <si>
    <r>
      <rPr>
        <sz val="8.5"/>
        <rFont val="Calibri"/>
        <family val="2"/>
      </rPr>
      <t>1.952,53</t>
    </r>
  </si>
  <si>
    <r>
      <rPr>
        <sz val="8.5"/>
        <rFont val="Calibri"/>
        <family val="2"/>
      </rPr>
      <t>97.02.193</t>
    </r>
  </si>
  <si>
    <r>
      <rPr>
        <sz val="8.5"/>
        <rFont val="Calibri"/>
        <family val="2"/>
      </rPr>
      <t>Placa de sinalização em PVC fotoluminescente (200x200mm), com indicação de equipamentos de alarme, detecção e extinção de incêndio</t>
    </r>
  </si>
  <si>
    <r>
      <rPr>
        <sz val="8.5"/>
        <rFont val="Calibri"/>
        <family val="2"/>
      </rPr>
      <t>97.02.194</t>
    </r>
  </si>
  <si>
    <r>
      <rPr>
        <sz val="8.5"/>
        <rFont val="Calibri"/>
        <family val="2"/>
      </rPr>
      <t>Placa de sinalização em PVC fotoluminescente (150x150mm), com indicação de equipamentos de combate à incêndio e alarme</t>
    </r>
  </si>
  <si>
    <r>
      <rPr>
        <sz val="8.5"/>
        <rFont val="Calibri"/>
        <family val="2"/>
      </rPr>
      <t>5,88</t>
    </r>
  </si>
  <si>
    <r>
      <rPr>
        <sz val="8.5"/>
        <rFont val="Calibri"/>
        <family val="2"/>
      </rPr>
      <t>10,54</t>
    </r>
  </si>
  <si>
    <r>
      <rPr>
        <sz val="8.5"/>
        <rFont val="Calibri"/>
        <family val="2"/>
      </rPr>
      <t>97.02.195</t>
    </r>
  </si>
  <si>
    <r>
      <rPr>
        <sz val="8.5"/>
        <rFont val="Calibri"/>
        <family val="2"/>
      </rPr>
      <t xml:space="preserve">Placa de sinalização em PVC fotoluminescente (240x120mm), com
</t>
    </r>
    <r>
      <rPr>
        <sz val="8.5"/>
        <rFont val="Calibri"/>
        <family val="2"/>
      </rPr>
      <t>indicação de rota de evacuação e saída de emergência</t>
    </r>
  </si>
  <si>
    <r>
      <rPr>
        <sz val="8.5"/>
        <rFont val="Calibri"/>
        <family val="2"/>
      </rPr>
      <t>6,32</t>
    </r>
  </si>
  <si>
    <r>
      <rPr>
        <sz val="8.5"/>
        <rFont val="Calibri"/>
        <family val="2"/>
      </rPr>
      <t>97.02.196</t>
    </r>
  </si>
  <si>
    <r>
      <rPr>
        <sz val="8.5"/>
        <rFont val="Calibri"/>
        <family val="2"/>
      </rPr>
      <t xml:space="preserve">Placa de sinalização em PVC fotoluminescente, com identificação de
</t>
    </r>
    <r>
      <rPr>
        <sz val="8.5"/>
        <rFont val="Calibri"/>
        <family val="2"/>
      </rPr>
      <t>pavimentos</t>
    </r>
  </si>
  <si>
    <r>
      <rPr>
        <sz val="8.5"/>
        <rFont val="Calibri"/>
        <family val="2"/>
      </rPr>
      <t>97.02.197</t>
    </r>
  </si>
  <si>
    <r>
      <rPr>
        <sz val="8.5"/>
        <rFont val="Calibri"/>
        <family val="2"/>
      </rPr>
      <t>Placa de sinalização em PVC, com indicação de alerta</t>
    </r>
  </si>
  <si>
    <r>
      <rPr>
        <sz val="8.5"/>
        <rFont val="Calibri"/>
        <family val="2"/>
      </rPr>
      <t>11,57</t>
    </r>
  </si>
  <si>
    <r>
      <rPr>
        <sz val="8.5"/>
        <rFont val="Calibri"/>
        <family val="2"/>
      </rPr>
      <t>97.02.198</t>
    </r>
  </si>
  <si>
    <r>
      <rPr>
        <sz val="8.5"/>
        <rFont val="Calibri"/>
        <family val="2"/>
      </rPr>
      <t>Placa de sinalização em PVC, com indicação de proibição normativa</t>
    </r>
  </si>
  <si>
    <r>
      <rPr>
        <sz val="8.5"/>
        <rFont val="Calibri"/>
        <family val="2"/>
      </rPr>
      <t>5,86</t>
    </r>
  </si>
  <si>
    <r>
      <rPr>
        <sz val="8.5"/>
        <rFont val="Calibri"/>
        <family val="2"/>
      </rPr>
      <t>10,52</t>
    </r>
  </si>
  <si>
    <r>
      <rPr>
        <sz val="8.5"/>
        <rFont val="Calibri"/>
        <family val="2"/>
      </rPr>
      <t>97.02.210</t>
    </r>
  </si>
  <si>
    <r>
      <rPr>
        <sz val="8.5"/>
        <rFont val="Calibri"/>
        <family val="2"/>
      </rPr>
      <t>Placa de sinalização em PVC para ambientes</t>
    </r>
  </si>
  <si>
    <r>
      <rPr>
        <sz val="8.5"/>
        <rFont val="Calibri"/>
        <family val="2"/>
      </rPr>
      <t>177,02</t>
    </r>
  </si>
  <si>
    <r>
      <rPr>
        <sz val="8.5"/>
        <rFont val="Calibri"/>
        <family val="2"/>
      </rPr>
      <t>Pintura de letras e pictogramas</t>
    </r>
  </si>
  <si>
    <r>
      <rPr>
        <sz val="8.5"/>
        <rFont val="Calibri"/>
        <family val="2"/>
      </rPr>
      <t>97.03.010</t>
    </r>
  </si>
  <si>
    <r>
      <rPr>
        <sz val="8.5"/>
        <rFont val="Calibri"/>
        <family val="2"/>
      </rPr>
      <t>Sinalização com pictograma em tinta acrílica</t>
    </r>
  </si>
  <si>
    <r>
      <rPr>
        <sz val="8.5"/>
        <rFont val="Calibri"/>
        <family val="2"/>
      </rPr>
      <t>49,34</t>
    </r>
  </si>
  <si>
    <r>
      <rPr>
        <sz val="8.5"/>
        <rFont val="Calibri"/>
        <family val="2"/>
      </rPr>
      <t>Placas, porticos e sinalizacao viaria</t>
    </r>
  </si>
  <si>
    <r>
      <rPr>
        <sz val="8.5"/>
        <rFont val="Calibri"/>
        <family val="2"/>
      </rPr>
      <t>97.05.070</t>
    </r>
  </si>
  <si>
    <r>
      <rPr>
        <sz val="8.5"/>
        <rFont val="Calibri"/>
        <family val="2"/>
      </rPr>
      <t>Manta de borracha para sinalização em estacionamento e proteção de coluna e parede, de 1000 x 750 mm e espessura 10 mm</t>
    </r>
  </si>
  <si>
    <r>
      <rPr>
        <sz val="8.5"/>
        <rFont val="Calibri"/>
        <family val="2"/>
      </rPr>
      <t>108,37</t>
    </r>
  </si>
  <si>
    <r>
      <rPr>
        <sz val="8.5"/>
        <rFont val="Calibri"/>
        <family val="2"/>
      </rPr>
      <t>97.05.080</t>
    </r>
  </si>
  <si>
    <r>
      <rPr>
        <sz val="8.5"/>
        <rFont val="Calibri"/>
        <family val="2"/>
      </rPr>
      <t xml:space="preserve">Cantoneira de borracha para sinalização em estacionamento e proteção
</t>
    </r>
    <r>
      <rPr>
        <sz val="8.5"/>
        <rFont val="Calibri"/>
        <family val="2"/>
      </rPr>
      <t>de coluna, de 750 x 100 x 100 mm e espessura 10 mm</t>
    </r>
  </si>
  <si>
    <r>
      <rPr>
        <sz val="8.5"/>
        <rFont val="Calibri"/>
        <family val="2"/>
      </rPr>
      <t>33,31</t>
    </r>
  </si>
  <si>
    <r>
      <rPr>
        <sz val="8.5"/>
        <rFont val="Calibri"/>
        <family val="2"/>
      </rPr>
      <t>34,44</t>
    </r>
  </si>
  <si>
    <r>
      <rPr>
        <sz val="8.5"/>
        <rFont val="Calibri"/>
        <family val="2"/>
      </rPr>
      <t>97.05.130</t>
    </r>
  </si>
  <si>
    <r>
      <rPr>
        <sz val="8.5"/>
        <rFont val="Calibri"/>
        <family val="2"/>
      </rPr>
      <t>Colocação de placa em suporte de madeira / metálico - solo</t>
    </r>
  </si>
  <si>
    <r>
      <rPr>
        <sz val="8.5"/>
        <rFont val="Calibri"/>
        <family val="2"/>
      </rPr>
      <t>51,21</t>
    </r>
  </si>
  <si>
    <r>
      <rPr>
        <sz val="8.5"/>
        <rFont val="Calibri"/>
        <family val="2"/>
      </rPr>
      <t>97.05.140</t>
    </r>
  </si>
  <si>
    <r>
      <rPr>
        <sz val="8.5"/>
        <rFont val="Calibri"/>
        <family val="2"/>
      </rPr>
      <t>Suporte de perfil metálico galvanizado</t>
    </r>
  </si>
  <si>
    <r>
      <rPr>
        <sz val="8.5"/>
        <rFont val="Calibri"/>
        <family val="2"/>
      </rPr>
      <t>20,87</t>
    </r>
  </si>
  <si>
    <r>
      <rPr>
        <sz val="8.5"/>
        <rFont val="Calibri"/>
        <family val="2"/>
      </rPr>
      <t>ARQUITETURA DE INTERIORES</t>
    </r>
  </si>
  <si>
    <r>
      <rPr>
        <sz val="8.5"/>
        <rFont val="Calibri"/>
        <family val="2"/>
      </rPr>
      <t>Mobiliario</t>
    </r>
  </si>
  <si>
    <r>
      <rPr>
        <sz val="8.5"/>
        <rFont val="Calibri"/>
        <family val="2"/>
      </rPr>
      <t>98.02.210</t>
    </r>
  </si>
  <si>
    <r>
      <rPr>
        <sz val="8.5"/>
        <rFont val="Calibri"/>
        <family val="2"/>
      </rPr>
      <t>Banco de madeira com encosto e pés em ferro fundido pintado</t>
    </r>
  </si>
  <si>
    <r>
      <rPr>
        <sz val="8.5"/>
        <rFont val="Calibri"/>
        <family val="2"/>
      </rPr>
      <t>591,48</t>
    </r>
  </si>
  <si>
    <t>02.08.020</t>
  </si>
  <si>
    <r>
      <t>Cálculo do BDI - COM DESONERAÇÃO</t>
    </r>
    <r>
      <rPr>
        <b/>
        <sz val="13"/>
        <rFont val="Arial"/>
        <family val="2"/>
      </rPr>
      <t xml:space="preserve">
</t>
    </r>
    <r>
      <rPr>
        <sz val="12"/>
        <rFont val="Arial"/>
        <family val="2"/>
      </rPr>
      <t>Fórmula e parâmetros estabelecidos pelo Acórdão 2622/2013-TCU-Plenário</t>
    </r>
  </si>
  <si>
    <r>
      <rPr>
        <b/>
        <sz val="14"/>
        <rFont val="Arial"/>
        <family val="2"/>
      </rPr>
      <t>←</t>
    </r>
    <r>
      <rPr>
        <b/>
        <sz val="10"/>
        <rFont val="Arial"/>
        <family val="2"/>
      </rPr>
      <t xml:space="preserve">  limite 19,60% a 24,23% (com desoneração)</t>
    </r>
  </si>
  <si>
    <t>BDI A SER ADOTADO (com desoneração)</t>
  </si>
  <si>
    <t>49.06.020</t>
  </si>
  <si>
    <t>3.4</t>
  </si>
  <si>
    <t>5.0</t>
  </si>
  <si>
    <t>5.1</t>
  </si>
  <si>
    <t>5.2</t>
  </si>
  <si>
    <t>11.18.060</t>
  </si>
  <si>
    <t>11.16.020</t>
  </si>
  <si>
    <t>11.01.160</t>
  </si>
  <si>
    <t>11.01.130</t>
  </si>
  <si>
    <t>54.04.340</t>
  </si>
  <si>
    <t>02.09.030</t>
  </si>
  <si>
    <t>04.40.050</t>
  </si>
  <si>
    <t>04.40.010</t>
  </si>
  <si>
    <t>6.0</t>
  </si>
  <si>
    <t>6.1</t>
  </si>
  <si>
    <t>6.2</t>
  </si>
  <si>
    <t>6.3</t>
  </si>
  <si>
    <t>6.4</t>
  </si>
  <si>
    <t>1º MÊS</t>
  </si>
  <si>
    <t>2º MÊS</t>
  </si>
  <si>
    <t>3º MÊS</t>
  </si>
  <si>
    <t>Verificar!</t>
  </si>
  <si>
    <t>Un</t>
  </si>
  <si>
    <t>01</t>
  </si>
  <si>
    <t>SERVICO TECNICO ESPECIALIZADO</t>
  </si>
  <si>
    <t>01.02</t>
  </si>
  <si>
    <t>Parecer técnico</t>
  </si>
  <si>
    <t>01.02.071</t>
  </si>
  <si>
    <t>Parecer técnico de fundações, contenções e recomendações gerais, para empreendimentos com área construída até 1.000 m²</t>
  </si>
  <si>
    <t>UN</t>
  </si>
  <si>
    <t>01.02.081</t>
  </si>
  <si>
    <t>Parecer técnico de fundações, contenções e recomendações gerais, para empreendimentos com área construída de 1.001 a 2.000 m²</t>
  </si>
  <si>
    <t>01.02.091</t>
  </si>
  <si>
    <t>Parecer técnico de fundações, contenções e recomendações gerais, para empreendimentos com área construída de 2.001 a 5.000 m²</t>
  </si>
  <si>
    <t>01.02.101</t>
  </si>
  <si>
    <t>Parecer técnico de fundações, contenções e recomendações gerais, para empreendimentos com área construída de 5.001 a 10.000 m²</t>
  </si>
  <si>
    <t>01.02.111</t>
  </si>
  <si>
    <t>Parecer técnico de fundações, contenções e recomendações gerais, para empreendimentos com área construída acima de 10.000 m²</t>
  </si>
  <si>
    <t>01.06</t>
  </si>
  <si>
    <t>Projeto de instalações elétricas</t>
  </si>
  <si>
    <t>01.06.021</t>
  </si>
  <si>
    <t>Elaboração de projeto de adequação de entrada de energia elétrica junto a concessionária, com medição em baixa tensão e demanda até 75 kVA</t>
  </si>
  <si>
    <t>01.06.031</t>
  </si>
  <si>
    <t>Elaboração de projeto de adequação de entrada de energia elétrica junto a concessionária, com medição em média tensão, subestação simplificada e demanda de 75 kVA a 300 kVA</t>
  </si>
  <si>
    <t>01.06.032</t>
  </si>
  <si>
    <t>Elaboração de projeto de adequação de entrada de energia elétrica junto a concessionária, com medição em média tensão e demanda de 75 kVA a 300 kVA</t>
  </si>
  <si>
    <t>01.06.041</t>
  </si>
  <si>
    <t>Elaboração de projeto de adequação de entrada de energia elétrica junto a concessionária, com medição em média tensão e demanda acima de 300 kVA a 2 MVA</t>
  </si>
  <si>
    <t>01.17</t>
  </si>
  <si>
    <t>Projeto executivo</t>
  </si>
  <si>
    <t>01.17.031</t>
  </si>
  <si>
    <t>Projeto executivo de arquitetura em formato A1</t>
  </si>
  <si>
    <t>01.17.041</t>
  </si>
  <si>
    <t>Projeto executivo de arquitetura em formato A0</t>
  </si>
  <si>
    <t>01.17.051</t>
  </si>
  <si>
    <t>Projeto executivo de estrutura em formato A1</t>
  </si>
  <si>
    <t>01.17.061</t>
  </si>
  <si>
    <t>Projeto executivo de estrutura em formato A0</t>
  </si>
  <si>
    <t>01.17.071</t>
  </si>
  <si>
    <t>Projeto executivo de instalações hidráulicas em formato A1</t>
  </si>
  <si>
    <t>01.17.081</t>
  </si>
  <si>
    <t>Projeto executivo de instalações hidráulicas em formato A0</t>
  </si>
  <si>
    <t>01.17.111</t>
  </si>
  <si>
    <t>Projeto executivo de instalações elétricas em formato A1</t>
  </si>
  <si>
    <t>01.17.121</t>
  </si>
  <si>
    <t>Projeto executivo de instalações elétricas em formato A0</t>
  </si>
  <si>
    <t>01.17.151</t>
  </si>
  <si>
    <t>Projeto executivo de climatização em formato A1</t>
  </si>
  <si>
    <t>01.17.161</t>
  </si>
  <si>
    <t>Projeto executivo de climatização em formato A0</t>
  </si>
  <si>
    <t>01.17.171</t>
  </si>
  <si>
    <t>Projeto executivo de chuveiros automáticos em formato A1</t>
  </si>
  <si>
    <t>01.17.181</t>
  </si>
  <si>
    <t>Projeto executivo de chuveiros automáticos em formato A0</t>
  </si>
  <si>
    <t>01.20</t>
  </si>
  <si>
    <t>Levantamento topográfico e geofísico</t>
  </si>
  <si>
    <t>01.20.010</t>
  </si>
  <si>
    <t>Taxa de mobilização e desmobilização de equipamentos para execução de levantamento topográfico</t>
  </si>
  <si>
    <t>TX</t>
  </si>
  <si>
    <t>01.20.691</t>
  </si>
  <si>
    <t>Levantamento planimétrico cadastral com áreas ocupadas predominantemente por comunidades - área até 20.000 m² (mínimo de 3.500 m²)</t>
  </si>
  <si>
    <t>M2</t>
  </si>
  <si>
    <t>01.20.701</t>
  </si>
  <si>
    <t>Levantamento planimétrico cadastral com áreas ocupadas predominantemente por comunidades - área acima de 20.000 m² até 200.000 m²</t>
  </si>
  <si>
    <t>01.20.711</t>
  </si>
  <si>
    <t>Levantamento planimétrico cadastral com áreas ocupadas predominantemente por comunidades - área acima de 200.000 m²</t>
  </si>
  <si>
    <t>01.20.721</t>
  </si>
  <si>
    <t>Levantamento planimétrico cadastral com áreas até 50% de ocupação - área até 20.000 m² (mínimo de 3.500 m²)</t>
  </si>
  <si>
    <t>01.20.731</t>
  </si>
  <si>
    <t>Levantamento planimétrico cadastral com áreas até 50% de ocupação - área acima de 20.000 m² até 200.000 m²</t>
  </si>
  <si>
    <t>01.20.741</t>
  </si>
  <si>
    <t>Levantamento planimétrico cadastral com áreas até 50% de ocupação - área acima de 200.000 m²</t>
  </si>
  <si>
    <t>01.20.751</t>
  </si>
  <si>
    <t>Levantamento planimétrico cadastral com áreas acima de 50% de ocupação - área até 20.000 m² (mínimo de 4.000 m²)</t>
  </si>
  <si>
    <t>01.20.761</t>
  </si>
  <si>
    <t>Levantamento planimétrico cadastral com áreas acima de 50% de ocupação - área acima de 20.000 m² até 200.000 m²</t>
  </si>
  <si>
    <t>01.20.771</t>
  </si>
  <si>
    <t>Levantamento planimétrico cadastral com áreas acima de 50% de ocupação - área acima de 200.000 m²</t>
  </si>
  <si>
    <t>01.20.781</t>
  </si>
  <si>
    <t>Levantamento planialtimétrico cadastral com áreas ocupadas predominantemente por comunidades - área até 20.000 m² (mínimo de 3.500 m²)</t>
  </si>
  <si>
    <t>01.20.791</t>
  </si>
  <si>
    <t>Levantamento planialtimétrico cadastral com áreas ocupadas predominantemente por comunidades - área acima de 20.000 m² até 200.000 m²</t>
  </si>
  <si>
    <t>01.20.801</t>
  </si>
  <si>
    <t>Levantamento planialtimétrico cadastral com áreas ocupadas predominantemente por comunidades - área acima de 200.000 m²</t>
  </si>
  <si>
    <t>01.20.811</t>
  </si>
  <si>
    <t>Levantamento planialtimétrico cadastral com áreas até 50% de ocupação - área até 20.000 m² (mínimo de 4.000 m²)</t>
  </si>
  <si>
    <t>01.20.821</t>
  </si>
  <si>
    <t>Levantamento planialtimétrico cadastral com áreas até 50% de ocupação - área acima de 20.000 m² até 200.000 m²</t>
  </si>
  <si>
    <t>01.20.831</t>
  </si>
  <si>
    <t>Levantamento planialtimétrico cadastral com áreas até 50% de ocupação - área acima de 200.000 m²</t>
  </si>
  <si>
    <t>01.20.841</t>
  </si>
  <si>
    <t>Levantamento planialtimétrico cadastral com áreas acima de 50% de ocupação - área até 20.000 m² (mínimo de 3.500 m²)</t>
  </si>
  <si>
    <t>01.20.851</t>
  </si>
  <si>
    <t>Levantamento planialtimétrico cadastral com áreas acima de 50% de ocupação - área acima de 20.000 m² até 200.000 m²</t>
  </si>
  <si>
    <t>01.20.861</t>
  </si>
  <si>
    <t>Levantamento planialtimétrico cadastral com áreas acima de 50% de ocupação - área acima de 200.000 m²</t>
  </si>
  <si>
    <t>01.20.871</t>
  </si>
  <si>
    <t>Levantamento planialtimétrico cadastral em área rural até 2 alqueires (mínimo de 10.000 m²)</t>
  </si>
  <si>
    <t>01.20.881</t>
  </si>
  <si>
    <t>Levantamento planialtimétrico cadastral em área rural acima de 2 até 5 alqueires</t>
  </si>
  <si>
    <t>01.20.891</t>
  </si>
  <si>
    <t>Levantamento planialtimétrico cadastral em área rural acima de 5 até 10 alqueires</t>
  </si>
  <si>
    <t>01.20.901</t>
  </si>
  <si>
    <t>Levantamento planialtimétrico cadastral em área rural acima de 10 alqueires</t>
  </si>
  <si>
    <t>01.20.911</t>
  </si>
  <si>
    <t>Transporte de referência de nível (RN) - classe IIN (mínimo de 2 km)</t>
  </si>
  <si>
    <t>KM</t>
  </si>
  <si>
    <t>01.20.921</t>
  </si>
  <si>
    <t>Implantação de marcos através de levantamento com GPS (mínimo de 3 marcos)</t>
  </si>
  <si>
    <t>01.21</t>
  </si>
  <si>
    <t>Estudo geotecnico (sondagem)</t>
  </si>
  <si>
    <t>01.21.010</t>
  </si>
  <si>
    <t>Taxa de mobilização e desmobilização de equipamentos para execução de sondagem</t>
  </si>
  <si>
    <t>01.21.090</t>
  </si>
  <si>
    <t>Taxa de mobilização e desmobilização de equipamentos para execução de sondagem rotativa</t>
  </si>
  <si>
    <t>01.21.100</t>
  </si>
  <si>
    <t>Sondagem do terreno a trado</t>
  </si>
  <si>
    <t>M</t>
  </si>
  <si>
    <t>01.21.110</t>
  </si>
  <si>
    <t>Sondagem do terreno à percussão (mínimo de 30 m)</t>
  </si>
  <si>
    <t>01.21.120</t>
  </si>
  <si>
    <t>Sondagem do terreno rotativa em solo</t>
  </si>
  <si>
    <t>01.21.130</t>
  </si>
  <si>
    <t>Sondagem do terreno rotativa em rocha</t>
  </si>
  <si>
    <t>01.21.140</t>
  </si>
  <si>
    <t>Sondagem do terreno à percussão com a utilização de torquímetro (mínimo de 30 m)</t>
  </si>
  <si>
    <t>01.23</t>
  </si>
  <si>
    <t>Tratamento, recuperação e trabalhos especiais em concreto</t>
  </si>
  <si>
    <t>01.23.010</t>
  </si>
  <si>
    <t>Taxa de mobilização e desmobilização de equipamentos para execução de corte em concreto armado</t>
  </si>
  <si>
    <t>01.23.020</t>
  </si>
  <si>
    <t>Limpeza de armadura com escova de aço</t>
  </si>
  <si>
    <t>01.23.030</t>
  </si>
  <si>
    <t>Preparo de ponte de aderência com adesivo a base de epóxi</t>
  </si>
  <si>
    <t>01.23.056</t>
  </si>
  <si>
    <t>Tratamento de armadura com produto anticorrosivo a base de zinco</t>
  </si>
  <si>
    <t>01.23.060</t>
  </si>
  <si>
    <t>Corte de concreto deteriorado inclusive remoção dos detritos</t>
  </si>
  <si>
    <t>01.23.070</t>
  </si>
  <si>
    <t>Demarcação de área com disco de corte diamantado</t>
  </si>
  <si>
    <t>01.23.100</t>
  </si>
  <si>
    <t>Demolição de concreto armado com preservação de armadura, para reforço e recuperação estrutural</t>
  </si>
  <si>
    <t>M3</t>
  </si>
  <si>
    <t>01.23.140</t>
  </si>
  <si>
    <t>01.23.150</t>
  </si>
  <si>
    <t>01.23.160</t>
  </si>
  <si>
    <t>01.23.190</t>
  </si>
  <si>
    <t>01.23.200</t>
  </si>
  <si>
    <t>Taxa de mobilização e desmobilização de equipamentos para execução de perfuração em concreto</t>
  </si>
  <si>
    <t>01.23.221</t>
  </si>
  <si>
    <t>Furação para até 10mm x 100mm em concreto armado, inclusive colagem de armadura (para até 8mm)</t>
  </si>
  <si>
    <t>01.23.222</t>
  </si>
  <si>
    <t>Furação para 12,5mm x 100mm em concreto armado, inclusive colagem de armadura (para 10mm)</t>
  </si>
  <si>
    <t>01.23.223</t>
  </si>
  <si>
    <t>Furação para 16mm x 100mm em concreto armado, inclusive colagem de armadura (para 12,5mm)</t>
  </si>
  <si>
    <t>01.23.231</t>
  </si>
  <si>
    <t>Furação para até 10mm x 150mm em concreto armado, inclusive colagem de armadura (para até 8mm)</t>
  </si>
  <si>
    <t>01.23.232</t>
  </si>
  <si>
    <t>Furação para 12,5mm x 150mm em concreto armado, inclusive colagem de armadura (para 10mm)</t>
  </si>
  <si>
    <t>01.23.233</t>
  </si>
  <si>
    <t>Furação para 16mm x 150mm em concreto armado, inclusive colagem de armadura (para 12,5mm)</t>
  </si>
  <si>
    <t>01.23.234</t>
  </si>
  <si>
    <t>Furação para 20mm x 150mm em concreto armado, inclusive colagem de armadura (para 16mm)</t>
  </si>
  <si>
    <t>01.23.236</t>
  </si>
  <si>
    <t>Furação para até 10mm x 200mm em concreto armado, inclusive colagem de armadura (para 8mm)</t>
  </si>
  <si>
    <t>01.23.237</t>
  </si>
  <si>
    <t>Furação para 12,5mm x 200mm em concreto armado, inclusive colagem de armadura (para 10mm)</t>
  </si>
  <si>
    <t>01.23.238</t>
  </si>
  <si>
    <t>Furação para 16mm x 200mm em concreto armado, inclusive colagem de armadura (para 12,5mm)</t>
  </si>
  <si>
    <t>01.23.239</t>
  </si>
  <si>
    <t>Furação para 20mm x 200mm em concreto armado, inclusive colagem de armadura (para 16mm)</t>
  </si>
  <si>
    <t>01.23.254</t>
  </si>
  <si>
    <t>01.23.260</t>
  </si>
  <si>
    <t>01.23.264</t>
  </si>
  <si>
    <t>01.23.270</t>
  </si>
  <si>
    <t>01.23.274</t>
  </si>
  <si>
    <t>01.23.280</t>
  </si>
  <si>
    <t>01.23.510</t>
  </si>
  <si>
    <t>Corte vertical em concreto armado, espessura de 15 cm</t>
  </si>
  <si>
    <t>01.23.700</t>
  </si>
  <si>
    <t>Taxa de mobilização e desmobilização para reforço estrutural com fibra de carbono</t>
  </si>
  <si>
    <t>01.23.701</t>
  </si>
  <si>
    <t>Preparação de substrato para colagem de fibra de carbono, mediante lixamento e/ou apicoamento e escovação</t>
  </si>
  <si>
    <t>01.23.702</t>
  </si>
  <si>
    <t>Fibra de carbono para reforço estrutural de alta resistência - 300 g/m²</t>
  </si>
  <si>
    <t>01.27</t>
  </si>
  <si>
    <t>Estudo e programa ambientais</t>
  </si>
  <si>
    <t>01.27.011</t>
  </si>
  <si>
    <t>Projeto e implementação de gerenciamento integrado de resíduos sólidos e gestão de perdas</t>
  </si>
  <si>
    <t>01.27.021</t>
  </si>
  <si>
    <t>Projeto e implementação de educação ambiental</t>
  </si>
  <si>
    <t>01.27.031</t>
  </si>
  <si>
    <t>Projeto e implementação de controle ambiental de obra</t>
  </si>
  <si>
    <t>01.27.041</t>
  </si>
  <si>
    <t>Laudo de caracterização de vegetação</t>
  </si>
  <si>
    <t>01.27.051</t>
  </si>
  <si>
    <t>Laudo de caracterização da fauna associada à flora</t>
  </si>
  <si>
    <t>01.27.061</t>
  </si>
  <si>
    <t>Projeto e implementação de monitoramento da fauna durante a obra</t>
  </si>
  <si>
    <t>01.27.071</t>
  </si>
  <si>
    <t>Laudo de autodepuração</t>
  </si>
  <si>
    <t>01.27.091</t>
  </si>
  <si>
    <t>Estudo de impacto de vizinhança, em área urbana até 10.000 m²</t>
  </si>
  <si>
    <t>01.28</t>
  </si>
  <si>
    <t>Poço profundo</t>
  </si>
  <si>
    <t>01.28.010</t>
  </si>
  <si>
    <t>Taxa de mobilização e desmobilização de equipamentos para execução de perfuração para poço profundo - profundidade até 200 m</t>
  </si>
  <si>
    <t>01.28.020</t>
  </si>
  <si>
    <t>Taxa de mobilização e desmobilização de equipamentos para execução de perfuração para poço profundo - profundidade acima de 200 m e até 300 m</t>
  </si>
  <si>
    <t>01.28.030</t>
  </si>
  <si>
    <t>Taxa de mobilização e desmobilização de equipamentos para execução de perfuração para poço profundo - profundidade acima de 300 m</t>
  </si>
  <si>
    <t>01.28.040</t>
  </si>
  <si>
    <t>Perfuração rotativa para poço profundo em camadas de solos sedimentares, diâmetro de 8 1/2" (215,90 mm)</t>
  </si>
  <si>
    <t>01.28.050</t>
  </si>
  <si>
    <t>Perfuração rotativa para poço profundo em aluvião, arenito, ou solos sedimentados em geral, diâmetro de 10" (250 mm)</t>
  </si>
  <si>
    <t>01.28.060</t>
  </si>
  <si>
    <t>Perfuração rotativa para poço profundo em aluvião, arenito, ou solos sedimentados em geral, diâmetro de 12" (300 mm)</t>
  </si>
  <si>
    <t>01.28.070</t>
  </si>
  <si>
    <t>Perfuração rotativa para poço profundo em aluvião, arenito, ou solos sedimentados em geral, diâmetro de 14" (350 mm)</t>
  </si>
  <si>
    <t>01.28.080</t>
  </si>
  <si>
    <t>Perfuração rotativa para poço profundo em aluvião, arenito, ou solos sedimentados em geral, diâmetro de 16" (400 mm)</t>
  </si>
  <si>
    <t>01.28.090</t>
  </si>
  <si>
    <t>Perfuração rotativa para poço profundo em aluvião, arenito, ou solos sedimentados em geral, diâmetro de 18" (450 mm)</t>
  </si>
  <si>
    <t>01.28.100</t>
  </si>
  <si>
    <t>Perfuração rotativa para poço profundo em aluvião, arenito, ou solos sedimentados em geral, diâmetro de 20" (500 mm)</t>
  </si>
  <si>
    <t>01.28.110</t>
  </si>
  <si>
    <t>Perfuração rotativa para poço profundo em aluvião, arenito, ou solos sedimentados em geral, diâmetro de 22" (550 mm)</t>
  </si>
  <si>
    <t>01.28.120</t>
  </si>
  <si>
    <t>Perfuração rotativa para poço profundo em aluvião, arenito, ou solos sedimentados em geral, diâmetro de 26" (650 mm)</t>
  </si>
  <si>
    <t>01.28.130</t>
  </si>
  <si>
    <t>Perfuração rotativa para poço profundo em solos e/ou rocha metassedimentar alterada em geral, diâmetro de 20" (508 mm)</t>
  </si>
  <si>
    <t>01.28.140</t>
  </si>
  <si>
    <t>Perfuração roto-pneumática para poço profundo em rocha metassedimentar em geral, diâmetro de 12 1/4" (311,15 mm)</t>
  </si>
  <si>
    <t>01.28.150</t>
  </si>
  <si>
    <t>Perfuração rotativa para poço profundo em rocha sã (basalto), diâmetro de 14" (350 mm)</t>
  </si>
  <si>
    <t>01.28.160</t>
  </si>
  <si>
    <t>Perfuração rotativa para poço profundo em rocha alterada (basalto alterado), diâmetro de 8" (200 mm)</t>
  </si>
  <si>
    <t>01.28.170</t>
  </si>
  <si>
    <t>Perfuração rotativa para poço profundo em rocha alterada (basalto alterado), diâmetro de 10" (250 mm)</t>
  </si>
  <si>
    <t>01.28.180</t>
  </si>
  <si>
    <t>Perfuração rotativa para poço profundo em rocha alterada (basalto alterado), diâmetro de 12" (300 mm)</t>
  </si>
  <si>
    <t>01.28.190</t>
  </si>
  <si>
    <t>Perfuração roto-pneumática para poço profundo em rocha sã (basalto), diâmetro de 6" (150 mm)</t>
  </si>
  <si>
    <t>01.28.200</t>
  </si>
  <si>
    <t>Perfuração roto-pneumática para poço profundo em rocha sã (basalto), diâmetro de 8" (200 mm)</t>
  </si>
  <si>
    <t>01.28.210</t>
  </si>
  <si>
    <t>Perfuração roto-pneumática para poço profundo em rocha sã (basalto), diâmetro de 10" (250 mm)</t>
  </si>
  <si>
    <t>01.28.220</t>
  </si>
  <si>
    <t>Perfuração roto-pneumática para poço profundo em rocha sã (basalto), diâmetro de 12" (300 mm)</t>
  </si>
  <si>
    <t>01.28.230</t>
  </si>
  <si>
    <t>Perfuração roto-pneumática para poço profundo em rocha sã (basalto), diâmetro de 14" (350 mm)</t>
  </si>
  <si>
    <t>01.28.240</t>
  </si>
  <si>
    <t>Perfuração roto-pneumática para poço profundo em rocha sã (basalto), diâmetro de 18" (450 mm)</t>
  </si>
  <si>
    <t>01.28.250</t>
  </si>
  <si>
    <t>Revestimento interno de poço profundo tubo liso em aço galvanizado, diâmetro de 6" (152,40 mm) - união solda</t>
  </si>
  <si>
    <t>01.28.260</t>
  </si>
  <si>
    <t>Revestimento interno de poço profundo tubo PVC geomecânico nervurado standard, diâmetro de 6" (150 mm)</t>
  </si>
  <si>
    <t>01.28.270</t>
  </si>
  <si>
    <t>Revestimento interno de poço profundo tubo PVC geomecânico nervurado reforçado, diâmetro de 8" (200 mm)</t>
  </si>
  <si>
    <t>01.28.280</t>
  </si>
  <si>
    <t>Revestimento interno de poço profundo tubo de aço preto, diâmetro de 6" (152,40 mm)</t>
  </si>
  <si>
    <t>01.28.290</t>
  </si>
  <si>
    <t>Revestimento interno de poço profundo tubo preto DIN 2440, diâmetro de 6" (150 mm)</t>
  </si>
  <si>
    <t>01.28.300</t>
  </si>
  <si>
    <t>Revestimento interno de poço profundo tubo preto DIN 2440, diâmetro de 8" (200 mm)</t>
  </si>
  <si>
    <t>01.28.310</t>
  </si>
  <si>
    <t>Revestimento interno de poço profundo tubo de aço preto liso calandrado, diâmetro de 16" (406,40 mm)</t>
  </si>
  <si>
    <t>01.28.350</t>
  </si>
  <si>
    <t>Revestimento da boca de poço profundo tubo chapa 3/16", diâmetro de 12"</t>
  </si>
  <si>
    <t>01.28.360</t>
  </si>
  <si>
    <t>Revestimento da boca de poço profundo tubo chapa 3/16", diâmetro de 14"</t>
  </si>
  <si>
    <t>01.28.370</t>
  </si>
  <si>
    <t>Revestimento da boca de poço profundo tubo chapa 3/16", diâmetro de 16"</t>
  </si>
  <si>
    <t>01.28.380</t>
  </si>
  <si>
    <t>Revestimento da boca de poço profundo tubo chapa 3/16", diâmetro de 20"</t>
  </si>
  <si>
    <t>01.28.390</t>
  </si>
  <si>
    <t>Filtro PVC geomecânico nervurado tipo standard para poço profundo, diâmetro de 6" (150 mm)</t>
  </si>
  <si>
    <t>01.28.400</t>
  </si>
  <si>
    <t>Filtro PVC geomecânico nervurado tipo reforçado para poço profundo, diâmetro de 8" (200 mm)</t>
  </si>
  <si>
    <t>01.28.410</t>
  </si>
  <si>
    <t>Filtro espiralado galvanizado simples (standard) para poço profundo, diâmetro de 6" (152,40 mm)</t>
  </si>
  <si>
    <t>01.28.420</t>
  </si>
  <si>
    <t>Filtro espiralado galvanizado reforçado para poço profundo, diâmetro de 6" (152,40 mm)</t>
  </si>
  <si>
    <t>01.28.430</t>
  </si>
  <si>
    <t>Filtro espiralado em aço inoxidável reforçado para poço profundo, diâmetro de 6" (152,40 mm)</t>
  </si>
  <si>
    <t>01.28.440</t>
  </si>
  <si>
    <t>Filtro galvanizado tipo NOLD para poço profundo, diâmetro de 6" (150 mm)</t>
  </si>
  <si>
    <t>01.28.450</t>
  </si>
  <si>
    <t>Pré-filtro tipo pérola para poço profundo</t>
  </si>
  <si>
    <t>01.28.460</t>
  </si>
  <si>
    <t>Pré-filtro tipo Jacareí para poço profundo</t>
  </si>
  <si>
    <t>01.28.470</t>
  </si>
  <si>
    <t>Perfilagem ótica (filmagem / endoscopia) para poço profundo</t>
  </si>
  <si>
    <t>01.28.480</t>
  </si>
  <si>
    <t>Perfilagem elétrica de poço profundo</t>
  </si>
  <si>
    <t>01.28.490</t>
  </si>
  <si>
    <t>Taxa de mobilização e desmobilização de equipamentos para execução de bombeamento, limpeza, desenvolvimento e teste de vazão</t>
  </si>
  <si>
    <t>01.28.500</t>
  </si>
  <si>
    <t>Limpeza e desenvolvimento do poço profundo</t>
  </si>
  <si>
    <t>H</t>
  </si>
  <si>
    <t>01.28.510</t>
  </si>
  <si>
    <t>Ensaio de vazão (bombeamento) para poço profundo, com bomba submersa</t>
  </si>
  <si>
    <t>01.28.520</t>
  </si>
  <si>
    <t>Ensaio de vazão escalonado para poço profundo</t>
  </si>
  <si>
    <t>01.28.530</t>
  </si>
  <si>
    <t>Ensaio de recuperação de nível para poço profundo</t>
  </si>
  <si>
    <t>01.28.540</t>
  </si>
  <si>
    <t>Desinfecção de poço profundo</t>
  </si>
  <si>
    <t>01.28.550</t>
  </si>
  <si>
    <t>Análise físico-química e bacteriológica da água para poço profundo</t>
  </si>
  <si>
    <t>CJ</t>
  </si>
  <si>
    <t>01.28.560</t>
  </si>
  <si>
    <t>Centralizador de coluna para poço profundo, diâmetro de 4" ou 6"</t>
  </si>
  <si>
    <t>01.28.570</t>
  </si>
  <si>
    <t>Cimentação de boca do poço profundo, entre perfuração de maior diâmetro (cimentação do espaço anular)</t>
  </si>
  <si>
    <t>01.28.580</t>
  </si>
  <si>
    <t>Laje de proteção em concreto armado para poço profundo (área mínimo de 3,00 m²)</t>
  </si>
  <si>
    <t>01.28.590</t>
  </si>
  <si>
    <t>Lacre do poço profundo (tampa)</t>
  </si>
  <si>
    <t>01.28.600</t>
  </si>
  <si>
    <t>Licença de perfuração para poço profundo</t>
  </si>
  <si>
    <t>01.28.610</t>
  </si>
  <si>
    <t>Outorga de direito de uso para poço profundo</t>
  </si>
  <si>
    <t>01.28.620</t>
  </si>
  <si>
    <t>Parecer técnico junto a CETESB</t>
  </si>
  <si>
    <t>02</t>
  </si>
  <si>
    <t>INICIO, APOIO E ADMINISTRACAO DA OBRA</t>
  </si>
  <si>
    <t>02.01</t>
  </si>
  <si>
    <t>Construção provisória</t>
  </si>
  <si>
    <t>02.01.021</t>
  </si>
  <si>
    <t>Construção provisória em madeira - fornecimento e montagem</t>
  </si>
  <si>
    <t>02.01.171</t>
  </si>
  <si>
    <t>Sanitário/vestiário provisório em alvenaria</t>
  </si>
  <si>
    <t>02.01.180</t>
  </si>
  <si>
    <t>Banheiro químico modelo Standard, com manutenção conforme exigências da CETESB</t>
  </si>
  <si>
    <t>UNMES</t>
  </si>
  <si>
    <t>02.01.200</t>
  </si>
  <si>
    <t>Desmobilização de construção provisória</t>
  </si>
  <si>
    <t>02.02</t>
  </si>
  <si>
    <t>Container</t>
  </si>
  <si>
    <t>02.02.120</t>
  </si>
  <si>
    <t>Locação de container tipo alojamento - área mínima de 13,80 m²</t>
  </si>
  <si>
    <t>02.02.130</t>
  </si>
  <si>
    <t>Locação de container tipo escritório com 1 vaso sanitário, 1 lavatório e 1 ponto para chuveiro - área mínima de 13,80 m²</t>
  </si>
  <si>
    <t>02.02.140</t>
  </si>
  <si>
    <t>Locação de container tipo sanitário com 2 vasos sanitários, 2 lavatórios, 2 mictórios e 4 pontos para chuveiro - área mínima de 13,80 m²</t>
  </si>
  <si>
    <t>02.02.150</t>
  </si>
  <si>
    <t>Locação de container tipo depósito - área mínima de 13,80 m²</t>
  </si>
  <si>
    <t>02.02.160</t>
  </si>
  <si>
    <t>Locação de container tipo guarita - área mínima de 4,60 m²</t>
  </si>
  <si>
    <t>02.03</t>
  </si>
  <si>
    <t>Tapume, vedação e proteções diversas</t>
  </si>
  <si>
    <t>02.03.030</t>
  </si>
  <si>
    <t>Proteção de superfícies em geral com plástico bolha</t>
  </si>
  <si>
    <t>02.03.060</t>
  </si>
  <si>
    <t>Proteção de fachada com tela de nylon</t>
  </si>
  <si>
    <t>02.03.080</t>
  </si>
  <si>
    <t>Fechamento provisório de vãos em chapa de madeira compensada</t>
  </si>
  <si>
    <t>02.03.110</t>
  </si>
  <si>
    <t>Tapume móvel para fechamento de áreas</t>
  </si>
  <si>
    <t>02.03.120</t>
  </si>
  <si>
    <t>Tapume fixo para fechamento de áreas, com portão</t>
  </si>
  <si>
    <t>02.03.200</t>
  </si>
  <si>
    <t>Locação de quadros metálicos para plataforma de proteção, inclusive o madeiramento</t>
  </si>
  <si>
    <t>M2MES</t>
  </si>
  <si>
    <t>02.03.240</t>
  </si>
  <si>
    <t>Proteção de piso com tecido de aniagem e gesso</t>
  </si>
  <si>
    <t>02.03.260</t>
  </si>
  <si>
    <t>Tapume fixo em painel OSB - espessura 10 mm</t>
  </si>
  <si>
    <t>02.03.270</t>
  </si>
  <si>
    <t>Tapume fixo em painel OSB - espessura 12 mm</t>
  </si>
  <si>
    <t>02.03.500</t>
  </si>
  <si>
    <t>Proteção em madeira e lona plástica para equipamento mecânico ou informática - para obras de reforma</t>
  </si>
  <si>
    <t>02.05</t>
  </si>
  <si>
    <t>Andaime e balancim</t>
  </si>
  <si>
    <t>02.05.060</t>
  </si>
  <si>
    <t>Montagem e desmontagem de andaime torre metálica com altura até 10 m</t>
  </si>
  <si>
    <t>02.05.080</t>
  </si>
  <si>
    <t>Montagem e desmontagem de andaime torre metálica com altura superior a 10 m</t>
  </si>
  <si>
    <t>02.05.090</t>
  </si>
  <si>
    <t>Montagem e desmontagem de andaime tubular fachadeiro com altura até 10 m</t>
  </si>
  <si>
    <t>02.05.100</t>
  </si>
  <si>
    <t>Montagem e desmontagem de andaime tubular fachadeiro com altura superior a 10 m</t>
  </si>
  <si>
    <t>02.05.195</t>
  </si>
  <si>
    <t>Balancim elétrico tipo plataforma para transporte vertical, com altura até 60 m</t>
  </si>
  <si>
    <t>02.05.202</t>
  </si>
  <si>
    <t>Andaime torre metálico (1,5 x 1,5 m) com piso metálico</t>
  </si>
  <si>
    <t>MXMES</t>
  </si>
  <si>
    <t>02.05.212</t>
  </si>
  <si>
    <t>Andaime tubular fachadeiro com piso metálico e sapatas ajustáveis</t>
  </si>
  <si>
    <t>02.06</t>
  </si>
  <si>
    <t>Alocação de equipe, equipamento e ferramental</t>
  </si>
  <si>
    <t>02.06.030</t>
  </si>
  <si>
    <t>Locação de plataforma elevatória articulada, com altura aproximada de 12,5m, capacidade de carga de 227 kg, elétrica</t>
  </si>
  <si>
    <t>02.06.040</t>
  </si>
  <si>
    <t>Locação de plataforma elevatória articulada, com altura aproximada de 20 m, capacidade de carga de 227 kg, diesel</t>
  </si>
  <si>
    <t>02.08</t>
  </si>
  <si>
    <t>Sinalização de obra</t>
  </si>
  <si>
    <t>Placa de identificação para obra</t>
  </si>
  <si>
    <t>Placa em lona com impressão digital e requadro em metalon</t>
  </si>
  <si>
    <t>02.08.050</t>
  </si>
  <si>
    <t>Placa em lona com impressão digital e estrutura em madeira</t>
  </si>
  <si>
    <t>02.09</t>
  </si>
  <si>
    <t>Limpeza de terreno</t>
  </si>
  <si>
    <t>Limpeza manual do terreno, inclusive troncos até 5 cm de diâmetro, com caminhão à disposição dentro da obra, até o raio de 1 km</t>
  </si>
  <si>
    <t>02.09.040</t>
  </si>
  <si>
    <t>Limpeza mecanizada do terreno, inclusive troncos até 15 cm de diâmetro, com caminhão à disposição dentro e fora da obra, com transporte no raio de até 1 km</t>
  </si>
  <si>
    <t>02.09.130</t>
  </si>
  <si>
    <t>Limpeza mecanizada do terreno, inclusive troncos com diâmetro acima de 15 cm até 50 cm, com caminhão à disposição dentro da obra, até o raio de 1 km</t>
  </si>
  <si>
    <t>02.09.150</t>
  </si>
  <si>
    <t>Corte e derrubada de eucalipto (1° corte) - idade até 4 anos</t>
  </si>
  <si>
    <t>02.09.160</t>
  </si>
  <si>
    <t>Corte e derrubada de eucalipto (1° corte) - idade acima de 4 anos</t>
  </si>
  <si>
    <t>02.10</t>
  </si>
  <si>
    <t>Locação de obra</t>
  </si>
  <si>
    <t>02.10.020</t>
  </si>
  <si>
    <t>Locação de obra de edificação</t>
  </si>
  <si>
    <t>02.10.040</t>
  </si>
  <si>
    <t>Locação de rede de canalização</t>
  </si>
  <si>
    <t>02.10.050</t>
  </si>
  <si>
    <t>Locação para muros, cercas e alambrados</t>
  </si>
  <si>
    <t>02.10.060</t>
  </si>
  <si>
    <t>Locação de vias, calçadas, tanques e lagoas</t>
  </si>
  <si>
    <t>03</t>
  </si>
  <si>
    <t>DEMOLICAO SEM REAPROVEITAMENTO</t>
  </si>
  <si>
    <t>03.01</t>
  </si>
  <si>
    <t>Demolição de concreto, lastro, mistura e afins</t>
  </si>
  <si>
    <t>03.01.020</t>
  </si>
  <si>
    <t>Demolição manual de concreto simples</t>
  </si>
  <si>
    <t>03.01.040</t>
  </si>
  <si>
    <t>Demolição manual de concreto armado</t>
  </si>
  <si>
    <t>03.01.060</t>
  </si>
  <si>
    <t>Demolição manual de lajes pré-moldadas, incluindo revestimento</t>
  </si>
  <si>
    <t>03.01.200</t>
  </si>
  <si>
    <t>Demolição mecanizada de concreto armado, inclusive fragmentação, carregamento, transporte até 1 quilômetro e descarregamento</t>
  </si>
  <si>
    <t>03.01.210</t>
  </si>
  <si>
    <t>Demolição mecanizada de concreto armado, inclusive fragmentação e acomodação do material</t>
  </si>
  <si>
    <t>03.01.220</t>
  </si>
  <si>
    <t>Demolição mecanizada de concreto simples, inclusive fragmentação, carregamento, transporte até 1 quilômetro e descarregamento</t>
  </si>
  <si>
    <t>03.01.230</t>
  </si>
  <si>
    <t>Demolição mecanizada de concreto simples, inclusive fragmentação e acomodação do material</t>
  </si>
  <si>
    <t>03.01.240</t>
  </si>
  <si>
    <t>Demolição mecanizada de pavimento ou piso em concreto, inclusive fragmentação, carregamento, transporte até 1 quilômetro e descarregamento</t>
  </si>
  <si>
    <t>03.01.250</t>
  </si>
  <si>
    <t>Demolição mecanizada de pavimento ou piso em concreto, inclusive fragmentação e acomodação do material</t>
  </si>
  <si>
    <t>03.01.260</t>
  </si>
  <si>
    <t>Demolição mecanizada de sarjeta ou sarjetão, inclusive fragmentação, carregamento, transporte até 1 quilômetro e descarregamento</t>
  </si>
  <si>
    <t>03.01.270</t>
  </si>
  <si>
    <t>Demolição mecanizada de sarjeta ou sarjetão, inclusive fragmentação e acomodação do material</t>
  </si>
  <si>
    <t>03.02</t>
  </si>
  <si>
    <t>Demolição de alvenaria</t>
  </si>
  <si>
    <t>03.02.020</t>
  </si>
  <si>
    <t>Demolição manual de alvenaria de fundação/embasamento</t>
  </si>
  <si>
    <t>03.02.040</t>
  </si>
  <si>
    <t>Demolição manual de alvenaria de elevação ou elemento vazado, incluindo revestimento</t>
  </si>
  <si>
    <t>03.03</t>
  </si>
  <si>
    <t>Demolição de revestimento em massa</t>
  </si>
  <si>
    <t>03.03.020</t>
  </si>
  <si>
    <t>Apicoamento manual de piso, parede ou teto</t>
  </si>
  <si>
    <t>03.03.040</t>
  </si>
  <si>
    <t>Demolição manual de revestimento em massa de parede ou teto</t>
  </si>
  <si>
    <t>03.03.060</t>
  </si>
  <si>
    <t>Demolição manual de revestimento em massa de piso</t>
  </si>
  <si>
    <t>03.04</t>
  </si>
  <si>
    <t>Demolição de revestimento cerâmico e ladrilho hidráulico</t>
  </si>
  <si>
    <t>03.04.020</t>
  </si>
  <si>
    <t>Demolição manual de revestimento cerâmico, incluindo a base</t>
  </si>
  <si>
    <t>03.04.030</t>
  </si>
  <si>
    <t>Demolição manual de revestimento em ladrilho hidráulico, incluindo a base</t>
  </si>
  <si>
    <t>03.04.040</t>
  </si>
  <si>
    <t>Demolição manual de rodapé, soleira ou peitoril, em material cerâmico e/ou ladrilho hidráulico, incluindo a base</t>
  </si>
  <si>
    <t>03.05</t>
  </si>
  <si>
    <t>Demolição de revestimento sintético</t>
  </si>
  <si>
    <t>03.05.020</t>
  </si>
  <si>
    <t>Demolição manual de revestimento sintético, incluindo a base</t>
  </si>
  <si>
    <t>03.06</t>
  </si>
  <si>
    <t>Demolição de revestimento em pedra e blocos maciços</t>
  </si>
  <si>
    <t>03.06.050</t>
  </si>
  <si>
    <t>Desmonte (levantamento) mecanizado de pavimento em paralelepípedo ou lajota de concreto, inclusive carregamento, transporte até 1 quilômetro e descarregamento</t>
  </si>
  <si>
    <t>03.06.060</t>
  </si>
  <si>
    <t>Desmonte (levantamento) mecanizado de pavimento em paralelepípedo ou lajota de concreto, inclusive acomodação do material</t>
  </si>
  <si>
    <t>03.07</t>
  </si>
  <si>
    <t>Demolição de revestimento asfáltico</t>
  </si>
  <si>
    <t>03.07.010</t>
  </si>
  <si>
    <t>Demolição (levantamento) mecanizada de pavimento asfáltico, inclusive carregamento, transporte até 1 quilômetro e descarregamento</t>
  </si>
  <si>
    <t>03.07.030</t>
  </si>
  <si>
    <t>Demolição (levantamento) mecanizada de pavimento asfáltico, inclusive fragmentação e acomodação do material</t>
  </si>
  <si>
    <t>03.07.050</t>
  </si>
  <si>
    <t>Fresagem de pavimento asfáltico com espessura até 5 cm, inclusive carregamento, transporte até 1 quilômetro e descarregamento</t>
  </si>
  <si>
    <t>03.07.070</t>
  </si>
  <si>
    <t>Fresagem de pavimento asfáltico com espessura até 5 cm, inclusive acomodação do material</t>
  </si>
  <si>
    <t>03.07.080</t>
  </si>
  <si>
    <t>Fresagem de pavimento asfáltico com espessura até 5 cm, inclusive remoção do material fresado até 10 quilômetros e varrição</t>
  </si>
  <si>
    <t>03.08</t>
  </si>
  <si>
    <t>Demolição de forro / divisórias</t>
  </si>
  <si>
    <t>03.08.020</t>
  </si>
  <si>
    <t>Demolição manual de forro em estuque, inclusive sistema de fixação/tarugamento</t>
  </si>
  <si>
    <t>03.08.040</t>
  </si>
  <si>
    <t>Demolição manual de forro qualquer, inclusive sistema de fixação/tarugamento</t>
  </si>
  <si>
    <t>03.08.060</t>
  </si>
  <si>
    <t>Demolição manual de forro em gesso, inclusive sistema de fixação</t>
  </si>
  <si>
    <t>03.08.200</t>
  </si>
  <si>
    <t>Demolição manual de painéis divisórias, inclusive montantes metálicos</t>
  </si>
  <si>
    <t>03.09</t>
  </si>
  <si>
    <t>Demolição de impermeabilização e afins</t>
  </si>
  <si>
    <t>03.09.020</t>
  </si>
  <si>
    <t>Demolição manual de camada impermeabilizante</t>
  </si>
  <si>
    <t>03.09.040</t>
  </si>
  <si>
    <t>Demolição manual de argamassa regularizante, isolante ou protetora e papel Kraft</t>
  </si>
  <si>
    <t>03.09.060</t>
  </si>
  <si>
    <t>Remoção manual de junta de dilatação ou retração, inclusive apoio</t>
  </si>
  <si>
    <t>03.10</t>
  </si>
  <si>
    <t>Remoção de pintura</t>
  </si>
  <si>
    <t>03.10.020</t>
  </si>
  <si>
    <t>Remoção de pintura em rodapé, baguete ou moldura com lixa</t>
  </si>
  <si>
    <t>03.10.040</t>
  </si>
  <si>
    <t>Remoção de pintura em rodapé, baguete ou moldura com produto químico</t>
  </si>
  <si>
    <t>03.10.080</t>
  </si>
  <si>
    <t>Remoção de pintura em superfícies de madeira e/ou metálicas com produtos químicos</t>
  </si>
  <si>
    <t>03.10.100</t>
  </si>
  <si>
    <t>Remoção de pintura em superfícies de madeira e/ou metálicas com lixamento</t>
  </si>
  <si>
    <t>03.10.120</t>
  </si>
  <si>
    <t>Remoção de pintura em massa com produtos químicos</t>
  </si>
  <si>
    <t>03.10.140</t>
  </si>
  <si>
    <t>Remoção de pintura em massa com lixamento</t>
  </si>
  <si>
    <t>03.16</t>
  </si>
  <si>
    <t>Remoção de sinalização horizontal</t>
  </si>
  <si>
    <t>03.16.010</t>
  </si>
  <si>
    <t>Remoção de sinalização horizontal existente</t>
  </si>
  <si>
    <t>03.16.011</t>
  </si>
  <si>
    <t>Remoção de tacha/tachões</t>
  </si>
  <si>
    <t>04</t>
  </si>
  <si>
    <t>RETIRADA COM PROVAVEL REAPROVEITAMENTO</t>
  </si>
  <si>
    <t>04.01</t>
  </si>
  <si>
    <t>Retirada de fechamento e elemento divisor</t>
  </si>
  <si>
    <t>04.01.020</t>
  </si>
  <si>
    <t>Retirada de divisória em placa de madeira ou fibrocimento tarugada</t>
  </si>
  <si>
    <t>04.01.040</t>
  </si>
  <si>
    <t>Retirada de divisória em placa de madeira ou fibrocimento com montantes metálicos</t>
  </si>
  <si>
    <t>04.01.060</t>
  </si>
  <si>
    <t>Retirada de divisória em placa de concreto, granito, granilite ou mármore</t>
  </si>
  <si>
    <t>04.01.080</t>
  </si>
  <si>
    <t>Retirada de fechamento em placas pré-moldadas, inclusive pilares</t>
  </si>
  <si>
    <t>04.01.090</t>
  </si>
  <si>
    <t>Retirada de barreira de proteção com arame de alta segurança, simples ou duplo</t>
  </si>
  <si>
    <t>04.01.100</t>
  </si>
  <si>
    <t>Retirada de cerca</t>
  </si>
  <si>
    <t>04.02</t>
  </si>
  <si>
    <t>Retirada de elementos de estrutura (concreto, ferro, alumínio e madeira)</t>
  </si>
  <si>
    <t>04.02.020</t>
  </si>
  <si>
    <t>Retirada de peças lineares em madeira com seção até 60 cm²</t>
  </si>
  <si>
    <t>04.02.030</t>
  </si>
  <si>
    <t>Retirada de peças lineares em madeira com seção superior a 60 cm²</t>
  </si>
  <si>
    <t>04.02.050</t>
  </si>
  <si>
    <t>Retirada de estrutura em madeira tesoura - telhas de barro</t>
  </si>
  <si>
    <t>04.02.070</t>
  </si>
  <si>
    <t>Retirada de estrutura em madeira tesoura - telhas perfil qualquer</t>
  </si>
  <si>
    <t>04.02.090</t>
  </si>
  <si>
    <t>Retirada de estrutura em madeira pontaletada - telhas de barro</t>
  </si>
  <si>
    <t>04.02.110</t>
  </si>
  <si>
    <t>Retirada de estrutura em madeira pontaletada - telhas perfil qualquer</t>
  </si>
  <si>
    <t>04.02.140</t>
  </si>
  <si>
    <t>Retirada de estrutura metálica</t>
  </si>
  <si>
    <t>KG</t>
  </si>
  <si>
    <t>04.03</t>
  </si>
  <si>
    <t>Retirada de telhamento e proteção</t>
  </si>
  <si>
    <t>04.03.020</t>
  </si>
  <si>
    <t>Retirada de telhamento em barro</t>
  </si>
  <si>
    <t>04.03.040</t>
  </si>
  <si>
    <t>Retirada de telhamento perfil e material qualquer, exceto barro</t>
  </si>
  <si>
    <t>04.03.060</t>
  </si>
  <si>
    <t>Retirada de cumeeira ou espigão em barro</t>
  </si>
  <si>
    <t>04.03.080</t>
  </si>
  <si>
    <t>Retirada de cumeeira, espigão ou rufo perfil qualquer</t>
  </si>
  <si>
    <t>04.03.090</t>
  </si>
  <si>
    <t>Retirada de domo de acrílico, inclusive perfis metálicos de fixação</t>
  </si>
  <si>
    <t>04.04</t>
  </si>
  <si>
    <t>Retirada de revestimento em pedra e blocos maciços</t>
  </si>
  <si>
    <t>04.04.010</t>
  </si>
  <si>
    <t>Retirada de revestimento em pedra, granito ou mármore, em parede ou fachada</t>
  </si>
  <si>
    <t>04.04.020</t>
  </si>
  <si>
    <t>Retirada de revestimento em pedra, granito ou mármore, em piso</t>
  </si>
  <si>
    <t>04.04.030</t>
  </si>
  <si>
    <t>Retirada de soleira ou peitoril em pedra, granito ou mármore</t>
  </si>
  <si>
    <t>04.04.040</t>
  </si>
  <si>
    <t>Retirada de degrau em pedra, granito ou mármore</t>
  </si>
  <si>
    <t>04.04.060</t>
  </si>
  <si>
    <t>Retirada de rodapé em pedra, granito ou mármore</t>
  </si>
  <si>
    <t>04.05</t>
  </si>
  <si>
    <t>Retirada de revestimentos em madeira</t>
  </si>
  <si>
    <t>04.05.010</t>
  </si>
  <si>
    <t>Retirada de revestimento em lambris de madeira</t>
  </si>
  <si>
    <t>04.05.020</t>
  </si>
  <si>
    <t>Retirada de piso em tacos de madeira</t>
  </si>
  <si>
    <t>04.05.040</t>
  </si>
  <si>
    <t>Retirada de soalho somente o tablado</t>
  </si>
  <si>
    <t>04.05.060</t>
  </si>
  <si>
    <t>Retirada de soalho inclusive vigamento</t>
  </si>
  <si>
    <t>04.05.080</t>
  </si>
  <si>
    <t>Retirada de degrau em madeira</t>
  </si>
  <si>
    <t>04.05.100</t>
  </si>
  <si>
    <t>Retirada de rodapé inclusive cordão em madeira</t>
  </si>
  <si>
    <t>04.06</t>
  </si>
  <si>
    <t>Retirada de revestimentos sintéticos e metálicos</t>
  </si>
  <si>
    <t>04.06.010</t>
  </si>
  <si>
    <t>Retirada de revestimento em lambris metálicos</t>
  </si>
  <si>
    <t>04.06.020</t>
  </si>
  <si>
    <t>Retirada de piso em material sintético assentado a cola</t>
  </si>
  <si>
    <t>04.06.040</t>
  </si>
  <si>
    <t>Retirada de degrau em material sintético assentado a cola</t>
  </si>
  <si>
    <t>04.06.060</t>
  </si>
  <si>
    <t>Retirada de rodapé inclusive cordão em material sintético</t>
  </si>
  <si>
    <t>04.06.100</t>
  </si>
  <si>
    <t>Retirada de piso elevado telescópico metálico, inclusive estrutura de sustentação</t>
  </si>
  <si>
    <t>04.07</t>
  </si>
  <si>
    <t>Retirada de forro, brise e fachada</t>
  </si>
  <si>
    <t>04.07.020</t>
  </si>
  <si>
    <t>Retirada de forro qualquer em placas ou tiras fixadas</t>
  </si>
  <si>
    <t>04.07.040</t>
  </si>
  <si>
    <t>Retirada de forro qualquer em placas ou tiras apoiadas</t>
  </si>
  <si>
    <t>04.07.060</t>
  </si>
  <si>
    <t>Retirada de sistema de fixação ou tarugamento de forro</t>
  </si>
  <si>
    <t>04.08</t>
  </si>
  <si>
    <t>Retirada de esquadria e elemento de madeira</t>
  </si>
  <si>
    <t>04.08.020</t>
  </si>
  <si>
    <t>Retirada de folha de esquadria em madeira</t>
  </si>
  <si>
    <t>04.08.040</t>
  </si>
  <si>
    <t>Retirada de guarnição, moldura e peças lineares em madeira, fixadas</t>
  </si>
  <si>
    <t>04.08.060</t>
  </si>
  <si>
    <t>Retirada de batente com guarnição e peças lineares em madeira, chumbados</t>
  </si>
  <si>
    <t>04.08.080</t>
  </si>
  <si>
    <t>Retirada de elemento em madeira e sistema de fixação tipo quadro, lousa, etc.</t>
  </si>
  <si>
    <t>04.08.100</t>
  </si>
  <si>
    <t>Retirada de armário em madeira ou metal</t>
  </si>
  <si>
    <t>04.09</t>
  </si>
  <si>
    <t>Retirada de esquadria e elementos metálicos</t>
  </si>
  <si>
    <t>04.09.020</t>
  </si>
  <si>
    <t>Retirada de esquadria metálica em geral</t>
  </si>
  <si>
    <t>04.09.040</t>
  </si>
  <si>
    <t>Retirada de folha de esquadria metálica</t>
  </si>
  <si>
    <t>04.09.060</t>
  </si>
  <si>
    <t>Retirada de batente, corrimão ou peças lineares metálicas, chumbados</t>
  </si>
  <si>
    <t>04.09.080</t>
  </si>
  <si>
    <t>Retirada de batente, corrimão ou peças lineares metálicas, fixados</t>
  </si>
  <si>
    <t>04.09.100</t>
  </si>
  <si>
    <t>Retirada de guarda-corpo ou gradil em geral</t>
  </si>
  <si>
    <t>04.09.120</t>
  </si>
  <si>
    <t>Retirada de escada de marinheiro com ou sem guarda-corpo</t>
  </si>
  <si>
    <t>04.09.140</t>
  </si>
  <si>
    <t>Retirada de poste ou sistema de sustentação para alambrado ou fechamento</t>
  </si>
  <si>
    <t>04.09.160</t>
  </si>
  <si>
    <t>Retirada de entelamento metálico em geral</t>
  </si>
  <si>
    <t>04.10</t>
  </si>
  <si>
    <t>Retirada de ferragens e acessórios para esquadrias</t>
  </si>
  <si>
    <t>04.10.020</t>
  </si>
  <si>
    <t>Retirada de fechadura ou fecho de embutir</t>
  </si>
  <si>
    <t>04.10.040</t>
  </si>
  <si>
    <t>Retirada de fechadura ou fecho de sobrepor</t>
  </si>
  <si>
    <t>04.10.060</t>
  </si>
  <si>
    <t>Retirada de dobradiça</t>
  </si>
  <si>
    <t>04.10.080</t>
  </si>
  <si>
    <t>Retirada de peça ou acessório complementar em geral de esquadria</t>
  </si>
  <si>
    <t>04.11</t>
  </si>
  <si>
    <t>Retirada de aparelhos, metais sanitários e registro</t>
  </si>
  <si>
    <t>04.11.020</t>
  </si>
  <si>
    <t>Retirada de aparelho sanitário incluindo acessórios</t>
  </si>
  <si>
    <t>04.11.030</t>
  </si>
  <si>
    <t>Retirada de bancada incluindo pertences</t>
  </si>
  <si>
    <t>04.11.040</t>
  </si>
  <si>
    <t>Retirada de complemento sanitário chumbado</t>
  </si>
  <si>
    <t>04.11.060</t>
  </si>
  <si>
    <t>Retirada de complemento sanitário fixado ou de sobrepor</t>
  </si>
  <si>
    <t>04.11.080</t>
  </si>
  <si>
    <t>Retirada de registro ou válvula embutidos</t>
  </si>
  <si>
    <t>04.11.100</t>
  </si>
  <si>
    <t>Retirada de registro ou válvula aparentes</t>
  </si>
  <si>
    <t>04.11.110</t>
  </si>
  <si>
    <t>Retirada de purificador/bebedouro</t>
  </si>
  <si>
    <t>04.11.120</t>
  </si>
  <si>
    <t>Retirada de torneira ou chuveiro</t>
  </si>
  <si>
    <t>04.11.140</t>
  </si>
  <si>
    <t>Retirada de sifão ou metais sanitários diversos</t>
  </si>
  <si>
    <t>04.11.160</t>
  </si>
  <si>
    <t>Retirada de caixa de descarga de sobrepor ou acoplada</t>
  </si>
  <si>
    <t>04.12</t>
  </si>
  <si>
    <t>Retirada de aparelhos elétricos e hidráulicos</t>
  </si>
  <si>
    <t>04.12.020</t>
  </si>
  <si>
    <t>Retirada de conjunto motor-bomba</t>
  </si>
  <si>
    <t>04.12.040</t>
  </si>
  <si>
    <t>Retirada de motor de bomba de recalque</t>
  </si>
  <si>
    <t>04.13</t>
  </si>
  <si>
    <t>Retirada de impermeabilização e afins</t>
  </si>
  <si>
    <t>04.13.020</t>
  </si>
  <si>
    <t>Retirada de isolamento térmico com material monolítico</t>
  </si>
  <si>
    <t>04.13.060</t>
  </si>
  <si>
    <t>Retirada de isolamento térmico com material em panos</t>
  </si>
  <si>
    <t>04.14</t>
  </si>
  <si>
    <t>Retirada de vidro</t>
  </si>
  <si>
    <t>04.14.020</t>
  </si>
  <si>
    <t>Retirada de vidro ou espelho com raspagem da massa ou retirada de baguete</t>
  </si>
  <si>
    <t>04.14.040</t>
  </si>
  <si>
    <t>Retirada de esquadria em vidro</t>
  </si>
  <si>
    <t>04.17</t>
  </si>
  <si>
    <t>Retirada em instalação elétrica - letra A ate B</t>
  </si>
  <si>
    <t>04.17.020</t>
  </si>
  <si>
    <t>Remoção de aparelho de iluminação ou projetor fixo em teto, piso ou parede</t>
  </si>
  <si>
    <t>04.17.040</t>
  </si>
  <si>
    <t>Remoção de aparelho de iluminação ou projetor fixo em poste ou braço</t>
  </si>
  <si>
    <t>04.17.060</t>
  </si>
  <si>
    <t>Remoção de suporte tipo braquet</t>
  </si>
  <si>
    <t>04.17.080</t>
  </si>
  <si>
    <t>Remoção de barramento de cobre</t>
  </si>
  <si>
    <t>04.17.100</t>
  </si>
  <si>
    <t>Remoção de base de disjuntor tipo QUIK-LAG</t>
  </si>
  <si>
    <t>04.17.120</t>
  </si>
  <si>
    <t>Remoção de base de fusível tipo Diazed</t>
  </si>
  <si>
    <t>04.17.140</t>
  </si>
  <si>
    <t>Remoção de base e haste de para-raios</t>
  </si>
  <si>
    <t>04.17.160</t>
  </si>
  <si>
    <t>Remoção de base ou chave para fusível NH tipo tripolar</t>
  </si>
  <si>
    <t>04.17.180</t>
  </si>
  <si>
    <t>Remoção de base ou chave para fusível NH tipo unipolar</t>
  </si>
  <si>
    <t>04.17.200</t>
  </si>
  <si>
    <t>Remoção de braçadeira para passagem de cordoalha</t>
  </si>
  <si>
    <t>04.17.220</t>
  </si>
  <si>
    <t>Remoção de bucha de passagem interna ou externa</t>
  </si>
  <si>
    <t>04.17.240</t>
  </si>
  <si>
    <t>Remoção de bucha de passagem para neutro</t>
  </si>
  <si>
    <t>04.18</t>
  </si>
  <si>
    <t>Retirada em instalação elétrica - letra C</t>
  </si>
  <si>
    <t>04.18.020</t>
  </si>
  <si>
    <t>Remoção de cabeçote em rede de telefonia</t>
  </si>
  <si>
    <t>04.18.040</t>
  </si>
  <si>
    <t>Remoção de cabo de aço e esticadores de para-raios</t>
  </si>
  <si>
    <t>04.18.060</t>
  </si>
  <si>
    <t>Remoção de caixa de entrada de energia padrão medição indireta completa</t>
  </si>
  <si>
    <t>04.18.070</t>
  </si>
  <si>
    <t>Remoção de caixa de entrada de energia padrão residencial completa</t>
  </si>
  <si>
    <t>04.18.080</t>
  </si>
  <si>
    <t>Remoção de caixa de entrada telefônica completa</t>
  </si>
  <si>
    <t>04.18.090</t>
  </si>
  <si>
    <t>Remoção de caixa de medição padrão completa</t>
  </si>
  <si>
    <t>04.18.120</t>
  </si>
  <si>
    <t>Remoção de caixa estampada</t>
  </si>
  <si>
    <t>04.18.130</t>
  </si>
  <si>
    <t>Remoção de caixa para fusível ou tomada instalada em perfilado</t>
  </si>
  <si>
    <t>04.18.140</t>
  </si>
  <si>
    <t>Remoção de caixa para transformador de corrente</t>
  </si>
  <si>
    <t>04.18.180</t>
  </si>
  <si>
    <t>Remoção de cantoneira metálica</t>
  </si>
  <si>
    <t>04.18.200</t>
  </si>
  <si>
    <t>Remoção de captor de para-raios tipo Franklin</t>
  </si>
  <si>
    <t>04.18.220</t>
  </si>
  <si>
    <t>Remoção de chapa de ferro para bucha de passagem</t>
  </si>
  <si>
    <t>04.18.240</t>
  </si>
  <si>
    <t>Remoção de chave automática da boia</t>
  </si>
  <si>
    <t>04.18.250</t>
  </si>
  <si>
    <t>Remoção de chave base de mármore ou ardósia</t>
  </si>
  <si>
    <t>04.18.260</t>
  </si>
  <si>
    <t>Remoção de chave de ação rápida comando frontal montado em painel</t>
  </si>
  <si>
    <t>04.18.270</t>
  </si>
  <si>
    <t>Remoção de chave fusível indicadora tipo Matheus</t>
  </si>
  <si>
    <t>04.18.280</t>
  </si>
  <si>
    <t>Remoção de chave seccionadora tripolar seca mecanismo de manobra frontal</t>
  </si>
  <si>
    <t>04.18.290</t>
  </si>
  <si>
    <t>Remoção de chave tipo Pacco rotativo</t>
  </si>
  <si>
    <t>04.18.320</t>
  </si>
  <si>
    <t>Remoção de cinta de fixação de eletroduto ou sela para cruzeta em poste</t>
  </si>
  <si>
    <t>04.18.340</t>
  </si>
  <si>
    <t>Remoção de condulete</t>
  </si>
  <si>
    <t>04.18.360</t>
  </si>
  <si>
    <t>Remoção de condutor aparente diâmetro externo acima de 6,5 mm</t>
  </si>
  <si>
    <t>04.18.370</t>
  </si>
  <si>
    <t>Remoção de condutor aparente diâmetro externo até 6,5 mm</t>
  </si>
  <si>
    <t>04.18.380</t>
  </si>
  <si>
    <t>Remoção de condutor embutido diâmetro externo acima de 6,5 mm</t>
  </si>
  <si>
    <t>04.18.390</t>
  </si>
  <si>
    <t>Remoção de condutor embutido diâmetro externo até 6,5 mm</t>
  </si>
  <si>
    <t>04.18.400</t>
  </si>
  <si>
    <t>Remoção de condutor especial</t>
  </si>
  <si>
    <t>04.18.410</t>
  </si>
  <si>
    <t>Remoção de cordoalha ou cabo de cobre nu</t>
  </si>
  <si>
    <t>04.18.420</t>
  </si>
  <si>
    <t>Remoção de contator magnético para comando de bomba</t>
  </si>
  <si>
    <t>04.18.440</t>
  </si>
  <si>
    <t>Remoção de corrente para pendentes</t>
  </si>
  <si>
    <t>04.18.460</t>
  </si>
  <si>
    <t>Remoção de cruzeta de ferro para fixação de projetores</t>
  </si>
  <si>
    <t>04.18.470</t>
  </si>
  <si>
    <t>Remoção de cruzeta de madeira</t>
  </si>
  <si>
    <t>04.19</t>
  </si>
  <si>
    <t>Retirada em instalação elétrica - letra D ate I</t>
  </si>
  <si>
    <t>04.19.020</t>
  </si>
  <si>
    <t>Remoção de disjuntor de volume normal ou reduzido</t>
  </si>
  <si>
    <t>04.19.030</t>
  </si>
  <si>
    <t>Remoção de disjuntor a seco aberto tripolar, 600 V de 800 A</t>
  </si>
  <si>
    <t>04.19.060</t>
  </si>
  <si>
    <t>Remoção de disjuntor termomagnético</t>
  </si>
  <si>
    <t>04.19.080</t>
  </si>
  <si>
    <t>Remoção de fundo de quadro de distribuição ou caixa de passagem</t>
  </si>
  <si>
    <t>04.19.100</t>
  </si>
  <si>
    <t>Remoção de gancho de sustentação de luminária em perfilado</t>
  </si>
  <si>
    <t>04.19.120</t>
  </si>
  <si>
    <t>Remoção de interruptores, tomadas, botão de campainha ou cigarra</t>
  </si>
  <si>
    <t>04.19.140</t>
  </si>
  <si>
    <t>Remoção de isolador tipo castanha e gancho de sustentação</t>
  </si>
  <si>
    <t>04.19.160</t>
  </si>
  <si>
    <t>Remoção de isolador tipo disco completo e gancho de suspensão</t>
  </si>
  <si>
    <t>04.19.180</t>
  </si>
  <si>
    <t>Remoção de isolador tipo pino, inclusive o pino</t>
  </si>
  <si>
    <t>04.19.190</t>
  </si>
  <si>
    <t>Remoção de isolador galvanizado uso geral</t>
  </si>
  <si>
    <t>04.20</t>
  </si>
  <si>
    <t>Retirada em instalação elétrica - letra J ate N</t>
  </si>
  <si>
    <t>04.20.020</t>
  </si>
  <si>
    <t>Remoção de janela de ventilação, iluminação ou ventilação e iluminação padrão</t>
  </si>
  <si>
    <t>04.20.040</t>
  </si>
  <si>
    <t>Remoção de lâmpada</t>
  </si>
  <si>
    <t>04.20.060</t>
  </si>
  <si>
    <t>Remoção de luz de obstáculo</t>
  </si>
  <si>
    <t>04.20.080</t>
  </si>
  <si>
    <t>Remoção de manopla de comando de disjuntor</t>
  </si>
  <si>
    <t>04.20.100</t>
  </si>
  <si>
    <t>Remoção de mão francesa</t>
  </si>
  <si>
    <t>04.20.120</t>
  </si>
  <si>
    <t>Remoção de terminal modular (mufla) tripolar ou unipolar</t>
  </si>
  <si>
    <t>04.21</t>
  </si>
  <si>
    <t>Retirada em instalação elétrica - letra O ate S</t>
  </si>
  <si>
    <t>04.21.020</t>
  </si>
  <si>
    <t>Remoção de óleo de disjuntor ou transformador</t>
  </si>
  <si>
    <t>04.21.040</t>
  </si>
  <si>
    <t>Remoção de pára-raios tipo cristal-valve em cabine primária</t>
  </si>
  <si>
    <t>04.21.050</t>
  </si>
  <si>
    <t>Remoção de pára-raios tipo cristal-valve em poste singelo ou estaleiro</t>
  </si>
  <si>
    <t>04.21.060</t>
  </si>
  <si>
    <t>Remoção de perfilado</t>
  </si>
  <si>
    <t>04.21.100</t>
  </si>
  <si>
    <t>Remoção de porta de quadro ou painel</t>
  </si>
  <si>
    <t>04.21.130</t>
  </si>
  <si>
    <t>Remoção de poste de concreto</t>
  </si>
  <si>
    <t>04.21.140</t>
  </si>
  <si>
    <t>Remoção de poste metálico</t>
  </si>
  <si>
    <t>04.21.150</t>
  </si>
  <si>
    <t>Remoção de poste de madeira</t>
  </si>
  <si>
    <t>04.21.160</t>
  </si>
  <si>
    <t>Remoção de quadro de distribuição, chamada ou caixa de passagem</t>
  </si>
  <si>
    <t>04.21.200</t>
  </si>
  <si>
    <t>Remoção de reator para lâmpada</t>
  </si>
  <si>
    <t>04.21.210</t>
  </si>
  <si>
    <t>Remoção de reator para lâmpada fixo em poste</t>
  </si>
  <si>
    <t>04.21.240</t>
  </si>
  <si>
    <t>Remoção de relé</t>
  </si>
  <si>
    <t>04.21.260</t>
  </si>
  <si>
    <t>Remoção de roldana</t>
  </si>
  <si>
    <t>04.21.280</t>
  </si>
  <si>
    <t>Remoção de soquete</t>
  </si>
  <si>
    <t>04.21.300</t>
  </si>
  <si>
    <t>Remoção de suporte de transformador em poste singelo ou estaleiro</t>
  </si>
  <si>
    <t>04.22</t>
  </si>
  <si>
    <t>Retirada em instalação elétrica - letra T ate o final</t>
  </si>
  <si>
    <t>04.22.020</t>
  </si>
  <si>
    <t>Remoção de terminal ou conector para cabos</t>
  </si>
  <si>
    <t>04.22.040</t>
  </si>
  <si>
    <t>Remoção de transformador de potência em cabine primária</t>
  </si>
  <si>
    <t>04.22.050</t>
  </si>
  <si>
    <t>Remoção de transformador de potencial completo (pequeno)</t>
  </si>
  <si>
    <t>04.22.060</t>
  </si>
  <si>
    <t>Remoção de transformador de potência trifásico até 225 kVA, a óleo, em poste singelo</t>
  </si>
  <si>
    <t>04.22.100</t>
  </si>
  <si>
    <t>Remoção de tubulação elétrica aparente com diâmetro externo acima de 50 mm</t>
  </si>
  <si>
    <t>04.22.110</t>
  </si>
  <si>
    <t>Remoção de tubulação elétrica aparente com diâmetro externo até 50 mm</t>
  </si>
  <si>
    <t>04.22.120</t>
  </si>
  <si>
    <t>Remoção de tubulação elétrica embutida com diâmetro externo acima de 50 mm</t>
  </si>
  <si>
    <t>04.22.130</t>
  </si>
  <si>
    <t>Remoção de tubulação elétrica embutida com diâmetro externo até 50 mm</t>
  </si>
  <si>
    <t>04.22.200</t>
  </si>
  <si>
    <t>Remoção de vergalhão</t>
  </si>
  <si>
    <t>04.30</t>
  </si>
  <si>
    <t>Retirada em instalação hidráulica</t>
  </si>
  <si>
    <t>04.30.020</t>
  </si>
  <si>
    <t>Remoção de calha ou rufo</t>
  </si>
  <si>
    <t>04.30.040</t>
  </si>
  <si>
    <t>Remoção de condutor aparente</t>
  </si>
  <si>
    <t>04.30.060</t>
  </si>
  <si>
    <t>Remoção de tubulação hidráulica em geral, incluindo conexões, caixas e ralos</t>
  </si>
  <si>
    <t>04.30.080</t>
  </si>
  <si>
    <t>Remoção de hidrante de parede completo</t>
  </si>
  <si>
    <t>04.30.100</t>
  </si>
  <si>
    <t>Remoção de reservatório em fibrocimento até 1000 litros</t>
  </si>
  <si>
    <t>04.31</t>
  </si>
  <si>
    <t>Retirada em instalação de combate a incêndio</t>
  </si>
  <si>
    <t>04.31.010</t>
  </si>
  <si>
    <t>Retirada de bico de sprinkler</t>
  </si>
  <si>
    <t>04.35</t>
  </si>
  <si>
    <t>Retirada de sistema e equipamento de conforto mecânico</t>
  </si>
  <si>
    <t>04.35.050</t>
  </si>
  <si>
    <t>Retirada de aparelho de ar condicionado portátil</t>
  </si>
  <si>
    <t>04.40</t>
  </si>
  <si>
    <t>Retirada diversa de pecas pre-moldadas</t>
  </si>
  <si>
    <t>Retirada manual de guia pré-moldada, inclusive limpeza, carregamento, transporte até 1 quilômetro e descarregamento</t>
  </si>
  <si>
    <t>04.40.020</t>
  </si>
  <si>
    <t>Retirada de soleira ou peitoril em geral</t>
  </si>
  <si>
    <t>04.40.030</t>
  </si>
  <si>
    <t>Retirada manual de guia pré-moldada, inclusive limpeza e empilhamento</t>
  </si>
  <si>
    <t>Retirada manual de paralelepípedo ou lajota de concreto, inclusive limpeza, carregamento, transporte até 1 quilômetro e descarregamento</t>
  </si>
  <si>
    <t>04.40.070</t>
  </si>
  <si>
    <t>Retirada manual de paralelepípedo ou lajota de concreto, inclusive limpeza e empilhamento</t>
  </si>
  <si>
    <t>04.41</t>
  </si>
  <si>
    <t>Retirada de dispositivos viários</t>
  </si>
  <si>
    <t>04.41.001</t>
  </si>
  <si>
    <t>Retirada de placa de solo</t>
  </si>
  <si>
    <t>05</t>
  </si>
  <si>
    <t>TRANSPORTE E MOVIMENTACAO, DENTRO E FORA DA OBRA</t>
  </si>
  <si>
    <t>05.04</t>
  </si>
  <si>
    <t>Transporte de material solto</t>
  </si>
  <si>
    <t>05.04.060</t>
  </si>
  <si>
    <t>Transporte manual horizontal e/ou vertical de entulho até o local de despejo - ensacado</t>
  </si>
  <si>
    <t>05.07</t>
  </si>
  <si>
    <t>Transporte comercial, carreteiro e aluguel</t>
  </si>
  <si>
    <t>05.07.040</t>
  </si>
  <si>
    <t>Remoção de entulho separado de obra com caçamba metálica - terra, alvenaria, concreto, argamassa, madeira, papel, plástico ou metal</t>
  </si>
  <si>
    <t>05.07.050</t>
  </si>
  <si>
    <t>Remoção de entulho de obra com caçamba metálica - material volumoso e misturado por alvenaria, terra, madeira, papel, plástico e metal</t>
  </si>
  <si>
    <t>05.07.060</t>
  </si>
  <si>
    <t>Remoção de entulho de obra com caçamba metálica - material rejeitado e misturado por vegetação, isopor, manta asfáltica e lã de vidro</t>
  </si>
  <si>
    <t>05.07.070</t>
  </si>
  <si>
    <t>Remoção de entulho de obra com caçamba metálica - gesso e/ou drywall</t>
  </si>
  <si>
    <t>05.08</t>
  </si>
  <si>
    <t>Transporte mecanizado de material solto</t>
  </si>
  <si>
    <t>05.08.060</t>
  </si>
  <si>
    <t>Transporte de entulho, para distâncias superiores ao 3° km até o 5° km</t>
  </si>
  <si>
    <t>05.08.080</t>
  </si>
  <si>
    <t>Transporte de entulho, para distâncias superiores ao 5° km até o 10° km</t>
  </si>
  <si>
    <t>05.08.100</t>
  </si>
  <si>
    <t>Transporte de entulho, para distâncias superiores ao 10° km até o 15° km</t>
  </si>
  <si>
    <t>05.08.120</t>
  </si>
  <si>
    <t>Transporte de entulho, para distâncias superiores ao 15° km até o 20° km</t>
  </si>
  <si>
    <t>05.08.140</t>
  </si>
  <si>
    <t>Transporte de entulho, para distâncias superiores ao 20° km</t>
  </si>
  <si>
    <t>M3XKM</t>
  </si>
  <si>
    <t>05.08.220</t>
  </si>
  <si>
    <t>Carregamento mecanizado de entulho fragmentado, com caminhão à disposição dentro da obra, até o raio de 1 km</t>
  </si>
  <si>
    <t>05.09</t>
  </si>
  <si>
    <t>Taxas de recolhimento</t>
  </si>
  <si>
    <t>05.09.006</t>
  </si>
  <si>
    <t>Taxa de destinação de resíduo sólido em aterro, tipo inerte</t>
  </si>
  <si>
    <t>T</t>
  </si>
  <si>
    <t>05.09.007</t>
  </si>
  <si>
    <t>Taxa de destinação de resíduo sólido em aterro, tipo solo/terra</t>
  </si>
  <si>
    <t>05.09.008</t>
  </si>
  <si>
    <t>05.10</t>
  </si>
  <si>
    <t>Transporte mecanizado de solo</t>
  </si>
  <si>
    <t>05.10.010</t>
  </si>
  <si>
    <t>Carregamento mecanizado de solo de 1ª e 2ª categoria</t>
  </si>
  <si>
    <t>05.10.020</t>
  </si>
  <si>
    <t>Transporte de solo de 1ª e 2ª categoria por caminhão até o 2° km</t>
  </si>
  <si>
    <t>05.10.021</t>
  </si>
  <si>
    <t>Transporte de solo de 1ª e 2ª categoria por caminhão para distâncias superiores ao 2° km até o 3° km</t>
  </si>
  <si>
    <t>05.10.022</t>
  </si>
  <si>
    <t>Transporte de solo de 1ª e 2ª categoria por caminhão para distâncias superiores ao 3° km até o 5° km</t>
  </si>
  <si>
    <t>05.10.023</t>
  </si>
  <si>
    <t>Transporte de solo de 1ª e 2ª categoria por caminhão para distâncias superiores ao 5° km até o 10° km</t>
  </si>
  <si>
    <t>05.10.024</t>
  </si>
  <si>
    <t>Transporte de solo de 1ª e 2ª categoria por caminhão para distâncias superiores ao 10° km até o 15° km</t>
  </si>
  <si>
    <t>05.10.025</t>
  </si>
  <si>
    <t>Transporte de solo de 1ª e 2ª categoria por caminhão para distâncias superiores ao 15° km até o 20° km</t>
  </si>
  <si>
    <t>05.10.026</t>
  </si>
  <si>
    <t>Transporte de solo de 1ª e 2ª categoria por caminhão para distâncias superiores ao 20° km</t>
  </si>
  <si>
    <t>05.10.030</t>
  </si>
  <si>
    <t>Transporte de solo brejoso por caminhão até o 2° km</t>
  </si>
  <si>
    <t>05.10.031</t>
  </si>
  <si>
    <t>Transporte de solo brejoso por caminhão para distâncias superiores ao 2° km até o 3° km</t>
  </si>
  <si>
    <t>05.10.032</t>
  </si>
  <si>
    <t>Transporte de solo brejoso por caminhão para distâncias superiores ao 3° km até o 5° km</t>
  </si>
  <si>
    <t>05.10.033</t>
  </si>
  <si>
    <t>Transporte de solo brejoso por caminhão para distâncias superiores ao 5° km até o 10° km</t>
  </si>
  <si>
    <t>05.10.034</t>
  </si>
  <si>
    <t>Transporte de solo brejoso por caminhão para distâncias superiores ao 10° km até o 15° km</t>
  </si>
  <si>
    <t>05.10.035</t>
  </si>
  <si>
    <t>Transporte de solo brejoso por caminhão para distâncias superiores ao 15° km até o 20° km</t>
  </si>
  <si>
    <t>05.10.036</t>
  </si>
  <si>
    <t>Transporte de solo brejoso por caminhão para distâncias superiores ao 20° km</t>
  </si>
  <si>
    <t>06</t>
  </si>
  <si>
    <t>SERVICO EM SOLO E ROCHA, MANUAL</t>
  </si>
  <si>
    <t>06.01</t>
  </si>
  <si>
    <t>Escavação manual em campo aberto de solo, exceto rocha</t>
  </si>
  <si>
    <t>06.01.020</t>
  </si>
  <si>
    <t>Escavação manual em solo de 1ª e 2ª categoria em campo aberto</t>
  </si>
  <si>
    <t>06.01.040</t>
  </si>
  <si>
    <t>Escavação manual em solo brejoso em campo aberto</t>
  </si>
  <si>
    <t>06.02</t>
  </si>
  <si>
    <t>Escavação manual em valas e buracos de solo, exceto rocha</t>
  </si>
  <si>
    <t>06.02.020</t>
  </si>
  <si>
    <t>Escavação manual em solo de 1ª e 2ª categoria em vala ou cava até 1,5 m</t>
  </si>
  <si>
    <t>06.02.040</t>
  </si>
  <si>
    <t>Escavação manual em solo de 1ª e 2ª categoria em vala ou cava além de 1,5 m</t>
  </si>
  <si>
    <t>06.11</t>
  </si>
  <si>
    <t>Reaterro manual sem fornecimento de material</t>
  </si>
  <si>
    <t>06.11.020</t>
  </si>
  <si>
    <t>Reaterro manual para simples regularização sem compactação</t>
  </si>
  <si>
    <t>06.11.040</t>
  </si>
  <si>
    <t>Reaterro manual apiloado sem controle de compactação</t>
  </si>
  <si>
    <t>06.11.060</t>
  </si>
  <si>
    <t>Reaterro manual com adição de 2% de cimento</t>
  </si>
  <si>
    <t>06.12</t>
  </si>
  <si>
    <t>Aterro manual sem fornecimento de material</t>
  </si>
  <si>
    <t>06.12.020</t>
  </si>
  <si>
    <t>Aterro manual apiloado de área interna com maço de 30 kg</t>
  </si>
  <si>
    <t>06.14</t>
  </si>
  <si>
    <t>Carga / carregamento e descarga manual</t>
  </si>
  <si>
    <t>06.14.020</t>
  </si>
  <si>
    <t>Carga manual de solo</t>
  </si>
  <si>
    <t>07</t>
  </si>
  <si>
    <t>SERVICO EM SOLO E ROCHA, MECANIZADO</t>
  </si>
  <si>
    <t>07.01</t>
  </si>
  <si>
    <t>Escavação ou corte mecanizados em campo aberto de solo, exceto rocha</t>
  </si>
  <si>
    <t>07.01.010</t>
  </si>
  <si>
    <t>Escavação e carga mecanizada para exploração de solo em jazida</t>
  </si>
  <si>
    <t>07.01.020</t>
  </si>
  <si>
    <t>Escavação e carga mecanizada em solo de 1ª categoria, em campo aberto</t>
  </si>
  <si>
    <t>07.01.060</t>
  </si>
  <si>
    <t>Escavação e carga mecanizada em solo de 2ª categoria, em campo aberto</t>
  </si>
  <si>
    <t>07.01.120</t>
  </si>
  <si>
    <t>Carga e remoção de terra até a distância média de 1 km</t>
  </si>
  <si>
    <t>07.02</t>
  </si>
  <si>
    <t>Escavação mecanizada de valas e buracos em solo, exceto rocha</t>
  </si>
  <si>
    <t>07.02.020</t>
  </si>
  <si>
    <t>Escavação mecanizada de valas ou cavas com profundidade de até 2 m</t>
  </si>
  <si>
    <t>07.02.040</t>
  </si>
  <si>
    <t>Escavação mecanizada de valas ou cavas com profundidade de até 3 m</t>
  </si>
  <si>
    <t>07.02.060</t>
  </si>
  <si>
    <t>Escavação mecanizada de valas ou cavas com profundidade de até 4 m</t>
  </si>
  <si>
    <t>07.02.080</t>
  </si>
  <si>
    <t>07.05</t>
  </si>
  <si>
    <t>Escavação mecanizada em solo brejoso ou turfa</t>
  </si>
  <si>
    <t>07.05.010</t>
  </si>
  <si>
    <t>Escavação e carga mecanizada em solo brejoso ou turfa</t>
  </si>
  <si>
    <t>07.05.020</t>
  </si>
  <si>
    <t>Escavação e carga mecanizada em solo vegetal superficial</t>
  </si>
  <si>
    <t>07.06</t>
  </si>
  <si>
    <t>Escavação ou carga mecanizada em campo aberto</t>
  </si>
  <si>
    <t>07.06.010</t>
  </si>
  <si>
    <t>07.10</t>
  </si>
  <si>
    <t>Apiloamento e nivelamento mecanizado de solo</t>
  </si>
  <si>
    <t>07.10.020</t>
  </si>
  <si>
    <t>Espalhamento de solo em bota-fora com compactação sem controle</t>
  </si>
  <si>
    <t>07.11</t>
  </si>
  <si>
    <t>Reaterro mecanizado sem fornecimento de material</t>
  </si>
  <si>
    <t>07.11.020</t>
  </si>
  <si>
    <t>Reaterro compactado mecanizado de vala ou cava com compactador</t>
  </si>
  <si>
    <t>07.11.040</t>
  </si>
  <si>
    <t>Reaterro compactado mecanizado de vala ou cava com rolo, mínimo de 95% PN</t>
  </si>
  <si>
    <t>07.12</t>
  </si>
  <si>
    <t>Aterro mecanizado sem fornecimento de material</t>
  </si>
  <si>
    <t>07.12.010</t>
  </si>
  <si>
    <t>07.12.020</t>
  </si>
  <si>
    <t>07.12.030</t>
  </si>
  <si>
    <t>07.12.040</t>
  </si>
  <si>
    <t>08</t>
  </si>
  <si>
    <t>ESCORAMENTO, CONTENCAO E DRENAGEM</t>
  </si>
  <si>
    <t>08.01</t>
  </si>
  <si>
    <t>Escoramento</t>
  </si>
  <si>
    <t>08.01.020</t>
  </si>
  <si>
    <t>Escoramento de solo contínuo</t>
  </si>
  <si>
    <t>08.01.040</t>
  </si>
  <si>
    <t>Escoramento de solo descontínuo</t>
  </si>
  <si>
    <t>08.01.060</t>
  </si>
  <si>
    <t>Escoramento de solo pontaletado</t>
  </si>
  <si>
    <t>08.01.080</t>
  </si>
  <si>
    <t>Escoramento de solo especial</t>
  </si>
  <si>
    <t>08.01.100</t>
  </si>
  <si>
    <t>Escoramento com estacas pranchas metálicas - profundidade até 4 m</t>
  </si>
  <si>
    <t>08.01.110</t>
  </si>
  <si>
    <t>Escoramento com estacas pranchas metálicas - profundidade até 6 m</t>
  </si>
  <si>
    <t>08.01.120</t>
  </si>
  <si>
    <t>Escoramento com estacas pranchas metálicas - profundidade até 8 m</t>
  </si>
  <si>
    <t>08.02</t>
  </si>
  <si>
    <t>Cimbramento</t>
  </si>
  <si>
    <t>08.02.020</t>
  </si>
  <si>
    <t>Cimbramento em madeira com estroncas de eucalipto</t>
  </si>
  <si>
    <t>08.02.040</t>
  </si>
  <si>
    <t>Cimbramento em perfil metálico para obras de arte</t>
  </si>
  <si>
    <t>08.02.050</t>
  </si>
  <si>
    <t>Cimbramento tubular metálico</t>
  </si>
  <si>
    <t>M3MES</t>
  </si>
  <si>
    <t>08.02.060</t>
  </si>
  <si>
    <t>Montagem e desmontagem de cimbramento tubular metálico</t>
  </si>
  <si>
    <t>08.03</t>
  </si>
  <si>
    <t>Descimbramento</t>
  </si>
  <si>
    <t>08.03.020</t>
  </si>
  <si>
    <t>Descimbramento em madeira</t>
  </si>
  <si>
    <t>08.05</t>
  </si>
  <si>
    <t>Manta, filtro e dreno</t>
  </si>
  <si>
    <t>08.05.010</t>
  </si>
  <si>
    <t>Geomembrana em polietileno de alta densidade PEAD de 1 mm</t>
  </si>
  <si>
    <t>08.05.100</t>
  </si>
  <si>
    <t>Dreno com pedra britada</t>
  </si>
  <si>
    <t>08.05.110</t>
  </si>
  <si>
    <t>Dreno com areia grossa</t>
  </si>
  <si>
    <t>08.05.180</t>
  </si>
  <si>
    <t>Manta geotêxtil com resistência à tração longitudinal de 10kN/m e transversal de 9kN/m</t>
  </si>
  <si>
    <t>08.05.190</t>
  </si>
  <si>
    <t>Manta geotêxtil com resistência à tração longitudinal de 16kN/m e transversal de 14kN/m</t>
  </si>
  <si>
    <t>08.05.220</t>
  </si>
  <si>
    <t>Manta geotêxtil com resistência à tração longitudinal de 31kN/m e transversal de 27kN/m</t>
  </si>
  <si>
    <t>08.06</t>
  </si>
  <si>
    <t>Barbaca</t>
  </si>
  <si>
    <t>08.06.040</t>
  </si>
  <si>
    <t>Barbacã em tubo de PVC com diâmetro 50 mm</t>
  </si>
  <si>
    <t>08.06.060</t>
  </si>
  <si>
    <t>Barbacã em tubo de PVC com diâmetro 75 mm</t>
  </si>
  <si>
    <t>08.06.080</t>
  </si>
  <si>
    <t>Barbacã em tubo de PVC com diâmetro 100 mm</t>
  </si>
  <si>
    <t>08.07</t>
  </si>
  <si>
    <t>Esgotamento</t>
  </si>
  <si>
    <t>08.07.050</t>
  </si>
  <si>
    <t>Taxa de mobilização e desmobilização de equipamentos para execução de rebaixamento de lençol freático</t>
  </si>
  <si>
    <t>08.07.060</t>
  </si>
  <si>
    <t>Locação de conjunto de bombeamento a vácuo para rebaixamento de lençol freático, com até 50 ponteiras e potência até 15 HP, mínimo 30 dias</t>
  </si>
  <si>
    <t>CJxDI</t>
  </si>
  <si>
    <t>08.07.070</t>
  </si>
  <si>
    <t>Ponteiras filtrantes, profundidade até 5 m</t>
  </si>
  <si>
    <t>08.07.090</t>
  </si>
  <si>
    <t>Esgotamento de águas superficiais com bomba de superfície ou submersa</t>
  </si>
  <si>
    <t>HPXh</t>
  </si>
  <si>
    <t>08.10</t>
  </si>
  <si>
    <t>Contenção</t>
  </si>
  <si>
    <t>08.10.040</t>
  </si>
  <si>
    <t>Enrocamento com pedra arrumada</t>
  </si>
  <si>
    <t>08.10.060</t>
  </si>
  <si>
    <t>Enrocamento com pedra assentada</t>
  </si>
  <si>
    <t>08.10.108</t>
  </si>
  <si>
    <t>Gabião tipo caixa em tela metálica, altura de 0,5 m, com revestimento liga zinco/alumínio, malha hexagonal 8/10 cm, fio diâmetro 2,7 mm, independente do formato ou utilização</t>
  </si>
  <si>
    <t>08.10.109</t>
  </si>
  <si>
    <t>Gabião tipo caixa em tela metálica, altura de 1 m, com revestimento liga zinco/alumínio, malha hexagonal 8/10 cm, fio diâmetro 2,7 mm, independente do formato ou utilização</t>
  </si>
  <si>
    <t>09</t>
  </si>
  <si>
    <t>FORMA</t>
  </si>
  <si>
    <t>09.01</t>
  </si>
  <si>
    <t>Forma em tabua</t>
  </si>
  <si>
    <t>09.01.020</t>
  </si>
  <si>
    <t>Forma em madeira comum para fundação</t>
  </si>
  <si>
    <t>09.01.030</t>
  </si>
  <si>
    <t>Forma em madeira comum para estrutura</t>
  </si>
  <si>
    <t>09.01.040</t>
  </si>
  <si>
    <t>Forma em madeira comum para caixão perdido</t>
  </si>
  <si>
    <t>09.01.150</t>
  </si>
  <si>
    <t>Desmontagem de forma em madeira para estrutura de laje, com tábuas</t>
  </si>
  <si>
    <t>09.01.160</t>
  </si>
  <si>
    <t>Desmontagem de forma em madeira para estrutura de vigas, com tábuas</t>
  </si>
  <si>
    <t>09.02</t>
  </si>
  <si>
    <t>Forma em madeira compensada</t>
  </si>
  <si>
    <t>09.02.020</t>
  </si>
  <si>
    <t>Forma plana em compensado para estrutura convencional</t>
  </si>
  <si>
    <t>09.02.040</t>
  </si>
  <si>
    <t>Forma plana em compensado para estrutura aparente</t>
  </si>
  <si>
    <t>09.02.060</t>
  </si>
  <si>
    <t>Forma curva em compensado para estrutura aparente</t>
  </si>
  <si>
    <t>09.02.080</t>
  </si>
  <si>
    <t>Forma plana em compensado para obra de arte, sem cimbramento</t>
  </si>
  <si>
    <t>09.02.100</t>
  </si>
  <si>
    <t>Forma em compensado para encamisamento de tubulão</t>
  </si>
  <si>
    <t>09.02.120</t>
  </si>
  <si>
    <t>Forma ripada de 5 cm na vertical</t>
  </si>
  <si>
    <t>09.02.130</t>
  </si>
  <si>
    <t>Forma plana em compensado para estrutura convencional com cimbramento tubular metálico</t>
  </si>
  <si>
    <t>09.02.140</t>
  </si>
  <si>
    <t>Forma plana em compensado para estrutura aparente com cimbramento tubular metálico</t>
  </si>
  <si>
    <t>09.02.150</t>
  </si>
  <si>
    <t>Forma curva em compensado para estrutura convencional com cimbramento tubular metálico</t>
  </si>
  <si>
    <t>09.04</t>
  </si>
  <si>
    <t>Forma em papelão</t>
  </si>
  <si>
    <t>09.04.020</t>
  </si>
  <si>
    <t>Forma em tubo de papelão com diâmetro de 25 cm</t>
  </si>
  <si>
    <t>09.04.030</t>
  </si>
  <si>
    <t>Forma em tubo de papelão com diâmetro de 30 cm</t>
  </si>
  <si>
    <t>09.04.040</t>
  </si>
  <si>
    <t>Forma em tubo de papelão com diâmetro de 35 cm</t>
  </si>
  <si>
    <t>09.04.050</t>
  </si>
  <si>
    <t>Forma em tubo de papelão com diâmetro de 40 cm</t>
  </si>
  <si>
    <t>09.04.060</t>
  </si>
  <si>
    <t>Forma em tubo de papelão com diâmetro de 45 cm</t>
  </si>
  <si>
    <t>09.07</t>
  </si>
  <si>
    <t>Forma em polipropileno</t>
  </si>
  <si>
    <t>09.07.060</t>
  </si>
  <si>
    <t>Forma em polipropileno (cubeta) e acessórios para laje nervurada com dimensões variáveis - locação</t>
  </si>
  <si>
    <t>10</t>
  </si>
  <si>
    <t>ARMADURA E CORDOALHA ESTRUTURAL</t>
  </si>
  <si>
    <t>10.01</t>
  </si>
  <si>
    <t>Armadura em barra</t>
  </si>
  <si>
    <t>10.01.020</t>
  </si>
  <si>
    <t>Armadura em barra de aço CA-25 fyk = 250 MPa</t>
  </si>
  <si>
    <t>10.01.040</t>
  </si>
  <si>
    <t>Armadura em barra de aço CA-50 (A ou B) fyk = 500 MPa</t>
  </si>
  <si>
    <t>10.01.060</t>
  </si>
  <si>
    <t>Armadura em barra de aço CA-60 (A ou B) fyk = 600 MPa</t>
  </si>
  <si>
    <t>10.02</t>
  </si>
  <si>
    <t>Armadura em tela</t>
  </si>
  <si>
    <t>10.02.020</t>
  </si>
  <si>
    <t>Armadura em tela soldada de aço</t>
  </si>
  <si>
    <t>11</t>
  </si>
  <si>
    <t>CONCRETO, MASSA E LASTRO</t>
  </si>
  <si>
    <t>11.01</t>
  </si>
  <si>
    <t>Concreto usinado com controle fck - fornecimento do material</t>
  </si>
  <si>
    <t>11.01.100</t>
  </si>
  <si>
    <t>Concreto usinado, fck = 20 MPa</t>
  </si>
  <si>
    <t>Concreto usinado, fck = 25 MPa</t>
  </si>
  <si>
    <t>Concreto usinado, fck = 30 MPa</t>
  </si>
  <si>
    <t>11.01.170</t>
  </si>
  <si>
    <t>Concreto usinado, fck = 35 MPa</t>
  </si>
  <si>
    <t>11.01.190</t>
  </si>
  <si>
    <t>Concreto usinado, fck = 40 MPa</t>
  </si>
  <si>
    <t>11.01.260</t>
  </si>
  <si>
    <t>Concreto usinado, fck = 20 MPa - para bombeamento</t>
  </si>
  <si>
    <t>11.01.290</t>
  </si>
  <si>
    <t>Concreto usinado, fck = 25 MPa - para bombeamento</t>
  </si>
  <si>
    <t>11.01.320</t>
  </si>
  <si>
    <t>Concreto usinado, fck = 30 MPa - para bombeamento</t>
  </si>
  <si>
    <t>11.01.321</t>
  </si>
  <si>
    <t>Concreto usinado, fck = 35 MPa - para bombeamento</t>
  </si>
  <si>
    <t>11.01.350</t>
  </si>
  <si>
    <t>Concreto usinado, fck = 40 MPa - para bombeamento</t>
  </si>
  <si>
    <t>11.01.520</t>
  </si>
  <si>
    <t>Concreto usinado, fck = 30 MPa - para bombeamento em estaca hélice contínua</t>
  </si>
  <si>
    <t>11.01.630</t>
  </si>
  <si>
    <t>Concreto usinado, fck = 25 MPa - para perfil extrudado</t>
  </si>
  <si>
    <t>11.02</t>
  </si>
  <si>
    <t>Concreto usinado não estrutural - fornecimento do material</t>
  </si>
  <si>
    <t>11.02.020</t>
  </si>
  <si>
    <t>Concreto usinado não estrutural mínimo 150 kg cimento / m³</t>
  </si>
  <si>
    <t>11.02.040</t>
  </si>
  <si>
    <t>Concreto usinado não estrutural mínimo 200 kg cimento / m³</t>
  </si>
  <si>
    <t>11.02.060</t>
  </si>
  <si>
    <t>Concreto usinado não estrutural mínimo 300 kg cimento / m³</t>
  </si>
  <si>
    <t>11.03</t>
  </si>
  <si>
    <t>Concreto executado no local com controle fck - fornecimento do material</t>
  </si>
  <si>
    <t>11.03.090</t>
  </si>
  <si>
    <t>Concreto preparado no local, fck = 20 MPa</t>
  </si>
  <si>
    <t>11.04</t>
  </si>
  <si>
    <t>Concreto não estrutural executado no local - fornecimento do material</t>
  </si>
  <si>
    <t>11.04.020</t>
  </si>
  <si>
    <t>Concreto não estrutural executado no local, mínimo 150 kg cimento / m³</t>
  </si>
  <si>
    <t>11.04.040</t>
  </si>
  <si>
    <t>Concreto não estrutural executado no local, mínimo 200 kg cimento / m³</t>
  </si>
  <si>
    <t>11.04.060</t>
  </si>
  <si>
    <t>Concreto não estrutural executado no local, mínimo 300 kg cimento / m³</t>
  </si>
  <si>
    <t>11.05</t>
  </si>
  <si>
    <t>Concreto e argamassa especial</t>
  </si>
  <si>
    <t>11.05.010</t>
  </si>
  <si>
    <t>Argamassa em solo e cimento a 5% em peso</t>
  </si>
  <si>
    <t>11.05.030</t>
  </si>
  <si>
    <t>11.05.040</t>
  </si>
  <si>
    <t>Argamassa graute</t>
  </si>
  <si>
    <t>11.05.060</t>
  </si>
  <si>
    <t>Concreto ciclópico - fornecimento e aplicação (com 30% de pedra rachão), concreto fck 15 Mpa</t>
  </si>
  <si>
    <t>11.05.120</t>
  </si>
  <si>
    <t>Execução de concreto projetado - consumo de cimento 350 kg/m³</t>
  </si>
  <si>
    <t>11.11</t>
  </si>
  <si>
    <t>Argamassas especiais</t>
  </si>
  <si>
    <t>11.11.030</t>
  </si>
  <si>
    <t>Argamassa de cimento e areia, fck = 20 MPa, consumo de cimento 600 kg/m³ - material para injeção em estaca raiz</t>
  </si>
  <si>
    <t>11.16</t>
  </si>
  <si>
    <t>Lançamento e aplicação</t>
  </si>
  <si>
    <t>11.16.040</t>
  </si>
  <si>
    <t>Lançamento e adensamento de concreto ou massa em fundação</t>
  </si>
  <si>
    <t>11.16.060</t>
  </si>
  <si>
    <t>Lançamento e adensamento de concreto ou massa em estrutura</t>
  </si>
  <si>
    <t>11.16.080</t>
  </si>
  <si>
    <t>Lançamento e adensamento de concreto ou massa por bombeamento</t>
  </si>
  <si>
    <t>11.16.220</t>
  </si>
  <si>
    <t>Nivelamento de piso em concreto com acabadora de superfície</t>
  </si>
  <si>
    <t>11.18</t>
  </si>
  <si>
    <t>Lastro e enchimento</t>
  </si>
  <si>
    <t>11.18.020</t>
  </si>
  <si>
    <t>Lastro de areia</t>
  </si>
  <si>
    <t>11.18.040</t>
  </si>
  <si>
    <t>Lastro de pedra britada</t>
  </si>
  <si>
    <t>11.18.070</t>
  </si>
  <si>
    <t>Enchimento de laje com concreto celular com densidade de 1.200 kg/m³</t>
  </si>
  <si>
    <t>11.18.080</t>
  </si>
  <si>
    <t>Enchimento de laje com tijolos cerâmicos furados</t>
  </si>
  <si>
    <t>11.18.110</t>
  </si>
  <si>
    <t>Enchimento de nichos em geral, com material proveniente de entulho</t>
  </si>
  <si>
    <t>Lastro e/ou fundação em rachão mecanizado</t>
  </si>
  <si>
    <t>11.18.150</t>
  </si>
  <si>
    <t>Lastro e/ou fundação em rachão manual</t>
  </si>
  <si>
    <t>11.18.160</t>
  </si>
  <si>
    <t>Enchimento de nichos em geral, com areia</t>
  </si>
  <si>
    <t>11.18.180</t>
  </si>
  <si>
    <t>Colchão de areia</t>
  </si>
  <si>
    <t>11.18.190</t>
  </si>
  <si>
    <t>Enchimento de nichos com poliestireno expandido do tipo P-1</t>
  </si>
  <si>
    <t>11.18.220</t>
  </si>
  <si>
    <t>Enchimento de nichos com poliestireno expandido do tipo EPS-5F</t>
  </si>
  <si>
    <t>11.20</t>
  </si>
  <si>
    <t>Reparos, conservações e complementos - GRUPO 11</t>
  </si>
  <si>
    <t>11.20.030</t>
  </si>
  <si>
    <t>11.20.050</t>
  </si>
  <si>
    <t>Corte de junta de dilatação, com serra de disco diamantado para pisos</t>
  </si>
  <si>
    <t>11.20.090</t>
  </si>
  <si>
    <t>Selante endurecedor de concreto antipó</t>
  </si>
  <si>
    <t>11.20.120</t>
  </si>
  <si>
    <t>Reparo superficial com argamassa polimérica (tixotrópica), bicomponente</t>
  </si>
  <si>
    <t>11.20.130</t>
  </si>
  <si>
    <t>Tratamento de fissuras estáveis (não ativas) em elementos de concreto</t>
  </si>
  <si>
    <t>12</t>
  </si>
  <si>
    <t>FUNDACAO PROFUNDA</t>
  </si>
  <si>
    <t>12.01</t>
  </si>
  <si>
    <t>Broca</t>
  </si>
  <si>
    <t>12.01.021</t>
  </si>
  <si>
    <t>Broca em concreto armado diâmetro de 20 cm - completa</t>
  </si>
  <si>
    <t>12.01.041</t>
  </si>
  <si>
    <t>Broca em concreto armado diâmetro de 25 cm - completa</t>
  </si>
  <si>
    <t>12.01.061</t>
  </si>
  <si>
    <t>Broca em concreto armado diâmetro de 30 cm - completa</t>
  </si>
  <si>
    <t>12.04</t>
  </si>
  <si>
    <t>Estaca pre-moldada de concreto</t>
  </si>
  <si>
    <t>Taxa de mobilização e desmobilização de equipamentos para execução de estaca pré-moldada</t>
  </si>
  <si>
    <t>12.05</t>
  </si>
  <si>
    <t>Estaca escavada mecanicamente</t>
  </si>
  <si>
    <t>12.05.010</t>
  </si>
  <si>
    <t>Taxa de mobilização e desmobilização de equipamentos para execução de estaca escavada</t>
  </si>
  <si>
    <t>12.05.020</t>
  </si>
  <si>
    <t>Estaca escavada mecanicamente, diâmetro de 25 cm até 20 t</t>
  </si>
  <si>
    <t>12.05.030</t>
  </si>
  <si>
    <t>Estaca escavada mecanicamente, diâmetro de 30 cm até 30 t</t>
  </si>
  <si>
    <t>12.05.040</t>
  </si>
  <si>
    <t>Estaca escavada mecanicamente, diâmetro de 35 cm até 40 t</t>
  </si>
  <si>
    <t>12.05.150</t>
  </si>
  <si>
    <t>Estaca escavada mecanicamente, diâmetro de 40 cm até 50 t</t>
  </si>
  <si>
    <t>12.06</t>
  </si>
  <si>
    <t>Estaca tipo STRAUSS</t>
  </si>
  <si>
    <t>12.06.010</t>
  </si>
  <si>
    <t>Taxa de mobilização e desmobilização de equipamentos para execução de estaca tipo Strauss</t>
  </si>
  <si>
    <t>12.06.020</t>
  </si>
  <si>
    <t>Estaca tipo Strauss, diâmetro de 25 cm até 20 t</t>
  </si>
  <si>
    <t>12.06.030</t>
  </si>
  <si>
    <t>Estaca tipo Strauss, diâmetro de 32 cm até 30 t</t>
  </si>
  <si>
    <t>12.06.040</t>
  </si>
  <si>
    <t>Estaca tipo Strauss, diâmetro de 38 cm até 40 t</t>
  </si>
  <si>
    <t>12.06.080</t>
  </si>
  <si>
    <t>Estaca tipo Strauss, diâmetro de 45 cm até 60 t</t>
  </si>
  <si>
    <t>12.07</t>
  </si>
  <si>
    <t>Estaca tipo RAIZ</t>
  </si>
  <si>
    <t>12.07.010</t>
  </si>
  <si>
    <t>Taxa de mobilização e desmobilização de equipamentos para execução de estaca tipo Raiz em solo</t>
  </si>
  <si>
    <t>12.07.030</t>
  </si>
  <si>
    <t>Estaca tipo Raiz, diâmetro de 10 cm para 10 t, em solo</t>
  </si>
  <si>
    <t>12.07.050</t>
  </si>
  <si>
    <t>Estaca tipo Raiz, diâmetro de 12 cm para 15 t, em solo</t>
  </si>
  <si>
    <t>12.07.060</t>
  </si>
  <si>
    <t>Estaca tipo Raiz, diâmetro de 15 cm para 25 t, em solo</t>
  </si>
  <si>
    <t>12.07.070</t>
  </si>
  <si>
    <t>Estaca tipo Raiz, diâmetro de 16 cm para 35 t, em solo</t>
  </si>
  <si>
    <t>12.07.090</t>
  </si>
  <si>
    <t>Estaca tipo Raiz, diâmetro de 20 cm para 50 t, em solo</t>
  </si>
  <si>
    <t>12.07.100</t>
  </si>
  <si>
    <t>Estaca tipo Raiz, diâmetro de 25 cm para 80 t, em solo</t>
  </si>
  <si>
    <t>12.07.110</t>
  </si>
  <si>
    <t>Estaca tipo Raiz, diâmetro de 31 cm para 100 t, em solo</t>
  </si>
  <si>
    <t>12.07.130</t>
  </si>
  <si>
    <t>Estaca tipo Raiz, diâmetro de 40 cm para 130 t, em solo</t>
  </si>
  <si>
    <t>12.07.151</t>
  </si>
  <si>
    <t>Estaca tipo Raiz, diâmetro de 31 cm, sem armação, em solo</t>
  </si>
  <si>
    <t>12.07.153</t>
  </si>
  <si>
    <t>Estaca tipo Raiz, diâmetro de 45 cm, sem armação, em solo</t>
  </si>
  <si>
    <t>12.07.270</t>
  </si>
  <si>
    <t>Taxa de mobilização e desmobilização de equipamentos para execução de estaca tipo Raiz em rocha</t>
  </si>
  <si>
    <t>12.07.271</t>
  </si>
  <si>
    <t>Estaca tipo Raiz, diâmetro de 31 cm, sem armação, em rocha</t>
  </si>
  <si>
    <t>12.07.272</t>
  </si>
  <si>
    <t>Estaca tipo Raiz, diâmetro de 41 cm, sem armação, em rocha</t>
  </si>
  <si>
    <t>12.07.273</t>
  </si>
  <si>
    <t>Estaca tipo Raiz, diâmetro de 45 cm, sem armação, em rocha</t>
  </si>
  <si>
    <t>12.07.274</t>
  </si>
  <si>
    <t>Estaca tipo Raiz, diâmetro de 15 cm para 25 t, sem armação e sem argamassa, em rocha</t>
  </si>
  <si>
    <t>12.07.511</t>
  </si>
  <si>
    <t>Injeção de argamassa de cimento e areia em estaca raiz - sobreconsumo</t>
  </si>
  <si>
    <t>12.09</t>
  </si>
  <si>
    <t>Tubulão</t>
  </si>
  <si>
    <t>12.09.010</t>
  </si>
  <si>
    <t>Taxa de mobilização e desmobilização de equipamentos para execução de tubulão escavado mecanicamente</t>
  </si>
  <si>
    <t>12.09.020</t>
  </si>
  <si>
    <t>Abertura de fuste mecanizado diâmetro de 50 cm</t>
  </si>
  <si>
    <t>12.09.040</t>
  </si>
  <si>
    <t>Abertura de fuste mecanizado diâmetro de 60 cm</t>
  </si>
  <si>
    <t>12.09.060</t>
  </si>
  <si>
    <t>Abertura de fuste mecanizado diâmetro de 80 cm</t>
  </si>
  <si>
    <t>12.09.140</t>
  </si>
  <si>
    <t>Escavação manual em campo aberto para tubulão, fuste e/ou base</t>
  </si>
  <si>
    <t>12.12</t>
  </si>
  <si>
    <t>Estaca hélice continua</t>
  </si>
  <si>
    <t>12.12.010</t>
  </si>
  <si>
    <t>Taxa de mobilização e desmobilização de equipamentos para execução de estaca tipo hélice contínua em solo</t>
  </si>
  <si>
    <t>12.12.014</t>
  </si>
  <si>
    <t>Estaca tipo hélice contínua, diâmetro de 25 cm em solo</t>
  </si>
  <si>
    <t>12.12.016</t>
  </si>
  <si>
    <t>Estaca tipo hélice contínua, diâmetro de 30 cm em solo</t>
  </si>
  <si>
    <t>12.12.020</t>
  </si>
  <si>
    <t>Estaca tipo hélice contínua, diâmetro de 35 cm em solo</t>
  </si>
  <si>
    <t>12.12.060</t>
  </si>
  <si>
    <t>Estaca tipo hélice contínua, diâmetro de 40 cm em solo</t>
  </si>
  <si>
    <t>12.12.070</t>
  </si>
  <si>
    <t>Estaca tipo hélice contínua, diâmetro de 50 cm em solo</t>
  </si>
  <si>
    <t>12.12.074</t>
  </si>
  <si>
    <t>Estaca tipo hélice contínua, diâmetro de 60 cm em solo</t>
  </si>
  <si>
    <t>12.12.090</t>
  </si>
  <si>
    <t>Estaca tipo hélice contínua, diâmetro de 70 cm em solo</t>
  </si>
  <si>
    <t>12.12.100</t>
  </si>
  <si>
    <t>Estaca tipo hélice contínua, diâmetro de 80 cm em solo</t>
  </si>
  <si>
    <t>12.14</t>
  </si>
  <si>
    <t>Estaca escavada com injeção ou micro estaca</t>
  </si>
  <si>
    <t>12.14.010</t>
  </si>
  <si>
    <t>Taxa de mobilização e desmobilização de equipamentos para execução de estacas escavadas com injeção ou microestaca</t>
  </si>
  <si>
    <t>12.14.040</t>
  </si>
  <si>
    <t>Estaca escavada com injeção ou microestaca, diâmetro de 16 cm</t>
  </si>
  <si>
    <t>12.14.050</t>
  </si>
  <si>
    <t>Estaca escavada com injeção ou microestaca, diâmetro de 20 cm</t>
  </si>
  <si>
    <t>12.14.060</t>
  </si>
  <si>
    <t>Estaca escavada com injeção ou microestaca, diâmetro de 25 cm</t>
  </si>
  <si>
    <t>13</t>
  </si>
  <si>
    <t>LAJE E PAINEL DE FECHAMENTO PRE-FABRICADOS</t>
  </si>
  <si>
    <t>13.01</t>
  </si>
  <si>
    <t>Laje pre-fabricada mista em vigotas treplicadas e lajotas</t>
  </si>
  <si>
    <t>13.01.130</t>
  </si>
  <si>
    <t>Laje pré-fabricada mista vigota treliçada/lajota cerâmica - LT 12 (8+4) e capa com concreto de 25 MPa</t>
  </si>
  <si>
    <t>13.01.150</t>
  </si>
  <si>
    <t>Laje pré-fabricada mista vigota treliçada/lajota cerâmica - LT 16 (12+4) e capa com concreto de 25 MPa</t>
  </si>
  <si>
    <t>13.01.170</t>
  </si>
  <si>
    <t>Laje pré-fabricada mista vigota treliçada/lajota cerâmica - LT 20 (16+4) e capa com concreto de 25 MPa</t>
  </si>
  <si>
    <t>13.01.190</t>
  </si>
  <si>
    <t>Laje pré-fabricada mista vigota treliçada/lajota cerâmica - LT 24 (20+4) e capa com concreto de 25 MPa</t>
  </si>
  <si>
    <t>13.01.210</t>
  </si>
  <si>
    <t>Laje pré-fabricada mista vigota treliçada/lajota cerâmica - LT 30 (24+6) e capa com concreto de 25 MPa</t>
  </si>
  <si>
    <t>13.01.310</t>
  </si>
  <si>
    <t>Laje pré-fabricada unidirecional em viga treliçada/lajota em EPS LT 12 (8 + 4), com capa de concreto de 25 MPa</t>
  </si>
  <si>
    <t>13.01.320</t>
  </si>
  <si>
    <t>Laje pré-fabricada unidirecional em viga treliçada/lajota em EPS LT 16 (12 + 4), com capa de concreto de 25 MPa</t>
  </si>
  <si>
    <t>13.01.330</t>
  </si>
  <si>
    <t>Laje pré-fabricada unidirecional em viga treliçada/lajota em EPS LT 20 (16 + 4), com capa de concreto de 25 MPa</t>
  </si>
  <si>
    <t>13.01.340</t>
  </si>
  <si>
    <t>Laje pré-fabricada unidirecional em viga treliçada/lajota em EPS LT 25 (20 + 5), com capa de concreto de 25 MPa</t>
  </si>
  <si>
    <t>13.01.350</t>
  </si>
  <si>
    <t>Laje pré-fabricada unidirecional em viga treliçada/lajota em EPS LT 30 (25 + 5), com capa de concreto de 25 MPa</t>
  </si>
  <si>
    <t>13.02</t>
  </si>
  <si>
    <t>Laje pre-fabricada mista em vigotas protendidas e lajotas</t>
  </si>
  <si>
    <t>13.02.150</t>
  </si>
  <si>
    <t>Laje pré-fabricada mista vigota protendida/lajota cerâmica - LP 12 (8+4) e capa com concreto de 25 MPa</t>
  </si>
  <si>
    <t>13.02.170</t>
  </si>
  <si>
    <t>Laje pré-fabricada mista vigota protendida/lajota cerâmica - LP 16 (12+4) e capa com concreto de 25 MPa</t>
  </si>
  <si>
    <t>13.02.190</t>
  </si>
  <si>
    <t>Laje pré-fabricada mista vigota protendida/lajota cerâmica - LP 20 (16+4) e capa com concreto de 25 MPa</t>
  </si>
  <si>
    <t>13.02.210</t>
  </si>
  <si>
    <t>Laje pré-fabricada mista vigota protendida/lajota cerâmica - LP 25 (20+5) e capa com concreto de 25 MPa</t>
  </si>
  <si>
    <t>13.05</t>
  </si>
  <si>
    <t>Pre-laje</t>
  </si>
  <si>
    <t>13.05.084</t>
  </si>
  <si>
    <t>Pré-laje em painel pré-fabricado treliçado, com EPS, H= 12 cm</t>
  </si>
  <si>
    <t>13.05.090</t>
  </si>
  <si>
    <t>Pré-laje em painel pré-fabricado treliçado, com EPS, H= 16 cm</t>
  </si>
  <si>
    <t>13.05.094</t>
  </si>
  <si>
    <t>Pré-laje em painel pré-fabricado treliçado, com EPS, H= 20 cm</t>
  </si>
  <si>
    <t>13.05.096</t>
  </si>
  <si>
    <t>Pré-laje em painel pré-fabricado treliçado, com EPS, H= 25 cm</t>
  </si>
  <si>
    <t>13.05.110</t>
  </si>
  <si>
    <t>Pré-laje em painel pré-fabricado treliçado, H= 12 cm</t>
  </si>
  <si>
    <t>13.05.150</t>
  </si>
  <si>
    <t>Pré-laje em painel pré-fabricado treliçado, H= 16 cm</t>
  </si>
  <si>
    <t>14</t>
  </si>
  <si>
    <t>ALVENARIA E ELEMENTO DIVISOR</t>
  </si>
  <si>
    <t>14.01</t>
  </si>
  <si>
    <t>Alvenaria de fundação (embasamento)</t>
  </si>
  <si>
    <t>14.01.020</t>
  </si>
  <si>
    <t>Alvenaria de embasamento em tijolo maciço comum</t>
  </si>
  <si>
    <t>14.01.050</t>
  </si>
  <si>
    <t>Alvenaria de embasamento em bloco de concreto de 14 x 19 x 39 cm - classe A</t>
  </si>
  <si>
    <t>14.01.060</t>
  </si>
  <si>
    <t>Alvenaria de embasamento em bloco de concreto de 19 x 19 x 39 cm - classe A</t>
  </si>
  <si>
    <t>14.02</t>
  </si>
  <si>
    <t>Alvenaria com tijolo maciço comum ou especial</t>
  </si>
  <si>
    <t>14.02.020</t>
  </si>
  <si>
    <t>Alvenaria de elevação de 1/4 tijolo maciço comum</t>
  </si>
  <si>
    <t>14.02.030</t>
  </si>
  <si>
    <t>Alvenaria de elevação de 1/2 tijolo maciço comum</t>
  </si>
  <si>
    <t>14.02.040</t>
  </si>
  <si>
    <t>Alvenaria de elevação de 1 tijolo maciço comum</t>
  </si>
  <si>
    <t>14.02.050</t>
  </si>
  <si>
    <t>Alvenaria de elevação de 1 1/2 tijolo maciço comum</t>
  </si>
  <si>
    <t>14.02.070</t>
  </si>
  <si>
    <t>Alvenaria de elevação de 1/2 tijolo maciço aparente</t>
  </si>
  <si>
    <t>14.02.080</t>
  </si>
  <si>
    <t>Alvenaria de elevação de 1 tijolo maciço aparente</t>
  </si>
  <si>
    <t>14.03</t>
  </si>
  <si>
    <t>Alvenaria com tijolo laminado aparente</t>
  </si>
  <si>
    <t>14.03.020</t>
  </si>
  <si>
    <t>Alvenaria de elevação de 1/4 tijolo laminado</t>
  </si>
  <si>
    <t>14.03.040</t>
  </si>
  <si>
    <t>Alvenaria de elevação de 1/2 tijolo laminado</t>
  </si>
  <si>
    <t>14.03.060</t>
  </si>
  <si>
    <t>Alvenaria de elevação de 1 tijolo laminado</t>
  </si>
  <si>
    <t>14.04</t>
  </si>
  <si>
    <t>Alvenaria com bloco cerâmico de vedação</t>
  </si>
  <si>
    <t>14.04.200</t>
  </si>
  <si>
    <t>14.04.210</t>
  </si>
  <si>
    <t>14.04.220</t>
  </si>
  <si>
    <t>14.05</t>
  </si>
  <si>
    <t>Alvenaria com bloco cerâmico estrutural</t>
  </si>
  <si>
    <t>14.05.050</t>
  </si>
  <si>
    <t>14.05.060</t>
  </si>
  <si>
    <t>14.10</t>
  </si>
  <si>
    <t>Alvenaria com bloco de concreto de vedação</t>
  </si>
  <si>
    <t>14.10.101</t>
  </si>
  <si>
    <t>14.10.111</t>
  </si>
  <si>
    <t>14.10.121</t>
  </si>
  <si>
    <t>14.11</t>
  </si>
  <si>
    <t>Alvenaria com bloco de concreto estrutural</t>
  </si>
  <si>
    <t>14.11.221</t>
  </si>
  <si>
    <t>14.11.231</t>
  </si>
  <si>
    <t>14.11.261</t>
  </si>
  <si>
    <t>14.11.271</t>
  </si>
  <si>
    <t>14.15</t>
  </si>
  <si>
    <t>Alvenaria de concreto celular ou silico calcário</t>
  </si>
  <si>
    <t>14.15.060</t>
  </si>
  <si>
    <t>Alvenaria em bloco de concreto celular autoclavado de 10 cm, uso revestido - classe C25</t>
  </si>
  <si>
    <t>14.15.100</t>
  </si>
  <si>
    <t>Alvenaria em bloco de concreto celular autoclavado de 12,5 cm, uso revestido - classe C25</t>
  </si>
  <si>
    <t>14.15.120</t>
  </si>
  <si>
    <t>Alvenaria em bloco de concreto celular autoclavado de 15 cm, uso revestido - classe C25</t>
  </si>
  <si>
    <t>14.15.140</t>
  </si>
  <si>
    <t>Alvenaria em bloco de concreto celular autoclavado de 20 cm, uso revestido - classe C25</t>
  </si>
  <si>
    <t>14.20</t>
  </si>
  <si>
    <t>Pecas moldadas no local (vergas, pilaretes, etc.)</t>
  </si>
  <si>
    <t>14.20.010</t>
  </si>
  <si>
    <t>Vergas, contravergas e pilaretes de concreto armado</t>
  </si>
  <si>
    <t>14.20.020</t>
  </si>
  <si>
    <t>Cimalha em concreto com pingadeira</t>
  </si>
  <si>
    <t>14.28</t>
  </si>
  <si>
    <t>Elementos vazados (concreto, cerâmica e vidros)</t>
  </si>
  <si>
    <t>14.28.030</t>
  </si>
  <si>
    <t>Elemento vazado em concreto, tipo quadriculado de 39 x 39 x 10 cm</t>
  </si>
  <si>
    <t>14.28.096</t>
  </si>
  <si>
    <t>Elemento vazado em concreto, tipo veneziana de 39 x 39 x 10 cm</t>
  </si>
  <si>
    <t>14.28.100</t>
  </si>
  <si>
    <t>Elemento vazado em vidro, tipo veneziana capelinha de 20 x 10 x 10 cm</t>
  </si>
  <si>
    <t>14.28.140</t>
  </si>
  <si>
    <t>Elemento vazado em vidro, tipo veneziana de 20 x 20 x 6 cm</t>
  </si>
  <si>
    <t>14.30</t>
  </si>
  <si>
    <t>Divisória e fechamento</t>
  </si>
  <si>
    <t>14.30.010</t>
  </si>
  <si>
    <t>Divisória em placas de granito com espessura de 3 cm</t>
  </si>
  <si>
    <t>14.30.020</t>
  </si>
  <si>
    <t>Divisória em placas de granilite com espessura de 3 cm</t>
  </si>
  <si>
    <t>14.30.070</t>
  </si>
  <si>
    <t>Divisória sanitária em painel laminado melamínico estrutural com perfis em alumínio, inclusive ferragem completa para vão de porta</t>
  </si>
  <si>
    <t>14.30.080</t>
  </si>
  <si>
    <t>Divisão para mictório em placas de mármore branco, com espessura de 3 cm</t>
  </si>
  <si>
    <t>14.30.110</t>
  </si>
  <si>
    <t>Divisória cega tipo naval, acabamento em laminado fenólico melamínico, com espessura de 3,5 cm</t>
  </si>
  <si>
    <t>14.30.160</t>
  </si>
  <si>
    <t>Divisória em placas de gesso acartonado, resistência ao fogo 60 minutos, espessura 120/90mm - 1RF / 1RF LM</t>
  </si>
  <si>
    <t>14.30.190</t>
  </si>
  <si>
    <t>Divisória cega tipo naval com miolo mineral, acabamento em laminado melamínico, com espessura de 3,5 cm</t>
  </si>
  <si>
    <t>14.30.230</t>
  </si>
  <si>
    <t>Divisória painel/vidro/vidro tipo naval, acabamento em laminado fenólico melamínico, com espessura de 3,5 cm</t>
  </si>
  <si>
    <t>14.30.260</t>
  </si>
  <si>
    <t>Divisória em placas de gesso acartonado, resistência ao fogo 30 minutos, espessura 73/48mm - 1ST / 1ST</t>
  </si>
  <si>
    <t>14.30.270</t>
  </si>
  <si>
    <t>Divisória em placas de gesso acartonado, resistência ao fogo 30 minutos, espessura 73/48mm - 1ST / 1ST LM</t>
  </si>
  <si>
    <t>14.30.300</t>
  </si>
  <si>
    <t>Divisória em placas de gesso acartonado, resistência ao fogo 30 minutos, espessura 100/70mm - 1ST / 1ST LM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</si>
  <si>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</si>
  <si>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</si>
  <si>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</si>
  <si>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</si>
  <si>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14.30.440</t>
  </si>
  <si>
    <t>Divisória em placas duplas de gesso acartonado, resistência ao fogo 60 minutos, espessura 120/70mm - 2ST / 2ST LM</t>
  </si>
  <si>
    <t>14.30.841</t>
  </si>
  <si>
    <t>Divisória cega tipo piso/teto em laminado melamínico de baixa pressão, com coluna estrutural em alumínio extrudado</t>
  </si>
  <si>
    <t>14.30.842</t>
  </si>
  <si>
    <t>Divisória tipo piso/teto em vidro temperado simples, com coluna estrutural em alumínio extrudado</t>
  </si>
  <si>
    <t>14.30.843</t>
  </si>
  <si>
    <t>Divisória tipo piso/teto em vidro temperado duplo e micro persianas, com coluna estrutural em alumínio extrudado</t>
  </si>
  <si>
    <t>14.30.860</t>
  </si>
  <si>
    <t>Divisória em placas de granilite com espessura de 4 cm</t>
  </si>
  <si>
    <t>14.30.870</t>
  </si>
  <si>
    <t>Divisória em placas duplas de gesso acartonado, resistência ao fogo 120 minutos, espessura 130/70mm - 2RF / 2RF</t>
  </si>
  <si>
    <t>14.30.880</t>
  </si>
  <si>
    <t>Divisória em placas duplas de gesso acartonado, resistência ao fogo 60 minutos, espessura 120/70mm - 2ST / 2RU</t>
  </si>
  <si>
    <t>14.30.890</t>
  </si>
  <si>
    <t>Divisória em placas duplas de gesso acartonado, resistência ao fogo 60 minutos, espessura 120/70mm - 2RU / 2RU</t>
  </si>
  <si>
    <t>14.30.900</t>
  </si>
  <si>
    <t>Divisória em placas duplas de gesso acartonado, resistência ao fogo 60 minutos, espessura 98/48mm - 2ST / 2ST LM</t>
  </si>
  <si>
    <t>14.30.910</t>
  </si>
  <si>
    <t>Divisória em placas duplas de gesso acartonado, resistência ao fogo 60 minutos, espessura 98/48mm - 2RU / 2RU LM</t>
  </si>
  <si>
    <t>14.30.920</t>
  </si>
  <si>
    <t>Divisória em placas duplas de gesso acartonado, resistência ao fogo 60 minutos, espessura 98/48mm - 2ST / 2RU LM</t>
  </si>
  <si>
    <t>14.31</t>
  </si>
  <si>
    <t>Divisória e fechamento.</t>
  </si>
  <si>
    <t>14.31.030</t>
  </si>
  <si>
    <t>Fechamento em placa cimentícia com espessura de 12 mm</t>
  </si>
  <si>
    <t>14.40</t>
  </si>
  <si>
    <t>Reparos, conservações e complementos - GRUPO 14</t>
  </si>
  <si>
    <t>14.40.040</t>
  </si>
  <si>
    <t>Recolocação de divisórias em chapas com montantes metálicos</t>
  </si>
  <si>
    <t>14.40.060</t>
  </si>
  <si>
    <t>Tela galvanizada para fixação de alvenaria com dimensão de 6x50cm</t>
  </si>
  <si>
    <t>14.40.070</t>
  </si>
  <si>
    <t>Tela galvanizada para fixação de alvenaria com dimensão de 7,5x50cm</t>
  </si>
  <si>
    <t>14.40.080</t>
  </si>
  <si>
    <t>Tela galvanizada para fixação de alvenaria com dimensão de 10,5x50cm</t>
  </si>
  <si>
    <t>14.40.090</t>
  </si>
  <si>
    <t>Tela galvanizada para fixação de alvenaria com dimensão de 12x50cm</t>
  </si>
  <si>
    <t>14.40.100</t>
  </si>
  <si>
    <t>Tela galvanizada para fixação de alvenaria com dimensão de 17x50cm</t>
  </si>
  <si>
    <t>15</t>
  </si>
  <si>
    <t>ESTRUTURA EM MADEIRA, FERRO, ALUMINIO E CONCRETO</t>
  </si>
  <si>
    <t>15.01</t>
  </si>
  <si>
    <t>Estrutura em madeira para cobertura</t>
  </si>
  <si>
    <t>15.01.010</t>
  </si>
  <si>
    <t>Estrutura de madeira tesourada para telha de barro - vãos até 7,00 m</t>
  </si>
  <si>
    <t>15.01.020</t>
  </si>
  <si>
    <t>Estrutura de madeira tesourada para telha de barro - vãos de 7,01 a 10,00 m</t>
  </si>
  <si>
    <t>15.01.030</t>
  </si>
  <si>
    <t>Estrutura de madeira tesourada para telha de barro - vãos de 10,01 a 13,00 m</t>
  </si>
  <si>
    <t>15.01.040</t>
  </si>
  <si>
    <t>Estrutura de madeira tesourada para telha de barro - vãos de 13,01 a 18,00 m</t>
  </si>
  <si>
    <t>15.01.110</t>
  </si>
  <si>
    <t>Estrutura de madeira tesourada para telha perfil ondulado - vãos até 7,00 m</t>
  </si>
  <si>
    <t>15.01.120</t>
  </si>
  <si>
    <t>Estrutura de madeira tesourada para telha perfil ondulado - vãos 7,01 a 10,00 m</t>
  </si>
  <si>
    <t>15.01.130</t>
  </si>
  <si>
    <t>Estrutura de madeira tesourada para telha perfil ondulado - vãos 10,01 a 13,00 m</t>
  </si>
  <si>
    <t>15.01.140</t>
  </si>
  <si>
    <t>Estrutura de madeira tesourada para telha perfil ondulado - vãos 13,01 a 18,00 m</t>
  </si>
  <si>
    <t>15.01.210</t>
  </si>
  <si>
    <t>Estrutura pontaletada para telhas de barro</t>
  </si>
  <si>
    <t>15.01.220</t>
  </si>
  <si>
    <t>Estrutura pontaletada para telhas onduladas</t>
  </si>
  <si>
    <t>15.01.310</t>
  </si>
  <si>
    <t>Estrutura em terças para telhas de barro</t>
  </si>
  <si>
    <t>15.01.320</t>
  </si>
  <si>
    <t>Estrutura em terças para telhas perfil e material qualquer, exceto barro</t>
  </si>
  <si>
    <t>15.01.330</t>
  </si>
  <si>
    <t>Estrutura em terças para telhas perfil trapezoidal</t>
  </si>
  <si>
    <t>15.03</t>
  </si>
  <si>
    <t>Estrutura em aço</t>
  </si>
  <si>
    <t>15.03.030</t>
  </si>
  <si>
    <t>Fornecimento e montagem de estrutura em aço ASTM-A36, sem pintura</t>
  </si>
  <si>
    <t>15.03.090</t>
  </si>
  <si>
    <t>Montagem de estrutura metálica em aço, sem pintura</t>
  </si>
  <si>
    <t>15.03.110</t>
  </si>
  <si>
    <t>Fornecimento e montagem de estrutura em aço patinável, sem pintura</t>
  </si>
  <si>
    <t>15.03.131</t>
  </si>
  <si>
    <t>Fornecimento e montagem de estrutura em aço ASTM-A572 Grau 50, sem pintura</t>
  </si>
  <si>
    <t>15.03.140</t>
  </si>
  <si>
    <t>Fornecimento e montagem de estrutura tubular em aço ASTM-A572 Grau 50, sem pintura</t>
  </si>
  <si>
    <t>15.03.150</t>
  </si>
  <si>
    <t>Fornecimento e montagem de estrutura metálica em perfil metalon, sem pintura</t>
  </si>
  <si>
    <t>15.05</t>
  </si>
  <si>
    <t>Estrutura pre-fabricada de concreto</t>
  </si>
  <si>
    <t>15.05.290</t>
  </si>
  <si>
    <t>Placas, vigas e pilares em concreto armado pré-moldado - fck= 40 MPa</t>
  </si>
  <si>
    <t>15.05.300</t>
  </si>
  <si>
    <t>Mobiliário em concreto armado pré-moldado - fck= 40 MPa</t>
  </si>
  <si>
    <t>15.05.520</t>
  </si>
  <si>
    <t>Placas, vigas e pilares em concreto armado pré-moldado - fck= 35 MPa</t>
  </si>
  <si>
    <t>15.05.530</t>
  </si>
  <si>
    <t>Placas, vigas e pilares em concreto armado pré-moldado - fck= 25 MPa</t>
  </si>
  <si>
    <t>15.05.540</t>
  </si>
  <si>
    <t>Mobiliário em concreto armado pré-moldado - fck= 25 MPa</t>
  </si>
  <si>
    <t>15.20</t>
  </si>
  <si>
    <t>Reparos, conservações e complementos - GRUPO 15</t>
  </si>
  <si>
    <t>15.20.020</t>
  </si>
  <si>
    <t>Fornecimento de peças diversas para estrutura em madeira</t>
  </si>
  <si>
    <t>15.20.040</t>
  </si>
  <si>
    <t>Recolocação de peças lineares em madeira com seção até 60 cm²</t>
  </si>
  <si>
    <t>15.20.060</t>
  </si>
  <si>
    <t>Recolocação de peças lineares em madeira com seção superior a 60 cm²</t>
  </si>
  <si>
    <t>16</t>
  </si>
  <si>
    <t>TELHAMENTO</t>
  </si>
  <si>
    <t>16.02</t>
  </si>
  <si>
    <t>Telhamento em barro</t>
  </si>
  <si>
    <t>16.02.010</t>
  </si>
  <si>
    <t>Telha de barro tipo italiana</t>
  </si>
  <si>
    <t>16.02.020</t>
  </si>
  <si>
    <t>Telha de barro tipo francesa</t>
  </si>
  <si>
    <t>16.02.030</t>
  </si>
  <si>
    <t>Telha de barro tipo romana</t>
  </si>
  <si>
    <t>16.02.045</t>
  </si>
  <si>
    <t>Telha de barro colonial/paulista</t>
  </si>
  <si>
    <t>16.02.060</t>
  </si>
  <si>
    <t>Telha de barro tipo plan</t>
  </si>
  <si>
    <t>16.02.120</t>
  </si>
  <si>
    <t>Emboçamento de beiral em telhas de barro</t>
  </si>
  <si>
    <t>16.02.230</t>
  </si>
  <si>
    <t>Cumeeira de barro emboçado tipos: plan, romana, italiana, francesa e paulistinha</t>
  </si>
  <si>
    <t>16.02.270</t>
  </si>
  <si>
    <t>Espigão de barro emboçado</t>
  </si>
  <si>
    <t>16.03</t>
  </si>
  <si>
    <t>Telhamento em cimento reforçado com fio sintético (CRFS)</t>
  </si>
  <si>
    <t>16.03.010</t>
  </si>
  <si>
    <t>Telhamento em cimento reforçado com fio sintético CRFS - perfil ondulado de 6 mm</t>
  </si>
  <si>
    <t>16.03.020</t>
  </si>
  <si>
    <t>Telhamento em cimento reforçado com fio sintético CRFS - perfil ondulado de 8 mm</t>
  </si>
  <si>
    <t>16.03.030</t>
  </si>
  <si>
    <t>Telhamento em cimento reforçado com fio sintético CRFS - perfil trapezoidal de 44 cm</t>
  </si>
  <si>
    <t>16.03.040</t>
  </si>
  <si>
    <t>Telhamento em cimento reforçado com fio sintético CRFS - perfil modulado</t>
  </si>
  <si>
    <t>16.03.300</t>
  </si>
  <si>
    <t>Cumeeira normal em cimento reforçado com fio sintético CRFS - perfil ondulado</t>
  </si>
  <si>
    <t>16.03.310</t>
  </si>
  <si>
    <t>Cumeeira universal em cimento reforçado com fio sintético CRFS - perfil ondulado</t>
  </si>
  <si>
    <t>16.03.320</t>
  </si>
  <si>
    <t>Cumeeira normal em cimento reforçado com fio sintético CRFS - perfil trapezoidal 44 cm</t>
  </si>
  <si>
    <t>16.03.330</t>
  </si>
  <si>
    <t>Cumeeira normal em cimento reforçado com fio sintético CRFS - perfil modulado</t>
  </si>
  <si>
    <t>16.03.360</t>
  </si>
  <si>
    <t>Espigão em cimento reforçado com fio sintético CRFS - perfil ondulado</t>
  </si>
  <si>
    <t>16.03.370</t>
  </si>
  <si>
    <t>Espigão em cimento reforçado com fio sintético CRFS - perfil modulado</t>
  </si>
  <si>
    <t>16.03.400</t>
  </si>
  <si>
    <t>Rufo em cimento reforçado com fio sintético CRFS - perfil ondulado</t>
  </si>
  <si>
    <t>16.10</t>
  </si>
  <si>
    <t>Telhamento em madeira ou fibra vegetal</t>
  </si>
  <si>
    <t>16.10.020</t>
  </si>
  <si>
    <t>16.10.100</t>
  </si>
  <si>
    <t>16.12</t>
  </si>
  <si>
    <t>Telhamento metálico comum</t>
  </si>
  <si>
    <t>16.12.020</t>
  </si>
  <si>
    <t>16.12.040</t>
  </si>
  <si>
    <t>16.12.050</t>
  </si>
  <si>
    <t>16.12.060</t>
  </si>
  <si>
    <t>16.12.200</t>
  </si>
  <si>
    <t>16.12.220</t>
  </si>
  <si>
    <t>16.13</t>
  </si>
  <si>
    <t>Telhamento metálico especial</t>
  </si>
  <si>
    <t>16.13.060</t>
  </si>
  <si>
    <t>16.13.070</t>
  </si>
  <si>
    <t>16.13.130</t>
  </si>
  <si>
    <t>16.13.140</t>
  </si>
  <si>
    <t>16.16</t>
  </si>
  <si>
    <t>Telhamento em material sintético</t>
  </si>
  <si>
    <t>16.16.040</t>
  </si>
  <si>
    <t>Telha ondulada translúcida em polipropileno</t>
  </si>
  <si>
    <t>16.16.160</t>
  </si>
  <si>
    <t>Telha em poliéster reforçado com fibras de vidro, perfil trapezoidal 49</t>
  </si>
  <si>
    <t>16.16.400</t>
  </si>
  <si>
    <t>Cumeeira para telha de poliéster, tipo perfil trapezoidal 49</t>
  </si>
  <si>
    <t>16.20</t>
  </si>
  <si>
    <t>Telhamento em vidro</t>
  </si>
  <si>
    <t>16.20.020</t>
  </si>
  <si>
    <t>Telhas de vidro para iluminação tipo francesa</t>
  </si>
  <si>
    <t>16.20.040</t>
  </si>
  <si>
    <t>Telhas de vidro para iluminação tipo colonial/paulistinha</t>
  </si>
  <si>
    <t>16.30</t>
  </si>
  <si>
    <t>Domos</t>
  </si>
  <si>
    <t>16.30.020</t>
  </si>
  <si>
    <t>Domo de acrílico fixado em perfis de alumínio</t>
  </si>
  <si>
    <t>16.32</t>
  </si>
  <si>
    <t>Painel, chapas e fechamento</t>
  </si>
  <si>
    <t>16.32.070</t>
  </si>
  <si>
    <t>Cobertura curva em chapa de policarbonato alveolar bronze de 6 mm</t>
  </si>
  <si>
    <t>16.32.120</t>
  </si>
  <si>
    <t>Cobertura plana em chapa de policarbonato alveolar de 10 mm</t>
  </si>
  <si>
    <t>16.32.130</t>
  </si>
  <si>
    <t>Cobertura curva em chapa de policarbonato alveolar bronze de 10 mm</t>
  </si>
  <si>
    <t>16.33</t>
  </si>
  <si>
    <t>Calhas e rufos</t>
  </si>
  <si>
    <t>16.33.022</t>
  </si>
  <si>
    <t>Calha, rufo, afins em chapa galvanizada nº 24 - corte 0,33 m</t>
  </si>
  <si>
    <t>16.33.052</t>
  </si>
  <si>
    <t>Calha, rufo, afins em chapa galvanizada nº 24 - corte 0,50 m</t>
  </si>
  <si>
    <t>16.33.062</t>
  </si>
  <si>
    <t>Calha, rufo, afins em chapa galvanizada nº 24 - corte 1,00 m</t>
  </si>
  <si>
    <t>16.33.082</t>
  </si>
  <si>
    <t>Calha, rufo, afins em chapa galvanizada nº 26 - corte 0,33 m</t>
  </si>
  <si>
    <t>16.33.102</t>
  </si>
  <si>
    <t>Calha, rufo, afins em chapa galvanizada nº 26 - corte 0,50 m</t>
  </si>
  <si>
    <t>16.33.400</t>
  </si>
  <si>
    <t>Rufo pré-moldado em concreto, de 14 x 50 x 18,5 cm</t>
  </si>
  <si>
    <t>16.33.410</t>
  </si>
  <si>
    <t>Rufo pré-moldado em concreto, de 20 x 50 x 26 cm</t>
  </si>
  <si>
    <t>16.33.412</t>
  </si>
  <si>
    <t>Rufo pré-moldado em concreto, largura 24 cm</t>
  </si>
  <si>
    <t>16.40</t>
  </si>
  <si>
    <t>Reparos, conservações e complementos - GRUPO 16</t>
  </si>
  <si>
    <t>16.40.040</t>
  </si>
  <si>
    <t>Recolocação de cumeeiras e espigões de barro</t>
  </si>
  <si>
    <t>16.40.060</t>
  </si>
  <si>
    <t>Recolocação de telha de barro tipo colonial/paulistinha</t>
  </si>
  <si>
    <t>16.40.080</t>
  </si>
  <si>
    <t>Recolocação de telha de barro tipo plan</t>
  </si>
  <si>
    <t>16.40.090</t>
  </si>
  <si>
    <t>Recolocação de domo de acrílico, inclusive perfis metálicos de fixação</t>
  </si>
  <si>
    <t>16.40.120</t>
  </si>
  <si>
    <t>16.40.140</t>
  </si>
  <si>
    <t>Recolocação de telha em fibrocimento ou CRFS, perfil ondulado</t>
  </si>
  <si>
    <t>16.40.150</t>
  </si>
  <si>
    <t>Recolocação de telha em fibrocimento ou CRFS, perfil modulado ou trapezoidal</t>
  </si>
  <si>
    <t>17</t>
  </si>
  <si>
    <t>REVESTIMENTO EM MASSA OU FUNDIDO NO LOCAL</t>
  </si>
  <si>
    <t>17.01</t>
  </si>
  <si>
    <t>Regularização de base</t>
  </si>
  <si>
    <t>17.01.010</t>
  </si>
  <si>
    <t>Argamassa de proteção com argila expandida</t>
  </si>
  <si>
    <t>17.01.020</t>
  </si>
  <si>
    <t>Argamassa de regularização e/ou proteção</t>
  </si>
  <si>
    <t>17.01.040</t>
  </si>
  <si>
    <t>Lastro de concreto impermeabilizado</t>
  </si>
  <si>
    <t>17.01.050</t>
  </si>
  <si>
    <t>Regularização de piso com nata de cimento</t>
  </si>
  <si>
    <t>17.01.060</t>
  </si>
  <si>
    <t>17.01.120</t>
  </si>
  <si>
    <t>Argamassa de cimento e areia traço 1:3, com adesivo acrílico</t>
  </si>
  <si>
    <t>17.02</t>
  </si>
  <si>
    <t>Revestimento em argamassa</t>
  </si>
  <si>
    <t>17.02.020</t>
  </si>
  <si>
    <t>Chapisco</t>
  </si>
  <si>
    <t>17.02.030</t>
  </si>
  <si>
    <t>Chapisco 1:4 com areia grossa</t>
  </si>
  <si>
    <t>17.02.040</t>
  </si>
  <si>
    <t>17.02.060</t>
  </si>
  <si>
    <t>Chapisco fino peneirado</t>
  </si>
  <si>
    <t>17.02.080</t>
  </si>
  <si>
    <t>Chapisco rústico com pedra britada nº 1</t>
  </si>
  <si>
    <t>17.02.120</t>
  </si>
  <si>
    <t>Emboço comum</t>
  </si>
  <si>
    <t>17.02.140</t>
  </si>
  <si>
    <t>Emboço desempenado com espuma de poliéster</t>
  </si>
  <si>
    <t>17.02.160</t>
  </si>
  <si>
    <t>Emboço desempenado com argamassa industrializada</t>
  </si>
  <si>
    <t>17.02.220</t>
  </si>
  <si>
    <t>Reboco</t>
  </si>
  <si>
    <t>17.02.260</t>
  </si>
  <si>
    <t>Barra lisa com acabamento em nata de cimento</t>
  </si>
  <si>
    <t>17.03</t>
  </si>
  <si>
    <t>Revestimento em cimentado</t>
  </si>
  <si>
    <t>17.03.020</t>
  </si>
  <si>
    <t>Cimentado desempenado</t>
  </si>
  <si>
    <t>17.03.040</t>
  </si>
  <si>
    <t>Cimentado desempenado e alisado (queimado)</t>
  </si>
  <si>
    <t>17.03.060</t>
  </si>
  <si>
    <t>Cimentado desempenado e alisado com corante (queimado)</t>
  </si>
  <si>
    <t>17.03.080</t>
  </si>
  <si>
    <t>Cimentado semi-áspero</t>
  </si>
  <si>
    <t>17.03.100</t>
  </si>
  <si>
    <t>Cimentado áspero com caneluras</t>
  </si>
  <si>
    <t>17.03.200</t>
  </si>
  <si>
    <t>Degrau em cimentado</t>
  </si>
  <si>
    <t>17.03.300</t>
  </si>
  <si>
    <t>Rodapé em cimentado desempenado e alisado com altura 5 cm</t>
  </si>
  <si>
    <t>17.03.310</t>
  </si>
  <si>
    <t>Rodapé em cimentado desempenado e alisado com altura 7 cm</t>
  </si>
  <si>
    <t>17.03.320</t>
  </si>
  <si>
    <t>Rodapé em cimentado desempenado e alisado com altura 10 cm</t>
  </si>
  <si>
    <t>17.03.330</t>
  </si>
  <si>
    <t>Rodapé em cimentado desempenado e alisado com altura 15 cm</t>
  </si>
  <si>
    <t>17.04</t>
  </si>
  <si>
    <t>Revestimento em gesso</t>
  </si>
  <si>
    <t>17.04.020</t>
  </si>
  <si>
    <t>Revestimento em gesso liso desempenado sobre emboço</t>
  </si>
  <si>
    <t>17.04.040</t>
  </si>
  <si>
    <t>Revestimento em gesso liso desempenado sobre bloco</t>
  </si>
  <si>
    <t>17.05</t>
  </si>
  <si>
    <t>Revestimento em concreto</t>
  </si>
  <si>
    <t>17.05.020</t>
  </si>
  <si>
    <t>Piso com requadro em concreto simples sem controle de fck</t>
  </si>
  <si>
    <t>17.05.070</t>
  </si>
  <si>
    <t>Piso com requadro em concreto simples com controle de fck= 20 MPa</t>
  </si>
  <si>
    <t>17.05.100</t>
  </si>
  <si>
    <t>Piso com requadro em concreto simples com controle de fck= 25 MPa</t>
  </si>
  <si>
    <t>17.05.320</t>
  </si>
  <si>
    <t>Soleira em concreto simples</t>
  </si>
  <si>
    <t>17.05.420</t>
  </si>
  <si>
    <t>Peitoril em concreto simples</t>
  </si>
  <si>
    <t>17.10</t>
  </si>
  <si>
    <t>Revestimento em granilite fundido no local</t>
  </si>
  <si>
    <t>17.10.020</t>
  </si>
  <si>
    <t>Piso em granilite moldado no local</t>
  </si>
  <si>
    <t>17.10.100</t>
  </si>
  <si>
    <t>Soleira em granilite moldado no local</t>
  </si>
  <si>
    <t>17.10.120</t>
  </si>
  <si>
    <t>Degrau em granilite moldado no local</t>
  </si>
  <si>
    <t>17.10.200</t>
  </si>
  <si>
    <t>Rodapé qualquer em granilite moldado no local até 10 cm</t>
  </si>
  <si>
    <t>17.10.410</t>
  </si>
  <si>
    <t>Rodapé em placas pré-moldadas de granilite, acabamento encerado, até 10 cm</t>
  </si>
  <si>
    <t>17.10.430</t>
  </si>
  <si>
    <t>Piso em placas de granilite, acabamento encerado</t>
  </si>
  <si>
    <t>17.12</t>
  </si>
  <si>
    <t>Revestimento industrial fundido no local</t>
  </si>
  <si>
    <t>17.12.060</t>
  </si>
  <si>
    <t>Piso em alta resistência moldado no local 12 mm</t>
  </si>
  <si>
    <t>17.12.100</t>
  </si>
  <si>
    <t>Soleira em alta resistência moldada no local</t>
  </si>
  <si>
    <t>17.12.120</t>
  </si>
  <si>
    <t>Degrau em alta resistência 8 mm</t>
  </si>
  <si>
    <t>17.12.140</t>
  </si>
  <si>
    <t>Degrau em alta resistência 12 mm</t>
  </si>
  <si>
    <t>17.12.240</t>
  </si>
  <si>
    <t>Rodapé qualquer em alta resistência moldado no local até 10 cm</t>
  </si>
  <si>
    <t>17.12.241</t>
  </si>
  <si>
    <t>17.20</t>
  </si>
  <si>
    <t>Revestimento especial fundido no local</t>
  </si>
  <si>
    <t>17.20.020</t>
  </si>
  <si>
    <t>Massa raspada</t>
  </si>
  <si>
    <t>17.20.040</t>
  </si>
  <si>
    <t>Revestimento em granito lavado tipo Fulget uso externo, em faixas até 40 cm</t>
  </si>
  <si>
    <t>17.20.050</t>
  </si>
  <si>
    <t>Friso para junta de dilatação em revestimento de granito lavado tipo Fulget</t>
  </si>
  <si>
    <t>17.20.060</t>
  </si>
  <si>
    <t>Revestimento em granito lavado tipo Fulget uso externo</t>
  </si>
  <si>
    <t>17.20.140</t>
  </si>
  <si>
    <t>Revestimento texturizado acrílico com microagregados minerais</t>
  </si>
  <si>
    <t>17.40</t>
  </si>
  <si>
    <t>Reparos e conservações em massa e concreto - GRUPO 17</t>
  </si>
  <si>
    <t>17.40.010</t>
  </si>
  <si>
    <t>Reparos em piso de granilite - estucamento e polimento</t>
  </si>
  <si>
    <t>17.40.020</t>
  </si>
  <si>
    <t>Reparos em pisos de alta resistência fundidos no local - estucamento e polimento</t>
  </si>
  <si>
    <t>17.40.030</t>
  </si>
  <si>
    <t>Reparos em degrau e espelho de granilite - estucamento e polimento</t>
  </si>
  <si>
    <t>17.40.070</t>
  </si>
  <si>
    <t>Reparos em rodapé de granilite - estucamento e polimento</t>
  </si>
  <si>
    <t>17.40.110</t>
  </si>
  <si>
    <t>Faixa antiderrapante definitiva para degraus, soleiras, patamares ou pisos</t>
  </si>
  <si>
    <t>17.40.150</t>
  </si>
  <si>
    <t>Resina acrílica para piso de granilite</t>
  </si>
  <si>
    <t>17.40.160</t>
  </si>
  <si>
    <t>Resina epóxi para piso de granilite</t>
  </si>
  <si>
    <t>17.40.180</t>
  </si>
  <si>
    <t>Resina acrílica para degrau de granilite</t>
  </si>
  <si>
    <t>17.40.190</t>
  </si>
  <si>
    <t>Resina epóxi para degrau de granilite</t>
  </si>
  <si>
    <t>18</t>
  </si>
  <si>
    <t>REVESTIMENTO CERAMICO</t>
  </si>
  <si>
    <t>18.05</t>
  </si>
  <si>
    <t>Plaqueta laminada para revestimento</t>
  </si>
  <si>
    <t>18.05.020</t>
  </si>
  <si>
    <t>Revestimento em plaqueta laminada, para área interna e externa, sem rejunte</t>
  </si>
  <si>
    <t>18.06</t>
  </si>
  <si>
    <t>Placa cerâmica esmaltada prensada</t>
  </si>
  <si>
    <t>18.06.102</t>
  </si>
  <si>
    <t>Placa cerâmica esmaltada PEI-5 para área interna, grupo de absorção BIIb, resistência química B, assentado com argamassa colante industrializada</t>
  </si>
  <si>
    <t>18.06.103</t>
  </si>
  <si>
    <t>Rodapé em placa cerâmica esmaltada PEI-5 para área interna, grupo de absorção BIIb, resistência química B, assentado com argamassa colante industrializada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</si>
  <si>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</si>
  <si>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</si>
  <si>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</si>
  <si>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</si>
  <si>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18.06.182</t>
  </si>
  <si>
    <t>Placa cerâmica esmaltada rústica PEI-5 para área interna com saída para o exterior, grupo de absorção BIIb, resistência química B, assentado com argamassa colante industrializada</t>
  </si>
  <si>
    <t>18.06.183</t>
  </si>
  <si>
    <t>Rodapé em placa cerâmica esmaltada rústica PEI-5 para área interna com saída para o exterior, grupo de absorção BIIb, resistência química B, assentado com argamassa colante industrializada</t>
  </si>
  <si>
    <t>18.06.350</t>
  </si>
  <si>
    <t>Assentamento de pisos e revestimentos cerâmicos com argamassa mista</t>
  </si>
  <si>
    <t>18.06.400</t>
  </si>
  <si>
    <t>Rejuntamento em placas cerâmicas com cimento branco, juntas acima de 3 até 5 mm</t>
  </si>
  <si>
    <t>18.06.410</t>
  </si>
  <si>
    <t>Rejuntamento em placas cerâmicas com argamassa industrializada para rejunte, juntas acima de 3 até 5 mm</t>
  </si>
  <si>
    <t>18.06.420</t>
  </si>
  <si>
    <t>Rejuntamento em placas cerâmicas com cimento branco, juntas acima de 5 até 10 mm</t>
  </si>
  <si>
    <t>18.06.430</t>
  </si>
  <si>
    <t>Rejuntamento em placas cerâmicas com argamassa industrializada para rejunte, juntas acima de 5 até 10 mm</t>
  </si>
  <si>
    <t>18.06.500</t>
  </si>
  <si>
    <t>Rejuntamento de rodapé em placas cerâmicas com cimento branco, altura até 10 cm, juntas acima de 3 até 5 mm</t>
  </si>
  <si>
    <t>18.06.510</t>
  </si>
  <si>
    <t>Rejuntamento de rodapé em placas cerâmicas com argamassa industrializada para rejunte, altura até 10 cm, juntas acima de 3 até 5 mm</t>
  </si>
  <si>
    <t>18.06.520</t>
  </si>
  <si>
    <t>Rejuntamento de rodapé em placas cerâmicas com cimento branco, altura até 10 cm, juntas acima de 5 até 10 mm</t>
  </si>
  <si>
    <t>18.06.530</t>
  </si>
  <si>
    <t>Rejuntamento de rodapé em placas cerâmicas com argamassa industrializada para rejunte, altura até 10 cm, juntas acima de 5 até 10 mm</t>
  </si>
  <si>
    <t>18.07</t>
  </si>
  <si>
    <t>Placa ceramica nao esmaltada extrudada</t>
  </si>
  <si>
    <t>18.07.020</t>
  </si>
  <si>
    <t>Placa cerâmica não esmaltada extrudada de alta resistência química e mecânica, espessura de 9 mm, uso industrial, assentado com argamassa química bicomponente</t>
  </si>
  <si>
    <t>18.07.021</t>
  </si>
  <si>
    <t>Placa cerâmica não esmaltada extrudada de alta resistência química e mecânica, espessura de 9 mm, uso industrial, assentado com argamassa colante industrial</t>
  </si>
  <si>
    <t>18.07.040</t>
  </si>
  <si>
    <t>Placa cerâmica não esmaltada extrudada de alta resistência química e mecânica, espessura de 14 mm, uso industrial, assentado com argamassa química bicomponente</t>
  </si>
  <si>
    <t>18.07.080</t>
  </si>
  <si>
    <t>Rodapé em placa cerâmica não esmaltada extrudada de alta resistência química e mecânica, altura de 10 cm, uso industrial, assentado com argamassa química bicomponente</t>
  </si>
  <si>
    <t>18.07.160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</si>
  <si>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</si>
  <si>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18.07.170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</si>
  <si>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</si>
  <si>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18.07.200</t>
  </si>
  <si>
    <t>Rejuntamento em placa cerâmica extrudada antiácida de 9 mm, com argamassa industrializada bicomponente à base de resina furânica, juntas acima de 3 até 6 mm</t>
  </si>
  <si>
    <t>18.07.210</t>
  </si>
  <si>
    <t>Rejuntamento de placa cerâmica extrudada de 9 mm, com argamassa sintética industrializada tricomponente à base de resina epóxi, juntas acima de 3 até 6 mm</t>
  </si>
  <si>
    <t>18.07.220</t>
  </si>
  <si>
    <t>Rejuntamento em placa cerâmica extrudada antiácida, espessura de 14 mm, com argamassa industrializada bicomponente, à base de resina furânica, juntas acima de 3 até 6 mm</t>
  </si>
  <si>
    <t>18.07.230</t>
  </si>
  <si>
    <t>Rejuntamento em placa cerâmica extrudada antiácida de 14 mm, com argamassa sintética industrializada tricomponente, à base de resina epóxi, juntas de 3 até 6 mm</t>
  </si>
  <si>
    <t>18.07.250</t>
  </si>
  <si>
    <t>18.07.300</t>
  </si>
  <si>
    <t>Rejuntamento de rodapé em placa cerâmica extrudada antiácida de 9 mm, com argamassa industrializada bicomponente à base de resina furânica, juntas acima de 3 até 6 mm</t>
  </si>
  <si>
    <t>18.07.310</t>
  </si>
  <si>
    <t>Rejuntamento de rodapé em placa cerâmica extrudada antiácida de 9 mm, com argamassa sintética  industrializada tricomponente à base de resina epóxi, juntas acima de 3 até 6 mm</t>
  </si>
  <si>
    <t>18.08</t>
  </si>
  <si>
    <t>Revestimento em porcelanato</t>
  </si>
  <si>
    <t>18.08.032</t>
  </si>
  <si>
    <t>Revestimento em porcelanato esmaltado antiderrapante para área externa e ambiente com alto tráfego, grupo de absorção BIa, assentado com argamassa colante industrializada, rejuntado</t>
  </si>
  <si>
    <t>18.08.042</t>
  </si>
  <si>
    <t>Rodapé em porcelanato esmaltado antiderrapante para área externa e ambiente com alto tráfego, grupo de absorção BIa, assentado com argamassa colante industrializada, rejuntado</t>
  </si>
  <si>
    <t>18.08.062</t>
  </si>
  <si>
    <t>Revestimento em porcelanato esmaltado polido para área interna e ambiente com tráfego médio, grupo de absorção BIa, assentado com argamassa colante industrializada, rejuntado</t>
  </si>
  <si>
    <t>18.08.072</t>
  </si>
  <si>
    <t>Rodapé em porcelanato esmaltado polido para área interna e ambiente com tráfego médio, grupo de absorção BIa, assentado com argamassa colante industrializada, rejuntado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</si>
  <si>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</si>
  <si>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</si>
  <si>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18.08.100</t>
  </si>
  <si>
    <t>Rodapé em porcelanato esmaltado acetinado para área interna e ambiente com acesso ao exterior, grupo de absorção BIa, resistência química B, assentado com argamassa colante industrializada, rejuntado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</si>
  <si>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</si>
  <si>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</si>
  <si>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</si>
  <si>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>Rodapé em porcelanato técnico antiderrapante para área interna, grupo de absorção BIa, assentado com argamassa colante industrializada, rejuntado</t>
  </si>
  <si>
    <t>18.08.152</t>
  </si>
  <si>
    <t>Revestimento em porcelanato técnico natural para área interna e ambiente com acesso ao exterior, grupo de absorção BIa, assentado com argamassa colante industrializada, rejuntado</t>
  </si>
  <si>
    <t>18.08.162</t>
  </si>
  <si>
    <t>Rodapé em porcelanato técnico natural, para área interna e ambiente com acesso ao exterior, grupo de absorção BIa, assentado com argamassa colante industrializada, rejuntado</t>
  </si>
  <si>
    <t>18.08.170</t>
  </si>
  <si>
    <t>Revestimento em porcelanato técnico polido para área interna e ambiente de médio tráfego, grupo de absorção BIa, coeficiente de atrito I, assentado com argamassa colante industrializada, rejuntado</t>
  </si>
  <si>
    <t>18.08.180</t>
  </si>
  <si>
    <t>Rodapé em porcelanato técnico polido para área interna e ambiente de médio tráfego, grupo de absorção BIa, assentado com argamassa colante industrializada, rejuntado</t>
  </si>
  <si>
    <t>18.11</t>
  </si>
  <si>
    <t>Revestimento em placa ceramica esmaltada</t>
  </si>
  <si>
    <t>18.11.012</t>
  </si>
  <si>
    <t>Revestimento em placa cerâmica esmaltada de 7,5x7,5 cm, assentado e rejuntado com argamassa industrializada</t>
  </si>
  <si>
    <t>18.11.022</t>
  </si>
  <si>
    <t>Revestimento em placa cerâmica esmaltada de 10x10 cm, assentado e rejuntado com argamassa industrializada</t>
  </si>
  <si>
    <t>18.11.032</t>
  </si>
  <si>
    <t>Revestimento em placa cerâmica esmaltada de 15x15 cm, tipo monocolor, assentado e rejuntado com argamassa industrializada</t>
  </si>
  <si>
    <t>18.11.042</t>
  </si>
  <si>
    <t>Revestimento em placa cerâmica esmaltada de 20x20 cm, tipo monocolor, assentado e rejuntado com argamassa industrializada</t>
  </si>
  <si>
    <t>18.11.052</t>
  </si>
  <si>
    <t>18.12</t>
  </si>
  <si>
    <t>Revestimento em pastilha e mosaico</t>
  </si>
  <si>
    <t>18.12.020</t>
  </si>
  <si>
    <t>18.12.120</t>
  </si>
  <si>
    <t>18.12.140</t>
  </si>
  <si>
    <t>18.13</t>
  </si>
  <si>
    <t>Revestimento ceramico nao esmaltado extrudado</t>
  </si>
  <si>
    <t>18.13.010</t>
  </si>
  <si>
    <t>Revestimento em placa cerâmica não esmaltada extrudada, de alta resistência química e mecânica, espessura de 9 mm, assentado com argamassa colante industrializada</t>
  </si>
  <si>
    <t>18.13.020</t>
  </si>
  <si>
    <t>Revestimento em placa cerâmica extrudada de alta resistência química e mecânica, espessura entre 9 e 10 mm, assentado com argamassa industrializada de alta aderência</t>
  </si>
  <si>
    <t>18.13.202</t>
  </si>
  <si>
    <t>Rejuntamento em placa cerâmica extrudada, espessura entre 9 e 10 mm, com argamassa industrial anticorrosiva à base de resina epóxi, juntas de 6 a 10 mm</t>
  </si>
  <si>
    <t>19</t>
  </si>
  <si>
    <t>REVESTIMENTO EM PEDRA</t>
  </si>
  <si>
    <t>19.01</t>
  </si>
  <si>
    <t>Granito</t>
  </si>
  <si>
    <t>19.01.022</t>
  </si>
  <si>
    <t>Revestimento em granito, espessura de 2 cm, acabamento polido</t>
  </si>
  <si>
    <t>19.01.062</t>
  </si>
  <si>
    <t>Peitoril e/ou soleira em granito, espessura de 2 cm e largura até 20 cm, acabamento polido</t>
  </si>
  <si>
    <t>19.01.064</t>
  </si>
  <si>
    <t>Peitoril e/ou soleira em granito, espessura de 2 cm e largura de 21 cm até 30 cm, acabamento polido</t>
  </si>
  <si>
    <t>19.01.122</t>
  </si>
  <si>
    <t>Degrau e espelho de granito, espessura de 2 cm, acabamento polido</t>
  </si>
  <si>
    <t>19.01.322</t>
  </si>
  <si>
    <t>Rodapé em granito, espessura de 2 cm e altura de 7 cm, acabamento polido</t>
  </si>
  <si>
    <t>19.01.324</t>
  </si>
  <si>
    <t>Rodapé em granito, espessura de 2 cm e altura de 7,1 cm até 10 cm, acabamento polido</t>
  </si>
  <si>
    <t>19.02</t>
  </si>
  <si>
    <t>Marmore</t>
  </si>
  <si>
    <t>19.02.020</t>
  </si>
  <si>
    <t>Revestimento em mármore branco, espessura de 2 cm, assente com massa</t>
  </si>
  <si>
    <t>19.02.040</t>
  </si>
  <si>
    <t>Revestimento em mármore travertino nacional, espessura de 2 cm, assente com massa</t>
  </si>
  <si>
    <t>19.02.060</t>
  </si>
  <si>
    <t>Revestimento em mármore branco, espessura de 3 cm, assente com massa</t>
  </si>
  <si>
    <t>19.02.080</t>
  </si>
  <si>
    <t>Revestimento em mármore travertino nacional, espessura de 3 cm, assente com massa</t>
  </si>
  <si>
    <t>19.02.220</t>
  </si>
  <si>
    <t>Degrau e espelho em mármore branco, espessura de 2 cm</t>
  </si>
  <si>
    <t>19.02.240</t>
  </si>
  <si>
    <t>Degrau e espelho em mármore travertino nacional, espessura de 2 cm</t>
  </si>
  <si>
    <t>19.02.250</t>
  </si>
  <si>
    <t>Rodapé em mármore branco, espessura de 2 cm e altura de 7 cm</t>
  </si>
  <si>
    <t>19.03</t>
  </si>
  <si>
    <t>Pedra</t>
  </si>
  <si>
    <t>19.03.060</t>
  </si>
  <si>
    <t>Revestimento em pedra mineira comum</t>
  </si>
  <si>
    <t>19.03.090</t>
  </si>
  <si>
    <t>Revestimento em pedra Miracema</t>
  </si>
  <si>
    <t>19.03.110</t>
  </si>
  <si>
    <t>Rodapé em pedra Miracema, altura de 11,5 cm</t>
  </si>
  <si>
    <t>19.03.220</t>
  </si>
  <si>
    <t>Rodapé em pedra mineira simples, altura de 10 cm</t>
  </si>
  <si>
    <t>19.03.260</t>
  </si>
  <si>
    <t>Revestimento em pedra ardósia selecionada</t>
  </si>
  <si>
    <t>19.03.270</t>
  </si>
  <si>
    <t>Rodapé em pedra ardósia, altura de 7 cm</t>
  </si>
  <si>
    <t>19.03.290</t>
  </si>
  <si>
    <t>Peitoril e/ou soleira em ardósia, espessura de 2 cm e largura até 20 cm</t>
  </si>
  <si>
    <t>19.20</t>
  </si>
  <si>
    <t>Reparos, conservacoes e complementos - GRUPO 19</t>
  </si>
  <si>
    <t>19.20.020</t>
  </si>
  <si>
    <t>Recolocação de mármore, pedras e granitos, assentes com massa</t>
  </si>
  <si>
    <t>20</t>
  </si>
  <si>
    <t>REVESTIMENTO EM MADEIRA</t>
  </si>
  <si>
    <t>20.01</t>
  </si>
  <si>
    <t>Lambris de madeira</t>
  </si>
  <si>
    <t>20.01.040</t>
  </si>
  <si>
    <t>Lambril em madeira macho/fêmea tarugado, exceto pinus</t>
  </si>
  <si>
    <t>20.03</t>
  </si>
  <si>
    <t>Soalho de madeira</t>
  </si>
  <si>
    <t>20.03.010</t>
  </si>
  <si>
    <t>Soalho em tábua de madeira aparelhada</t>
  </si>
  <si>
    <t>20.04</t>
  </si>
  <si>
    <t>Tacos</t>
  </si>
  <si>
    <t>20.04.020</t>
  </si>
  <si>
    <t>Piso em tacos de Ipê colado</t>
  </si>
  <si>
    <t>20.10</t>
  </si>
  <si>
    <t>Rodape de madeira</t>
  </si>
  <si>
    <t>20.10.040</t>
  </si>
  <si>
    <t>Rodapé de madeira de 7 x 1,5 cm</t>
  </si>
  <si>
    <t>20.10.120</t>
  </si>
  <si>
    <t>Cordão de madeira</t>
  </si>
  <si>
    <t>20.20</t>
  </si>
  <si>
    <t>Reparos, conservacoes e complementos - GRUPO 20</t>
  </si>
  <si>
    <t>20.20.020</t>
  </si>
  <si>
    <t>Recolocação de soalho em madeira</t>
  </si>
  <si>
    <t>20.20.040</t>
  </si>
  <si>
    <t>Recolocação de tacos soltos com cola</t>
  </si>
  <si>
    <t>20.20.100</t>
  </si>
  <si>
    <t>Recolocação de rodapé e cordão de madeira</t>
  </si>
  <si>
    <t>20.20.202</t>
  </si>
  <si>
    <t>Raspagem com calafetação e aplicação de verniz</t>
  </si>
  <si>
    <t>21</t>
  </si>
  <si>
    <t>REVESTIMENTO SINTETICO E METALICO</t>
  </si>
  <si>
    <t>21.01</t>
  </si>
  <si>
    <t>Revestimento em borracha</t>
  </si>
  <si>
    <t>21.01.100</t>
  </si>
  <si>
    <t>Revestimento em borracha sintética preta, espessura de 4 mm - colado</t>
  </si>
  <si>
    <t>21.01.160</t>
  </si>
  <si>
    <t>Revestimento em grama sintética, com espessura de 20 a 32 mm</t>
  </si>
  <si>
    <t>21.02</t>
  </si>
  <si>
    <t>Revestimento vinilico</t>
  </si>
  <si>
    <t>21.02.050</t>
  </si>
  <si>
    <t>Revestimento vinílico, espessura de 2 mm, para tráfego médio, com impermeabilizante acrílico</t>
  </si>
  <si>
    <t>21.02.060</t>
  </si>
  <si>
    <t>Revestimento vinílico, espessura de 3,2 mm, para tráfego intenso, com impermeabilizante acrílico</t>
  </si>
  <si>
    <t>21.02.071</t>
  </si>
  <si>
    <t>Revestimento vinílico em manta, espessura total de 2mm, resistente a lavagem com hipoclorito</t>
  </si>
  <si>
    <t>21.02.271</t>
  </si>
  <si>
    <t>Revestimento vinílico em manta heterogênea, espessura de 2 mm, com impermeabilizante acrílico</t>
  </si>
  <si>
    <t>21.02.281</t>
  </si>
  <si>
    <t>Revestimento vinílico flexível em manta homogênea, espessura de 2 mm, com impermeabilizante acrílico</t>
  </si>
  <si>
    <t>21.02.291</t>
  </si>
  <si>
    <t>Revestimento vinílico heterogêneo flexível em réguas, espessura de 3 mm, com impermeabilizante acrílico</t>
  </si>
  <si>
    <t>21.02.310</t>
  </si>
  <si>
    <t>Revestimento vinílico autoportante acústico, espessura de 4,5 mm, com impermeabilizante acrílico</t>
  </si>
  <si>
    <t>21.02.311</t>
  </si>
  <si>
    <t>Revestimento vinílico autoportante, espessura de 4 mm, com impermeabilizante acrílico</t>
  </si>
  <si>
    <t>21.02.320</t>
  </si>
  <si>
    <t>Revestimento vinílico antiestático acústico, espessura de 5 mm, com impermeabilizante acrílico</t>
  </si>
  <si>
    <t>21.03</t>
  </si>
  <si>
    <t>Revestimento metalico</t>
  </si>
  <si>
    <t>21.03.010</t>
  </si>
  <si>
    <t>Revestimento em aço inoxidável AISI 304, liga 18,8, chapa 20, espessura de 1 mm, acabamento escovado com grana especial</t>
  </si>
  <si>
    <t>21.03.090</t>
  </si>
  <si>
    <t>Piso elevado tipo telescópico em chapa de aço, sem revestimento</t>
  </si>
  <si>
    <t>21.03.151</t>
  </si>
  <si>
    <t>21.04</t>
  </si>
  <si>
    <t>Forracao e carpete</t>
  </si>
  <si>
    <t>21.04.100</t>
  </si>
  <si>
    <t>Revestimento com carpete para tráfego moderado, uso comercial, tipo bouclê de 5,4 até 8 mm</t>
  </si>
  <si>
    <t>21.04.110</t>
  </si>
  <si>
    <t>Revestimento com carpete para tráfego intenso, uso comercial, tipo bouclê de 6 mm</t>
  </si>
  <si>
    <t>21.05</t>
  </si>
  <si>
    <t>Revestimento em cimento reforcado com fio sintetico (CRFS)</t>
  </si>
  <si>
    <t>21.05.010</t>
  </si>
  <si>
    <t>Piso em painel com miolo de madeira contraplacado por lâminas de madeira e externamente por chapas em CRFS, espessura de 40 mm</t>
  </si>
  <si>
    <t>21.05.100</t>
  </si>
  <si>
    <t>Piso elevado de concreto em placas de 600 x 600 mm, antiderrapante, sem acabamento</t>
  </si>
  <si>
    <t>21.07</t>
  </si>
  <si>
    <t>Revestimento sintetico</t>
  </si>
  <si>
    <t>21.07.010</t>
  </si>
  <si>
    <t>Revestimento em laminado melamínico dissipativo</t>
  </si>
  <si>
    <t>21.10</t>
  </si>
  <si>
    <t>Rodape sintetico</t>
  </si>
  <si>
    <t>21.10.050</t>
  </si>
  <si>
    <t>Rodapé de poliestireno, espessura de 7 cm</t>
  </si>
  <si>
    <t>21.10.051</t>
  </si>
  <si>
    <t>Rodapé de poliestireno, espessura de 8 cm</t>
  </si>
  <si>
    <t>21.10.061</t>
  </si>
  <si>
    <t>Rodapé para piso vinílico em PVC, espessura de 2 mm e altura de 5 cm, curvo/plano, com impermeabilizante acrílico</t>
  </si>
  <si>
    <t>21.10.071</t>
  </si>
  <si>
    <t>Rodapé flexível para piso vinílico em PVC, espessura de 2 mm e altura de 7,5 cm, curvo/plano, com impermeabilizante acrílico</t>
  </si>
  <si>
    <t>21.10.081</t>
  </si>
  <si>
    <t>Rodapé hospitalar flexível em PVC para piso vinílico, espessura de 2 mm e altura de 7,5 cm, com impermeabilizante acrílico</t>
  </si>
  <si>
    <t>21.10.210</t>
  </si>
  <si>
    <t>Rodapé em borracha sintética preta, altura até 7 cm - colado</t>
  </si>
  <si>
    <t>21.10.220</t>
  </si>
  <si>
    <t>Rodapé de cordão de poliamida</t>
  </si>
  <si>
    <t>21.10.250</t>
  </si>
  <si>
    <t>Rodapé em laminado melamínico dissipativo, espessura de 2 mm e altura de 10 cm</t>
  </si>
  <si>
    <t>21.11</t>
  </si>
  <si>
    <t>Degrau sintetico</t>
  </si>
  <si>
    <t>21.11.050</t>
  </si>
  <si>
    <t>Degrau (piso e espelho) em borracha sintética preta com testeira - colado</t>
  </si>
  <si>
    <t>21.11.131</t>
  </si>
  <si>
    <t>Testeira flexível para arremate de degrau vinílico em PVC, espessura de 2 mm, com impermeabilizante acrílico</t>
  </si>
  <si>
    <t>21.20</t>
  </si>
  <si>
    <t>Reparos, conservacoes e complementos - GRUPO 21</t>
  </si>
  <si>
    <t>21.20.020</t>
  </si>
  <si>
    <t>Recolocação de piso sintético com cola</t>
  </si>
  <si>
    <t>21.20.040</t>
  </si>
  <si>
    <t>Recolocação de piso sintético argamassado</t>
  </si>
  <si>
    <t>21.20.050</t>
  </si>
  <si>
    <t>Recolocação de piso elevado telescópico metálico, inclusive estrutura de sustentação</t>
  </si>
  <si>
    <t>21.20.060</t>
  </si>
  <si>
    <t>Furação de piso elevado telescópico em chapa de aço</t>
  </si>
  <si>
    <t>21.20.100</t>
  </si>
  <si>
    <t>Recolocação de rodapé e cordões sintéticos</t>
  </si>
  <si>
    <t>21.20.300</t>
  </si>
  <si>
    <t>Fita adesiva antiderrapante com largura de 5 cm</t>
  </si>
  <si>
    <t>21.20.302</t>
  </si>
  <si>
    <t>Fita adesiva antiderrapante fosforescente, alto tráfego, largura de 5 cm</t>
  </si>
  <si>
    <t>21.20.410</t>
  </si>
  <si>
    <t>Cantoneira de sobrepor em PVC de 4 x 4 cm</t>
  </si>
  <si>
    <t>21.20.460</t>
  </si>
  <si>
    <t>Canto externo de acabamento em PVC</t>
  </si>
  <si>
    <t>21.20.500</t>
  </si>
  <si>
    <t>Cantoneira em alumínio antiderrapante de 50 x 30 mm</t>
  </si>
  <si>
    <t>22</t>
  </si>
  <si>
    <t>FORRO, BRISE E FACHADA</t>
  </si>
  <si>
    <t>22.01</t>
  </si>
  <si>
    <t>Forro de madeira</t>
  </si>
  <si>
    <t>22.01.010</t>
  </si>
  <si>
    <t>Forro em tábuas aparelhadas macho e fêmea de pinus</t>
  </si>
  <si>
    <t>22.01.020</t>
  </si>
  <si>
    <t>Forro em tábuas aparelhadas macho e fêmea de pinus tarugado</t>
  </si>
  <si>
    <t>22.01.080</t>
  </si>
  <si>
    <t>Forro xadrez em ripas de angelim-vermelho / bacuri / maçaranduba tarugado</t>
  </si>
  <si>
    <t>22.01.210</t>
  </si>
  <si>
    <t>22.01.220</t>
  </si>
  <si>
    <t>Beiral em tábua de angelim-vermelho / bacuri / maçaranduba macho e fêmea com tarugamento</t>
  </si>
  <si>
    <t>22.01.240</t>
  </si>
  <si>
    <t>Beiral em tábua de angelim-vermelho / bacuri / maçaranduba macho e fêmea</t>
  </si>
  <si>
    <t>22.02</t>
  </si>
  <si>
    <t>Forro de gesso</t>
  </si>
  <si>
    <t>22.02.010</t>
  </si>
  <si>
    <t>22.02.030</t>
  </si>
  <si>
    <t>22.02.100</t>
  </si>
  <si>
    <t>22.03</t>
  </si>
  <si>
    <t>Forro sintetico</t>
  </si>
  <si>
    <t>22.03.020</t>
  </si>
  <si>
    <t>22.03.030</t>
  </si>
  <si>
    <t>22.03.040</t>
  </si>
  <si>
    <t>Forro modular removível em PVC de 618mm x 1243mm</t>
  </si>
  <si>
    <t>22.03.050</t>
  </si>
  <si>
    <t>22.03.070</t>
  </si>
  <si>
    <t>Forro em lâmina de PVC</t>
  </si>
  <si>
    <t>22.03.122</t>
  </si>
  <si>
    <t>22.03.140</t>
  </si>
  <si>
    <t>22.04</t>
  </si>
  <si>
    <t>Forro metalico</t>
  </si>
  <si>
    <t>22.04.020</t>
  </si>
  <si>
    <t>Forro metálico removível, em painéis de 625mm x 625mm, tipo colmeia</t>
  </si>
  <si>
    <t>22.06</t>
  </si>
  <si>
    <t>Brise-soleil</t>
  </si>
  <si>
    <t>22.06.130</t>
  </si>
  <si>
    <t>Brise em placa cimentícia, montado em perfil e chapa metálica</t>
  </si>
  <si>
    <t>22.06.240</t>
  </si>
  <si>
    <t>22.06.300</t>
  </si>
  <si>
    <t>Brise metálico curvo e móvel em chapa microperfurada de alumínio pré-pintada</t>
  </si>
  <si>
    <t>22.06.350</t>
  </si>
  <si>
    <t>Brise metálico curvo e móvel termoacústico em chapa lisa de alumínio pré-pintada</t>
  </si>
  <si>
    <t>22.20</t>
  </si>
  <si>
    <t>Reparos, conservacoes e complementos - GRUPO 22</t>
  </si>
  <si>
    <t>22.20.011</t>
  </si>
  <si>
    <t>Placa em lã de vidro revestida em PVC, auto extinguível</t>
  </si>
  <si>
    <t>22.20.020</t>
  </si>
  <si>
    <t>Recolocação de forros fixados</t>
  </si>
  <si>
    <t>22.20.040</t>
  </si>
  <si>
    <t>Recolocação de forros apoiados ou encaixados</t>
  </si>
  <si>
    <t>22.20.050</t>
  </si>
  <si>
    <t>22.20.090</t>
  </si>
  <si>
    <t>Abertura para vão de luminária em forro de PVC modular</t>
  </si>
  <si>
    <t>23</t>
  </si>
  <si>
    <t>ESQUADRIA, MARCENARIA E ELEMENTO EM MADEIRA</t>
  </si>
  <si>
    <t>23.01</t>
  </si>
  <si>
    <t>Janela e veneziana em madeira</t>
  </si>
  <si>
    <t>23.01.050</t>
  </si>
  <si>
    <t>Caixilho em madeira maxim-ar</t>
  </si>
  <si>
    <t>23.01.060</t>
  </si>
  <si>
    <t>Caixilho em madeira tipo veneziana de correr</t>
  </si>
  <si>
    <t>23.02</t>
  </si>
  <si>
    <t>Porta macho / femea montada com batente</t>
  </si>
  <si>
    <t>23.02.010</t>
  </si>
  <si>
    <t>Acréscimo de bandeira - porta macho e fêmea com batente de madeira</t>
  </si>
  <si>
    <t>23.02.030</t>
  </si>
  <si>
    <t>Porta macho e fêmea com batente de madeira - 70 x 210 cm</t>
  </si>
  <si>
    <t>23.02.040</t>
  </si>
  <si>
    <t>Porta macho e fêmea com batente de madeira - 80 x 210 cm</t>
  </si>
  <si>
    <t>23.02.050</t>
  </si>
  <si>
    <t>Porta macho e fêmea com batente de madeira - 90 x 210 cm</t>
  </si>
  <si>
    <t>23.02.060</t>
  </si>
  <si>
    <t>Porta macho e fêmea com batente de madeira - 120 x 210 cm</t>
  </si>
  <si>
    <t>23.04</t>
  </si>
  <si>
    <t>Porta lisa laminada montada com batente</t>
  </si>
  <si>
    <t>23.04.070</t>
  </si>
  <si>
    <t>Porta em laminado fenólico melamínico com batente em alumínio - 80 x 180 cm</t>
  </si>
  <si>
    <t>23.04.080</t>
  </si>
  <si>
    <t>Porta em laminado fenólico melamínico com batente em alumínio - 60 x 160 cm</t>
  </si>
  <si>
    <t>23.04.090</t>
  </si>
  <si>
    <t>Porta em laminado fenólico melamínico com acabamento liso, batente de madeira sem revestimento - 70 x 210 cm</t>
  </si>
  <si>
    <t>23.04.100</t>
  </si>
  <si>
    <t>Porta em laminado fenólico melamínico com acabamento liso, batente de madeira sem revestimento - 80 x 210 cm</t>
  </si>
  <si>
    <t>23.04.110</t>
  </si>
  <si>
    <t>Porta em laminado fenólico melamínico com acabamento liso, batente de madeira sem revestimento - 90 x 210 cm</t>
  </si>
  <si>
    <t>23.04.120</t>
  </si>
  <si>
    <t>Porta em laminado fenólico melamínico com acabamento liso, batente de madeira sem revestimento - 120 x 210 cm</t>
  </si>
  <si>
    <t>23.04.130</t>
  </si>
  <si>
    <t>Porta em laminado fenólico melamínico com acabamento liso, batente de madeira sem revestimento - 140 x 210 cm</t>
  </si>
  <si>
    <t>23.04.140</t>
  </si>
  <si>
    <t>Porta em laminado fenólico melamínico com acabamento liso, batente de madeira sem revestimento - 220 x 210 cm</t>
  </si>
  <si>
    <t>23.04.570</t>
  </si>
  <si>
    <t>Porta em laminado melamínico estrutural com acabamento texturizado, batente em alumínio com ferragens - 60 x 180 cm</t>
  </si>
  <si>
    <t>23.04.580</t>
  </si>
  <si>
    <t>Porta em laminado fenólico melamínico com acabamento liso, batente metálico - 60 x 160 cm</t>
  </si>
  <si>
    <t>23.04.590</t>
  </si>
  <si>
    <t>Porta em laminado fenólico melamínico com acabamento liso, batente metálico - 70 x 210 cm</t>
  </si>
  <si>
    <t>23.04.600</t>
  </si>
  <si>
    <t>Porta em laminado fenólico melamínico com acabamento liso, batente metálico - 80 x 210 cm</t>
  </si>
  <si>
    <t>23.04.610</t>
  </si>
  <si>
    <t>Porta em laminado fenólico melamínico com acabamento liso, batente metálico - 90 x 210 cm</t>
  </si>
  <si>
    <t>23.04.620</t>
  </si>
  <si>
    <t>Porta em laminado fenólico melamínico com acabamento liso, batente metálico - 120 x 210 cm</t>
  </si>
  <si>
    <t>23.08</t>
  </si>
  <si>
    <t>Marcenaria em geral</t>
  </si>
  <si>
    <t>23.08.010</t>
  </si>
  <si>
    <t>Estrado em madeira</t>
  </si>
  <si>
    <t>23.08.020</t>
  </si>
  <si>
    <t>Faixa/batedor de proteção em madeira aparelhada natural de 10 x 2,5 cm</t>
  </si>
  <si>
    <t>23.08.030</t>
  </si>
  <si>
    <t>Faixa/batedor de proteção em madeira de 20 x 5 cm, com acabamento em laminado fenólico melamínico</t>
  </si>
  <si>
    <t>23.08.040</t>
  </si>
  <si>
    <t>Armário/gabinete embutido em MDF sob medida, revestido em laminado melamínico, com portas e prateleiras</t>
  </si>
  <si>
    <t>23.08.060</t>
  </si>
  <si>
    <t>Tampo sob medida em compensado, revestido na face superior em laminado fenólico melamínico</t>
  </si>
  <si>
    <t>23.08.080</t>
  </si>
  <si>
    <t>Prateleira sob medida em compensado, revestida nas duas faces em laminado fenólico melamínico</t>
  </si>
  <si>
    <t>23.08.100</t>
  </si>
  <si>
    <t>Armário tipo prateleira com subdivisão em compensado, revestido totalmente em laminado fenólico melamínico</t>
  </si>
  <si>
    <t>23.08.110</t>
  </si>
  <si>
    <t>Painel em compensado naval, espessura de 25 mm</t>
  </si>
  <si>
    <t>23.08.160</t>
  </si>
  <si>
    <t>Porta lisa com balcão, batente de madeira, completa - 80 x 210 cm</t>
  </si>
  <si>
    <t>23.08.170</t>
  </si>
  <si>
    <t>Lousa em laminado melamínico, branco - linha comercial</t>
  </si>
  <si>
    <t>23.08.210</t>
  </si>
  <si>
    <t>Armário sob medida em compensado de madeira totalmente revestido em folheado de madeira, completo</t>
  </si>
  <si>
    <t>23.08.220</t>
  </si>
  <si>
    <t>Armário sob medida em compensado de madeira totalmente revestido em laminado melamínico texturizado, completo</t>
  </si>
  <si>
    <t>23.08.320</t>
  </si>
  <si>
    <t>Porta acústica de madeira</t>
  </si>
  <si>
    <t>23.08.380</t>
  </si>
  <si>
    <t>Faixa/batedor de proteção em madeira de 290 x 15 mm, com acabamento em laminado fenólico melamínico</t>
  </si>
  <si>
    <t>23.09</t>
  </si>
  <si>
    <t>Porta lisa comum montada com batente</t>
  </si>
  <si>
    <t>23.09.010</t>
  </si>
  <si>
    <t>Acréscimo de bandeira - porta lisa comum com batente de madeira</t>
  </si>
  <si>
    <t>23.09.020</t>
  </si>
  <si>
    <t>Porta lisa com batente madeira - 60 x 210 cm</t>
  </si>
  <si>
    <t>23.09.030</t>
  </si>
  <si>
    <t>Porta lisa com batente madeira - 70 x 210 cm</t>
  </si>
  <si>
    <t>23.09.040</t>
  </si>
  <si>
    <t>Porta lisa com batente madeira - 80 x 210 cm</t>
  </si>
  <si>
    <t>23.09.050</t>
  </si>
  <si>
    <t>Porta lisa com batente madeira - 90 x 210 cm</t>
  </si>
  <si>
    <t>23.09.052</t>
  </si>
  <si>
    <t>Porta lisa com batente madeira - 110 x 210 cm</t>
  </si>
  <si>
    <t>23.09.060</t>
  </si>
  <si>
    <t>Porta lisa com batente madeira - 120 x 210 cm</t>
  </si>
  <si>
    <t>23.09.100</t>
  </si>
  <si>
    <t>Porta lisa com batente madeira - 160 x 210 cm</t>
  </si>
  <si>
    <t>23.09.420</t>
  </si>
  <si>
    <t>Porta lisa com batente em alumínio, largura 60 cm, altura de 105 a 200 cm</t>
  </si>
  <si>
    <t>23.09.430</t>
  </si>
  <si>
    <t>Porta lisa com batente em alumínio, largura 80 cm, altura de 105 a 200 cm</t>
  </si>
  <si>
    <t>23.09.440</t>
  </si>
  <si>
    <t>Porta lisa com batente em alumínio, largura 90 cm, altura de 105 a 200 cm</t>
  </si>
  <si>
    <t>23.09.520</t>
  </si>
  <si>
    <t>Porta lisa com batente metálico - 60 x 160 cm</t>
  </si>
  <si>
    <t>23.09.530</t>
  </si>
  <si>
    <t>Porta lisa com batente metálico - 80 x 160 cm</t>
  </si>
  <si>
    <t>23.09.540</t>
  </si>
  <si>
    <t>Porta lisa com batente metálico - 70 x 210 cm</t>
  </si>
  <si>
    <t>23.09.550</t>
  </si>
  <si>
    <t>Porta lisa com batente metálico - 80 x 210 cm</t>
  </si>
  <si>
    <t>23.09.560</t>
  </si>
  <si>
    <t>Porta lisa com batente metálico - 90 x 210 cm</t>
  </si>
  <si>
    <t>23.09.570</t>
  </si>
  <si>
    <t>Porta lisa com batente metálico - 120 x 210 cm</t>
  </si>
  <si>
    <t>23.09.590</t>
  </si>
  <si>
    <t>Porta lisa com batente metálico - 160 x 210 cm</t>
  </si>
  <si>
    <t>23.09.600</t>
  </si>
  <si>
    <t>Porta lisa com batente metálico - 60 x 180 cm</t>
  </si>
  <si>
    <t>23.09.610</t>
  </si>
  <si>
    <t>Porta lisa com batente metálico - 60 x 210 cm</t>
  </si>
  <si>
    <t>23.09.630</t>
  </si>
  <si>
    <t>Porta lisa com batente madeira, 2 folhas - 140 x 210 cm</t>
  </si>
  <si>
    <t>23.11</t>
  </si>
  <si>
    <t>Porta lisa para acabamento em verniz montada com batente</t>
  </si>
  <si>
    <t>23.11.010</t>
  </si>
  <si>
    <t>Acréscimo de bandeira - porta lisa para acabamento em verniz, com batente de madeira</t>
  </si>
  <si>
    <t>23.11.030</t>
  </si>
  <si>
    <t>Porta lisa para acabamento em verniz, com batente de madeira - 70 x 210 cm</t>
  </si>
  <si>
    <t>23.11.040</t>
  </si>
  <si>
    <t>Porta lisa para acabamento em verniz, com batente de madeira - 80 x 210 cm</t>
  </si>
  <si>
    <t>23.11.050</t>
  </si>
  <si>
    <t>Porta lisa para acabamento em verniz, com batente de madeira - 90 x 210 cm</t>
  </si>
  <si>
    <t>23.12</t>
  </si>
  <si>
    <t>Porta comum completa - uso coletivo (padrao dimensional medio)</t>
  </si>
  <si>
    <t>23.12.001</t>
  </si>
  <si>
    <t>Porta lisa de madeira, interna "PIM", para acabamento em pintura, padrão dimensional médio, com ferragens, completo - 80 x 210 cm</t>
  </si>
  <si>
    <t>23.13</t>
  </si>
  <si>
    <t>Porta comum completa - uso publico (padrao dimensional medio/pesado)</t>
  </si>
  <si>
    <t>23.13.001</t>
  </si>
  <si>
    <t>Porta lisa de madeira, interna "PIM", para acabamento em pintura, padrão dimensional médio/pesado, com ferragens, completo - 80 x 210 cm</t>
  </si>
  <si>
    <t>23.13.002</t>
  </si>
  <si>
    <t>Porta lisa de madeira, interna "PIM", para acabamento em pintura, padrão dimensional médio/pesado, com ferragens, completo - 90 x 210 cm</t>
  </si>
  <si>
    <t>23.13.020</t>
  </si>
  <si>
    <t>Porta lisa de madeira, interna, resistente a umidade "PIM RU", para acabamento em pintura, padrão dimensional médio/pesado, com ferragens, completo - 80 x 210 cm</t>
  </si>
  <si>
    <t>23.13.040</t>
  </si>
  <si>
    <t>Porta lisa de madeira, interna, resistente a umidade "PIM RU", para acabamento revestido ou em pintura, para divisória sanitária, padrão dimensional médio/pesado, com ferragens, completo - 80 x 190 cm</t>
  </si>
  <si>
    <t>23.13.052</t>
  </si>
  <si>
    <t>Porta lisa de madeira, interna, resistente a umidade "PIM RU", para acabamento em pintura, tipo acessível, padrão dimensional médio/pesado, com ferragens, completo - 90 x 210 cm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</si>
  <si>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</si>
  <si>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</t>
  </si>
  <si>
    <t>23.20</t>
  </si>
  <si>
    <t>Reparos, conservacoes e complementos - GRUPO 23</t>
  </si>
  <si>
    <t>23.20.020</t>
  </si>
  <si>
    <t>Recolocação de batentes de madeira</t>
  </si>
  <si>
    <t>23.20.040</t>
  </si>
  <si>
    <t>Recolocação de folhas de porta ou janela</t>
  </si>
  <si>
    <t>23.20.060</t>
  </si>
  <si>
    <t>Recolocação de guarnição ou molduras</t>
  </si>
  <si>
    <t>23.20.100</t>
  </si>
  <si>
    <t>Batente de madeira para porta</t>
  </si>
  <si>
    <t>23.20.110</t>
  </si>
  <si>
    <t>Visor fixo e requadro de madeira para porta, para receber vidro</t>
  </si>
  <si>
    <t>23.20.120</t>
  </si>
  <si>
    <t>Guarnição de madeira</t>
  </si>
  <si>
    <t>23.20.140</t>
  </si>
  <si>
    <t>Acréscimo de visor completo em porta de madeira</t>
  </si>
  <si>
    <t>23.20.160</t>
  </si>
  <si>
    <t>Folha de porta veneziana maciça, sob medida</t>
  </si>
  <si>
    <t>23.20.170</t>
  </si>
  <si>
    <t>Folha de porta lisa folheada com madeira, sob medida</t>
  </si>
  <si>
    <t>23.20.180</t>
  </si>
  <si>
    <t>Folha de porta em madeira para receber vidro, sob medida</t>
  </si>
  <si>
    <t>23.20.310</t>
  </si>
  <si>
    <t>Folha de porta lisa comum - 60 x 210 cm</t>
  </si>
  <si>
    <t>23.20.320</t>
  </si>
  <si>
    <t>Folha de porta lisa comum - 70 x 210 cm</t>
  </si>
  <si>
    <t>23.20.330</t>
  </si>
  <si>
    <t>Folha de porta lisa comum - 80 x 210 cm</t>
  </si>
  <si>
    <t>23.20.340</t>
  </si>
  <si>
    <t>Folha de porta lisa comum - 90 x 210 cm</t>
  </si>
  <si>
    <t>23.20.450</t>
  </si>
  <si>
    <t>Folha de porta em laminado fenólico melamínico com acabamento liso - 70 x 210 cm</t>
  </si>
  <si>
    <t>23.20.460</t>
  </si>
  <si>
    <t>Folha de porta em laminado fenólico melamínico com acabamento liso - 90 x 210 cm</t>
  </si>
  <si>
    <t>23.20.550</t>
  </si>
  <si>
    <t>Folha de porta em laminado fenólico melamínico com acabamento liso - 80 x 210 cm</t>
  </si>
  <si>
    <t>23.20.600</t>
  </si>
  <si>
    <t>Folha de porta em madeira com tela de proteção tipo mosqueteira</t>
  </si>
  <si>
    <t>24</t>
  </si>
  <si>
    <t>ESQUADRIA, SERRALHERIA E ELEMENTO EM FERRO</t>
  </si>
  <si>
    <t>24.01</t>
  </si>
  <si>
    <t>Caixilho em ferro</t>
  </si>
  <si>
    <t>24.01.010</t>
  </si>
  <si>
    <t>Caixilho em ferro fixo, sob medida</t>
  </si>
  <si>
    <t>24.01.030</t>
  </si>
  <si>
    <t>Caixilho em ferro basculante, sob medida</t>
  </si>
  <si>
    <t>24.01.070</t>
  </si>
  <si>
    <t>Caixilho em ferro de correr, sob medida</t>
  </si>
  <si>
    <t>24.01.090</t>
  </si>
  <si>
    <t>Caixilho em ferro com ventilação permanente, sob medida</t>
  </si>
  <si>
    <t>24.01.100</t>
  </si>
  <si>
    <t>Caixilho em ferro tipo veneziana, linha comercial</t>
  </si>
  <si>
    <t>24.01.110</t>
  </si>
  <si>
    <t>Caixilho em ferro tipo veneziana, sob medida</t>
  </si>
  <si>
    <t>24.01.120</t>
  </si>
  <si>
    <t>Caixilho tipo veneziana industrial com montantes em aço galvanizado e aletas em fibra de vidro</t>
  </si>
  <si>
    <t>24.01.180</t>
  </si>
  <si>
    <t>Caixilho removível em tela de aço galvanizado, tipo ondulada com malha de 1", fio 12, com requadro tubular de aço carbono, sob medida</t>
  </si>
  <si>
    <t>24.01.190</t>
  </si>
  <si>
    <t>Caixilho fixo em tela de aço galvanizado tipo ondulada com malha de 1/2", fio 12, com requadro em cantoneira de aço carbono, sob medida</t>
  </si>
  <si>
    <t>24.01.200</t>
  </si>
  <si>
    <t>Caixilho fixo em aço SAE 1010/1020 para vidro à prova de bala, sob medida</t>
  </si>
  <si>
    <t>24.01.280</t>
  </si>
  <si>
    <t>Caixilho tipo guichê em chapa de aço</t>
  </si>
  <si>
    <t>24.02</t>
  </si>
  <si>
    <t>Portas, portoes e gradis</t>
  </si>
  <si>
    <t>24.02.010</t>
  </si>
  <si>
    <t>Porta em ferro de abrir, para receber vidro, sob medida</t>
  </si>
  <si>
    <t>24.02.040</t>
  </si>
  <si>
    <t>Porta/portão tipo gradil sob medida</t>
  </si>
  <si>
    <t>24.02.050</t>
  </si>
  <si>
    <t>Porta corta-fogo classe P.90 de 90 x 210 cm, completa, com maçaneta tipo alavanca</t>
  </si>
  <si>
    <t>24.02.052</t>
  </si>
  <si>
    <t>Porta corta-fogo classe P.90 de 100 x 210 cm, completa, com maçaneta tipo alavanca</t>
  </si>
  <si>
    <t>24.02.054</t>
  </si>
  <si>
    <t>Porta corta-fogo classe P.90, com barra antipânico numa face e maçaneta na outra, completa</t>
  </si>
  <si>
    <t>24.02.056</t>
  </si>
  <si>
    <t>Porta corta-fogo classe P.120 de 80 x 210 cm, com uma folha de abrir, completa</t>
  </si>
  <si>
    <t>24.02.058</t>
  </si>
  <si>
    <t>Porta corta-fogo classe P.120 de 90 x 210 cm, com uma folha de abrir, completa</t>
  </si>
  <si>
    <t>24.02.060</t>
  </si>
  <si>
    <t>Porta/portão de abrir em chapa, sob medida</t>
  </si>
  <si>
    <t>24.02.070</t>
  </si>
  <si>
    <t>Porta de ferro de abrir tipo veneziana, linha comercial</t>
  </si>
  <si>
    <t>24.02.080</t>
  </si>
  <si>
    <t>24.02.100</t>
  </si>
  <si>
    <t>Portão tubular em tela de aço galvanizado até 2,50 m de altura, completo</t>
  </si>
  <si>
    <t>24.02.270</t>
  </si>
  <si>
    <t>Portão de 2 folhas, tubular em tela de aço galvanizado acima de 2,50 m de altura, completo</t>
  </si>
  <si>
    <t>24.02.280</t>
  </si>
  <si>
    <t>Porta/portão de correr em tela ondulada de aço galvanizado, sob medida</t>
  </si>
  <si>
    <t>24.02.290</t>
  </si>
  <si>
    <t>Porta/portão de correr em chapa cega dupla, sob medida</t>
  </si>
  <si>
    <t>24.02.410</t>
  </si>
  <si>
    <t>Porta em ferro de correr, para receber vidro, sob medida</t>
  </si>
  <si>
    <t>24.02.430</t>
  </si>
  <si>
    <t>Porta em ferro de abrir, parte inferior chapeada, parte superior para receber vidro, sob medida</t>
  </si>
  <si>
    <t>24.02.450</t>
  </si>
  <si>
    <t>Grade de proteção para caixilhos</t>
  </si>
  <si>
    <t>24.02.460</t>
  </si>
  <si>
    <t>Porta de abrir em tela ondulada de aço galvanizado, completa</t>
  </si>
  <si>
    <t>24.02.470</t>
  </si>
  <si>
    <t>Portinhola de correr em chapa, para ´passa pacote´, completa, sob medida</t>
  </si>
  <si>
    <t>24.02.480</t>
  </si>
  <si>
    <t>Portinhola de abrir em chapa, para ´passa pacote´, completa, sob medida</t>
  </si>
  <si>
    <t>24.02.490</t>
  </si>
  <si>
    <t>Grade em barra chata soldada de 1 1/2´ x 1/4´, sob medida</t>
  </si>
  <si>
    <t>24.02.590</t>
  </si>
  <si>
    <t>Porta de enrolar manual, cega ou vazada</t>
  </si>
  <si>
    <t>24.02.630</t>
  </si>
  <si>
    <t>Portão de 2 folhas tubular diâmetro de 3´, com tela em aço galvanizado de 2´, altura acima de 3,00 m, completo</t>
  </si>
  <si>
    <t>24.02.810</t>
  </si>
  <si>
    <t>Porta/portão de abrir em chapa cega com isolamento acústico, sob medida</t>
  </si>
  <si>
    <t>24.02.811</t>
  </si>
  <si>
    <t>Porta de ferro acústica, espessura de 80mm, batente tripla vedação 185mm, com fechadura e maçaneta - 50 dB</t>
  </si>
  <si>
    <t>24.02.840</t>
  </si>
  <si>
    <t>Portão basculante em chapa metálica, estruturado com perfis metálicos</t>
  </si>
  <si>
    <t>24.02.900</t>
  </si>
  <si>
    <t>Porta de abrir em chapa dupla com visor, batente envolvente, completa</t>
  </si>
  <si>
    <t>24.02.930</t>
  </si>
  <si>
    <t>Portão de 2 folhas tubular, com tela em aço galvanizado de 2´ e fio 10, completo</t>
  </si>
  <si>
    <t>24.03</t>
  </si>
  <si>
    <t>Elementos em ferro</t>
  </si>
  <si>
    <t>24.03.040</t>
  </si>
  <si>
    <t>Guarda-corpo tubular com tela em aço galvanizado, diâmetro de 1 1/2´</t>
  </si>
  <si>
    <t>24.03.060</t>
  </si>
  <si>
    <t>24.03.080</t>
  </si>
  <si>
    <t>24.03.100</t>
  </si>
  <si>
    <t>Alçapão/tampa em chapa de ferro com porta cadeado</t>
  </si>
  <si>
    <t>24.03.200</t>
  </si>
  <si>
    <t>Tela de proteção tipo mosquiteira em aço galvanizado, com requadro em perfis de ferro</t>
  </si>
  <si>
    <t>24.03.210</t>
  </si>
  <si>
    <t>24.03.290</t>
  </si>
  <si>
    <t>Fechamento em chapa de aço galvanizada nº 14 MSG, perfurada com diâmetro de 12,7 mm, requadro em chapa dobrada</t>
  </si>
  <si>
    <t>24.03.300</t>
  </si>
  <si>
    <t>Fechamento em chapa expandida losangular de 10 x 20 mm, com requadro em cantoneira de aço carbono</t>
  </si>
  <si>
    <t>24.03.310</t>
  </si>
  <si>
    <t>Corrimão tubular em aço galvanizado, diâmetro 1 1/2´</t>
  </si>
  <si>
    <t>24.03.320</t>
  </si>
  <si>
    <t>Corrimão tubular em aço galvanizado, diâmetro 2´</t>
  </si>
  <si>
    <t>24.03.340</t>
  </si>
  <si>
    <t>Tampa em chapa de segurança tipo xadrez, aço galvanizado a fogo antiderrapante de 1/4´</t>
  </si>
  <si>
    <t>24.03.410</t>
  </si>
  <si>
    <t>Fechamento em chapa perfurada, furos quadrados 4 x 4 mm, com requadro em cantoneira de aço carbono</t>
  </si>
  <si>
    <t>24.03.680</t>
  </si>
  <si>
    <t>24.03.690</t>
  </si>
  <si>
    <t>24.03.930</t>
  </si>
  <si>
    <t>Porta de enrolar automatizada, em chapa de aço galvanizada microperfurada, com pintura eletrostática, com controle remoto</t>
  </si>
  <si>
    <t>24.04</t>
  </si>
  <si>
    <t>Esquadria, serralheria de seguranca</t>
  </si>
  <si>
    <t>24.04.150</t>
  </si>
  <si>
    <t>Porta de segurança de correr suspensa em grade de aço SAE 1045, diâmetro de 1´, completa, sem têmpera e revenimento</t>
  </si>
  <si>
    <t>24.04.220</t>
  </si>
  <si>
    <t>Grade de segurança em aço SAE 1045, diâmetro 1´, sem têmpera e revenimento</t>
  </si>
  <si>
    <t>24.04.230</t>
  </si>
  <si>
    <t>Grade de segurança em aço SAE 1045, para janela, diâmetro 1´, sem têmpera e revenimento</t>
  </si>
  <si>
    <t>24.04.240</t>
  </si>
  <si>
    <t>Grade de segurança em aço SAE 1045 chapeada, diâmetro 1´, sem têmpera e revenimento</t>
  </si>
  <si>
    <t>24.04.250</t>
  </si>
  <si>
    <t>Porta de segurança de abrir em grade de aço SAE 1045, diâmetro 1´, completa, sem têmpera e revenimento</t>
  </si>
  <si>
    <t>24.04.260</t>
  </si>
  <si>
    <t>Porta de segurança de abrir em grade de aço SAE 1045 chapeada, diâmetro 1´, completa, sem têmpera e revenimento</t>
  </si>
  <si>
    <t>24.04.270</t>
  </si>
  <si>
    <t>Porta de segurança de abrir em grade de aço SAE 1045, diâmetro 1´, com ferrolho longo embutido em caixa, completa, sem têmpera e revenimento</t>
  </si>
  <si>
    <t>24.04.280</t>
  </si>
  <si>
    <t>Portão de segurança de abrir em grade de aço SAE 1045 chapeado, para muralha, diâmetro 1´, completo, sem têmpera e revenimento</t>
  </si>
  <si>
    <t>24.04.300</t>
  </si>
  <si>
    <t>Grade de segurança em aço SAE 1045, diâmetro 1´, com têmpera e revenimento</t>
  </si>
  <si>
    <t>24.04.310</t>
  </si>
  <si>
    <t>Grade de segurança em aço SAE 1045, para janela, diâmetro 1´, com têmpera e revenimento</t>
  </si>
  <si>
    <t>24.04.320</t>
  </si>
  <si>
    <t>Grade de segurança em aço SAE 1045 chapeada, diâmetro 1´, com têmpera e revenimento</t>
  </si>
  <si>
    <t>24.04.330</t>
  </si>
  <si>
    <t>Porta de segurança de abrir em grade de aço SAE 1045, diâmetro 1´, completa, com têmpera e revenimento</t>
  </si>
  <si>
    <t>24.04.340</t>
  </si>
  <si>
    <t>Porta de segurança de abrir em grade de aço SAE 1045 chapeada, diâmetro 1´, completa, com têmpera e revenimento</t>
  </si>
  <si>
    <t>24.04.350</t>
  </si>
  <si>
    <t>Porta de segurança de abrir em grade de aço SAE 1045, diâmetro 1´, com ferrolho longo embutido em caixa, completa, com têmpera e revenimento</t>
  </si>
  <si>
    <t>24.04.360</t>
  </si>
  <si>
    <t>Porta de segurança de abrir em grade de aço SAE 1045 chapeada, com isolamento acústico, diâmetro 1´, completa, com têmpera e revenimento</t>
  </si>
  <si>
    <t>24.04.370</t>
  </si>
  <si>
    <t>Portão de segurança de abrir em grade de aço SAE 1045 chapeado, para muralha, diâmetro 1´, completo, com têmpera e revenimento</t>
  </si>
  <si>
    <t>24.04.380</t>
  </si>
  <si>
    <t>Porta de segurança de correr suspensa em grade de aço SAE 1045, chapeada, diâmetro de 1´, completa, sem têmpera e revenimento</t>
  </si>
  <si>
    <t>24.04.400</t>
  </si>
  <si>
    <t>Porta de segurança de correr em grade de aço SAE 1045, diâmetro de 1´, completa, com têmpera e revenimento</t>
  </si>
  <si>
    <t>24.04.410</t>
  </si>
  <si>
    <t>Porta de segurança de correr suspensa em grade de aço SAE 1045 chapeada, diâmetro de 1´, completa, com têmpera e revenimento</t>
  </si>
  <si>
    <t>24.04.420</t>
  </si>
  <si>
    <t>Porta de segurança de correr em grade de aço SAE 1045 chapeada, diâmetro de 1´, completa, sem têmpera e revenimento</t>
  </si>
  <si>
    <t>24.04.430</t>
  </si>
  <si>
    <t>Porta de segurança de correr em grade de aço SAE 1045, diâmetro de 1´, completa, sem têmpera e revenimento</t>
  </si>
  <si>
    <t>24.04.610</t>
  </si>
  <si>
    <t>Caixilho de segurança em aço SAE 1010/1020 tipo fixo e de correr, para receber vidro, com bandeira tipo veneziana</t>
  </si>
  <si>
    <t>24.04.620</t>
  </si>
  <si>
    <t>Guichê de segurança em grade de aço SAE 1045, diâmetro de 1´', com têmpera e revenimento</t>
  </si>
  <si>
    <t>24.04.630</t>
  </si>
  <si>
    <t>Guichê de segurança em grade de aço SAE 1045, diâmetro de 1´', sem têmpera e revenimento</t>
  </si>
  <si>
    <t>24.06</t>
  </si>
  <si>
    <t>Esquadria, serralheria e elemento em ferro.</t>
  </si>
  <si>
    <t>24.06.030</t>
  </si>
  <si>
    <t>Guarda-corpo com vidro de 8 mm, em tubo de aço galvanizado, diâmetro 1 1/2´</t>
  </si>
  <si>
    <t>24.07</t>
  </si>
  <si>
    <t>Portas, portoes e gradis.</t>
  </si>
  <si>
    <t>24.07.030</t>
  </si>
  <si>
    <t>Porta de enrolar automatizado, em perfil meia cana perfurado, tipo transvision</t>
  </si>
  <si>
    <t>24.07.040</t>
  </si>
  <si>
    <t>Porta de abrir em chapa de aço galvanizado, com requadro em tela ondulada malha 2´ e fio 12</t>
  </si>
  <si>
    <t>24.08</t>
  </si>
  <si>
    <t>Esquadria, serralheria e elemento em aco inoxidavel</t>
  </si>
  <si>
    <t>24.08.020</t>
  </si>
  <si>
    <t>Corrimão duplo em tubo de aço inoxidável escovado, com diâmetro de 1 1/2´ e montantes com diâmetro de 2´</t>
  </si>
  <si>
    <t>24.08.031</t>
  </si>
  <si>
    <t>Corrimão em tubo de aço inoxidável escovado, diâmetro de 1 1/2"</t>
  </si>
  <si>
    <t>24.08.040</t>
  </si>
  <si>
    <t>Corrimão em tubo de aço inoxidável escovado, diâmetro de 1 1/2´ e montantes com diâmetro de 2´</t>
  </si>
  <si>
    <t>24.20</t>
  </si>
  <si>
    <t>Reparos, conservacoes e complementos - GRUPO 24</t>
  </si>
  <si>
    <t>24.20.020</t>
  </si>
  <si>
    <t>Recolocação de esquadrias metálicas</t>
  </si>
  <si>
    <t>24.20.040</t>
  </si>
  <si>
    <t>Recolocação de batentes</t>
  </si>
  <si>
    <t>24.20.060</t>
  </si>
  <si>
    <t>Recolocação de escada de marinheiro</t>
  </si>
  <si>
    <t>24.20.090</t>
  </si>
  <si>
    <t>Solda MIG em esquadrias metálicas</t>
  </si>
  <si>
    <t>24.20.100</t>
  </si>
  <si>
    <t>Brete para instalação lateral em grade de segurança</t>
  </si>
  <si>
    <t>24.20.120</t>
  </si>
  <si>
    <t>Batente em chapa dobrada para portas</t>
  </si>
  <si>
    <t>24.20.140</t>
  </si>
  <si>
    <t>Batente em chapa de aço SAE 1010/1020, espessura de 3/16´, para obras de segurança</t>
  </si>
  <si>
    <t>24.20.200</t>
  </si>
  <si>
    <t>Chapa de ferro nº 14, inclusive soldagem</t>
  </si>
  <si>
    <t>24.20.230</t>
  </si>
  <si>
    <t>Tela ondulada em aço galvanizado fio 10 BWG, malha de 1´</t>
  </si>
  <si>
    <t>24.20.270</t>
  </si>
  <si>
    <t>Tela em aço galvanizado fio 16 BWG, malha de 1´ - tipo alambrado</t>
  </si>
  <si>
    <t>24.20.300</t>
  </si>
  <si>
    <t>Chapa perfurada em aço SAE 1020, furos redondos de diâmetro 7,5 mm, espessura 1/8´ - soldagem tipo MIG</t>
  </si>
  <si>
    <t>24.20.310</t>
  </si>
  <si>
    <t>Chapa perfurada em aço SAE 1020, furos redondos de diâmetro 25 mm, espessura 1/4´ - inclusive soldagem</t>
  </si>
  <si>
    <t>25</t>
  </si>
  <si>
    <t>ESQUADRIA, SERRALHERIA E ELEMENTO EM ALUMINIO</t>
  </si>
  <si>
    <t>25.01</t>
  </si>
  <si>
    <t>Caixilho em aluminio</t>
  </si>
  <si>
    <t>25.01.020</t>
  </si>
  <si>
    <t>Caixilho em alumínio fixo, sob medida</t>
  </si>
  <si>
    <t>25.01.030</t>
  </si>
  <si>
    <t>Caixilho em alumínio basculante com vidro, linha comercial</t>
  </si>
  <si>
    <t>25.01.040</t>
  </si>
  <si>
    <t>Caixilho em alumínio basculante, sob medida</t>
  </si>
  <si>
    <t>25.01.050</t>
  </si>
  <si>
    <t>Caixilho em alumínio maxim-ar com vidro, linha comercial</t>
  </si>
  <si>
    <t>25.01.060</t>
  </si>
  <si>
    <t>Caixilho em alumínio maxim-ar, sob medida</t>
  </si>
  <si>
    <t>25.01.070</t>
  </si>
  <si>
    <t>Caixilho em alumínio de correr com vidro, linha comercial</t>
  </si>
  <si>
    <t>25.01.080</t>
  </si>
  <si>
    <t>Caixilho em alumínio de correr, sob medida</t>
  </si>
  <si>
    <t>25.01.090</t>
  </si>
  <si>
    <t>Caixilho em alumínio tipo veneziana com vidro, linha comercial</t>
  </si>
  <si>
    <t>25.01.100</t>
  </si>
  <si>
    <t>Caixilho em alumínio tipo veneziana, sob medida</t>
  </si>
  <si>
    <t>25.01.110</t>
  </si>
  <si>
    <t>Caixilho guilhotina em alumínio anodizado, sob medida</t>
  </si>
  <si>
    <t>25.01.120</t>
  </si>
  <si>
    <t>Caixilho tipo veneziana industrial com montantes em alumínio e aletas em fibra de vidro</t>
  </si>
  <si>
    <t>25.01.240</t>
  </si>
  <si>
    <t>Caixilho fixo em alumínio, sob medida - branco</t>
  </si>
  <si>
    <t>25.01.361</t>
  </si>
  <si>
    <t>Caixilho em alumínio maxim-ar com vidro - branco</t>
  </si>
  <si>
    <t>25.01.371</t>
  </si>
  <si>
    <t>Caixilho em alumínio basculante com vidro - branco</t>
  </si>
  <si>
    <t>25.01.380</t>
  </si>
  <si>
    <t>Caixilho em alumínio de correr com vidro - branco</t>
  </si>
  <si>
    <t>25.01.400</t>
  </si>
  <si>
    <t>Caixilho em alumínio anodizado fixo</t>
  </si>
  <si>
    <t>25.01.410</t>
  </si>
  <si>
    <t>Caixilho em alumínio anodizado maxim-ar</t>
  </si>
  <si>
    <t>25.01.430</t>
  </si>
  <si>
    <t>Caixilho em alumínio fixo, tipo fachada</t>
  </si>
  <si>
    <t>25.01.440</t>
  </si>
  <si>
    <t>Caixilho em alumínio maxim-ar, tipo fachada</t>
  </si>
  <si>
    <t>25.01.450</t>
  </si>
  <si>
    <t>Caixilho em alumínio para pele de vidro, tipo fachada</t>
  </si>
  <si>
    <t>25.01.460</t>
  </si>
  <si>
    <t>Gradil em alumínio natural, sob medida</t>
  </si>
  <si>
    <t>25.01.470</t>
  </si>
  <si>
    <t>Caixilho fixo tipo veneziana em alumínio anodizado, sob medida - branco</t>
  </si>
  <si>
    <t>25.01.480</t>
  </si>
  <si>
    <t>Caixilho em alumínio com pintura eletrostática, basculante, sob medida - branco</t>
  </si>
  <si>
    <t>25.01.490</t>
  </si>
  <si>
    <t>Caixilho em alumínio com pintura eletrostática, maxim-ar, sob medida - branco</t>
  </si>
  <si>
    <t>25.01.500</t>
  </si>
  <si>
    <t>Caixilho em alumínio anodizado fixo, sob medida - bronze/preto</t>
  </si>
  <si>
    <t>25.01.510</t>
  </si>
  <si>
    <t>Caixilho em alumínio anodizado basculante, sob medida - bronze/preto</t>
  </si>
  <si>
    <t>25.01.520</t>
  </si>
  <si>
    <t>Caixilho em alumínio anodizado maxim-ar, sob medida - bronze/preto</t>
  </si>
  <si>
    <t>25.01.530</t>
  </si>
  <si>
    <t>Caixilho em alumínio anodizado de correr, sob medida - bronze/preto</t>
  </si>
  <si>
    <t>25.02</t>
  </si>
  <si>
    <t>Porta em aluminio</t>
  </si>
  <si>
    <t>25.02.020</t>
  </si>
  <si>
    <t>Porta de entrada de abrir em alumínio, sob medida</t>
  </si>
  <si>
    <t>25.02.040</t>
  </si>
  <si>
    <t>Porta de entrada de correr em alumínio, sob medida</t>
  </si>
  <si>
    <t>25.02.042</t>
  </si>
  <si>
    <t>Porta de correr em alumínio tipo lambri branco, sob medida</t>
  </si>
  <si>
    <t>25.02.050</t>
  </si>
  <si>
    <t>Porta veneziana de abrir em alumínio, linha comercial</t>
  </si>
  <si>
    <t>25.02.060</t>
  </si>
  <si>
    <t>25.02.070</t>
  </si>
  <si>
    <t>25.02.110</t>
  </si>
  <si>
    <t>Porta veneziana de abrir em alumínio, sob medida</t>
  </si>
  <si>
    <t>25.02.211</t>
  </si>
  <si>
    <t>Porta veneziana de abrir em alumínio - cor branca</t>
  </si>
  <si>
    <t>25.02.221</t>
  </si>
  <si>
    <t>Porta de correr em alumínio com veneziana e vidro - cor branca</t>
  </si>
  <si>
    <t>25.02.230</t>
  </si>
  <si>
    <t>Porta em alumínio anodizado de abrir, sob medida - bronze/preto</t>
  </si>
  <si>
    <t>25.02.240</t>
  </si>
  <si>
    <t>Porta em alumínio anodizado de correr, sob medida - bronze/preto</t>
  </si>
  <si>
    <t>25.02.250</t>
  </si>
  <si>
    <t>Porta em alumínio anodizado de abrir, tipo veneziana, sob medida - bronze/preto</t>
  </si>
  <si>
    <t>25.02.260</t>
  </si>
  <si>
    <t>Portinhola em alumínio anodizado de correr, tipo veneziana, sob medida - bronze/preto</t>
  </si>
  <si>
    <t>25.02.300</t>
  </si>
  <si>
    <t>Porta de abrir em alumínio com pintura eletrostática, sob medida - cor branca</t>
  </si>
  <si>
    <t>25.02.310</t>
  </si>
  <si>
    <t>Porta de abrir em alumínio tipo lambri, sob medida - cor branca</t>
  </si>
  <si>
    <t>25.20</t>
  </si>
  <si>
    <t>Reparos, conservacoes e complementos - GRUPO 25</t>
  </si>
  <si>
    <t>25.20.020</t>
  </si>
  <si>
    <t>Tela de proteção tipo mosquiteira removível, em fibra de vidro com revestimento em PVC e requadro em alumínio</t>
  </si>
  <si>
    <t>26</t>
  </si>
  <si>
    <t>ESQUADRIA E ELEMENTO EM VIDRO</t>
  </si>
  <si>
    <t>26.01</t>
  </si>
  <si>
    <t>Vidro comum e laminado</t>
  </si>
  <si>
    <t>26.01.020</t>
  </si>
  <si>
    <t>Vidro liso transparente de 3 mm</t>
  </si>
  <si>
    <t>26.01.040</t>
  </si>
  <si>
    <t>Vidro liso transparente de 4 mm</t>
  </si>
  <si>
    <t>26.01.060</t>
  </si>
  <si>
    <t>Vidro liso transparente de 5 mm</t>
  </si>
  <si>
    <t>26.01.080</t>
  </si>
  <si>
    <t>Vidro liso transparente de 6 mm</t>
  </si>
  <si>
    <t>26.01.140</t>
  </si>
  <si>
    <t>Vidro liso laminado colorido de 6 mm</t>
  </si>
  <si>
    <t>26.01.155</t>
  </si>
  <si>
    <t>Vidro liso laminado colorido de 10 mm</t>
  </si>
  <si>
    <t>26.01.160</t>
  </si>
  <si>
    <t>Vidro liso laminado leitoso de 6 mm</t>
  </si>
  <si>
    <t>26.01.168</t>
  </si>
  <si>
    <t>Vidro liso laminado incolor de 6 mm</t>
  </si>
  <si>
    <t>26.01.169</t>
  </si>
  <si>
    <t>Vidro liso laminado incolor de 8 mm</t>
  </si>
  <si>
    <t>26.01.170</t>
  </si>
  <si>
    <t>Vidro liso laminado incolor de 10 mm</t>
  </si>
  <si>
    <t>26.01.230</t>
  </si>
  <si>
    <t>Vidro fantasia de 3/4 mm</t>
  </si>
  <si>
    <t>26.01.348</t>
  </si>
  <si>
    <t>Vidro multilaminado de alta segurança, proteção balística nível III</t>
  </si>
  <si>
    <t>26.01.350</t>
  </si>
  <si>
    <t>Vidro multilaminado de alta segurança em policarbonato, proteção balística nível III</t>
  </si>
  <si>
    <t>26.01.460</t>
  </si>
  <si>
    <t>26.02</t>
  </si>
  <si>
    <t>Vidro temperado</t>
  </si>
  <si>
    <t>26.02.020</t>
  </si>
  <si>
    <t>Vidro temperado incolor de 6 mm</t>
  </si>
  <si>
    <t>26.02.040</t>
  </si>
  <si>
    <t>Vidro temperado incolor de 8 mm</t>
  </si>
  <si>
    <t>26.02.060</t>
  </si>
  <si>
    <t>Vidro temperado incolor de 10 mm</t>
  </si>
  <si>
    <t>26.02.120</t>
  </si>
  <si>
    <t>Vidro temperado cinza ou bronze de 6 mm</t>
  </si>
  <si>
    <t>26.02.140</t>
  </si>
  <si>
    <t>Vidro temperado cinza ou bronze de 8 mm</t>
  </si>
  <si>
    <t>26.02.160</t>
  </si>
  <si>
    <t>Vidro temperado cinza ou bronze de 10 mm</t>
  </si>
  <si>
    <t>26.02.170</t>
  </si>
  <si>
    <t>Vidro temperado serigrafado incolor de 8 mm</t>
  </si>
  <si>
    <t>26.02.300</t>
  </si>
  <si>
    <t>Vidro temperado neutro verde de 10 mm</t>
  </si>
  <si>
    <t>26.03</t>
  </si>
  <si>
    <t>Vidro especial</t>
  </si>
  <si>
    <t>26.03.070</t>
  </si>
  <si>
    <t>Vidro laminado temperado incolor de 8mm</t>
  </si>
  <si>
    <t>26.03.074</t>
  </si>
  <si>
    <t>Vidro laminado temperado incolor de 16 mm</t>
  </si>
  <si>
    <t>26.04</t>
  </si>
  <si>
    <t>Espelhos</t>
  </si>
  <si>
    <t>26.04.010</t>
  </si>
  <si>
    <t>Espelho em vidro cristal liso, espessura de 4 mm</t>
  </si>
  <si>
    <t>26.04.030</t>
  </si>
  <si>
    <t>Espelho comum de 3 mm com moldura em alumínio</t>
  </si>
  <si>
    <t>26.20</t>
  </si>
  <si>
    <t>Reparos, conservacoes e complementos - GRUPO 26</t>
  </si>
  <si>
    <t>26.20.010</t>
  </si>
  <si>
    <t>Massa para vidro</t>
  </si>
  <si>
    <t>26.20.020</t>
  </si>
  <si>
    <t>Recolocação de vidro inclusive emassamento ou recolocação de baguetes</t>
  </si>
  <si>
    <t>27</t>
  </si>
  <si>
    <t>ESQUADRIA E ELEMENTO EM MATERIAL ESPECIAL</t>
  </si>
  <si>
    <t>27.02</t>
  </si>
  <si>
    <t>Policarbonato</t>
  </si>
  <si>
    <t>27.02.001</t>
  </si>
  <si>
    <t>27.02.011</t>
  </si>
  <si>
    <t>Chapa em policarbonato compacta, cristal, espessura de 6 mm</t>
  </si>
  <si>
    <t>27.02.041</t>
  </si>
  <si>
    <t>Chapa em policarbonato compacta, cristal, espessura de 10 mm</t>
  </si>
  <si>
    <t>27.02.050</t>
  </si>
  <si>
    <t>Chapa de policarbonato alveolar de 6 mm</t>
  </si>
  <si>
    <t>27.03</t>
  </si>
  <si>
    <t>Chapa de fibra de vidro</t>
  </si>
  <si>
    <t>27.03.030</t>
  </si>
  <si>
    <t>Placa de poliéster reforçada com fibra de vidro de 3 mm</t>
  </si>
  <si>
    <t>27.04</t>
  </si>
  <si>
    <t>PVC / VINIL</t>
  </si>
  <si>
    <t>27.04.031</t>
  </si>
  <si>
    <t>Caixilho de correr em PVC com vidro e persiana</t>
  </si>
  <si>
    <t>27.04.040</t>
  </si>
  <si>
    <t>27.04.050</t>
  </si>
  <si>
    <t>Protetor de parede ou bate-maca em PVC flexível, com amortecimento à impacto, altura de 150 mm</t>
  </si>
  <si>
    <t>27.04.051</t>
  </si>
  <si>
    <t>Faixa em vinil para proteção de paredes, com amortecimento à alto impacto, altura de 400 mm</t>
  </si>
  <si>
    <t>27.04.052</t>
  </si>
  <si>
    <t>Cantoneira adesiva em vinil de alto impacto</t>
  </si>
  <si>
    <t>27.04.060</t>
  </si>
  <si>
    <t>Bate-maca ou protetor de parede curvo em PVC, com amortecimento à impacto, altura de 200 mm</t>
  </si>
  <si>
    <t>27.04.070</t>
  </si>
  <si>
    <t>Bate-maca ou protetor de parede em PVC, com amortecimento à impacto, altura de 200 mm</t>
  </si>
  <si>
    <t>28</t>
  </si>
  <si>
    <t>FERRAGEM COMPLEMENTAR PARA ESQUADRIAS</t>
  </si>
  <si>
    <t>28.01</t>
  </si>
  <si>
    <t>Ferragem para porta</t>
  </si>
  <si>
    <t>28.01.020</t>
  </si>
  <si>
    <t>Ferragem completa com maçaneta tipo alavanca, para porta externa com 1 folha</t>
  </si>
  <si>
    <t>28.01.030</t>
  </si>
  <si>
    <t>Ferragem completa com maçaneta tipo alavanca, para porta externa com 2 folhas</t>
  </si>
  <si>
    <t>28.01.040</t>
  </si>
  <si>
    <t>Ferragem completa com maçaneta tipo alavanca, para porta interna com 1 folha</t>
  </si>
  <si>
    <t>28.01.050</t>
  </si>
  <si>
    <t>Ferragem completa com maçaneta tipo alavanca, para porta interna com 2 folhas</t>
  </si>
  <si>
    <t>28.01.070</t>
  </si>
  <si>
    <t>Ferragem completa para porta de box de WC tipo livre/ocupado</t>
  </si>
  <si>
    <t>28.01.080</t>
  </si>
  <si>
    <t>Ferragem adicional para porta vão simples em divisória</t>
  </si>
  <si>
    <t>28.01.090</t>
  </si>
  <si>
    <t>Ferragem adicional para porta vão duplo em divisória</t>
  </si>
  <si>
    <t>28.01.146</t>
  </si>
  <si>
    <t>Fechadura eletromagnética para capacidade de atraque de 150 kgf</t>
  </si>
  <si>
    <t>28.01.150</t>
  </si>
  <si>
    <t>Fechadura elétrica de sobrepor para porta ou portão com peso até 400 kg</t>
  </si>
  <si>
    <t>28.01.160</t>
  </si>
  <si>
    <t>Mola aérea para porta, com esforço acima de 50 kg até 60 kg</t>
  </si>
  <si>
    <t>28.01.171</t>
  </si>
  <si>
    <t>Mola aérea para porta, com esforço acima de 60 kg até 80 kg</t>
  </si>
  <si>
    <t>28.01.180</t>
  </si>
  <si>
    <t>Mola aérea hidráulica, para porta com largura até 1,60 m</t>
  </si>
  <si>
    <t>28.01.210</t>
  </si>
  <si>
    <t>Fechadura tipo alavanca com chave para porta corta-fogo</t>
  </si>
  <si>
    <t>28.01.250</t>
  </si>
  <si>
    <t>Visor tipo olho mágico</t>
  </si>
  <si>
    <t>28.01.330</t>
  </si>
  <si>
    <t>Mola hidráulica de piso, para porta com largura até 1,10 m e peso até 120 kg</t>
  </si>
  <si>
    <t>28.01.400</t>
  </si>
  <si>
    <t>Ferrolho de segurança de 1,20 m, para adaptação em portas de celas, embutido em caixa</t>
  </si>
  <si>
    <t>28.01.550</t>
  </si>
  <si>
    <t>Fechadura com maçaneta tipo alavanca em aço inoxidável, para porta externa</t>
  </si>
  <si>
    <t>28.05</t>
  </si>
  <si>
    <t>Cadeado</t>
  </si>
  <si>
    <t>28.05.020</t>
  </si>
  <si>
    <t>Cadeado de latão com cilindro - trava dupla - 25/27mm</t>
  </si>
  <si>
    <t>28.05.040</t>
  </si>
  <si>
    <t>Cadeado de latão com cilindro - trava dupla - 35/36mm</t>
  </si>
  <si>
    <t>28.05.060</t>
  </si>
  <si>
    <t>Cadeado de latão com cilindro - trava dupla - 50mm</t>
  </si>
  <si>
    <t>28.05.070</t>
  </si>
  <si>
    <t>Cadeado de latão com cilindro de alta segurança, com 16 pinos e tetra-chave - 70mm</t>
  </si>
  <si>
    <t>28.05.080</t>
  </si>
  <si>
    <t>Cadeado de latão com cilindro - trava dupla - 60mm</t>
  </si>
  <si>
    <t>28.20</t>
  </si>
  <si>
    <t>Reparos, conservacoes e complementos - GRUPO 28</t>
  </si>
  <si>
    <t>28.20.020</t>
  </si>
  <si>
    <t>Recolocação de fechaduras de embutir</t>
  </si>
  <si>
    <t>28.20.030</t>
  </si>
  <si>
    <t>Barra antipânico de sobrepor para porta de 1 folha</t>
  </si>
  <si>
    <t>28.20.040</t>
  </si>
  <si>
    <t>Recolocação de fechaduras e fechos de sobrepor</t>
  </si>
  <si>
    <t>28.20.050</t>
  </si>
  <si>
    <t>Barra antipânico de sobrepor e maçaneta livre para porta de 1 folha</t>
  </si>
  <si>
    <t>28.20.060</t>
  </si>
  <si>
    <t>Recolocação de dobradiças</t>
  </si>
  <si>
    <t>28.20.070</t>
  </si>
  <si>
    <t>Ferragem para portão de tapume</t>
  </si>
  <si>
    <t>28.20.090</t>
  </si>
  <si>
    <t>Dobradiça tipo gonzo, diâmetro de 1 1/2´ com abas de 2´ x 3/8´</t>
  </si>
  <si>
    <t>28.20.170</t>
  </si>
  <si>
    <t>Brete para instalação superior em porta chapa/grade de segurança</t>
  </si>
  <si>
    <t>28.20.210</t>
  </si>
  <si>
    <t>Ferrolho de segurança para adaptação em portas de celas</t>
  </si>
  <si>
    <t>28.20.211</t>
  </si>
  <si>
    <t>Maçaneta tipo alavanca, acionamento com chave, para porta corta-fogo</t>
  </si>
  <si>
    <t>28.20.220</t>
  </si>
  <si>
    <t>Dobradiça inferior para porta de vidro temperado</t>
  </si>
  <si>
    <t>28.20.230</t>
  </si>
  <si>
    <t>Dobradiça superior para porta de vidro temperado</t>
  </si>
  <si>
    <t>28.20.360</t>
  </si>
  <si>
    <t>Suporte duplo para vidro temperado fixado em alvenaria</t>
  </si>
  <si>
    <t>28.20.411</t>
  </si>
  <si>
    <t>Dobradiça em aço cromado de 3 1/2", para porta de até 21 kg</t>
  </si>
  <si>
    <t>28.20.412</t>
  </si>
  <si>
    <t>Dobradiça em aço inoxidável de 3" x 2 1/2", para porta de até 25 kg</t>
  </si>
  <si>
    <t>28.20.413</t>
  </si>
  <si>
    <t>Dobradiça em latão cromado reforçada de 3 1/2" x 3", para porta de até 35 kg</t>
  </si>
  <si>
    <t>28.20.430</t>
  </si>
  <si>
    <t>Dobradiça em latão cromado, com mola tipo vai e vem, de 3"</t>
  </si>
  <si>
    <t>28.20.510</t>
  </si>
  <si>
    <t>Pivô superior lateral para porta em vidro temperado</t>
  </si>
  <si>
    <t>28.20.550</t>
  </si>
  <si>
    <t>Mancal inferior com rolamento para porta em vidro temperado</t>
  </si>
  <si>
    <t>28.20.590</t>
  </si>
  <si>
    <t>Contra fechadura de centro para porta em vidro temperado</t>
  </si>
  <si>
    <t>28.20.600</t>
  </si>
  <si>
    <t>Fechadura de centro com cilindro para porta em vidro temperado</t>
  </si>
  <si>
    <t>28.20.650</t>
  </si>
  <si>
    <t>Puxador duplo em aço inoxidável, para porta de madeira, alumínio ou vidro, de 350 mm</t>
  </si>
  <si>
    <t>28.20.655</t>
  </si>
  <si>
    <t>Puxador duplo em aço inoxidável de 300 mm, para porta</t>
  </si>
  <si>
    <t>28.20.750</t>
  </si>
  <si>
    <t>Capa de proteção para fechadura / ferrolho</t>
  </si>
  <si>
    <t>28.20.770</t>
  </si>
  <si>
    <t>Trinco de piso para porta em vidro temperado</t>
  </si>
  <si>
    <t>28.20.800</t>
  </si>
  <si>
    <t>Equipamento automatizador de portas deslizantes para folha dupla</t>
  </si>
  <si>
    <t>28.20.810</t>
  </si>
  <si>
    <t>Equipamento automatizador telescópico unilateral de portas deslizantes para folha dupla</t>
  </si>
  <si>
    <t>28.20.820</t>
  </si>
  <si>
    <t>Barra antipânico de sobrepor com maçaneta e chave, para porta em vidro de 1 folha</t>
  </si>
  <si>
    <t>28.20.830</t>
  </si>
  <si>
    <t>Barra antipânico de sobrepor com maçaneta e chave, para porta dupla em vidro</t>
  </si>
  <si>
    <t>28.20.840</t>
  </si>
  <si>
    <t>Barra antipânico para porta dupla com travamentos horizontal e vertical completa, com maçaneta tipo alavanca e chave, para vãos de 1,40 a 1,60 m</t>
  </si>
  <si>
    <t>28.20.850</t>
  </si>
  <si>
    <t>Barra antipânico para porta dupla com travamentos horizontal e vertical completa, com maçaneta tipo alavanca e chave, para vãos de 1,70 a 2,60 m</t>
  </si>
  <si>
    <t>28.20.860</t>
  </si>
  <si>
    <t>29</t>
  </si>
  <si>
    <t>INSERTE METALICO</t>
  </si>
  <si>
    <t>29.01</t>
  </si>
  <si>
    <t>Cantoneira</t>
  </si>
  <si>
    <t>29.01.020</t>
  </si>
  <si>
    <t>Cantoneira em alumínio perfil sextavado</t>
  </si>
  <si>
    <t>29.01.030</t>
  </si>
  <si>
    <t>Perfil em alumínio natural</t>
  </si>
  <si>
    <t>29.01.040</t>
  </si>
  <si>
    <t>Cantoneira em alumínio perfil ´Y´</t>
  </si>
  <si>
    <t>29.01.210</t>
  </si>
  <si>
    <t>Cantoneira em aço galvanizado</t>
  </si>
  <si>
    <t>29.01.230</t>
  </si>
  <si>
    <t>Cantoneira e perfis em ferro</t>
  </si>
  <si>
    <t>29.03</t>
  </si>
  <si>
    <t>Cabos e cordoalhas</t>
  </si>
  <si>
    <t>29.03.010</t>
  </si>
  <si>
    <t>Cabo em aço galvanizado com alma de aço, diâmetro de 3/16´ (4,76 mm)</t>
  </si>
  <si>
    <t>29.03.020</t>
  </si>
  <si>
    <t>Cabo em aço galvanizado com alma de aço, diâmetro de 5/16´ (7,94 mm)</t>
  </si>
  <si>
    <t>29.03.030</t>
  </si>
  <si>
    <t>Cordoalha de aço galvanizado, diâmetro de 1/4´ (6,35 mm)</t>
  </si>
  <si>
    <t>29.03.040</t>
  </si>
  <si>
    <t>Cabo em aço galvanizado com alma de aço, diâmetro de 3/8´ (9,52 mm)</t>
  </si>
  <si>
    <t>29.20</t>
  </si>
  <si>
    <t>Reparos, conservacoes e complementos - GRUPO 29</t>
  </si>
  <si>
    <t>29.20.030</t>
  </si>
  <si>
    <t>Alumínio liso para complementos e reparos</t>
  </si>
  <si>
    <t>30</t>
  </si>
  <si>
    <t>ACESSIBILIDADE</t>
  </si>
  <si>
    <t>30.01</t>
  </si>
  <si>
    <t>Barra de apoio</t>
  </si>
  <si>
    <t>30.01.010</t>
  </si>
  <si>
    <t>Barra de apoio reta, para pessoas com mobilidade reduzida, em tubo de aço inoxidável de 1 1/2´</t>
  </si>
  <si>
    <t>30.01.020</t>
  </si>
  <si>
    <t>Barra de apoio reta, para pessoas com mobilidade reduzida, em tubo de aço inoxidável de 1 1/2´ x 500 mm</t>
  </si>
  <si>
    <t>30.01.030</t>
  </si>
  <si>
    <t>Barra de apoio reta, para pessoas com mobilidade reduzida, em tubo de aço inoxidável de 1 1/2´ x 800 mm</t>
  </si>
  <si>
    <t>30.01.050</t>
  </si>
  <si>
    <t>Barra de apoio em ângulo de 90°, para pessoas com mobilidade reduzida, em tubo de aço inoxidável de 1 1/2´ x 800 x 800 mm</t>
  </si>
  <si>
    <t>30.01.061</t>
  </si>
  <si>
    <t>Barra de apoio lateral para lavatório, para pessoas com mobilidade reduzida, em tubo de aço inoxidável de 1.1/4", comprimento 25 a 30 cm</t>
  </si>
  <si>
    <t>30.01.080</t>
  </si>
  <si>
    <t>Barra de apoio reta, para pessoas com mobilidade reduzida, em tubo de alumínio, comprimento de 800 mm, acabamento com pintura epóxi</t>
  </si>
  <si>
    <t>30.01.090</t>
  </si>
  <si>
    <t>Barra de apoio em ângulo de 90°, para pessoas com mobilidade reduzida, em tubo de alumínio de 800 x 800 mm, acabamento com pintura epóxi</t>
  </si>
  <si>
    <t>30.01.110</t>
  </si>
  <si>
    <t>Barra de proteção para sifão, para pessoas com mobilidade reduzida, em tubo de alumínio, acabamento com pintura epóxi</t>
  </si>
  <si>
    <t>30.01.120</t>
  </si>
  <si>
    <t>Barra de apoio reta, para pessoas com mobilidade reduzida, em tubo de aço inoxidável de 1 1/4´ x 400 mm</t>
  </si>
  <si>
    <t>30.01.130</t>
  </si>
  <si>
    <t>Barra de proteção para lavatório, para pessoas com mobilidade reduzida, em tubo de alumínio acabamento com pintura epóxi</t>
  </si>
  <si>
    <t>30.03</t>
  </si>
  <si>
    <t>Aparelhos eletricos, hidraulicos e a gas</t>
  </si>
  <si>
    <t>30.03.032</t>
  </si>
  <si>
    <t>Purificador de pressão elétrico em chapa eletrozincado pré-pintada e tampo em aço inoxidável, capacidade de refrigeração de 2,75 l/h</t>
  </si>
  <si>
    <t>30.03.042</t>
  </si>
  <si>
    <t>Purificador de pressão elétrico em chapa eletrozincado pré-pintada e tampo em aço inoxidável, capacidade de refrigeração de 7,2 l/h</t>
  </si>
  <si>
    <t>30.04</t>
  </si>
  <si>
    <t>Revestimento</t>
  </si>
  <si>
    <t>30.04.010</t>
  </si>
  <si>
    <t>30.04.020</t>
  </si>
  <si>
    <t>30.04.030</t>
  </si>
  <si>
    <t>30.04.040</t>
  </si>
  <si>
    <t>Faixa em policarbonato para sinalização visual fotoluminescente, para degraus, comprimento de 20 cm</t>
  </si>
  <si>
    <t>30.04.060</t>
  </si>
  <si>
    <t>Revestimento em chapa de aço inoxidável para proteção de portas, altura de 40 cm</t>
  </si>
  <si>
    <t>30.04.070</t>
  </si>
  <si>
    <t>30.04.090</t>
  </si>
  <si>
    <t>Sinalização visual de degraus com pintura esmalte epóxi, comprimento de 20 cm</t>
  </si>
  <si>
    <t>30.04.100</t>
  </si>
  <si>
    <t>30.06</t>
  </si>
  <si>
    <t>Comunicacao visual e sonora</t>
  </si>
  <si>
    <t>30.06.010</t>
  </si>
  <si>
    <t>Placa para sinalização tátil (início ou final) em braile para corrimão</t>
  </si>
  <si>
    <t>30.06.020</t>
  </si>
  <si>
    <t>Placa para sinalização tátil (pavimento) em braile para corrimão</t>
  </si>
  <si>
    <t>30.06.050</t>
  </si>
  <si>
    <t>Tinta acrílica para sinalização visual de piso, com acabamento microtexturizado e antiderrapante</t>
  </si>
  <si>
    <t>30.06.061</t>
  </si>
  <si>
    <t>Sistema de alarme PNE com indicador audiovisual, para pessoas com mobilidade reduzida ou cadeirante</t>
  </si>
  <si>
    <t>30.06.064</t>
  </si>
  <si>
    <t>Sistema de alarme PNE com indicador audiovisual, sistema sem fio (Wireless), para pessoas com mobilidade reduzida ou cadeirante</t>
  </si>
  <si>
    <t>30.06.080</t>
  </si>
  <si>
    <t>Placa de identificação em alumínio para WC, com desenho universal de acessibilidade</t>
  </si>
  <si>
    <t>30.06.090</t>
  </si>
  <si>
    <t>Placa de identificação para estacionamento, com desenho universal de acessibilidade, tipo pedestal</t>
  </si>
  <si>
    <t>30.06.100</t>
  </si>
  <si>
    <t>Sinalização com pictograma para vaga de estacionamento</t>
  </si>
  <si>
    <t>30.06.110</t>
  </si>
  <si>
    <t>Sinalização com pictograma para vaga de estacionamento, com faixas demarcatórias</t>
  </si>
  <si>
    <t>30.06.124</t>
  </si>
  <si>
    <t>Sinalização com pictograma autoadesivo em policarbonato para piso 80 cm x 120 cm - área de resgate</t>
  </si>
  <si>
    <t>30.06.132</t>
  </si>
  <si>
    <t>Placa de sinalização tátil em poliestireno com alto relevo em braile, para identificação de pavimentos</t>
  </si>
  <si>
    <t>30.08</t>
  </si>
  <si>
    <t>Aparelhos sanitarios</t>
  </si>
  <si>
    <t>30.08.030</t>
  </si>
  <si>
    <t>Assento articulado para banho, em alumínio com pintura epóxi de 700 x 450 mm</t>
  </si>
  <si>
    <t>30.08.040</t>
  </si>
  <si>
    <t>Lavatório de louça para canto sem coluna para pessoas com mobilidade reduzida</t>
  </si>
  <si>
    <t>30.08.050</t>
  </si>
  <si>
    <t>30.08.060</t>
  </si>
  <si>
    <t>Bacia sifonada de louça para pessoas com mobilidade reduzida - capacidade de 6 litros</t>
  </si>
  <si>
    <t>30.14</t>
  </si>
  <si>
    <t>Elevador e plataforma</t>
  </si>
  <si>
    <t>30.14.030</t>
  </si>
  <si>
    <t>30.14.040</t>
  </si>
  <si>
    <t>32</t>
  </si>
  <si>
    <t>IMPERMEABILIZACAO, PROTECAO E JUNTA</t>
  </si>
  <si>
    <t>32.06</t>
  </si>
  <si>
    <t>Isolamentos termicos / acusticos</t>
  </si>
  <si>
    <t>32.06.010</t>
  </si>
  <si>
    <t>Lã de vidro e/ou lã de rocha com espessura de 1´</t>
  </si>
  <si>
    <t>32.06.030</t>
  </si>
  <si>
    <t>Lã de vidro e/ou lã de rocha com espessura de 2´</t>
  </si>
  <si>
    <t>32.06.120</t>
  </si>
  <si>
    <t>Argila expandida</t>
  </si>
  <si>
    <t>32.06.130</t>
  </si>
  <si>
    <t>Espuma flexível de poliuretano poliéter/poliéster para absorção acústica, espessura de 50 mm</t>
  </si>
  <si>
    <t>32.06.151</t>
  </si>
  <si>
    <t>Lâmina refletiva revestida com dupla face em alumínio, dupla malha de reforço e laminação entre camadas, para isolação térmica</t>
  </si>
  <si>
    <t>32.06.231</t>
  </si>
  <si>
    <t>32.06.380</t>
  </si>
  <si>
    <t>Isolamento acústico em placas de espuma semirrígida, com uma camada de manta HD, espessura de 50 mm</t>
  </si>
  <si>
    <t>32.06.396</t>
  </si>
  <si>
    <t>Manta termoacústica em fibra cerâmica aluminizada, espessura de 38 mm</t>
  </si>
  <si>
    <t>32.06.400</t>
  </si>
  <si>
    <t>Isolamento acústico em placas de espuma semirrígida incombustível, com superfície em cunhas anecóicas, espessura de 50 mm</t>
  </si>
  <si>
    <t>32.07</t>
  </si>
  <si>
    <t>Junta de dilatacao</t>
  </si>
  <si>
    <t>32.07.040</t>
  </si>
  <si>
    <t>Junta plástica de 3/4´ x 1/8´</t>
  </si>
  <si>
    <t>32.07.060</t>
  </si>
  <si>
    <t>Junta de latão bitola de 1/8´</t>
  </si>
  <si>
    <t>32.07.090</t>
  </si>
  <si>
    <t>Junta de dilatação ou vedação com mastique de silicone, 1,0 x 0,5 cm - inclusive guia de apoio em polietileno</t>
  </si>
  <si>
    <t>32.07.110</t>
  </si>
  <si>
    <t>Junta a base de asfalto oxidado a quente</t>
  </si>
  <si>
    <t>CM3</t>
  </si>
  <si>
    <t>32.07.120</t>
  </si>
  <si>
    <t>Mangueira plástica flexível para junta de dilatação</t>
  </si>
  <si>
    <t>32.07.160</t>
  </si>
  <si>
    <t>Junta de dilatação elástica a base de poliuretano</t>
  </si>
  <si>
    <t>32.07.230</t>
  </si>
  <si>
    <t>Perfil de acabamento com borracha termoplástica vulcanizada contínua flexível, para junta de dilatação de embutir - piso-piso</t>
  </si>
  <si>
    <t>32.07.240</t>
  </si>
  <si>
    <t>Perfil de acabamento com borracha termoplástica vulcanizada contínua flexível, para junta de dilatação de embutir - piso-parede</t>
  </si>
  <si>
    <t>32.07.250</t>
  </si>
  <si>
    <t>Perfil de acabamento com borracha termoplástica vulcanizada contínua flexível, para junta de dilatação de embutir - parede-parede ou forro-forro</t>
  </si>
  <si>
    <t>32.07.260</t>
  </si>
  <si>
    <t>Perfil de acabamento com borracha termoplástica vulcanizada contínua flexível, para junta de dilatação de embutir - parede-parede ou forro-forro - canto</t>
  </si>
  <si>
    <t>32.08</t>
  </si>
  <si>
    <t>Junta de dilatacao estrutural</t>
  </si>
  <si>
    <t>32.08.010</t>
  </si>
  <si>
    <t>Junta estrutural com poliestireno expandido de alta densidade P-III, espessura de 10 mm</t>
  </si>
  <si>
    <t>32.08.030</t>
  </si>
  <si>
    <t>Junta estrutural com poliestireno expandido de alta densidade P-III, espessura de 20 mm</t>
  </si>
  <si>
    <t>32.08.050</t>
  </si>
  <si>
    <t>Junta estrutural com perfilado termoplástico em PVC, perfil O-12</t>
  </si>
  <si>
    <t>32.08.060</t>
  </si>
  <si>
    <t>Junta estrutural com perfilado termoplástico em PVC, perfil O-22</t>
  </si>
  <si>
    <t>32.08.070</t>
  </si>
  <si>
    <t>Junta estrutural com perfil elastomérico para fissuras, painéis e estruturas em geral, movimentação máxima 15 mm</t>
  </si>
  <si>
    <t>32.08.090</t>
  </si>
  <si>
    <t>Junta estrutural com perfil elastomérico para fissuras, painéis e estruturas em geral, movimentação máxima 30 mm</t>
  </si>
  <si>
    <t>32.08.110</t>
  </si>
  <si>
    <t>Junta estrutural com perfil elastomérico e lábios poliméricos para obras de arte, movimentação máxima 40 mm</t>
  </si>
  <si>
    <t>32.08.130</t>
  </si>
  <si>
    <t>Junta estrutural com perfil elastomérico e lábios poliméricos para obras de arte, movimentação máxima 55 mm</t>
  </si>
  <si>
    <t>32.08.160</t>
  </si>
  <si>
    <t>Junta elástica estrutural de neoprene</t>
  </si>
  <si>
    <t>32.09</t>
  </si>
  <si>
    <t>Apoios e afins</t>
  </si>
  <si>
    <t>32.09.020</t>
  </si>
  <si>
    <t>Chapa de aço em bitolas medias</t>
  </si>
  <si>
    <t>32.09.040</t>
  </si>
  <si>
    <t>Apoio em placa de neoprene fretado</t>
  </si>
  <si>
    <t>DM3</t>
  </si>
  <si>
    <t>32.10</t>
  </si>
  <si>
    <t>Envelope de concreto e protecao de tubos</t>
  </si>
  <si>
    <t>32.10.050</t>
  </si>
  <si>
    <t>Proteção anticorrosiva, a base de resina epóxi com alcatrão, para ramais sob a terra, com DN até 1´</t>
  </si>
  <si>
    <t>32.10.060</t>
  </si>
  <si>
    <t>Proteção anticorrosiva, a base de resina epóxi com alcatrão, para ramais sob a terra, com DN acima de 1´ até 2´</t>
  </si>
  <si>
    <t>32.10.070</t>
  </si>
  <si>
    <t>Proteção anticorrosiva, a base de resina epóxi com alcatrão, para ramais sob a terra, com DN acima de 2´ até 3´</t>
  </si>
  <si>
    <t>32.10.080</t>
  </si>
  <si>
    <t>Proteção anticorrosiva, a base de resina epóxi com alcatrão, para ramais sob a terra, com DN acima de 3´ até 4´</t>
  </si>
  <si>
    <t>32.10.082</t>
  </si>
  <si>
    <t>Proteção anticorrosiva, a base de resina epóxi com alcatrão, para ramais sob a terra, com DN acima de 5´ até 6´</t>
  </si>
  <si>
    <t>32.10.090</t>
  </si>
  <si>
    <t>Proteção anticorrosiva, com fita adesiva, para ramais sob a terra, com DN até 1´</t>
  </si>
  <si>
    <t>32.10.100</t>
  </si>
  <si>
    <t>Proteção anticorrosiva, com fita adesiva, para ramais sob a terra, com DN acima de 1´ até 2´</t>
  </si>
  <si>
    <t>32.10.110</t>
  </si>
  <si>
    <t>Proteção anticorrosiva, com fita adesiva, para ramais sob a terra, com DN acima de 2´ até 3´</t>
  </si>
  <si>
    <t>32.11</t>
  </si>
  <si>
    <t>Isolante termico para tubos e dutos</t>
  </si>
  <si>
    <t>32.11.150</t>
  </si>
  <si>
    <t>Proteção para isolamento térmico em alumínio</t>
  </si>
  <si>
    <t>32.11.200</t>
  </si>
  <si>
    <t>Isolamento térmico em polietileno expandido, espessura de 5 mm, para tubulação de 1/2´ (15 mm)</t>
  </si>
  <si>
    <t>32.11.210</t>
  </si>
  <si>
    <t>Isolamento térmico em polietileno expandido, espessura de 5 mm, para tubulação de 3/4´ (22 mm)</t>
  </si>
  <si>
    <t>32.11.220</t>
  </si>
  <si>
    <t>Isolamento térmico em polietileno expandido, espessura de 5 mm, para tubulação de 1´ (28 mm)</t>
  </si>
  <si>
    <t>32.11.230</t>
  </si>
  <si>
    <t>Isolamento térmico em polietileno expandido, espessura de 10 mm, para tubulação de 1 1/4´ (35 mm)</t>
  </si>
  <si>
    <t>32.11.240</t>
  </si>
  <si>
    <t>Isolamento térmico em polietileno expandido, espessura de 10 mm, para tubulação de 1 1/2´ (42 mm)</t>
  </si>
  <si>
    <t>32.11.250</t>
  </si>
  <si>
    <t>Isolamento térmico em polietileno expandido, espessura de 10 mm, para tubulação de 2´ (54 mm)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</si>
  <si>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</si>
  <si>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</si>
  <si>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</si>
  <si>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</si>
  <si>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32.11.290</t>
  </si>
  <si>
    <t>Isolamento térmico em espuma elastomérica, espessura de 9 a 12 mm, para tubulação de 5/8´ (cobre) ou 1/4´ (ferro)</t>
  </si>
  <si>
    <t>32.11.300</t>
  </si>
  <si>
    <t>Isolamento térmico em espuma elastomérica, espessura de 9 a 12 mm, para tubulação de 1´ (cobre)</t>
  </si>
  <si>
    <t>32.11.310</t>
  </si>
  <si>
    <t>Isolamento térmico em espuma elastomérica, espessura de 19 a 26 mm, para tubulação de 7/8´ (cobre) ou 1/2´ (ferro)</t>
  </si>
  <si>
    <t>32.11.320</t>
  </si>
  <si>
    <t>Isolamento térmico em espuma elastomérica, espessura de 19 a 26 mm, para tubulação de 1 1/8´ (cobre) ou 3/4´ (ferro)</t>
  </si>
  <si>
    <t>32.11.330</t>
  </si>
  <si>
    <t>Isolamento térmico em espuma elastomérica, espessura de 19 a 26 mm, para tubulação de 1 3/8´ (cobre) ou 1´ (ferro)</t>
  </si>
  <si>
    <t>32.11.340</t>
  </si>
  <si>
    <t>Isolamento térmico em espuma elastomérica, espessura de 19 a 26 mm, para tubulação de 1 5/8´ (cobre) ou 1 1/4´ (ferro)</t>
  </si>
  <si>
    <t>32.11.350</t>
  </si>
  <si>
    <t>Isolamento térmico em espuma elastomérica, espessura de 19 a 26 mm, para tubulação de 1 1/2´ (ferro)</t>
  </si>
  <si>
    <t>32.11.360</t>
  </si>
  <si>
    <t>Isolamento térmico em espuma elastomérica, espessura de 19 a 26 mm, para tubulação de 2´ (ferro)</t>
  </si>
  <si>
    <t>32.11.370</t>
  </si>
  <si>
    <t>Isolamento térmico em espuma elastomérica, espessura de 19 a 26 mm, para tubulação de 2 1/2´ (ferro)</t>
  </si>
  <si>
    <t>32.11.380</t>
  </si>
  <si>
    <t>Isolamento térmico em espuma elastomérica, espessura de 19 a 26 mm, para tubulação de 3 1/2´ (cobre) ou 3´ (ferro)</t>
  </si>
  <si>
    <t>32.11.390</t>
  </si>
  <si>
    <t>Isolamento térmico em espuma elastomérica, espessura de 19 a 26 mm, para tubulação de 4´ (ferro)</t>
  </si>
  <si>
    <t>32.11.400</t>
  </si>
  <si>
    <t>Isolamento térmico em espuma elastomérica, espessura de 19 a 26 mm, para tubulação de 5´ (ferro)</t>
  </si>
  <si>
    <t>32.11.410</t>
  </si>
  <si>
    <t>Isolamento térmico em espuma elastomérica, espessura de 19 a 26 mm, para tubulação de 6´ (ferro)</t>
  </si>
  <si>
    <t>32.11.420</t>
  </si>
  <si>
    <t>Manta em espuma elastomérica, espessura de 19 a 26 mm, para isolamento térmico de tubulação acima de 6´</t>
  </si>
  <si>
    <t>32.11.430</t>
  </si>
  <si>
    <t>Isolamento térmico em espuma elastomérica, espessura de 19 a 26 mm, para tubulação de 3/8" (cobre) ou 1/8" (ferro)</t>
  </si>
  <si>
    <t>32.11.440</t>
  </si>
  <si>
    <t>Isolamento térmico em espuma elastomérica, espessura de 19 a 26 mm, para tubulação de 3/4" (cobre) ou 3/8" (ferro)</t>
  </si>
  <si>
    <t>32.15</t>
  </si>
  <si>
    <t>Impermeabilizacao flexivel com manta</t>
  </si>
  <si>
    <t>32.15.030</t>
  </si>
  <si>
    <t>Impermeabilização em manta asfáltica com armadura, tipo III-B, espessura de 3 mm</t>
  </si>
  <si>
    <t>32.15.040</t>
  </si>
  <si>
    <t>Impermeabilização em manta asfáltica com armadura, tipo III-B, espessura de 4 mm</t>
  </si>
  <si>
    <t>32.15.080</t>
  </si>
  <si>
    <t>Impermeabilização em manta asfáltica tipo III-B, espessura de 3 mm, face exposta em geotêxtil, com membrana acrílica</t>
  </si>
  <si>
    <t>32.15.100</t>
  </si>
  <si>
    <t>Impermeabilização em manta asfáltica plastomérica com armadura, tipo III, espessura de 4 mm, face exposta em geotêxtil com membrana acrílica</t>
  </si>
  <si>
    <t>32.15.240</t>
  </si>
  <si>
    <t>Impermeabilização com manta asfáltica tipo III, anti raiz, espessura de 4 mm</t>
  </si>
  <si>
    <t>32.16</t>
  </si>
  <si>
    <t>Impermeabilizacao flexivel com membranas</t>
  </si>
  <si>
    <t>32.16.010</t>
  </si>
  <si>
    <t>Impermeabilização em pintura de asfalto oxidado com solventes orgânicos, sobre massa</t>
  </si>
  <si>
    <t>32.16.020</t>
  </si>
  <si>
    <t>Impermeabilização em pintura de asfalto oxidado com solventes orgânicos, sobre metal</t>
  </si>
  <si>
    <t>32.16.030</t>
  </si>
  <si>
    <t>Impermeabilização em membrana de asfalto modificado com elastômeros, na cor preta</t>
  </si>
  <si>
    <t>32.16.040</t>
  </si>
  <si>
    <t>Impermeabilização em membrana de asfalto modificado com elastômeros, na cor preta e reforço em tela poliéster</t>
  </si>
  <si>
    <t>32.16.050</t>
  </si>
  <si>
    <t>Impermeabilização em membrana à base de polímeros acrílicos, na cor branca</t>
  </si>
  <si>
    <t>32.16.060</t>
  </si>
  <si>
    <t>Impermeabilização em membrana à base de polímeros acrílicos, na cor branca e reforço em tela poliéster</t>
  </si>
  <si>
    <t>32.16.070</t>
  </si>
  <si>
    <t>Impermeabilização em membrana à base de resina termoplástica e cimentos aditivados com reforço em tela poliéster</t>
  </si>
  <si>
    <t>32.17</t>
  </si>
  <si>
    <t>Impermeabilizacao rigida</t>
  </si>
  <si>
    <t>32.17.010</t>
  </si>
  <si>
    <t>Impermeabilização em argamassa impermeável com aditivo hidrófugo</t>
  </si>
  <si>
    <t>32.17.012</t>
  </si>
  <si>
    <t>Impermeabilização em argamassa de concreto não estrutural com aditivo hidrófugo</t>
  </si>
  <si>
    <t>32.17.030</t>
  </si>
  <si>
    <t>Impermeabilização em argamassa polimérica para umidade e água de percolação</t>
  </si>
  <si>
    <t>32.17.040</t>
  </si>
  <si>
    <t>Impermeabilização em argamassa polimérica com reforço em tela poliéster para pressão hidrostática positiva</t>
  </si>
  <si>
    <t>32.17.070</t>
  </si>
  <si>
    <t>Impermeabilização anticorrosiva em membrana epoxídica com alcatrão de hulha, sobre massa</t>
  </si>
  <si>
    <t>32.20</t>
  </si>
  <si>
    <t>Reparos, conservacoes e complementos - GRUPO 32</t>
  </si>
  <si>
    <t>32.20.010</t>
  </si>
  <si>
    <t>Recolocação de argila expandida</t>
  </si>
  <si>
    <t>32.20.020</t>
  </si>
  <si>
    <t>Aplicação de papel Kraft</t>
  </si>
  <si>
    <t>32.20.050</t>
  </si>
  <si>
    <t>Tela em polietileno, malha hexagonal de 1/2´, para armadura de argamassa</t>
  </si>
  <si>
    <t>32.20.060</t>
  </si>
  <si>
    <t>Tela galvanizada fio 24 BWG, malha hexagonal de 1/2´, para armadura de argamassa</t>
  </si>
  <si>
    <t>33</t>
  </si>
  <si>
    <t>PINTURA</t>
  </si>
  <si>
    <t>33.01</t>
  </si>
  <si>
    <t>Preparo de base</t>
  </si>
  <si>
    <t>33.01.040</t>
  </si>
  <si>
    <t>Estucamento e lixamento de concreto deteriorado</t>
  </si>
  <si>
    <t>33.01.050</t>
  </si>
  <si>
    <t>Estucamento e lixamento de concreto</t>
  </si>
  <si>
    <t>33.01.060</t>
  </si>
  <si>
    <t>Imunizante para madeira</t>
  </si>
  <si>
    <t>33.01.280</t>
  </si>
  <si>
    <t>Reparo de trincas rasas até 5 mm de largura, na massa</t>
  </si>
  <si>
    <t>33.01.350</t>
  </si>
  <si>
    <t>Preparo de base para superfície metálica com fundo antioxidante</t>
  </si>
  <si>
    <t>33.02</t>
  </si>
  <si>
    <t>Massa corrida</t>
  </si>
  <si>
    <t>33.02.060</t>
  </si>
  <si>
    <t>Massa corrida a base de PVA</t>
  </si>
  <si>
    <t>33.02.080</t>
  </si>
  <si>
    <t>Massa corrida à base de resina acrílica</t>
  </si>
  <si>
    <t>33.03</t>
  </si>
  <si>
    <t>Pintura em superficies de concreto / massa / gesso / pedras</t>
  </si>
  <si>
    <t>33.03.220</t>
  </si>
  <si>
    <t>Tinta látex em elemento vazado</t>
  </si>
  <si>
    <t>33.03.350</t>
  </si>
  <si>
    <t>Pintura especial em esmalte para lousa cor verde</t>
  </si>
  <si>
    <t>33.03.740</t>
  </si>
  <si>
    <t>Resina acrílica plastificante</t>
  </si>
  <si>
    <t>33.03.750</t>
  </si>
  <si>
    <t>Verniz acrílico</t>
  </si>
  <si>
    <t>33.03.760</t>
  </si>
  <si>
    <t>33.03.770</t>
  </si>
  <si>
    <t>33.03.780</t>
  </si>
  <si>
    <t>Verniz de proteção antipichação</t>
  </si>
  <si>
    <t>33.05</t>
  </si>
  <si>
    <t>Pintura em superficies de madeira</t>
  </si>
  <si>
    <t>33.05.010</t>
  </si>
  <si>
    <t>Verniz fungicida para madeira</t>
  </si>
  <si>
    <t>33.05.120</t>
  </si>
  <si>
    <t>Esmalte em rodapés, baguetes ou molduras de madeira</t>
  </si>
  <si>
    <t>33.05.330</t>
  </si>
  <si>
    <t>Verniz em superfície de madeira</t>
  </si>
  <si>
    <t>33.05.360</t>
  </si>
  <si>
    <t>Verniz em rodapés, baguetes ou molduras de madeira</t>
  </si>
  <si>
    <t>33.06</t>
  </si>
  <si>
    <t>Pintura em pisos</t>
  </si>
  <si>
    <t>33.06.020</t>
  </si>
  <si>
    <t>Acrílico para quadras e pisos cimentados</t>
  </si>
  <si>
    <t>33.07</t>
  </si>
  <si>
    <t>Pintura em estruturas metalicas</t>
  </si>
  <si>
    <t>33.07.130</t>
  </si>
  <si>
    <t>Pintura epóxi bicomponente em estruturas metálicas</t>
  </si>
  <si>
    <t>33.07.140</t>
  </si>
  <si>
    <t>Pintura com esmalte alquídico em estrutura metálica</t>
  </si>
  <si>
    <t>33.07.303</t>
  </si>
  <si>
    <t>Proteção passiva contra incêndio com tinta intumescente, com tempo requerido de resistência ao fogo TRRF = 60 min - aplicação em estrutura metálica</t>
  </si>
  <si>
    <t>33.07.304</t>
  </si>
  <si>
    <t>Proteção passiva contra incêndio com tinta intumescente, com tempo requerido de resistência ao fogo TRRF = 120 min - aplicação em estrutura metálica</t>
  </si>
  <si>
    <t>33.09</t>
  </si>
  <si>
    <t>Pintura de sinalizacao</t>
  </si>
  <si>
    <t>33.09.020</t>
  </si>
  <si>
    <t>Borracha clorada para faixas demarcatórias</t>
  </si>
  <si>
    <t>33.09.021</t>
  </si>
  <si>
    <t>Tinta acrílica para faixas demarcatórias</t>
  </si>
  <si>
    <t>33.10</t>
  </si>
  <si>
    <t>Pintura em superficie de concreto/massa/gesso/pedras, inclusive preparo</t>
  </si>
  <si>
    <t>33.10.020</t>
  </si>
  <si>
    <t>Tinta látex em massa, inclusive preparo</t>
  </si>
  <si>
    <t>33.10.030</t>
  </si>
  <si>
    <t>Tinta acrílica antimofo em massa, inclusive preparo</t>
  </si>
  <si>
    <t>33.10.041</t>
  </si>
  <si>
    <t>Esmalte à base de água em massa, inclusive preparo</t>
  </si>
  <si>
    <t>33.10.050</t>
  </si>
  <si>
    <t>Tinta acrílica em massa, inclusive preparo</t>
  </si>
  <si>
    <t>33.10.060</t>
  </si>
  <si>
    <t>Epóxi em massa, inclusive preparo</t>
  </si>
  <si>
    <t>33.10.070</t>
  </si>
  <si>
    <t>Borracha clorada em massa, inclusive preparo</t>
  </si>
  <si>
    <t>33.10.100</t>
  </si>
  <si>
    <t>Textura acrílica para uso interno / externo, inclusive preparo</t>
  </si>
  <si>
    <t>33.10.120</t>
  </si>
  <si>
    <t>Proteção passiva contra incêndio com tinta intumescente, tempo requerido de resistência ao fogo TRRF = 60 minutos - aplicação em painéis de gesso acartonado</t>
  </si>
  <si>
    <t>33.10.130</t>
  </si>
  <si>
    <t>Proteção passiva contra incêndio com tinta intumescente, tempo requerido de resistência ao fogo TRRF = 120 minutos - aplicação em painéis de gesso acartonado</t>
  </si>
  <si>
    <t>33.11</t>
  </si>
  <si>
    <t>Pintura em superficie metalica, inclusive preparo</t>
  </si>
  <si>
    <t>33.11.050</t>
  </si>
  <si>
    <t>Esmalte à base água em superfície metálica, inclusive preparo</t>
  </si>
  <si>
    <t>33.12</t>
  </si>
  <si>
    <t>Pintura em superficie de madeira, inclusive preparo</t>
  </si>
  <si>
    <t>33.12.011</t>
  </si>
  <si>
    <t>Esmalte à base de água em madeira, inclusive preparo</t>
  </si>
  <si>
    <t>34</t>
  </si>
  <si>
    <t>PAISAGISMO E FECHAMENTOS</t>
  </si>
  <si>
    <t>34.01</t>
  </si>
  <si>
    <t>Preparacao de solo</t>
  </si>
  <si>
    <t>34.01.010</t>
  </si>
  <si>
    <t>Terra vegetal orgânica comum</t>
  </si>
  <si>
    <t>34.01.020</t>
  </si>
  <si>
    <t>Limpeza e regularização de áreas para ajardinamento (jardins e canteiros)</t>
  </si>
  <si>
    <t>34.02</t>
  </si>
  <si>
    <t>Vegetacao rasteira</t>
  </si>
  <si>
    <t>34.02.020</t>
  </si>
  <si>
    <t>Plantio de grama batatais em placas (praças e áreas abertas)</t>
  </si>
  <si>
    <t>34.02.040</t>
  </si>
  <si>
    <t>Plantio de grama batatais em placas (jardins e canteiros)</t>
  </si>
  <si>
    <t>34.02.070</t>
  </si>
  <si>
    <t>Forração com Lírio Amarelo, mínimo 18 mudas / m² - h= 0,50 m</t>
  </si>
  <si>
    <t>34.02.080</t>
  </si>
  <si>
    <t>Plantio de grama São Carlos em placas (jardins e canteiros)</t>
  </si>
  <si>
    <t>34.02.090</t>
  </si>
  <si>
    <t>Forração com Hera Inglesa, mínimo 18 mudas / m² - h= 0,15 m</t>
  </si>
  <si>
    <t>34.02.100</t>
  </si>
  <si>
    <t>Plantio de grama esmeralda em placas (jardins e canteiros)</t>
  </si>
  <si>
    <t>34.02.110</t>
  </si>
  <si>
    <t>Forração com clorofito, mínimo de 20 mudas / m² - h= 0,15 m</t>
  </si>
  <si>
    <t>34.02.400</t>
  </si>
  <si>
    <t>Plantio de grama pelo processo hidrossemeadura</t>
  </si>
  <si>
    <t>34.03</t>
  </si>
  <si>
    <t>Vegetacao arbustiva</t>
  </si>
  <si>
    <t>34.03.020</t>
  </si>
  <si>
    <t>Arbusto Azaléa - h= 0,60 a 0,80 m</t>
  </si>
  <si>
    <t>34.03.120</t>
  </si>
  <si>
    <t>Arbusto Moréia - h= 0,50 m</t>
  </si>
  <si>
    <t>34.03.130</t>
  </si>
  <si>
    <t>Arbusto Alamanda - h= 0,60 a 0,80 m</t>
  </si>
  <si>
    <t>34.03.150</t>
  </si>
  <si>
    <t>Arbusto Curcúligo - h= 0,60 a 0,80 m</t>
  </si>
  <si>
    <t>34.04</t>
  </si>
  <si>
    <t>arvores</t>
  </si>
  <si>
    <t>34.04.050</t>
  </si>
  <si>
    <t>Árvore ornamental tipo Pata de Vaca - h= 2,00 m</t>
  </si>
  <si>
    <t>34.04.130</t>
  </si>
  <si>
    <t>Árvore ornamental tipo Ipê Amarelo - h= 2,00 m</t>
  </si>
  <si>
    <t>34.04.160</t>
  </si>
  <si>
    <t>Árvore ornamental tipo Areca Bambu - h= 2,00 m</t>
  </si>
  <si>
    <t>34.04.164</t>
  </si>
  <si>
    <t>34.04.166</t>
  </si>
  <si>
    <t>Árvore ornamental tipo Aroeira salsa - h= 2,00 m</t>
  </si>
  <si>
    <t>34.04.280</t>
  </si>
  <si>
    <t>34.04.360</t>
  </si>
  <si>
    <t>Árvore ornamental tipo coqueiro Jerivá - h= 4,00 m</t>
  </si>
  <si>
    <t>34.04.370</t>
  </si>
  <si>
    <t>34.05</t>
  </si>
  <si>
    <t>Cercas e fechamentos</t>
  </si>
  <si>
    <t>34.05.020</t>
  </si>
  <si>
    <t>Cerca em arame farpado com mourões de concreto</t>
  </si>
  <si>
    <t>34.05.030</t>
  </si>
  <si>
    <t>Cerca em arame farpado com mourões de concreto, com ponta inclinada</t>
  </si>
  <si>
    <t>34.05.032</t>
  </si>
  <si>
    <t>Cerca em arame farpado com mourões de concreto, com ponta inclinada - 12 fiadas</t>
  </si>
  <si>
    <t>34.05.050</t>
  </si>
  <si>
    <t>Cerca em tela de aço galvanizado de 2´, montantes em mourões de concreto com ponta inclinada e arame farpado</t>
  </si>
  <si>
    <t>34.05.080</t>
  </si>
  <si>
    <t>Alambrado em tela de aço galvanizado de 2´, montantes metálicos e arame farpado, até 4,00 m de altura</t>
  </si>
  <si>
    <t>34.05.110</t>
  </si>
  <si>
    <t>Alambrado em tela de aço galvanizado de 2´, montantes metálicos e arame farpado, acima de 4,00 m de altura</t>
  </si>
  <si>
    <t>34.05.120</t>
  </si>
  <si>
    <t>Alambrado em tela de aço galvanizado de 1´, montantes metálicos e arame farpado</t>
  </si>
  <si>
    <t>34.05.170</t>
  </si>
  <si>
    <t>Barreira de proteção perimetral em aço inoxidável AISI 430, dupla</t>
  </si>
  <si>
    <t>34.05.210</t>
  </si>
  <si>
    <t>Alambrado em tela de aço galvanizado de 2´, montantes metálicos com extremo superior duplo e arame farpado, acima de 4,00 m de altura</t>
  </si>
  <si>
    <t>34.05.260</t>
  </si>
  <si>
    <t>Gradil em aço galvanizado eletrofundido, malha 65 x 132 mm e pintura eletrostática</t>
  </si>
  <si>
    <t>34.05.270</t>
  </si>
  <si>
    <t>Alambrado em tela de aço galvanizado de 2´, montantes metálicos retos</t>
  </si>
  <si>
    <t>34.05.290</t>
  </si>
  <si>
    <t>Portão de abrir em grade de aço galvanizado eletrofundida, malha 65 x 132 mm, e pintura eletrostática</t>
  </si>
  <si>
    <t>34.05.300</t>
  </si>
  <si>
    <t>Portão de correr em grade de aço galvanizado eletrofundida, malha 65 x 132 mm, e pintura eletrostática</t>
  </si>
  <si>
    <t>34.05.310</t>
  </si>
  <si>
    <t>Gradil de ferro perfilado, tipo parque</t>
  </si>
  <si>
    <t>34.05.320</t>
  </si>
  <si>
    <t>Portão de ferro perfilado, tipo parque</t>
  </si>
  <si>
    <t>34.05.350</t>
  </si>
  <si>
    <t>Portão de abrir em gradil eletrofundido, malha 5 x 15 cm</t>
  </si>
  <si>
    <t>34.05.360</t>
  </si>
  <si>
    <t>Gradil tela eletrosoldado, malha de 5 x 15cm, galvanizado</t>
  </si>
  <si>
    <t>34.05.370</t>
  </si>
  <si>
    <t>Fechamento de divisa - mourão com placas pré moldadas</t>
  </si>
  <si>
    <t>34.13</t>
  </si>
  <si>
    <t>Corte, recorte e remocao</t>
  </si>
  <si>
    <t>34.13.011</t>
  </si>
  <si>
    <t>Corte, recorte e remoção de árvore  inclusive as raízes - diâmetro (DAP)&gt;5cm&lt;15cm</t>
  </si>
  <si>
    <t>34.13.021</t>
  </si>
  <si>
    <t>Corte, recorte e remoção de árvore inclusive as raízes - diâmetro (DAP)&gt;15cm&lt;30cm</t>
  </si>
  <si>
    <t>34.13.031</t>
  </si>
  <si>
    <t>Corte, recorte e remoção de árvore inclusive as raízes - diâmetro (DAP)&gt;30cm&lt;45cm</t>
  </si>
  <si>
    <t>34.13.041</t>
  </si>
  <si>
    <t>Corte, recorte e remoção de árvore inclusive as raízes - diâmetro (DAP)&gt;45cm&lt;60cm</t>
  </si>
  <si>
    <t>34.13.051</t>
  </si>
  <si>
    <t>Corte, recorte e remoção de árvore inclusive as raízes - diâmetro (DAP)&gt;60cm&lt;100cm</t>
  </si>
  <si>
    <t>34.13.060</t>
  </si>
  <si>
    <t>Corte, recorte e remoção de árvore inclusive as raízes - diâmetro (DAP) acima de 100 cm</t>
  </si>
  <si>
    <t>34.20</t>
  </si>
  <si>
    <t>Reparos, conservacoes e complementos - GRUPO 34</t>
  </si>
  <si>
    <t>34.20.050</t>
  </si>
  <si>
    <t>Tela de arame galvanizado fio nº 22 BWG, malha de 2´, tipo galinheiro</t>
  </si>
  <si>
    <t>34.20.080</t>
  </si>
  <si>
    <t>Tela de aço galvanizado fio nº 10 BWG, malha de 2´, tipo alambrado de segurança</t>
  </si>
  <si>
    <t>34.20.110</t>
  </si>
  <si>
    <t>Recolocação de barreira de proteção perimetral, simples ou dupla</t>
  </si>
  <si>
    <t>34.20.160</t>
  </si>
  <si>
    <t>Recolocação de alambrado, com altura até 4,50 m</t>
  </si>
  <si>
    <t>34.20.170</t>
  </si>
  <si>
    <t>Recolocação de alambrado, com altura acima de 4,50 m</t>
  </si>
  <si>
    <t>34.20.390</t>
  </si>
  <si>
    <t>Grelha arvoreira em ferro fundido</t>
  </si>
  <si>
    <t>35</t>
  </si>
  <si>
    <t>PLAYGROUND E EQUIPAMENTO RECREATIVO</t>
  </si>
  <si>
    <t>35.01</t>
  </si>
  <si>
    <t>Quadra e equipamento de esportes</t>
  </si>
  <si>
    <t>35.01.070</t>
  </si>
  <si>
    <t>Tela de arame galvanizado fio nº 12 BWG, malha de 2´</t>
  </si>
  <si>
    <t>35.01.150</t>
  </si>
  <si>
    <t>Trave oficial completa com rede para futebol de salão</t>
  </si>
  <si>
    <t>35.01.170</t>
  </si>
  <si>
    <t>Poste oficial completo com rede para voleibol</t>
  </si>
  <si>
    <t>35.01.550</t>
  </si>
  <si>
    <t>Piso em fibra de polipropileno corrugado para quadra de esportes, inclusive pintura</t>
  </si>
  <si>
    <t>35.03</t>
  </si>
  <si>
    <t>Abrigo, guarita e quiosque</t>
  </si>
  <si>
    <t>35.03.030</t>
  </si>
  <si>
    <t>Cancela automática metálica com barreira de alumínio de 3,50 até 4,00 m</t>
  </si>
  <si>
    <t>35.04</t>
  </si>
  <si>
    <t>Bancos</t>
  </si>
  <si>
    <t>35.04.020</t>
  </si>
  <si>
    <t>Banco contínuo em concreto vazado</t>
  </si>
  <si>
    <t>35.04.120</t>
  </si>
  <si>
    <t>Banco em concreto pré-moldado, comprimento 150 cm</t>
  </si>
  <si>
    <t>35.04.130</t>
  </si>
  <si>
    <t>Banco de madeira sobre alvenaria</t>
  </si>
  <si>
    <t>35.04.140</t>
  </si>
  <si>
    <t>Banco em concreto pré-moldado com pés vazados, comprimento 200 cm</t>
  </si>
  <si>
    <t>35.04.150</t>
  </si>
  <si>
    <t>Banco em concreto pré-moldado com 3 pés, comprimento 300 cm</t>
  </si>
  <si>
    <t>35.05</t>
  </si>
  <si>
    <t>Equipamento recreativo</t>
  </si>
  <si>
    <t>35.05.200</t>
  </si>
  <si>
    <t>Centro de atividades em madeira rústica</t>
  </si>
  <si>
    <t>35.05.210</t>
  </si>
  <si>
    <t>Balanço duplo em madeira rústica</t>
  </si>
  <si>
    <t>35.05.220</t>
  </si>
  <si>
    <t>Gangorra dupla em madeira rústica</t>
  </si>
  <si>
    <t>35.05.240</t>
  </si>
  <si>
    <t>Gira-gira em ferro com assento de madeira (8 lugares)</t>
  </si>
  <si>
    <t>35.07</t>
  </si>
  <si>
    <t>Mastro para bandeiras</t>
  </si>
  <si>
    <t>35.07.020</t>
  </si>
  <si>
    <t>Plataforma com 3 mastros galvanizados, h= 7,00 m</t>
  </si>
  <si>
    <t>35.07.030</t>
  </si>
  <si>
    <t>Plataforma com 3 mastros galvanizados, h= 9,00 m</t>
  </si>
  <si>
    <t>35.07.060</t>
  </si>
  <si>
    <t>Mastro para bandeira galvanizado, h= 9,00 m</t>
  </si>
  <si>
    <t>35.07.070</t>
  </si>
  <si>
    <t>Mastro para bandeira galvanizado, h= 7,00 m</t>
  </si>
  <si>
    <t>35.20</t>
  </si>
  <si>
    <t>Reparos, conservacoes e complementos - GRUPO 35</t>
  </si>
  <si>
    <t>35.20.010</t>
  </si>
  <si>
    <t>Tela em polietileno, malha 10 x 10 cm, fio 2 mm</t>
  </si>
  <si>
    <t>35.20.050</t>
  </si>
  <si>
    <t>Conjunto de 4 lixeiras para coleta seletiva, com tampa basculante, capacidade 50 litros</t>
  </si>
  <si>
    <t>36</t>
  </si>
  <si>
    <t>ENTRADA DE ENERGIA ELETRICA E TELEFONIA</t>
  </si>
  <si>
    <t>36.01</t>
  </si>
  <si>
    <t>Entrada de energia - componentes</t>
  </si>
  <si>
    <t>36.01.242</t>
  </si>
  <si>
    <t>Cubículo de média tensão, para uso ao tempo, classe 24 kV</t>
  </si>
  <si>
    <t>36.01.252</t>
  </si>
  <si>
    <t>Cubículo de média tensão, para uso ao tempo, classe 17,5 kV</t>
  </si>
  <si>
    <t>36.03</t>
  </si>
  <si>
    <t>Caixas de entrada / medicao</t>
  </si>
  <si>
    <t>36.03.010</t>
  </si>
  <si>
    <t>Caixa de medição tipo II (300 x 560 x 200) mm, padrão concessionárias</t>
  </si>
  <si>
    <t>36.03.020</t>
  </si>
  <si>
    <t>Caixa de medição polifásica (500 x 600 x 200) mm, padrão concessionárias</t>
  </si>
  <si>
    <t>36.03.030</t>
  </si>
  <si>
    <t>Caixa de medição externa tipo ´L´ (900 x 600 x 270) mm, padrão Concessionárias</t>
  </si>
  <si>
    <t>36.03.050</t>
  </si>
  <si>
    <t>Caixa de medição externa tipo ´N´ (1300 x 1200 x 270) mm, padrão Concessionárias</t>
  </si>
  <si>
    <t>36.03.060</t>
  </si>
  <si>
    <t>Caixa de medição externa tipo ´M´ (900 x 1200 x 270) mm, padrão Concessionárias</t>
  </si>
  <si>
    <t>36.03.080</t>
  </si>
  <si>
    <t>Caixa para seccionadora tipo ´T´ (900 x 600 x 250) mm, padrão Concessionárias</t>
  </si>
  <si>
    <t>36.03.090</t>
  </si>
  <si>
    <t>Caixa de medição interna tipo ´A1´ (1000 x 1000 x 300) mm, padrão Concessionárias</t>
  </si>
  <si>
    <t>36.03.120</t>
  </si>
  <si>
    <t>Caixa de proteção para transformador de corrente, (1000 x 750 x 300) mm, padrão Concessionárias</t>
  </si>
  <si>
    <t>36.03.130</t>
  </si>
  <si>
    <t>Caixa de proteção dos bornes do medidor, (300 x 250 x 90) mm, padrão Concessionárias</t>
  </si>
  <si>
    <t>36.03.150</t>
  </si>
  <si>
    <t>Caixa de entrada tipo ´E´ (560 x 350 x 210) mm - padrão Concessionárias</t>
  </si>
  <si>
    <t>36.03.160</t>
  </si>
  <si>
    <t>Caixa base lateral tipo ´N´ (1300 x 400 x 250) mm</t>
  </si>
  <si>
    <t>36.04</t>
  </si>
  <si>
    <t>Suporte (Braquet)</t>
  </si>
  <si>
    <t>36.04.010</t>
  </si>
  <si>
    <t>Suporte para 1 isolador de baixa tensão</t>
  </si>
  <si>
    <t>36.04.030</t>
  </si>
  <si>
    <t>Suporte para 2 isoladores de baixa tensão</t>
  </si>
  <si>
    <t>36.04.050</t>
  </si>
  <si>
    <t>Suporte para 3 isoladores de baixa tensão</t>
  </si>
  <si>
    <t>36.04.070</t>
  </si>
  <si>
    <t>Suporte para 4 isoladores de baixa tensão</t>
  </si>
  <si>
    <t>36.05</t>
  </si>
  <si>
    <t>Isoladores</t>
  </si>
  <si>
    <t>36.05.010</t>
  </si>
  <si>
    <t>Isolador tipo roldana para baixa tensão de 76 x 79 mm</t>
  </si>
  <si>
    <t>36.05.040</t>
  </si>
  <si>
    <t>Isolador tipo disco para 15 kV de 6´ - 150 mm</t>
  </si>
  <si>
    <t>36.05.080</t>
  </si>
  <si>
    <t>Isolador tipo pino para 15 kV, inclusive pino (poste)</t>
  </si>
  <si>
    <t>36.05.100</t>
  </si>
  <si>
    <t>Isolador pedestal para 15 kV</t>
  </si>
  <si>
    <t>36.05.110</t>
  </si>
  <si>
    <t>Isolador pedestal para 25 kV</t>
  </si>
  <si>
    <t>36.06</t>
  </si>
  <si>
    <t>Muflas e terminais</t>
  </si>
  <si>
    <t>36.06.060</t>
  </si>
  <si>
    <t>Terminal modular (mufla) unipolar externo para cabo até 70 mm²/15 kV</t>
  </si>
  <si>
    <t>36.06.080</t>
  </si>
  <si>
    <t>Terminal modular (mufla) unipolar interno para cabo até 70 mm²/15 kV</t>
  </si>
  <si>
    <t>36.07</t>
  </si>
  <si>
    <t>Para-raios de media tensao</t>
  </si>
  <si>
    <t>36.07.010</t>
  </si>
  <si>
    <t>Para-raios de distribuição, classe 12 kV/5 kA, completo, encapsulado com polímero</t>
  </si>
  <si>
    <t>36.07.030</t>
  </si>
  <si>
    <t>Para-raios de distribuição, classe 12 kV/10 kA, completo, encapsulado com polímero</t>
  </si>
  <si>
    <t>36.07.050</t>
  </si>
  <si>
    <t>Para-raios de distribuição, classe 15 kV/5 kA, completo, encapsulado com polímero</t>
  </si>
  <si>
    <t>36.07.060</t>
  </si>
  <si>
    <t>Para-raios de distribuição, classe 15 kV/10 kA, completo, encapsulado com polímero</t>
  </si>
  <si>
    <t>36.08</t>
  </si>
  <si>
    <t>Gerador e grupo gerador</t>
  </si>
  <si>
    <t>36.08.030</t>
  </si>
  <si>
    <t>Grupo gerador com potência de 250/228 kVA, variação de + ou - 5% - completo</t>
  </si>
  <si>
    <t>36.08.040</t>
  </si>
  <si>
    <t>Grupo gerador com potência de 350/320 kVA, variação de + ou - 10% - completo</t>
  </si>
  <si>
    <t>36.08.050</t>
  </si>
  <si>
    <t>Grupo gerador com potência de 88/80 kVA, variação de + ou - 10% - completo</t>
  </si>
  <si>
    <t>36.08.060</t>
  </si>
  <si>
    <t>Grupo gerador com potência de 165/150 kVA, variação de + ou - 5% - completo</t>
  </si>
  <si>
    <t>36.08.100</t>
  </si>
  <si>
    <t>Grupo gerador com potência de 55/50 kVA, variação de + ou - 10% - completo</t>
  </si>
  <si>
    <t>36.08.110</t>
  </si>
  <si>
    <t>Grupo gerador com potência de 180/168 kVA, variação de + ou - 5% - completo</t>
  </si>
  <si>
    <t>36.08.290</t>
  </si>
  <si>
    <t>Grupo gerador com potência de 563/513 kVA, variação de + ou - 10% - completo</t>
  </si>
  <si>
    <t>36.08.350</t>
  </si>
  <si>
    <t>Grupo gerador carenado com potência de 150/136 kVA, variação de + ou - 5% - completo</t>
  </si>
  <si>
    <t>36.08.360</t>
  </si>
  <si>
    <t>Grupo gerador carenado com potência de 460/434 kVA, variação de + ou - 10% - completo</t>
  </si>
  <si>
    <t>36.08.540</t>
  </si>
  <si>
    <t>Grupo gerador com potência de 460/434 kVA, variação de + ou - 10% - completo</t>
  </si>
  <si>
    <t>36.09</t>
  </si>
  <si>
    <t>Transformador de entrada</t>
  </si>
  <si>
    <t>36.09.020</t>
  </si>
  <si>
    <t>Transformador de potência trifásico de 225 kVA, classe 15 kV, a óleo</t>
  </si>
  <si>
    <t>36.09.050</t>
  </si>
  <si>
    <t>Transformador de potência trifásico de 150 kVA, classe 15 kV, a óleo</t>
  </si>
  <si>
    <t>36.09.060</t>
  </si>
  <si>
    <t>Transformador de potência trifásico de 500 kVA, classe 15 kV, a seco</t>
  </si>
  <si>
    <t>36.09.070</t>
  </si>
  <si>
    <t>Transformador de potência trifásico de 1000 kVA, classe 15 kV, a seco com cabine</t>
  </si>
  <si>
    <t>36.09.100</t>
  </si>
  <si>
    <t>Transformador de potência trifásico de 5 kVA, classe 0,6 kV, a seco com cabine</t>
  </si>
  <si>
    <t>36.09.110</t>
  </si>
  <si>
    <t>Transformador de potência trifásico de 7,5 kVA, classe 0,6 kV, a seco com cabine</t>
  </si>
  <si>
    <t>36.09.150</t>
  </si>
  <si>
    <t>Transformador de potência trifásico de 75 kVA, classe 15 kV, a óleo</t>
  </si>
  <si>
    <t>36.09.170</t>
  </si>
  <si>
    <t>Transformador de potência trifásico de 300 kVA, classe 15 kV, a óleo</t>
  </si>
  <si>
    <t>36.09.180</t>
  </si>
  <si>
    <t>Transformador de potência trifásico de 112,5 kVA, classe 15 kV, a óleo</t>
  </si>
  <si>
    <t>36.09.220</t>
  </si>
  <si>
    <t>Transformador de potência trifásico de 500 kVA, classe 15 kV, a seco com cabine</t>
  </si>
  <si>
    <t>36.09.230</t>
  </si>
  <si>
    <t>Transformador de potência trifásico de 30 kVA, classe 1,2 KV, a seco com cabine</t>
  </si>
  <si>
    <t>36.09.250</t>
  </si>
  <si>
    <t>Transformador de potência trifásico de 500 kVA, classe 15 kV, a óleo</t>
  </si>
  <si>
    <t>36.09.300</t>
  </si>
  <si>
    <t>Transformador de potência trifásico de 750 kVA, classe 15 kV, a óleo</t>
  </si>
  <si>
    <t>36.09.360</t>
  </si>
  <si>
    <t>Transformador de potência trifásico de 750 kVA, classe 15 kV, a seco</t>
  </si>
  <si>
    <t>36.09.370</t>
  </si>
  <si>
    <t>Transformador de potência trifásico de 300 kVA, classe 15 kV, a seco</t>
  </si>
  <si>
    <t>36.09.410</t>
  </si>
  <si>
    <t>Transformador de potência trifásico de 45 kVA, classe 15 kV, a seco</t>
  </si>
  <si>
    <t>36.09.440</t>
  </si>
  <si>
    <t>Transformador de potência trifásico de 500 kVA, classe 15 kV, a óleo - tipo pedestal</t>
  </si>
  <si>
    <t>36.09.480</t>
  </si>
  <si>
    <t>Transformador trifásico a seco de 112,5 kVA, encapsulado em resina epóxi sob vácuo</t>
  </si>
  <si>
    <t>36.09.490</t>
  </si>
  <si>
    <t>Transformador trifásico a seco de 150 kVA, encapsulado em resina epóxi sob vácuo</t>
  </si>
  <si>
    <t>36.20</t>
  </si>
  <si>
    <t>Reparos, conservacoes e complementos - GRUPO 36</t>
  </si>
  <si>
    <t>36.20.010</t>
  </si>
  <si>
    <t>Vergalhão de cobre eletrolítico, diâmetro de 3/8´</t>
  </si>
  <si>
    <t>36.20.030</t>
  </si>
  <si>
    <t>União angular para vergalhão, diâmetro de 3/8´</t>
  </si>
  <si>
    <t>36.20.050</t>
  </si>
  <si>
    <t>Terminal para vergalhão, diâmetro de 3/8´</t>
  </si>
  <si>
    <t>36.20.060</t>
  </si>
  <si>
    <t>Braçadeira para fixação de eletroduto, até 4´</t>
  </si>
  <si>
    <t>36.20.070</t>
  </si>
  <si>
    <t>Prensa vergalhão ´T´, diâmetro de 3/8´</t>
  </si>
  <si>
    <t>36.20.090</t>
  </si>
  <si>
    <t>Vara para manobra em cabine em fibra de vidro, para tensão até 36 kV</t>
  </si>
  <si>
    <t>36.20.100</t>
  </si>
  <si>
    <t>Bucha para passagem interna/externa com isolação para 15 kV</t>
  </si>
  <si>
    <t>36.20.120</t>
  </si>
  <si>
    <t>Chapa de ferro de 1,50 x 0,50 m para bucha de passagem</t>
  </si>
  <si>
    <t>36.20.140</t>
  </si>
  <si>
    <t>Cruzeta de madeira de 2400 mm</t>
  </si>
  <si>
    <t>36.20.180</t>
  </si>
  <si>
    <t>Luva isolante de borracha, acima de 10 até 20 kV</t>
  </si>
  <si>
    <t>PAR</t>
  </si>
  <si>
    <t>36.20.200</t>
  </si>
  <si>
    <t>Mão francesa de 700 mm</t>
  </si>
  <si>
    <t>36.20.210</t>
  </si>
  <si>
    <t>Luva isolante de borracha, até 10 kV</t>
  </si>
  <si>
    <t>36.20.220</t>
  </si>
  <si>
    <t>Mudança de tap do transformador</t>
  </si>
  <si>
    <t>36.20.240</t>
  </si>
  <si>
    <t>Óleo para disjuntor</t>
  </si>
  <si>
    <t>36.20.260</t>
  </si>
  <si>
    <t>Óleo para transformador</t>
  </si>
  <si>
    <t>36.20.282</t>
  </si>
  <si>
    <t>Placa de advertência em chapa de aço, com pintura refletiva "Perigo Alta Tensão"</t>
  </si>
  <si>
    <t>36.20.284</t>
  </si>
  <si>
    <t>Placa de advertência em chapa de alumínio, com pintura refletiva "Perigo Alta Tensão"</t>
  </si>
  <si>
    <t>36.20.330</t>
  </si>
  <si>
    <t>Luva de couro para proteção de luva isolante</t>
  </si>
  <si>
    <t>36.20.340</t>
  </si>
  <si>
    <t>Sela para cruzeta de madeira</t>
  </si>
  <si>
    <t>36.20.350</t>
  </si>
  <si>
    <t>Caixa porta luvas em madeira, com tampa</t>
  </si>
  <si>
    <t>36.20.360</t>
  </si>
  <si>
    <t>Suporte de transformador em poste ou estaleiro</t>
  </si>
  <si>
    <t>36.20.380</t>
  </si>
  <si>
    <t>Tapete de borracha isolante elétrico de 1000 x 1000 mm</t>
  </si>
  <si>
    <t>36.20.540</t>
  </si>
  <si>
    <t>Cruzeta metálica de 2400 mm, para fixação de mufla ou para-raios</t>
  </si>
  <si>
    <t>36.20.560</t>
  </si>
  <si>
    <t>Dispositivo Soft Starter para motor 15 cv, trifásico 220 V</t>
  </si>
  <si>
    <t>36.20.570</t>
  </si>
  <si>
    <t>Dispositivo Soft Starter para motor 25 cv, trifásico 220 V</t>
  </si>
  <si>
    <t>36.20.580</t>
  </si>
  <si>
    <t>Dispositivo Soft Starter para motor 50 cv, trifásico 220 V</t>
  </si>
  <si>
    <t>37</t>
  </si>
  <si>
    <t>QUADRO E PAINEL PARA ENERGIA ELETRICA E TELEFONIA</t>
  </si>
  <si>
    <t>37.01</t>
  </si>
  <si>
    <t>Quadro para telefonia embutir, protecao IP40 chapa nº 16msg</t>
  </si>
  <si>
    <t>37.01.020</t>
  </si>
  <si>
    <t>Quadro Telebrás de embutir de 200 x 200 x 120 mm</t>
  </si>
  <si>
    <t>37.01.080</t>
  </si>
  <si>
    <t>Quadro Telebrás de embutir de 400 x 400 x 120 mm</t>
  </si>
  <si>
    <t>37.01.120</t>
  </si>
  <si>
    <t>Quadro Telebrás de embutir de 600 x 600 x 120 mm</t>
  </si>
  <si>
    <t>37.01.160</t>
  </si>
  <si>
    <t>Quadro Telebrás de embutir de 800 x 800 x 120 mm</t>
  </si>
  <si>
    <t>37.01.220</t>
  </si>
  <si>
    <t>Quadro Telebrás de embutir de 1200 x 1200 x 120 mm</t>
  </si>
  <si>
    <t>37.02</t>
  </si>
  <si>
    <t>Quadro para telefonia de sobrepor, protecao IP40 chapa nº 16msg</t>
  </si>
  <si>
    <t>37.02.020</t>
  </si>
  <si>
    <t>Quadro Telebrás de sobrepor de 200 x 200 x 120 mm</t>
  </si>
  <si>
    <t>37.02.060</t>
  </si>
  <si>
    <t>Quadro Telebrás de sobrepor de 400 x 400 x 120 mm</t>
  </si>
  <si>
    <t>37.02.100</t>
  </si>
  <si>
    <t>Quadro Telebrás de sobrepor de 600 x 600 x 120 mm</t>
  </si>
  <si>
    <t>37.02.140</t>
  </si>
  <si>
    <t>Quadro Telebrás de sobrepor de 800 x 800 x 120 mm</t>
  </si>
  <si>
    <t>37.03</t>
  </si>
  <si>
    <t>Quadro distribuicao de luz e forca de embutir universal</t>
  </si>
  <si>
    <t>37.03.200</t>
  </si>
  <si>
    <t>Quadro de distribuição universal de embutir, para disjuntores 16 DIN / 12 Bolt-on - 150 A - sem componentes</t>
  </si>
  <si>
    <t>37.03.210</t>
  </si>
  <si>
    <t>Quadro de distribuição universal de embutir, para disjuntores 24 DIN / 18 Bolt-on - 150 A - sem componentes</t>
  </si>
  <si>
    <t>37.03.220</t>
  </si>
  <si>
    <t>Quadro de distribuição universal de embutir, para disjuntores 34 DIN / 24 Bolt-on - 150 A - sem componentes</t>
  </si>
  <si>
    <t>37.03.230</t>
  </si>
  <si>
    <t>Quadro de distribuição universal de embutir, para disjuntores 44 DIN / 32 Bolt-on - 150 A - sem componentes</t>
  </si>
  <si>
    <t>37.03.240</t>
  </si>
  <si>
    <t>Quadro de distribuição universal de embutir, para disjuntores 56 DIN / 40 Bolt-on - 225 A - sem componentes</t>
  </si>
  <si>
    <t>37.03.250</t>
  </si>
  <si>
    <t>Quadro de distribuição universal de embutir, para disjuntores 70 DIN / 50 Bolt-on - 225 A - sem componentes</t>
  </si>
  <si>
    <t>37.04</t>
  </si>
  <si>
    <t>Quadro distribuicao de luz e forca de sobrepor universal</t>
  </si>
  <si>
    <t>37.04.250</t>
  </si>
  <si>
    <t>Quadro de distribuição universal de sobrepor, para disjuntores 16 DIN / 12 Bolt-on - 150 A - sem componentes</t>
  </si>
  <si>
    <t>37.04.260</t>
  </si>
  <si>
    <t>Quadro de distribuição universal de sobrepor, para disjuntores 24 DIN / 18 Bolt-on - 150 A - sem componentes</t>
  </si>
  <si>
    <t>37.04.270</t>
  </si>
  <si>
    <t>Quadro de distribuição universal de sobrepor, para disjuntores 34 DIN / 24 Bolt-on - 150 A - sem componentes</t>
  </si>
  <si>
    <t>37.04.280</t>
  </si>
  <si>
    <t>Quadro de distribuição universal de sobrepor, para disjuntores 44 DIN / 32 Bolt-on - 150 A - sem componentes</t>
  </si>
  <si>
    <t>37.04.290</t>
  </si>
  <si>
    <t>Quadro de distribuição universal de sobrepor, para disjuntores 56 DIN / 40 Bolt-on - 225 A - sem componentes</t>
  </si>
  <si>
    <t>37.04.300</t>
  </si>
  <si>
    <t>Quadro de distribuição universal de sobrepor, para disjuntores 70 DIN / 50 Bolt-on - 225 A - sem componentes</t>
  </si>
  <si>
    <t>37.06</t>
  </si>
  <si>
    <t>Painel autoportante</t>
  </si>
  <si>
    <t>37.06.014</t>
  </si>
  <si>
    <t>Painel autoportante em chapa de aço, com proteção mínima IP 54 - sem componentes</t>
  </si>
  <si>
    <t>37.10</t>
  </si>
  <si>
    <t>Barramentos</t>
  </si>
  <si>
    <t>37.10.010</t>
  </si>
  <si>
    <t>Barramento de cobre nu</t>
  </si>
  <si>
    <t>37.11</t>
  </si>
  <si>
    <t>Bases</t>
  </si>
  <si>
    <t>37.11.020</t>
  </si>
  <si>
    <t>Base de fusível Diazed completa para 25 A</t>
  </si>
  <si>
    <t>37.11.040</t>
  </si>
  <si>
    <t>Base de fusível Diazed completa para 63 A</t>
  </si>
  <si>
    <t>37.11.060</t>
  </si>
  <si>
    <t>Base de fusível NH até 125 A, com fusível</t>
  </si>
  <si>
    <t>37.11.080</t>
  </si>
  <si>
    <t>Base de fusível NH até 250 A, com fusível</t>
  </si>
  <si>
    <t>37.11.100</t>
  </si>
  <si>
    <t>Base de fusível NH até 400 A, com fusível</t>
  </si>
  <si>
    <t>37.11.120</t>
  </si>
  <si>
    <t>Base de fusível tripolar de 15 kV</t>
  </si>
  <si>
    <t>37.11.140</t>
  </si>
  <si>
    <t>Base de fusível unipolar de 15 kV</t>
  </si>
  <si>
    <t>37.12</t>
  </si>
  <si>
    <t>Fusiveis</t>
  </si>
  <si>
    <t>37.12.020</t>
  </si>
  <si>
    <t>Fusível tipo NH 00 de 6 A até 160 A</t>
  </si>
  <si>
    <t>37.12.040</t>
  </si>
  <si>
    <t>Fusível tipo NH 1 de 36 A até 250 A</t>
  </si>
  <si>
    <t>37.12.060</t>
  </si>
  <si>
    <t>Fusível tipo NH 2 de 224 A até 400 A</t>
  </si>
  <si>
    <t>37.12.080</t>
  </si>
  <si>
    <t>Fusível tipo NH 3 de 400 A até 630 A</t>
  </si>
  <si>
    <t>37.12.120</t>
  </si>
  <si>
    <t>Fusível tipo HH para 15 kV de 2,5 A até 50 A</t>
  </si>
  <si>
    <t>37.12.140</t>
  </si>
  <si>
    <t>Fusível tipo HH para 15 kV de 60 A até 100 A</t>
  </si>
  <si>
    <t>37.12.200</t>
  </si>
  <si>
    <t>Fusível Diazed retardado de 2 A até 25 A</t>
  </si>
  <si>
    <t>37.12.220</t>
  </si>
  <si>
    <t>Fusível Diazed retardado de 35 A até 63 A</t>
  </si>
  <si>
    <t>37.12.300</t>
  </si>
  <si>
    <t>Fusível em vidro para ´TP´ de 0,5 A</t>
  </si>
  <si>
    <t>37.13</t>
  </si>
  <si>
    <t>Disjuntores</t>
  </si>
  <si>
    <t>37.13.510</t>
  </si>
  <si>
    <t>Disjuntor fixo PVO trifásico, 17,5 kV, 630 A x 350 MVA, 50/60 Hz, com acessórios</t>
  </si>
  <si>
    <t>37.13.520</t>
  </si>
  <si>
    <t>37.13.530</t>
  </si>
  <si>
    <t>Disjuntor fixo PVO trifásico, 15 kV, 630 A x 350 MVA, com relé de proteção de sobrecorrente e transformadores de corrente</t>
  </si>
  <si>
    <t>37.13.550</t>
  </si>
  <si>
    <t>37.13.570</t>
  </si>
  <si>
    <t>37.13.600</t>
  </si>
  <si>
    <t>Disjuntor termomagnético, unipolar 127/220 V, corrente de 10 A até 30 A</t>
  </si>
  <si>
    <t>37.13.610</t>
  </si>
  <si>
    <t>Disjuntor termomagnético, unipolar 127/220 V, corrente de 35 A até 50 A</t>
  </si>
  <si>
    <t>37.13.630</t>
  </si>
  <si>
    <t>Disjuntor termomagnético, bipolar 220/380 V, corrente de 10 A até 50 A</t>
  </si>
  <si>
    <t>37.13.640</t>
  </si>
  <si>
    <t>Disjuntor termomagnético, bipolar 220/380 V, corrente de 60 A até 100 A</t>
  </si>
  <si>
    <t>37.13.650</t>
  </si>
  <si>
    <t>Disjuntor termomagnético, tripolar 220/380 V, corrente de 10 A até 50 A</t>
  </si>
  <si>
    <t>37.13.660</t>
  </si>
  <si>
    <t>Disjuntor termomagnético, tripolar 220/380 V, corrente de 60 A até 100 A</t>
  </si>
  <si>
    <t>37.13.690</t>
  </si>
  <si>
    <t>37.13.700</t>
  </si>
  <si>
    <t>37.13.720</t>
  </si>
  <si>
    <t>37.13.730</t>
  </si>
  <si>
    <t>37.13.740</t>
  </si>
  <si>
    <t>37.13.760</t>
  </si>
  <si>
    <t>Disjuntor em caixa moldada, térmico e magnético ajustáveis, tripolar 630/690 V, faixa de ajuste de 440 até 630 A</t>
  </si>
  <si>
    <t>37.13.770</t>
  </si>
  <si>
    <t>Disjuntor em caixa moldada, térmico e magnético ajustáveis, tripolar 1250/690 V, faixa de ajuste de 800 até 1250 A</t>
  </si>
  <si>
    <t>37.13.780</t>
  </si>
  <si>
    <t>Disjuntor em caixa moldada, térmico e magnético ajustáveis, tripolar 1600/690 V, faixa de ajuste de 1000 até 1600 A</t>
  </si>
  <si>
    <t>37.13.800</t>
  </si>
  <si>
    <t>Mini-disjuntor termomagnético, unipolar 127/220 V, corrente de 10 A até 32 A</t>
  </si>
  <si>
    <t>37.13.810</t>
  </si>
  <si>
    <t>Mini-disjuntor termomagnético, unipolar 127/220 V, corrente de 40 A até 50 A</t>
  </si>
  <si>
    <t>37.13.840</t>
  </si>
  <si>
    <t>Mini-disjuntor termomagnético, bipolar 220/380 V, corrente de 10 A até 32 A</t>
  </si>
  <si>
    <t>37.13.850</t>
  </si>
  <si>
    <t>Mini-disjuntor termomagnético, bipolar 220/380 V, corrente de 40 A até 50 A</t>
  </si>
  <si>
    <t>37.13.860</t>
  </si>
  <si>
    <t>Mini-disjuntor termomagnético, bipolar 220/380 V, corrente de 63 A</t>
  </si>
  <si>
    <t>37.13.870</t>
  </si>
  <si>
    <t>Mini-disjuntor termomagnético, bipolar 400 V, corrente de 80 A até 100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</si>
  <si>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</si>
  <si>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</si>
  <si>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</si>
  <si>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</si>
  <si>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</si>
  <si>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</si>
  <si>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37.13.910</t>
  </si>
  <si>
    <t>37.13.920</t>
  </si>
  <si>
    <t>37.13.930</t>
  </si>
  <si>
    <t>37.13.940</t>
  </si>
  <si>
    <t>Disjuntor em caixa aberta tripolar extraível, 500 V de 6300 A, com acessórios</t>
  </si>
  <si>
    <t>37.14</t>
  </si>
  <si>
    <t>Chave de baixa tensao</t>
  </si>
  <si>
    <t>37.14.050</t>
  </si>
  <si>
    <t>Chave comutadora, reversão sob carga, tetrapolar, sem porta fusível, para 100 A</t>
  </si>
  <si>
    <t>37.14.300</t>
  </si>
  <si>
    <t>Chave seccionadora sob carga, tripolar, acionamento rotativo, com prolongador, sem porta-fusível, de 160 A</t>
  </si>
  <si>
    <t>37.14.310</t>
  </si>
  <si>
    <t>Chave seccionadora sob carga, tripolar, acionamento rotativo, com prolongador, sem porta-fusível, de 250 A</t>
  </si>
  <si>
    <t>37.14.320</t>
  </si>
  <si>
    <t>Chave seccionadora sob carga, tripolar, acionamento rotativo, com prolongador, sem porta-fusível, de 400 A</t>
  </si>
  <si>
    <t>37.14.330</t>
  </si>
  <si>
    <t>Chave seccionadora sob carga, tripolar, acionamento rotativo, com prolongador, sem porta-fusível, de 630 A</t>
  </si>
  <si>
    <t>37.14.340</t>
  </si>
  <si>
    <t>Chave seccionadora sob carga, tripolar, acionamento rotativo, com prolongador, sem porta-fusível, de 1000 A</t>
  </si>
  <si>
    <t>37.14.350</t>
  </si>
  <si>
    <t>Chave seccionadora sob carga, tripolar, acionamento rotativo, com prolongador, sem porta-fusível, de 1250 A</t>
  </si>
  <si>
    <t>37.14.410</t>
  </si>
  <si>
    <t>Chave seccionadora sob carga, tripolar, acionamento rotativo, com prolongador e porta-fusível até NH-00-125 A - sem fusíveis</t>
  </si>
  <si>
    <t>37.14.420</t>
  </si>
  <si>
    <t>Chave seccionadora sob carga, tripolar, acionamento rotativo, com prolongador e porta-fusível até NH-00-160 A - sem fusíveis</t>
  </si>
  <si>
    <t>37.14.430</t>
  </si>
  <si>
    <t>Chave seccionadora sob carga, tripolar, acionamento rotativo, com prolongador e porta-fusível até NH-1-250 A - sem fusíveis</t>
  </si>
  <si>
    <t>37.14.440</t>
  </si>
  <si>
    <t>Chave seccionadora sob carga, tripolar, acionamento rotativo, com prolongador e porta-fusível até NH-2-400 A - sem fusíveis</t>
  </si>
  <si>
    <t>37.14.450</t>
  </si>
  <si>
    <t>Chave seccionadora sob carga, tripolar, acionamento rotativo, com prolongador e porta-fusível até NH-3-630 A - sem fusíveis</t>
  </si>
  <si>
    <t>37.14.500</t>
  </si>
  <si>
    <t>Chave seccionadora sob carga, tripolar, acionamento tipo punho, com porta-fusível até NH-00-160 A - sem fusíveis</t>
  </si>
  <si>
    <t>37.14.510</t>
  </si>
  <si>
    <t>Chave seccionadora sob carga, tripolar, acionamento tipo punho, com porta-fusível até NH-1-250 A - sem fusíveis</t>
  </si>
  <si>
    <t>37.14.520</t>
  </si>
  <si>
    <t>Chave seccionadora sob carga, tripolar, acionamento tipo punho, com porta-fusível até NH-2-400 A - sem fusíveis</t>
  </si>
  <si>
    <t>37.14.530</t>
  </si>
  <si>
    <t>Chave seccionadora sob carga, tripolar, acionamento tipo punho, com porta-fusível até NH-3-630 A - sem fusíveis</t>
  </si>
  <si>
    <t>37.14.600</t>
  </si>
  <si>
    <t>Chave comutadora, reversão sob carga, tripolar, sem porta fusível, para 400 A</t>
  </si>
  <si>
    <t>37.14.610</t>
  </si>
  <si>
    <t>Chave comutadora, reversão sob carga, tripolar, sem porta fusível, para 600/630 A</t>
  </si>
  <si>
    <t>37.14.620</t>
  </si>
  <si>
    <t>Chave comutadora, reversão sob carga, tripolar, sem porta fusível, para 1000 A</t>
  </si>
  <si>
    <t>37.14.640</t>
  </si>
  <si>
    <t>Chave comutadora, reversão sob carga, tetrapolar, sem porta fusível, para 630 A / 690 V</t>
  </si>
  <si>
    <t>37.14.830</t>
  </si>
  <si>
    <t>Barra de contato para chave seccionadora tipo NH3-630 A</t>
  </si>
  <si>
    <t>37.14.912</t>
  </si>
  <si>
    <t>Chave seccionadora tripolar, abertura sob carga seca até 160 A / 690 V</t>
  </si>
  <si>
    <t>37.15</t>
  </si>
  <si>
    <t>Chave de media tensao</t>
  </si>
  <si>
    <t>37.15.110</t>
  </si>
  <si>
    <t>Chave seccionadora tripolar sob carga para 400 A - 25 kV - com prolongador</t>
  </si>
  <si>
    <t>37.15.120</t>
  </si>
  <si>
    <t>Chave seccionadora tripolar sob carga para 400 A - 15 kV - com prolongador</t>
  </si>
  <si>
    <t>37.15.150</t>
  </si>
  <si>
    <t>Chave fusível base ´C´ para 15 kV/100 A, com capacidade de ruptura até 10 kA - com fusível</t>
  </si>
  <si>
    <t>37.15.160</t>
  </si>
  <si>
    <t>37.15.170</t>
  </si>
  <si>
    <t>37.15.200</t>
  </si>
  <si>
    <t>Chave seccionadora tripolar seca para 400 A - 15 kV - com prolongador</t>
  </si>
  <si>
    <t>37.15.210</t>
  </si>
  <si>
    <t>Chave seccionadora tripolar seca para 600 / 630 A - 15 kV - com prolongador</t>
  </si>
  <si>
    <t>37.16</t>
  </si>
  <si>
    <t>Bus-way</t>
  </si>
  <si>
    <t>37.16.071</t>
  </si>
  <si>
    <t>Axm</t>
  </si>
  <si>
    <t>37.17</t>
  </si>
  <si>
    <t>Dispositivo DR ou interruptor de corrente de fuga</t>
  </si>
  <si>
    <t>37.17.060</t>
  </si>
  <si>
    <t>Dispositivo diferencial residual de 25 A x 30 mA - 2 polos</t>
  </si>
  <si>
    <t>37.17.070</t>
  </si>
  <si>
    <t>Dispositivo diferencial residual de 40 A x 30 mA - 2 polos</t>
  </si>
  <si>
    <t>37.17.074</t>
  </si>
  <si>
    <t>Dispositivo diferencial residual de 25 A x 30 mA - 4 polos</t>
  </si>
  <si>
    <t>37.17.080</t>
  </si>
  <si>
    <t>Dispositivo diferencial residual de 40 A x 30 mA - 4 polos</t>
  </si>
  <si>
    <t>37.17.090</t>
  </si>
  <si>
    <t>Dispositivo diferencial residual de 63 A x 30 mA - 4 polos</t>
  </si>
  <si>
    <t>37.17.100</t>
  </si>
  <si>
    <t>Dispositivo diferencial residual de 80 A x 30 mA - 4 polos</t>
  </si>
  <si>
    <t>37.17.110</t>
  </si>
  <si>
    <t>Dispositivo diferencial residual de 100 A x 30 mA - 4 polos</t>
  </si>
  <si>
    <t>37.17.114</t>
  </si>
  <si>
    <t>Dispositivo diferencial residual de 125 A x 30 mA - 4 polos</t>
  </si>
  <si>
    <t>37.17.130</t>
  </si>
  <si>
    <t>Dispositivo diferencial residual de 25 A x 300 mA - 4 polos</t>
  </si>
  <si>
    <t>37.18</t>
  </si>
  <si>
    <t>Transformador de Potencial</t>
  </si>
  <si>
    <t>37.18.010</t>
  </si>
  <si>
    <t>Transformador de potencial monofásico até 1000 VA classe 15 kV, a seco, com fusíveis</t>
  </si>
  <si>
    <t>37.18.020</t>
  </si>
  <si>
    <t>Transformador de potencial monofásico até 2000 VA classe 15 kV, a seco, com fusíveis</t>
  </si>
  <si>
    <t>37.18.030</t>
  </si>
  <si>
    <t>Transformador de potencial monofásico até 500 VA classe 15 kV, a seco, sem fusíveis</t>
  </si>
  <si>
    <t>37.19</t>
  </si>
  <si>
    <t>Transformador de corrente</t>
  </si>
  <si>
    <t>37.19.010</t>
  </si>
  <si>
    <t>Transformador de corrente 800-5 A, janela</t>
  </si>
  <si>
    <t>37.19.020</t>
  </si>
  <si>
    <t>Transformador de corrente 200-5 A até 600-5 A, janela</t>
  </si>
  <si>
    <t>37.19.030</t>
  </si>
  <si>
    <t>Transformador de corrente 1000-5 A até 1500-5 A, janela</t>
  </si>
  <si>
    <t>37.19.060</t>
  </si>
  <si>
    <t>Transformador de corrente 50-5 A até 150-5 A, janela</t>
  </si>
  <si>
    <t>37.20</t>
  </si>
  <si>
    <t>Reparos, conservacoes e complementos - GRUPO 37</t>
  </si>
  <si>
    <t>37.20.010</t>
  </si>
  <si>
    <t>Isolador em epóxi de 1 kV para barramento</t>
  </si>
  <si>
    <t>37.20.030</t>
  </si>
  <si>
    <t>37.20.080</t>
  </si>
  <si>
    <t>Barra de neutro e/ou terra</t>
  </si>
  <si>
    <t>37.20.090</t>
  </si>
  <si>
    <t>Recolocação de chave seccionadora tripolar de 125 A até 650 A, sem base fusível</t>
  </si>
  <si>
    <t>37.20.100</t>
  </si>
  <si>
    <t>Recolocação de fundo de quadro de distribuição, sem componentes</t>
  </si>
  <si>
    <t>37.20.110</t>
  </si>
  <si>
    <t>Recolocação de quadro de distribuição de sobrepor, sem componentes</t>
  </si>
  <si>
    <t>37.20.130</t>
  </si>
  <si>
    <t>Banco de medição para transformadores TC/TP, padrão Eletropaulo e/ou Cesp</t>
  </si>
  <si>
    <t>37.20.140</t>
  </si>
  <si>
    <t>Suporte fixo para transformadores de potencial</t>
  </si>
  <si>
    <t>37.20.156</t>
  </si>
  <si>
    <t>Placa de montagem para quadros em geral, em chapa de aço</t>
  </si>
  <si>
    <t>37.20.190</t>
  </si>
  <si>
    <t>37.20.193</t>
  </si>
  <si>
    <t>37.20.210</t>
  </si>
  <si>
    <t>Punho de manobra com articulador de acionamento</t>
  </si>
  <si>
    <t>37.21</t>
  </si>
  <si>
    <t>Capacitor de potencia</t>
  </si>
  <si>
    <t>37.21.010</t>
  </si>
  <si>
    <t>Capacitor de potência trifásico de 10 kVAr, 220 V/60 Hz, para correção de fator de potência</t>
  </si>
  <si>
    <t>37.22</t>
  </si>
  <si>
    <t>Transformador de comando</t>
  </si>
  <si>
    <t>37.22.010</t>
  </si>
  <si>
    <t>37.24</t>
  </si>
  <si>
    <t>Supressor de surto</t>
  </si>
  <si>
    <t>37.24.031</t>
  </si>
  <si>
    <t>37.24.032</t>
  </si>
  <si>
    <t>37.24.042</t>
  </si>
  <si>
    <t>37.24.043</t>
  </si>
  <si>
    <t>Dispositivo de proteção contra surto, 4 polos, 3F+N, Un até 240/415V, Iimp= 75 kA (25 kA por fase), curva de ensaio 10/350 µs - classe 1</t>
  </si>
  <si>
    <t>37.24.044</t>
  </si>
  <si>
    <t>Dispositivo de proteção contra surto, 4 polos, suportabilidade &lt;= 2,5 kV, 3F+N, Un até 240/415V, curva de ensaio 8/20µs, In=20kA/40kA - classe 2</t>
  </si>
  <si>
    <t>37.24.045</t>
  </si>
  <si>
    <t>37.25</t>
  </si>
  <si>
    <t>Disjuntores.</t>
  </si>
  <si>
    <t>37.25.090</t>
  </si>
  <si>
    <t>37.25.100</t>
  </si>
  <si>
    <t>Disjuntor em caixa moldada tripolar, térmico e magnético fixos, tensão de isolamento 480/690V, de 70A até 150A</t>
  </si>
  <si>
    <t>37.25.110</t>
  </si>
  <si>
    <t>Disjuntor em caixa moldada tripolar, térmico e magnético fixos, tensão de isolamento 415/690V, de 175A a 250A</t>
  </si>
  <si>
    <t>37.25.200</t>
  </si>
  <si>
    <t>Disjuntor em caixa moldada bipolar, térmico e magnético fixos - 480 V, de 10 A a 50 A para 120/240 Vca - 25 KA e para 380/440 Vca - 18 KA</t>
  </si>
  <si>
    <t>37.25.210</t>
  </si>
  <si>
    <t>Disjuntor em caixa moldada bipolar, térmico e magnético fixos - 600 V, de 150 A para 120/240 Vca - 25 KA e para 380/440 Vca - 18 KA</t>
  </si>
  <si>
    <t>37.25.215</t>
  </si>
  <si>
    <t>Disjuntor fixo a vácuo de 15 a 17,5 kV, equipado com motorização de fechamento, com relê de proteção</t>
  </si>
  <si>
    <t>38</t>
  </si>
  <si>
    <t>TUBULACAO E CONDUTOR PARA ENERGIA ELETRICA E TELEFONIA BASICA</t>
  </si>
  <si>
    <t>38.01</t>
  </si>
  <si>
    <t>Eletroduto em PVC rigido roscavel</t>
  </si>
  <si>
    <t>38.01.040</t>
  </si>
  <si>
    <t>Eletroduto de PVC rígido roscável de 3/4´ - com acessórios</t>
  </si>
  <si>
    <t>38.01.060</t>
  </si>
  <si>
    <t>Eletroduto de PVC rígido roscável de 1´ - com acessórios</t>
  </si>
  <si>
    <t>38.01.080</t>
  </si>
  <si>
    <t>Eletroduto de PVC rígido roscável de 1 1/4´ - com acessórios</t>
  </si>
  <si>
    <t>38.01.100</t>
  </si>
  <si>
    <t>Eletroduto de PVC rígido roscável de 1 1/2´ - com acessórios</t>
  </si>
  <si>
    <t>38.01.120</t>
  </si>
  <si>
    <t>Eletroduto de PVC rígido roscável de 2´ - com acessórios</t>
  </si>
  <si>
    <t>38.01.140</t>
  </si>
  <si>
    <t>Eletroduto de PVC rígido roscável de 2 1/2´ - com acessórios</t>
  </si>
  <si>
    <t>38.01.160</t>
  </si>
  <si>
    <t>Eletroduto de PVC rígido roscável de 3´ - com acessórios</t>
  </si>
  <si>
    <t>38.01.180</t>
  </si>
  <si>
    <t>Eletroduto de PVC rígido roscável de 4´ - com acessórios</t>
  </si>
  <si>
    <t>38.04</t>
  </si>
  <si>
    <t>Eletroduto rígido em aço carbono galvanizado com acessórios - NBR 13057</t>
  </si>
  <si>
    <t>38.04.040</t>
  </si>
  <si>
    <t>Eletroduto galvanizado conforme NBR13057 -  3/4´ com acessórios</t>
  </si>
  <si>
    <t>38.04.060</t>
  </si>
  <si>
    <t>Eletroduto galvanizado conforme NBR13057 -  1´ com acessórios</t>
  </si>
  <si>
    <t>38.04.080</t>
  </si>
  <si>
    <t>Eletroduto galvanizado conforme NBR13057 -  1 1/4´ com acessórios</t>
  </si>
  <si>
    <t>38.04.100</t>
  </si>
  <si>
    <t>Eletroduto galvanizado conforme NBR13057 -  1 1/2´ com acessórios</t>
  </si>
  <si>
    <t>38.04.120</t>
  </si>
  <si>
    <t>Eletroduto galvanizado conforme NBR13057 -  2´ com acessórios</t>
  </si>
  <si>
    <t>38.04.140</t>
  </si>
  <si>
    <t>Eletroduto galvanizado conforme NBR13057 -  2 1/2´ com acessórios</t>
  </si>
  <si>
    <t>38.04.160</t>
  </si>
  <si>
    <t>Eletroduto galvanizado conforme NBR13057 -  3´ com acessórios</t>
  </si>
  <si>
    <t>38.04.180</t>
  </si>
  <si>
    <t>Eletroduto galvanizado conforme NBR13057 -  4´ com acessórios</t>
  </si>
  <si>
    <t>38.05</t>
  </si>
  <si>
    <t>Eletroduto rígido em aço carbono galvanizado com acessórios - NBR 6323</t>
  </si>
  <si>
    <t>38.05.040</t>
  </si>
  <si>
    <t>Eletroduto galvanizado a quente conforme NBR6323 - 3/4´ - com acessórios</t>
  </si>
  <si>
    <t>38.05.060</t>
  </si>
  <si>
    <t>Eletroduto galvanizado a quente conforme NBR6323 - 1´ - com acessórios</t>
  </si>
  <si>
    <t>38.05.090</t>
  </si>
  <si>
    <t>Eletroduto galvanizado a quente conforme NBR6323 - 1 1/4´ com acessórios</t>
  </si>
  <si>
    <t>38.05.100</t>
  </si>
  <si>
    <t>Eletroduto galvanizado a quente conforme NBR6323 - 1 1/2´ com acessórios</t>
  </si>
  <si>
    <t>38.05.120</t>
  </si>
  <si>
    <t>Eletroduto galvanizado a quente conforme NBR6323 - 2´ com acessórios</t>
  </si>
  <si>
    <t>38.05.140</t>
  </si>
  <si>
    <t>Eletroduto galvanizado a quente conforme NBR6323 - 2 1/2´ com acessórios</t>
  </si>
  <si>
    <t>38.05.160</t>
  </si>
  <si>
    <t>Eletroduto galvanizado a quente conforme NBR6323 - 3´ com acessórios</t>
  </si>
  <si>
    <t>38.05.180</t>
  </si>
  <si>
    <t>Eletroduto galvanizado a quente conforme NBR6323 - 4´ com acessórios</t>
  </si>
  <si>
    <t>38.06</t>
  </si>
  <si>
    <t>Eletroduto rígido em aço carbono galvanizado por imersão a quente com acessórios – NBR 5598</t>
  </si>
  <si>
    <t>38.06.020</t>
  </si>
  <si>
    <t>Eletroduto galvanizado a quente conforme NBR5598 - 1/2´ com acessórios</t>
  </si>
  <si>
    <t>38.06.040</t>
  </si>
  <si>
    <t>Eletroduto galvanizado a quente conforme NBR5598 - 3/4´ com acessórios</t>
  </si>
  <si>
    <t>38.06.060</t>
  </si>
  <si>
    <t>Eletroduto galvanizado a quente conforme NBR5598 - 1´ com acessórios</t>
  </si>
  <si>
    <t>38.06.080</t>
  </si>
  <si>
    <t>Eletroduto galvanizado a quente conforme NBR5598 - 1 1/4´ com acessórios</t>
  </si>
  <si>
    <t>38.06.100</t>
  </si>
  <si>
    <t>Eletroduto galvanizado a quente conforme NBR5598 - 1 1/2´ com acessórios</t>
  </si>
  <si>
    <t>38.06.120</t>
  </si>
  <si>
    <t>Eletroduto galvanizado a quente conforme NBR5598 - 2´ com acessórios</t>
  </si>
  <si>
    <t>38.06.140</t>
  </si>
  <si>
    <t>Eletroduto galvanizado a quente conforme NBR5598 - 2 1/2´ com acessórios</t>
  </si>
  <si>
    <t>38.06.160</t>
  </si>
  <si>
    <t>Eletroduto galvanizado a quente conforme NBR5598 - 3´ com acessórios</t>
  </si>
  <si>
    <t>38.06.180</t>
  </si>
  <si>
    <t>Eletroduto galvanizado a quente conforme NBR5598 - 4´ com acessórios</t>
  </si>
  <si>
    <t>38.07</t>
  </si>
  <si>
    <t>Canaleta, perfilado e acessorios</t>
  </si>
  <si>
    <t>38.07.030</t>
  </si>
  <si>
    <t>Grampo tipo ´C´ diâmetro 3/8`, com balancim tamanho grande</t>
  </si>
  <si>
    <t>38.07.050</t>
  </si>
  <si>
    <t>Tampa de pressão para perfilado de 38 x 38 mm</t>
  </si>
  <si>
    <t>38.07.120</t>
  </si>
  <si>
    <t>Saída final, diâmetro de 3/4´</t>
  </si>
  <si>
    <t>38.07.130</t>
  </si>
  <si>
    <t>Saída lateral simples, diâmetro de 3/4´</t>
  </si>
  <si>
    <t>38.07.134</t>
  </si>
  <si>
    <t>Saída lateral simples, diâmetro de 1´</t>
  </si>
  <si>
    <t>38.07.140</t>
  </si>
  <si>
    <t>Saída superior, diâmetro de 3/4´</t>
  </si>
  <si>
    <t>38.07.172</t>
  </si>
  <si>
    <t>Canaleta em PVC de 20 x 12 mm, inclusive acessórios</t>
  </si>
  <si>
    <t>38.07.200</t>
  </si>
  <si>
    <t>Vergalhão com rosca, porca e arruela de diâmetro 3/8´ (tirante)</t>
  </si>
  <si>
    <t>38.07.210</t>
  </si>
  <si>
    <t>Vergalhão com rosca, porca e arruela de diâmetro 1/4´ (tirante)</t>
  </si>
  <si>
    <t>38.07.216</t>
  </si>
  <si>
    <t>Vergalhão com rosca, porca e arruela de diâmetro 5/16´ (tirante)</t>
  </si>
  <si>
    <t>38.07.300</t>
  </si>
  <si>
    <t>Perfilado perfurado 38 x 38 mm em chapa 14 pré-zincada, com acessórios</t>
  </si>
  <si>
    <t>38.07.310</t>
  </si>
  <si>
    <t>Perfilado perfurado 38 x 76 mm em chapa 14 pré-zincada, com acessórios</t>
  </si>
  <si>
    <t>38.07.340</t>
  </si>
  <si>
    <t>Perfilado liso 38 x 38 mm - com acessórios</t>
  </si>
  <si>
    <t>38.07.700</t>
  </si>
  <si>
    <t>Canaleta aparente com tampa em PVC, autoextinguível, de 85 x 35 mm, com acessórios</t>
  </si>
  <si>
    <t>38.07.710</t>
  </si>
  <si>
    <t>Canaleta aparente com duas tampas em PVC, autoextinguível, de 120 x 35 mm, com acessórios</t>
  </si>
  <si>
    <t>38.07.720</t>
  </si>
  <si>
    <t>Canaleta aparente com duas tampas em PVC, autoextinguível, de 120 x 60 mm, com acessórios</t>
  </si>
  <si>
    <t>38.07.730</t>
  </si>
  <si>
    <t>Suporte com furos de tomada em PVC de 60 x 35 x 150 mm, para canaleta aparente</t>
  </si>
  <si>
    <t>38.07.740</t>
  </si>
  <si>
    <t>Suporte com furos de tomada em PVC de 85 x 35 x 150 mm, para canaleta aparente</t>
  </si>
  <si>
    <t>38.07.750</t>
  </si>
  <si>
    <t>Suporte com furos de tomada em PVC de 60 x 60 x 150 mm, para canaleta aparente</t>
  </si>
  <si>
    <t>38.10</t>
  </si>
  <si>
    <t>Duto fechado de piso e acessorios</t>
  </si>
  <si>
    <t>38.10.010</t>
  </si>
  <si>
    <t>Duto de piso liso em aço, medindo 2 x 25 x 70 mm, com acessórios</t>
  </si>
  <si>
    <t>38.10.020</t>
  </si>
  <si>
    <t>Duto de piso liso em aço, medindo 3 x 25 x 70 mm, com acessórios</t>
  </si>
  <si>
    <t>38.10.024</t>
  </si>
  <si>
    <t>Caixa de derivação ou passagem, para cruzamento de duto, medindo 4 x 25 x 70 mm, sem cruzadora</t>
  </si>
  <si>
    <t>38.10.026</t>
  </si>
  <si>
    <t>Caixa de derivação ou passagem, para cruzamento de duto, medindo 12 x 25 x 70 mm, com cruzadora</t>
  </si>
  <si>
    <t>38.10.030</t>
  </si>
  <si>
    <t>Caixa de derivação ou passagem, para cruzamento de duto, medindo 16 x 25 x 70 mm, com cruzadora</t>
  </si>
  <si>
    <t>38.10.060</t>
  </si>
  <si>
    <t>38.10.070</t>
  </si>
  <si>
    <t>38.10.080</t>
  </si>
  <si>
    <t>38.12</t>
  </si>
  <si>
    <t>Leitos e acessorios</t>
  </si>
  <si>
    <t>38.12.086</t>
  </si>
  <si>
    <t>38.12.090</t>
  </si>
  <si>
    <t>38.12.100</t>
  </si>
  <si>
    <t>38.12.120</t>
  </si>
  <si>
    <t>38.12.130</t>
  </si>
  <si>
    <t>38.13</t>
  </si>
  <si>
    <t>Eletroduto em polietileno de alta densidade</t>
  </si>
  <si>
    <t>38.13.010</t>
  </si>
  <si>
    <t>38.13.016</t>
  </si>
  <si>
    <t>38.13.020</t>
  </si>
  <si>
    <t>38.13.030</t>
  </si>
  <si>
    <t>38.13.040</t>
  </si>
  <si>
    <t>38.13.050</t>
  </si>
  <si>
    <t>38.13.060</t>
  </si>
  <si>
    <t>38.15</t>
  </si>
  <si>
    <t>Eletroduto metalico flexivel</t>
  </si>
  <si>
    <t>38.15.010</t>
  </si>
  <si>
    <t>Eletroduto metálico flexível com capa em PVC de 3/4´</t>
  </si>
  <si>
    <t>38.15.020</t>
  </si>
  <si>
    <t>Eletroduto metálico flexível com capa em PVC de 1´</t>
  </si>
  <si>
    <t>38.15.040</t>
  </si>
  <si>
    <t>Eletroduto metálico flexível com capa em PVC de 2´</t>
  </si>
  <si>
    <t>38.15.110</t>
  </si>
  <si>
    <t>Terminal macho fixo em latão zincado de 3/4´</t>
  </si>
  <si>
    <t>38.15.120</t>
  </si>
  <si>
    <t>Terminal macho fixo em latão zincado de 1´</t>
  </si>
  <si>
    <t>38.15.140</t>
  </si>
  <si>
    <t>Terminal macho fixo em latão zincado de 2´</t>
  </si>
  <si>
    <t>38.15.310</t>
  </si>
  <si>
    <t>Terminal macho giratório em latão zincado de 3/4´</t>
  </si>
  <si>
    <t>38.15.320</t>
  </si>
  <si>
    <t>Terminal macho giratório em latão zincado de 1´</t>
  </si>
  <si>
    <t>38.15.340</t>
  </si>
  <si>
    <t>Terminal macho giratório em latão zincado de 2´</t>
  </si>
  <si>
    <t>38.16</t>
  </si>
  <si>
    <t>Rodape tecnico e acessorios</t>
  </si>
  <si>
    <t>38.16.030</t>
  </si>
  <si>
    <t>Rodapé técnico triplo e tampa com pintura eletrostática</t>
  </si>
  <si>
    <t>38.16.060</t>
  </si>
  <si>
    <t>Curva horizontal tripla de 90°, interna ou externa e tampa com pintura eletrostática</t>
  </si>
  <si>
    <t>38.16.080</t>
  </si>
  <si>
    <t>Tê triplo de 90°, horizontal ou vertical e tampa com pintura eletrostática</t>
  </si>
  <si>
    <t>38.16.090</t>
  </si>
  <si>
    <t>Caixa para tomadas: de energia, RJ, sobressalente, interruptor ou espelho, com pintura eletrostática, para rodapé técnico triplo</t>
  </si>
  <si>
    <t>38.16.130</t>
  </si>
  <si>
    <t>Caixa para tomadas: de energia, RJ, sobressalente, interruptor ou espelho, com pintura eletrostática, para rodapé técnico duplo</t>
  </si>
  <si>
    <t>38.16.140</t>
  </si>
  <si>
    <t>Terminal de fechamento ou mata junta com pintura eletrostática, para rodapé técnico triplo</t>
  </si>
  <si>
    <t>38.16.150</t>
  </si>
  <si>
    <t>Rodapé técnico duplo e tampa com pintura eletrostática</t>
  </si>
  <si>
    <t>38.16.160</t>
  </si>
  <si>
    <t>Curva vertical dupla de 90°, interna ou externa e tampa com pintura eletrostática</t>
  </si>
  <si>
    <t>38.16.190</t>
  </si>
  <si>
    <t>Terminal de fechamento ou mata junta com pintura eletrostática, para rodapé técnico duplo</t>
  </si>
  <si>
    <t>38.16.200</t>
  </si>
  <si>
    <t>Curva horizontal dupla de 90°, interna ou externa e tampa com pintura eletrostática</t>
  </si>
  <si>
    <t>38.16.230</t>
  </si>
  <si>
    <t>Curva vertical tripla de 90°, interna ou externa e tampa com pintura eletrostática</t>
  </si>
  <si>
    <t>38.16.250</t>
  </si>
  <si>
    <t>Poste condutor metálico para distribuição, com suporte para tomadas elétricas e RJ, com pintura eletrostática, altura de 3 m</t>
  </si>
  <si>
    <t>38.16.270</t>
  </si>
  <si>
    <t>Caixa de derivação embutida ou externa para rodapé técnico duplo</t>
  </si>
  <si>
    <t>38.19</t>
  </si>
  <si>
    <t>Eletroduto em PVC corrugado flexivel</t>
  </si>
  <si>
    <t>38.19.020</t>
  </si>
  <si>
    <t>Eletroduto de PVC corrugado flexível leve, diâmetro externo de 20 mm</t>
  </si>
  <si>
    <t>38.19.030</t>
  </si>
  <si>
    <t>Eletroduto de PVC corrugado flexível leve, diâmetro externo de 25 mm</t>
  </si>
  <si>
    <t>38.19.040</t>
  </si>
  <si>
    <t>Eletroduto de PVC corrugado flexível leve, diâmetro externo de 32 mm</t>
  </si>
  <si>
    <t>38.19.210</t>
  </si>
  <si>
    <t>Eletroduto de PVC corrugado flexível reforçado, diâmetro externo de 25 mm</t>
  </si>
  <si>
    <t>38.19.220</t>
  </si>
  <si>
    <t>Eletroduto de PVC corrugado flexível reforçado, diâmetro externo de 32 mm</t>
  </si>
  <si>
    <t>38.20</t>
  </si>
  <si>
    <t>Reparos, conservacoes e complementos - GRUPO 38</t>
  </si>
  <si>
    <t>38.20.010</t>
  </si>
  <si>
    <t>Recolocação de perfilado 38x38 mm</t>
  </si>
  <si>
    <t>38.20.020</t>
  </si>
  <si>
    <t>Recolocação de vergalhão</t>
  </si>
  <si>
    <t>38.20.030</t>
  </si>
  <si>
    <t>Recolocação de caixa de tomada para perfilado</t>
  </si>
  <si>
    <t>38.20.040</t>
  </si>
  <si>
    <t>Recolocação de eletrodutos</t>
  </si>
  <si>
    <t>38.21</t>
  </si>
  <si>
    <t>Eletrocalha e acessorios</t>
  </si>
  <si>
    <t>38.21.110</t>
  </si>
  <si>
    <t>Eletrocalha lisa galvanizada a fogo, 50 x 50 mm, com acessórios</t>
  </si>
  <si>
    <t>38.21.120</t>
  </si>
  <si>
    <t>Eletrocalha lisa galvanizada a fogo, 100 x 50 mm, com acessórios</t>
  </si>
  <si>
    <t>38.21.130</t>
  </si>
  <si>
    <t>Eletrocalha lisa galvanizada a fogo, 150 x 50 mm, com acessórios</t>
  </si>
  <si>
    <t>38.21.140</t>
  </si>
  <si>
    <t>Eletrocalha lisa galvanizada a fogo, 200 x 50 mm, com acessórios</t>
  </si>
  <si>
    <t>38.21.150</t>
  </si>
  <si>
    <t>Eletrocalha lisa galvanizada a fogo, 250 x 50 mm, com acessórios</t>
  </si>
  <si>
    <t>38.21.310</t>
  </si>
  <si>
    <t>Eletrocalha lisa galvanizada a fogo, 100 x 100 mm, com acessórios</t>
  </si>
  <si>
    <t>38.21.320</t>
  </si>
  <si>
    <t>Eletrocalha lisa galvanizada a fogo, 150 x 100 mm, com acessórios</t>
  </si>
  <si>
    <t>38.21.330</t>
  </si>
  <si>
    <t>Eletrocalha lisa galvanizada a fogo, 200 x 100 mm, com acessórios</t>
  </si>
  <si>
    <t>38.21.340</t>
  </si>
  <si>
    <t>Eletrocalha lisa galvanizada a fogo, 250 x 100 mm, com acessórios</t>
  </si>
  <si>
    <t>38.21.350</t>
  </si>
  <si>
    <t>Eletrocalha lisa galvanizada a fogo, 300 x 100 mm, com acessórios</t>
  </si>
  <si>
    <t>38.21.360</t>
  </si>
  <si>
    <t>Eletrocalha lisa galvanizada a fogo, 400 x 100 mm, com acessórios</t>
  </si>
  <si>
    <t>38.21.920</t>
  </si>
  <si>
    <t>Eletrocalha perfurada galvanizada a fogo, 100 x 50 mm, com acessórios</t>
  </si>
  <si>
    <t>38.21.930</t>
  </si>
  <si>
    <t>Eletrocalha perfurada galvanizada a fogo, 150 x 50 mm, com acessórios</t>
  </si>
  <si>
    <t>38.21.940</t>
  </si>
  <si>
    <t>Eletrocalha perfurada galvanizada a fogo, 200 x 50 mm, com acessórios</t>
  </si>
  <si>
    <t>38.21.950</t>
  </si>
  <si>
    <t>Eletrocalha perfurada galvanizada a fogo, 250 x 50 mm, com acessórios</t>
  </si>
  <si>
    <t>38.22</t>
  </si>
  <si>
    <t>Eletrocalha e acessorios.</t>
  </si>
  <si>
    <t>38.22.120</t>
  </si>
  <si>
    <t>38.22.130</t>
  </si>
  <si>
    <t>38.22.140</t>
  </si>
  <si>
    <t>38.22.150</t>
  </si>
  <si>
    <t>38.22.160</t>
  </si>
  <si>
    <t>38.22.610</t>
  </si>
  <si>
    <t>38.22.620</t>
  </si>
  <si>
    <t>38.22.630</t>
  </si>
  <si>
    <t>38.22.640</t>
  </si>
  <si>
    <t>38.22.650</t>
  </si>
  <si>
    <t>38.22.660</t>
  </si>
  <si>
    <t>38.22.670</t>
  </si>
  <si>
    <t>38.23</t>
  </si>
  <si>
    <t>Eletrocalha e acessorios..</t>
  </si>
  <si>
    <t>38.23.010</t>
  </si>
  <si>
    <t>38.23.020</t>
  </si>
  <si>
    <t>38.23.030</t>
  </si>
  <si>
    <t>38.23.040</t>
  </si>
  <si>
    <t>38.23.050</t>
  </si>
  <si>
    <t>38.23.060</t>
  </si>
  <si>
    <t>38.23.110</t>
  </si>
  <si>
    <t>38.23.120</t>
  </si>
  <si>
    <t>38.23.130</t>
  </si>
  <si>
    <t>38.23.140</t>
  </si>
  <si>
    <t>38.23.150</t>
  </si>
  <si>
    <t>38.23.160</t>
  </si>
  <si>
    <t>38.23.210</t>
  </si>
  <si>
    <t>38.23.220</t>
  </si>
  <si>
    <t>38.23.230</t>
  </si>
  <si>
    <t>38.23.240</t>
  </si>
  <si>
    <t>38.23.310</t>
  </si>
  <si>
    <t>38.23.320</t>
  </si>
  <si>
    <t>38.23.330</t>
  </si>
  <si>
    <t>39</t>
  </si>
  <si>
    <t>CONDUTOR E ENFIACAO DE ENERGIA ELETRICA E TELEFONIA</t>
  </si>
  <si>
    <t>39.02</t>
  </si>
  <si>
    <t>Cabo de cobre, isolamento 450V / 750 V, isolacao em PVC 70°C</t>
  </si>
  <si>
    <t>39.02.010</t>
  </si>
  <si>
    <t>Cabo de cobre de 1,5 mm², isolamento 750 V - isolação em PVC 70°C</t>
  </si>
  <si>
    <t>39.02.016</t>
  </si>
  <si>
    <t>Cabo de cobre de 2,5 mm², isolamento 750 V - isolação em PVC 70°C</t>
  </si>
  <si>
    <t>39.02.020</t>
  </si>
  <si>
    <t>Cabo de cobre de 4 mm², isolamento 750 V - isolação em PVC 70°C</t>
  </si>
  <si>
    <t>39.02.030</t>
  </si>
  <si>
    <t>Cabo de cobre de 6 mm², isolamento 750 V - isolação em PVC 70°C</t>
  </si>
  <si>
    <t>39.02.040</t>
  </si>
  <si>
    <t>Cabo de cobre de 10 mm², isolamento 750 V - isolação em PVC 70°C</t>
  </si>
  <si>
    <t>39.03</t>
  </si>
  <si>
    <t>Cabo de cobre, isolamento 0,6/1kV, isolacao em PVC 70°C</t>
  </si>
  <si>
    <t>39.03.160</t>
  </si>
  <si>
    <t>Cabo de cobre de 1,5 mm², isolamento 0,6/1 kV - isolação em PVC 70°C</t>
  </si>
  <si>
    <t>39.03.170</t>
  </si>
  <si>
    <t>Cabo de cobre de 2,5 mm², isolamento 0,6/1 kV - isolação em PVC 70°C</t>
  </si>
  <si>
    <t>39.03.174</t>
  </si>
  <si>
    <t>39.03.178</t>
  </si>
  <si>
    <t>Cabo de cobre de 6 mm², isolamento 0,6/1 kV - isolação em PVC 70°C</t>
  </si>
  <si>
    <t>39.03.182</t>
  </si>
  <si>
    <t>Cabo de cobre de 10 mm², isolamento 0,6/1 kV - isolação em PVC 70°C</t>
  </si>
  <si>
    <t>39.04</t>
  </si>
  <si>
    <t>Cabo de cobre nu, tempera mole, classe 2</t>
  </si>
  <si>
    <t>39.04.040</t>
  </si>
  <si>
    <t>Cabo de cobre nu, têmpera mole, classe 2, de 10 mm²</t>
  </si>
  <si>
    <t>39.04.050</t>
  </si>
  <si>
    <t>Cabo de cobre nu, têmpera mole, classe 2, de 16 mm²</t>
  </si>
  <si>
    <t>39.04.060</t>
  </si>
  <si>
    <t>Cabo de cobre nu, têmpera mole, classe 2, de 25 mm²</t>
  </si>
  <si>
    <t>39.04.070</t>
  </si>
  <si>
    <t>Cabo de cobre nu, têmpera mole, classe 2, de 35 mm²</t>
  </si>
  <si>
    <t>39.04.080</t>
  </si>
  <si>
    <t>Cabo de cobre nu, têmpera mole, classe 2, de 50 mm²</t>
  </si>
  <si>
    <t>39.04.100</t>
  </si>
  <si>
    <t>Cabo de cobre nu, têmpera mole, classe 2, de 70 mm²</t>
  </si>
  <si>
    <t>39.04.120</t>
  </si>
  <si>
    <t>Cabo de cobre nu, têmpera mole, classe 2, de 95 mm²</t>
  </si>
  <si>
    <t>39.04.180</t>
  </si>
  <si>
    <t>Cabo de cobre nu, têmpera mole, classe 2, de 185 mm²</t>
  </si>
  <si>
    <t>39.05</t>
  </si>
  <si>
    <t>Cabo de cobre tripolar, isolamento 8,7/15 kV, isolacao EPR 90°C</t>
  </si>
  <si>
    <t>39.05.070</t>
  </si>
  <si>
    <t>Cabo de cobre de 3x35 mm², isolamento 8,7/15 kV - isolação EPR 90°C</t>
  </si>
  <si>
    <t>39.06</t>
  </si>
  <si>
    <t>Cabo de cobre unipolar, isolamento 8,7/15 kV, isolacao EPR 90°C</t>
  </si>
  <si>
    <t>39.06.060</t>
  </si>
  <si>
    <t>Cabo de cobre de 25 mm², isolamento 8,7/15 kV - isolação EPR 90°C</t>
  </si>
  <si>
    <t>39.06.070</t>
  </si>
  <si>
    <t>Cabo de cobre de 35 mm², isolamento 8,7/15 kV - isolação EPR 90°C</t>
  </si>
  <si>
    <t>39.06.074</t>
  </si>
  <si>
    <t>Cabo de cobre de 50 mm², isolamento 8,7/15 kV - isolação EPR 90°C</t>
  </si>
  <si>
    <t>39.06.084</t>
  </si>
  <si>
    <t>Cabo de cobre de 120 mm², isolamento 8,7/15 kV - isolação EPR 90°C</t>
  </si>
  <si>
    <t>39.09</t>
  </si>
  <si>
    <t>Conectores</t>
  </si>
  <si>
    <t>39.09.010</t>
  </si>
  <si>
    <t>Conector terminal tipo BNC para cabo coaxial RG 59</t>
  </si>
  <si>
    <t>39.09.015</t>
  </si>
  <si>
    <t>Conector de emenda tipo BNC para cabo coaxial RG 59</t>
  </si>
  <si>
    <t>39.09.020</t>
  </si>
  <si>
    <t>Conector split-bolt para cabo de 25 mm², latão, simples</t>
  </si>
  <si>
    <t>39.09.040</t>
  </si>
  <si>
    <t>Conector split-bolt para cabo de 35 mm², latão, simples</t>
  </si>
  <si>
    <t>39.09.060</t>
  </si>
  <si>
    <t>Conector split-bolt para cabo de 50 mm², latão, simples</t>
  </si>
  <si>
    <t>39.09.100</t>
  </si>
  <si>
    <t>Conector split-bolt para cabo de 25 mm², latão, com rabicho</t>
  </si>
  <si>
    <t>39.09.120</t>
  </si>
  <si>
    <t>Conector split-bolt para cabo de 35 mm², latão, com rabicho</t>
  </si>
  <si>
    <t>39.09.140</t>
  </si>
  <si>
    <t>Conector split-bolt para cabo de 50 mm², latão, com rabicho</t>
  </si>
  <si>
    <t>39.10</t>
  </si>
  <si>
    <t>Terminais de pressao e compressao</t>
  </si>
  <si>
    <t>39.10.050</t>
  </si>
  <si>
    <t>Terminal de compressão para cabo de 2,5 mm²</t>
  </si>
  <si>
    <t>39.10.060</t>
  </si>
  <si>
    <t>Terminal de pressão/compressão para cabo de 6 até 10 mm²</t>
  </si>
  <si>
    <t>39.10.080</t>
  </si>
  <si>
    <t>Terminal de pressão/compressão para cabo de 16 mm²</t>
  </si>
  <si>
    <t>39.10.120</t>
  </si>
  <si>
    <t>Terminal de pressão/compressão para cabo de 25 mm²</t>
  </si>
  <si>
    <t>39.10.130</t>
  </si>
  <si>
    <t>Terminal de pressão/compressão para cabo de 35 mm²</t>
  </si>
  <si>
    <t>39.10.160</t>
  </si>
  <si>
    <t>Terminal de pressão/compressão para cabo de 50 mm²</t>
  </si>
  <si>
    <t>39.10.200</t>
  </si>
  <si>
    <t>Terminal de pressão/compressão para cabo de 70 mm²</t>
  </si>
  <si>
    <t>39.10.240</t>
  </si>
  <si>
    <t>Terminal de pressão/compressão para cabo de 95 mm²</t>
  </si>
  <si>
    <t>39.10.246</t>
  </si>
  <si>
    <t>Terminal de pressão/compressão para cabo de 120 mm²</t>
  </si>
  <si>
    <t>39.10.250</t>
  </si>
  <si>
    <t>Terminal de pressão/compressão para cabo de 150 mm²</t>
  </si>
  <si>
    <t>39.10.280</t>
  </si>
  <si>
    <t>Terminal de pressão/compressão para cabo de 185 mm²</t>
  </si>
  <si>
    <t>39.10.300</t>
  </si>
  <si>
    <t>Terminal de pressão/compressão para cabo de 240 mm²</t>
  </si>
  <si>
    <t>39.11</t>
  </si>
  <si>
    <t>Fios e cabos telefônicos</t>
  </si>
  <si>
    <t>39.11.020</t>
  </si>
  <si>
    <t>Cabo telefônico CI, com 10 pares de 0,50 mm, para centrais telefônicas, equipamentos e rede interna</t>
  </si>
  <si>
    <t>39.11.040</t>
  </si>
  <si>
    <t>Cabo telefônico CI, com 20 pares de 0,50 mm, para centrais telefônicas, equipamentos e rede interna</t>
  </si>
  <si>
    <t>39.11.080</t>
  </si>
  <si>
    <t>Cabo telefônico CI, com 50 pares de 0,50 mm, para centrais telefônicas, equipamentos e rede interna</t>
  </si>
  <si>
    <t>39.11.110</t>
  </si>
  <si>
    <t>Fio telefônico externo tipo FE-160</t>
  </si>
  <si>
    <t>39.11.120</t>
  </si>
  <si>
    <t>Cabo telefônico CTP-APL-SN, com 10 pares de 0,50 mm, para cotos de transição em caixas e entradas</t>
  </si>
  <si>
    <t>39.11.190</t>
  </si>
  <si>
    <t>Cabo telefônico CCE-APL, com 4 pares de 0,50 mm, para conexões em rede externa</t>
  </si>
  <si>
    <t>39.11.210</t>
  </si>
  <si>
    <t>Cabo telefônico secundário de distribuição CTP-APL, com 20 pares de 0,50 mm, para rede externa</t>
  </si>
  <si>
    <t>39.11.230</t>
  </si>
  <si>
    <t>Cabo telefônico secundário de distribuição CTP-APL, com 50 pares de 0,50 mm, para rede externa</t>
  </si>
  <si>
    <t>39.11.240</t>
  </si>
  <si>
    <t>Cabo telefônico secundário de distribuição CTP-APL, com 100 pares de 0,50 mm, para rede externa</t>
  </si>
  <si>
    <t>39.11.270</t>
  </si>
  <si>
    <t>Cabo telefônico secundário de distribuição CTP-APL-G, com 10 pares de 0,50 mm, para rede subterrânea</t>
  </si>
  <si>
    <t>39.11.280</t>
  </si>
  <si>
    <t>Cabo telefônico secundário de distribuição CTP-APL-G, com 20 pares de 0,50 mm, para rede subterrânea</t>
  </si>
  <si>
    <t>39.11.300</t>
  </si>
  <si>
    <t>Cabo telefônico secundário de distribuição CTP-APL-G, com 50 pares de 0,50 mm, para rede subterrânea</t>
  </si>
  <si>
    <t>39.11.400</t>
  </si>
  <si>
    <t>Cabo telefônico secundário de distribuição CTP-APL, com 10 pares de 0,65 mm, para rede externa</t>
  </si>
  <si>
    <t>39.11.410</t>
  </si>
  <si>
    <t>Cabo telefônico secundário de distribuição CTP-APL, com 20 pares de 0,65 mm, para rede externa</t>
  </si>
  <si>
    <t>39.11.430</t>
  </si>
  <si>
    <t>Cabo telefônico secundário de distribuição CTP-APL, com 50 pares de 0,65 mm, para rede externa</t>
  </si>
  <si>
    <t>39.12</t>
  </si>
  <si>
    <t>Cabo de cobre flexivel, isolamento 600 V, isolacao em VC/E 105°C</t>
  </si>
  <si>
    <t>39.12.510</t>
  </si>
  <si>
    <t>Cabo de cobre flexível blindado de 2 x 1,5 mm², isolamento 600V, isolação em VC/E 105°C - para detecção de incêndio</t>
  </si>
  <si>
    <t>39.12.520</t>
  </si>
  <si>
    <t>Cabo de cobre flexível blindado de 3 x 1,5 mm², isolamento 600V, isolação em VC/E 105°C - para detecção de incêndio</t>
  </si>
  <si>
    <t>39.12.530</t>
  </si>
  <si>
    <t>Cabo de cobre flexível blindado de 2 x 2,5 mm², isolamento 600V, isolação em VC/E 105°C - para detecção de incêndio</t>
  </si>
  <si>
    <t>39.14</t>
  </si>
  <si>
    <t>Cabo de aluminio nu com alma de aco</t>
  </si>
  <si>
    <t>39.14.010</t>
  </si>
  <si>
    <t>Cabo de alumínio nu com alma de aço CAA, 1/0 AWG - Raven</t>
  </si>
  <si>
    <t>39.14.050</t>
  </si>
  <si>
    <t>Cabo de alumínio nu com alma de aço CAA, 4 AWG - Swan</t>
  </si>
  <si>
    <t>39.15</t>
  </si>
  <si>
    <t>Cabo de aluminio nu sem alma de aco</t>
  </si>
  <si>
    <t>39.15.040</t>
  </si>
  <si>
    <t>Cabo de alumínio nu sem alma de aço CA, 2 AWG - Iris</t>
  </si>
  <si>
    <t>39.15.070</t>
  </si>
  <si>
    <t>Cabo de alumínio nu sem alma de aço CA, 2/0 AWG - Aster</t>
  </si>
  <si>
    <t>39.18</t>
  </si>
  <si>
    <t>Cabo para transmissao de dados</t>
  </si>
  <si>
    <t>39.18.100</t>
  </si>
  <si>
    <t>Cabo coaxial tipo RG 6</t>
  </si>
  <si>
    <t>39.18.104</t>
  </si>
  <si>
    <t>Cabo coaxial tipo RG 11</t>
  </si>
  <si>
    <t>39.18.106</t>
  </si>
  <si>
    <t>Cabo coaxial tipo RG 59</t>
  </si>
  <si>
    <t>39.18.110</t>
  </si>
  <si>
    <t>39.18.114</t>
  </si>
  <si>
    <t>Cabo coaxial tipo RGC 59</t>
  </si>
  <si>
    <t>39.18.120</t>
  </si>
  <si>
    <t>Cabo para rede U/UTP 23 AWG com 4 pares - categoria 6A</t>
  </si>
  <si>
    <t>39.18.126</t>
  </si>
  <si>
    <t>Cabo para rede 24 AWG com 4 pares, categoria 6</t>
  </si>
  <si>
    <t>39.20</t>
  </si>
  <si>
    <t>Reparos, conservacoes e complementos - GRUPO 39</t>
  </si>
  <si>
    <t>39.20.005</t>
  </si>
  <si>
    <t>Conector prensa-cabo de 3/4´</t>
  </si>
  <si>
    <t>39.20.010</t>
  </si>
  <si>
    <t>Recolocação de condutor aparente com diâmetro externo até 6,5 mm</t>
  </si>
  <si>
    <t>39.20.030</t>
  </si>
  <si>
    <t>Recolocação de condutor aparente com diâmetro externo acima de 6,5 mm</t>
  </si>
  <si>
    <t>39.21</t>
  </si>
  <si>
    <t>Cabo de cobre flexivel, isolamento 0,6/1 kV, isolacao em HEPR 90°C</t>
  </si>
  <si>
    <t>39.21.010</t>
  </si>
  <si>
    <t>39.21.020</t>
  </si>
  <si>
    <t>39.21.030</t>
  </si>
  <si>
    <t>39.21.040</t>
  </si>
  <si>
    <t>39.21.050</t>
  </si>
  <si>
    <t>39.21.060</t>
  </si>
  <si>
    <t>39.21.070</t>
  </si>
  <si>
    <t>39.21.080</t>
  </si>
  <si>
    <t>39.21.090</t>
  </si>
  <si>
    <t>39.21.100</t>
  </si>
  <si>
    <t>39.21.110</t>
  </si>
  <si>
    <t>39.21.120</t>
  </si>
  <si>
    <t>39.21.125</t>
  </si>
  <si>
    <t>39.21.130</t>
  </si>
  <si>
    <t>39.21.140</t>
  </si>
  <si>
    <t>39.21.201</t>
  </si>
  <si>
    <t>39.21.230</t>
  </si>
  <si>
    <t>39.21.231</t>
  </si>
  <si>
    <t>39.21.234</t>
  </si>
  <si>
    <t>39.21.236</t>
  </si>
  <si>
    <t>39.21.237</t>
  </si>
  <si>
    <t>39.21.254</t>
  </si>
  <si>
    <t>39.24</t>
  </si>
  <si>
    <t>Cabo de cobre flexivel, isolamento 500 V, isolacao PP 70°C</t>
  </si>
  <si>
    <t>39.24.151</t>
  </si>
  <si>
    <t>Cabo de cobre flexível de 3 x 1,5 mm², isolamento 500 V - isolação PP 70°C</t>
  </si>
  <si>
    <t>39.24.152</t>
  </si>
  <si>
    <t>Cabo de cobre flexível de 3 x 2,5 mm², isolamento 500 V - isolação PP 70°C</t>
  </si>
  <si>
    <t>39.24.153</t>
  </si>
  <si>
    <t>Cabo de cobre flexível de 3 x 4 mm², isolamento 500 V - isolação PP 70°C</t>
  </si>
  <si>
    <t>39.24.154</t>
  </si>
  <si>
    <t>Cabo de cobre flexível de 3 x 6 mm², isolamento 500 V - isolação PP 70°C</t>
  </si>
  <si>
    <t>39.24.173</t>
  </si>
  <si>
    <t>Cabo de cobre flexível de 4 x 4 mm², isolamento 500 V - isolação PP 70°C</t>
  </si>
  <si>
    <t>39.24.174</t>
  </si>
  <si>
    <t>Cabo de cobre flexível de 4 x 6 mm², isolamento 500 V - isolação PP 70°C</t>
  </si>
  <si>
    <t>39.25</t>
  </si>
  <si>
    <t>Cabo de cobre unipolar, isolamento 15/25 kV, isolacao EPR 90 °C / 105 °C</t>
  </si>
  <si>
    <t>39.25.020</t>
  </si>
  <si>
    <t>Cabo de cobre de 35 mm², isolamento 15/25 kV - isolação EPR 105°C</t>
  </si>
  <si>
    <t>39.25.030</t>
  </si>
  <si>
    <t>Cabo de cobre de 50 mm², isolamento 15/25 kV - isolação EPR 105°C</t>
  </si>
  <si>
    <t>39.26</t>
  </si>
  <si>
    <t>Cabo de cobre flexivel, isolamento 0,6/1kV - isolacao HEPR 90° C - baixa emissao fumaca e gases</t>
  </si>
  <si>
    <t>39.26.010</t>
  </si>
  <si>
    <t>Cabo de cobre flexível de 1,5 mm², isolamento 0,6/1 kV - isolação HEPR 90°C - baixa emissão de fumaça e gases</t>
  </si>
  <si>
    <t>39.26.020</t>
  </si>
  <si>
    <t>Cabo de cobre flexível de 2,5 mm², isolamento 0,6/1 kV - isolação HEPR 90°C - baixa emissão de fumaça e gases</t>
  </si>
  <si>
    <t>39.26.030</t>
  </si>
  <si>
    <t>Cabo de cobre flexível de 4 mm², isolamento 0,6/1 kV -  isolação HEPR 90°C - baixa emissão de fumaça e gases</t>
  </si>
  <si>
    <t>39.26.040</t>
  </si>
  <si>
    <t>Cabo de cobre flexível de 6 mm², isolamento 0,6/1 kV - isolação HEPR 90°C - baixa emissão de fumaça e gases</t>
  </si>
  <si>
    <t>39.26.050</t>
  </si>
  <si>
    <t>Cabo de cobre flexível de 10 mm², isolamento 0,6/1 kV - isolação HEPR 90°C - baixa emissão de fumaça e gases</t>
  </si>
  <si>
    <t>39.26.060</t>
  </si>
  <si>
    <t>Cabo de cobre flexível de 16 mm², isolamento 0,6/1 kV - isolação HEPR 90°C - baixa emissão de fumaça e gases</t>
  </si>
  <si>
    <t>39.26.070</t>
  </si>
  <si>
    <t>Cabo de cobre flexível de 25 mm², isolamento 0,6/1 kV - isolação HEPR 90°C - baixa emissão de fumaça e gases</t>
  </si>
  <si>
    <t>39.26.080</t>
  </si>
  <si>
    <t>Cabo de cobre flexível de 35 mm², isolamento 0,6/1 kV - isolação HEPR 90°C - baixa emissão de fumaça e gases</t>
  </si>
  <si>
    <t>39.26.090</t>
  </si>
  <si>
    <t>Cabo de cobre flexível de 50 mm², isolamento 0,6/1 kV - isolação HEPR 90°C - baixa emissão de fumaça e gases</t>
  </si>
  <si>
    <t>39.26.100</t>
  </si>
  <si>
    <t>Cabo de cobre flexível de 70 mm², isolamento 0,6/1 kV - isolação HEPR 90°C - baixa emissão de fumaça e gases</t>
  </si>
  <si>
    <t>39.26.110</t>
  </si>
  <si>
    <t>Cabo de cobre flexível de 95 mm², isolamento 0,6/1 kV - isolação HEPR 90°C - baixa emissão de fumaça e gases</t>
  </si>
  <si>
    <t>39.26.120</t>
  </si>
  <si>
    <t>Cabo de cobre flexível de 120 mm², isolamento 0,6/1 kV - isolação HEPR 90°C - baixa emissão de fumaça e gases</t>
  </si>
  <si>
    <t>39.26.130</t>
  </si>
  <si>
    <t>Cabo de cobre flexível de 150 mm², isolamento 0,6/1 kV - isolação HEPR 90°C - baixa emissão de fumaça e gases</t>
  </si>
  <si>
    <t>39.26.140</t>
  </si>
  <si>
    <t>Cabo de cobre flexível de 185 mm², isolamento 0,6/1 kV - isolação HEPR 90°C - baixa emissão de fumaça e gases</t>
  </si>
  <si>
    <t>39.26.150</t>
  </si>
  <si>
    <t>Cabo de cobre flexível de 240 mm², isolamento 0,6/1 kV - isolação HEPR 90°C - baixa emissão de fumaça e gases</t>
  </si>
  <si>
    <t>39.27</t>
  </si>
  <si>
    <t>Cabo optico</t>
  </si>
  <si>
    <t>39.27.010</t>
  </si>
  <si>
    <t>Cabo óptico de terminação, 2 fibras, 50/125 µm - uso interno/externo</t>
  </si>
  <si>
    <t>39.27.020</t>
  </si>
  <si>
    <t>Cabo óptico multimodo, 4 fibras, 50/125 µm - uso interno/externo</t>
  </si>
  <si>
    <t>39.27.030</t>
  </si>
  <si>
    <t>Cabo óptico multimodo, 6 fibras, 50/125 µm - uso interno/externo</t>
  </si>
  <si>
    <t>39.30</t>
  </si>
  <si>
    <t>Fios e cabos - audio e video</t>
  </si>
  <si>
    <t>39.30.010</t>
  </si>
  <si>
    <t>Cabo torcido flexível de 2 x 2,5 mm², isolação em PVC antichama</t>
  </si>
  <si>
    <t>40</t>
  </si>
  <si>
    <t>DISTRIBUICAO DE FORCA E COMANDO DE ENERGIA ELETRICA E TELEFONIA</t>
  </si>
  <si>
    <t>40.01</t>
  </si>
  <si>
    <t>Caixa de passagem estampada</t>
  </si>
  <si>
    <t>40.01.020</t>
  </si>
  <si>
    <t>Caixa de ferro estampada 4´ x 2´</t>
  </si>
  <si>
    <t>40.01.040</t>
  </si>
  <si>
    <t>Caixa de ferro estampada 4´ x 4´</t>
  </si>
  <si>
    <t>40.01.080</t>
  </si>
  <si>
    <t>40.01.090</t>
  </si>
  <si>
    <t>Caixa de ferro estampada octogonal de 3´ x 3´</t>
  </si>
  <si>
    <t>40.02</t>
  </si>
  <si>
    <t>Caixa de passagem com tampa</t>
  </si>
  <si>
    <t>40.02.010</t>
  </si>
  <si>
    <t>Caixa de tomada em alumínio para piso 4´ x 4´</t>
  </si>
  <si>
    <t>40.02.020</t>
  </si>
  <si>
    <t>Caixa de passagem em chapa, com tampa parafusada, 100 x 100 x 80 mm</t>
  </si>
  <si>
    <t>40.02.040</t>
  </si>
  <si>
    <t>Caixa de passagem em chapa, com tampa parafusada, 150 x 150 x 80 mm</t>
  </si>
  <si>
    <t>40.02.060</t>
  </si>
  <si>
    <t>40.02.080</t>
  </si>
  <si>
    <t>40.02.100</t>
  </si>
  <si>
    <t>40.02.120</t>
  </si>
  <si>
    <t>40.02.440</t>
  </si>
  <si>
    <t>40.02.450</t>
  </si>
  <si>
    <t>40.02.460</t>
  </si>
  <si>
    <t>40.02.470</t>
  </si>
  <si>
    <t>40.02.600</t>
  </si>
  <si>
    <t>Caixa de passagem em alumínio fundido à prova de tempo, 100 x 100 mm</t>
  </si>
  <si>
    <t>40.02.610</t>
  </si>
  <si>
    <t>Caixa de passagem em alumínio fundido à prova de tempo, 200 x 200 mm</t>
  </si>
  <si>
    <t>40.02.620</t>
  </si>
  <si>
    <t>Caixa de passagem em alumínio fundido à prova de tempo, 300 x 300 mm</t>
  </si>
  <si>
    <t>40.04</t>
  </si>
  <si>
    <t>Tomadas</t>
  </si>
  <si>
    <t>40.04.080</t>
  </si>
  <si>
    <t>Tomada para telefone 4P, padrão TELEBRÁS, com placa</t>
  </si>
  <si>
    <t>40.04.090</t>
  </si>
  <si>
    <t>Tomada RJ 11 para telefone, sem placa</t>
  </si>
  <si>
    <t>40.04.096</t>
  </si>
  <si>
    <t>Tomada RJ 45 para rede de dados, com placa</t>
  </si>
  <si>
    <t>40.04.140</t>
  </si>
  <si>
    <t>Tomada 3P+T de 32 A, blindada industrial de sobrepor negativa</t>
  </si>
  <si>
    <t>40.04.146</t>
  </si>
  <si>
    <t>Tomada 3P+T de 63 A, blindada industrial de embutir</t>
  </si>
  <si>
    <t>40.04.230</t>
  </si>
  <si>
    <t>Tomada de canaleta/perfilado universal 2P+T, com caixa e tampa</t>
  </si>
  <si>
    <t>40.04.340</t>
  </si>
  <si>
    <t>Plugue e tomada 2P+T de 16 A de sobrepor - 380 / 440 V</t>
  </si>
  <si>
    <t>40.04.390</t>
  </si>
  <si>
    <t>Tomada de energia quadrada com rabicho de 10 A - 250 V , para instalação em painel / rodapé / caixa de tomadas</t>
  </si>
  <si>
    <t>40.04.450</t>
  </si>
  <si>
    <t>Tomada 2P+T de 10 A - 250 V, completa</t>
  </si>
  <si>
    <t>40.04.460</t>
  </si>
  <si>
    <t>Tomada 2P+T de 20 A - 250 V, completa</t>
  </si>
  <si>
    <t>40.04.470</t>
  </si>
  <si>
    <t>Conjunto 2 tomadas 2P+T de 10 A, completo</t>
  </si>
  <si>
    <t>40.04.480</t>
  </si>
  <si>
    <t>Conjunto 1 interruptor simples e 1 tomada 2P+T de 10 A, completo</t>
  </si>
  <si>
    <t>40.04.490</t>
  </si>
  <si>
    <t>Conjunto 2 interruptores simples e 1 tomada 2P+T de 10 A, completo</t>
  </si>
  <si>
    <t>40.05</t>
  </si>
  <si>
    <t>Interruptores e minuterias</t>
  </si>
  <si>
    <t>40.05.020</t>
  </si>
  <si>
    <t>Interruptor com 1 tecla simples e placa</t>
  </si>
  <si>
    <t>40.05.040</t>
  </si>
  <si>
    <t>Interruptor com 2 teclas simples e placa</t>
  </si>
  <si>
    <t>40.05.060</t>
  </si>
  <si>
    <t>Interruptor com 3 teclas simples e placa</t>
  </si>
  <si>
    <t>40.05.080</t>
  </si>
  <si>
    <t>Interruptor com 1 tecla paralelo e placa</t>
  </si>
  <si>
    <t>40.05.100</t>
  </si>
  <si>
    <t>Interruptor com 2 teclas paralelo e placa</t>
  </si>
  <si>
    <t>40.05.120</t>
  </si>
  <si>
    <t>Interruptor com 2 teclas, 1 simples, 1 paralelo e placa</t>
  </si>
  <si>
    <t>40.05.140</t>
  </si>
  <si>
    <t>Interruptor com 3 teclas, 2 simples, 1 paralelo e placa</t>
  </si>
  <si>
    <t>40.05.160</t>
  </si>
  <si>
    <t>Interruptor com 3 teclas, 1 simples, 2 paralelo e placa</t>
  </si>
  <si>
    <t>40.05.170</t>
  </si>
  <si>
    <t>Interruptor bipolar paralelo, 1 tecla dupla e placa</t>
  </si>
  <si>
    <t>40.05.180</t>
  </si>
  <si>
    <t>Interruptor bipolar simples, 1 tecla dupla e placa</t>
  </si>
  <si>
    <t>40.05.320</t>
  </si>
  <si>
    <t>Pulsador 2 A - 250 V, para minuteria com placa</t>
  </si>
  <si>
    <t>40.05.330</t>
  </si>
  <si>
    <t>40.05.340</t>
  </si>
  <si>
    <t>Sensor de presença para teto, com fotocélula, para lâmpada qualquer</t>
  </si>
  <si>
    <t>40.05.350</t>
  </si>
  <si>
    <t>Sensor de presença infravermelho passivo e microondas, alcance de 12 m - sem fio</t>
  </si>
  <si>
    <t>40.06</t>
  </si>
  <si>
    <t>Conduletes</t>
  </si>
  <si>
    <t>40.06.040</t>
  </si>
  <si>
    <t>Condulete metálico de 3/4´</t>
  </si>
  <si>
    <t>40.06.060</t>
  </si>
  <si>
    <t>Condulete metálico de 1´</t>
  </si>
  <si>
    <t>40.06.080</t>
  </si>
  <si>
    <t>Condulete metálico de 1 1/4´</t>
  </si>
  <si>
    <t>40.06.100</t>
  </si>
  <si>
    <t>Condulete metálico de 1 1/2´</t>
  </si>
  <si>
    <t>40.06.120</t>
  </si>
  <si>
    <t>Condulete metálico de 2´</t>
  </si>
  <si>
    <t>40.06.140</t>
  </si>
  <si>
    <t>Condulete metálico de 2 1/2´</t>
  </si>
  <si>
    <t>40.06.160</t>
  </si>
  <si>
    <t>Condulete metálico de 3´</t>
  </si>
  <si>
    <t>40.06.170</t>
  </si>
  <si>
    <t>Condulete metálico de 4´</t>
  </si>
  <si>
    <t>40.06.510</t>
  </si>
  <si>
    <t>Condulete em PVC de 1´ - com tampa</t>
  </si>
  <si>
    <t>40.07</t>
  </si>
  <si>
    <t>Caixa de passagem em PVC</t>
  </si>
  <si>
    <t>40.07.010</t>
  </si>
  <si>
    <t>Caixa em PVC de 4´ x 2´</t>
  </si>
  <si>
    <t>40.07.020</t>
  </si>
  <si>
    <t>Caixa em PVC de 4´ x 4´</t>
  </si>
  <si>
    <t>40.07.040</t>
  </si>
  <si>
    <t>Caixa em PVC octogonal de 4´ x 4´</t>
  </si>
  <si>
    <t>40.10</t>
  </si>
  <si>
    <t>Contator</t>
  </si>
  <si>
    <t>40.10.016</t>
  </si>
  <si>
    <t>Contator de potência 12 A - 1na+1nf</t>
  </si>
  <si>
    <t>40.10.020</t>
  </si>
  <si>
    <t>Contator de potência 9 A - 2na+2nf</t>
  </si>
  <si>
    <t>40.10.040</t>
  </si>
  <si>
    <t>Contator de potência 12 A - 2na+2nf</t>
  </si>
  <si>
    <t>40.10.060</t>
  </si>
  <si>
    <t>Contator de potência 16 A - 2na+2nf</t>
  </si>
  <si>
    <t>40.10.080</t>
  </si>
  <si>
    <t>Contator de potência 22 A/25 A - 2na+2nf</t>
  </si>
  <si>
    <t>40.10.100</t>
  </si>
  <si>
    <t>Contator de potência 32 A - 2na+2nf</t>
  </si>
  <si>
    <t>40.10.106</t>
  </si>
  <si>
    <t>Contator de potência 38 A/40 A - 2na+2nf</t>
  </si>
  <si>
    <t>40.10.110</t>
  </si>
  <si>
    <t>Contator de potência 50 A - 2na+2nf</t>
  </si>
  <si>
    <t>40.10.132</t>
  </si>
  <si>
    <t>Contator de potência 65 A - 2na+2nf</t>
  </si>
  <si>
    <t>40.10.136</t>
  </si>
  <si>
    <t>Contator de potência 110 A - 2na+2nf</t>
  </si>
  <si>
    <t>40.10.140</t>
  </si>
  <si>
    <t>Contator de potência 150 A - 2na+2nf</t>
  </si>
  <si>
    <t>40.10.150</t>
  </si>
  <si>
    <t>Contator de potência 220 A - 2na+2nf</t>
  </si>
  <si>
    <t>40.10.500</t>
  </si>
  <si>
    <t>Minicontator auxiliar - 4na</t>
  </si>
  <si>
    <t>40.10.510</t>
  </si>
  <si>
    <t>Contator auxiliar - 2na+2nf</t>
  </si>
  <si>
    <t>40.10.520</t>
  </si>
  <si>
    <t>Contator auxiliar - 4na+4nf</t>
  </si>
  <si>
    <t>40.11</t>
  </si>
  <si>
    <t>Rele</t>
  </si>
  <si>
    <t>40.11.010</t>
  </si>
  <si>
    <t>Relé fotoelétrico 50/60 Hz, 110/220 V, 1200 VA, completo</t>
  </si>
  <si>
    <t>40.11.020</t>
  </si>
  <si>
    <t>Relé bimetálico de sobrecarga para acoplamento direto, faixas de ajuste de 9/12 A</t>
  </si>
  <si>
    <t>40.11.030</t>
  </si>
  <si>
    <t>Relé bimetálico de sobrecarga para acoplamento direto, faixas de ajuste de 20/32 A até 50/63 A</t>
  </si>
  <si>
    <t>40.11.050</t>
  </si>
  <si>
    <t>Relé bimetálico de sobrecarga para acoplamento direto, faixas de ajuste 0,4/0,63 A até 16/25 A</t>
  </si>
  <si>
    <t>40.11.060</t>
  </si>
  <si>
    <t>Relé de tempo eletrônico de 0,6 até 6 s - 220V - 50/60 Hz</t>
  </si>
  <si>
    <t>40.11.070</t>
  </si>
  <si>
    <t>Relé supervisor trifásico contra falta de fase, inversão de fase e mínima tensão</t>
  </si>
  <si>
    <t>40.11.120</t>
  </si>
  <si>
    <t>40.11.230</t>
  </si>
  <si>
    <t>Relé de sobrecarga eletrônico para acoplamento direto, faixa de ajuste de 55 A até 250 A</t>
  </si>
  <si>
    <t>40.11.240</t>
  </si>
  <si>
    <t>Relé de tempo eletrônico de 3 até 30s - 220V - 50/60Hz</t>
  </si>
  <si>
    <t>40.11.250</t>
  </si>
  <si>
    <t>Relé de impulso bipolar, 16 A, 250 V CA</t>
  </si>
  <si>
    <t>40.12</t>
  </si>
  <si>
    <t>Chave comutadora e seletora</t>
  </si>
  <si>
    <t>40.12.020</t>
  </si>
  <si>
    <t>Chave comutadora/seletora com 1 polo e 3 posições para 63 A</t>
  </si>
  <si>
    <t>40.12.030</t>
  </si>
  <si>
    <t>Chave comutadora/seletora com 1 polo e 3 posições para 25 A</t>
  </si>
  <si>
    <t>40.12.200</t>
  </si>
  <si>
    <t>Chave comutadora/seletora com 1 polo e 2 posições para 25 A</t>
  </si>
  <si>
    <t>40.12.210</t>
  </si>
  <si>
    <t>Chave comutadora/seletora com 3 polos e 3 posições para 25 A</t>
  </si>
  <si>
    <t>40.13</t>
  </si>
  <si>
    <t>Amperimetro</t>
  </si>
  <si>
    <t>40.13.010</t>
  </si>
  <si>
    <t>Chave comutadora para amperímetro</t>
  </si>
  <si>
    <t>40.13.040</t>
  </si>
  <si>
    <t>Amperímetro de ferro móvel de 96 x 96 mm, para ligação em transformador de corrente, escala fixa de 0A/50 A até 0A/2 kA</t>
  </si>
  <si>
    <t>40.14</t>
  </si>
  <si>
    <t>Voltimetro</t>
  </si>
  <si>
    <t>40.14.010</t>
  </si>
  <si>
    <t>Chave comutadora para voltímetro</t>
  </si>
  <si>
    <t>40.14.030</t>
  </si>
  <si>
    <t>Voltímetro de ferro móvel de 96 x 96 mm, escalas variáveis de 0/150 V, 0/250 V, 0/300 V, 0/500 V e 0/600 V</t>
  </si>
  <si>
    <t>40.20</t>
  </si>
  <si>
    <t>Reparos, conservacoes e complementos - GRUPO 40</t>
  </si>
  <si>
    <t>40.20.050</t>
  </si>
  <si>
    <t>Sinalizador com lâmpada</t>
  </si>
  <si>
    <t>40.20.060</t>
  </si>
  <si>
    <t>Botão de comando duplo sem sinalizador</t>
  </si>
  <si>
    <t>40.20.090</t>
  </si>
  <si>
    <t>Botoeira com retenção para quadro/painel</t>
  </si>
  <si>
    <t>40.20.100</t>
  </si>
  <si>
    <t>Botoeira de comando liga-desliga, sem sinalização</t>
  </si>
  <si>
    <t>40.20.110</t>
  </si>
  <si>
    <t>Alarme sonoro bitonal 220 V para painel de comando</t>
  </si>
  <si>
    <t>40.20.120</t>
  </si>
  <si>
    <t>Placa de 4´ x 2´</t>
  </si>
  <si>
    <t>40.20.140</t>
  </si>
  <si>
    <t>Placa de 4´ x 4´</t>
  </si>
  <si>
    <t>40.20.200</t>
  </si>
  <si>
    <t>Chave de boia normalmente fechada ou aberta</t>
  </si>
  <si>
    <t>40.20.240</t>
  </si>
  <si>
    <t>Plugue com 2P+T de 10A, 250V</t>
  </si>
  <si>
    <t>40.20.250</t>
  </si>
  <si>
    <t>Plugue prolongador com 2P+T de 10A, 250V</t>
  </si>
  <si>
    <t>40.20.300</t>
  </si>
  <si>
    <t>Chave de nível tipo boia pendular (pera), com contato micro switch</t>
  </si>
  <si>
    <t>40.20.310</t>
  </si>
  <si>
    <t>Placa/espelho em latão escovado 4´ x 4´, para 02 tomadas elétrica</t>
  </si>
  <si>
    <t>40.20.320</t>
  </si>
  <si>
    <t>Placa/espelho em latão escovado 4´ x 4´, para 01 tomada elétrica</t>
  </si>
  <si>
    <t>41</t>
  </si>
  <si>
    <t>ILUMINACAO</t>
  </si>
  <si>
    <t>41.02</t>
  </si>
  <si>
    <t>Lampadas</t>
  </si>
  <si>
    <t>41.02.541</t>
  </si>
  <si>
    <t>41.02.551</t>
  </si>
  <si>
    <t>41.02.562</t>
  </si>
  <si>
    <t>41.02.580</t>
  </si>
  <si>
    <t>41.04</t>
  </si>
  <si>
    <t>Acessorios para iluminacao</t>
  </si>
  <si>
    <t>41.04.020</t>
  </si>
  <si>
    <t>Receptáculo de porcelana com parafuso de fixação com rosca E-27</t>
  </si>
  <si>
    <t>41.04.050</t>
  </si>
  <si>
    <t>Trilho eletrificado de alimentação com 1 circuito, em alumínio com pintura na cor branco, inclusive acessórios</t>
  </si>
  <si>
    <t>41.06</t>
  </si>
  <si>
    <t>Lampada halogena</t>
  </si>
  <si>
    <t>41.06.100</t>
  </si>
  <si>
    <t>Lâmpada halógena refletora PAR20, base E27 de 50 W - 220 V</t>
  </si>
  <si>
    <t>41.06.130</t>
  </si>
  <si>
    <t>Lâmpada halógena com refletor dicroico de 50 W - 12 V</t>
  </si>
  <si>
    <t>41.06.410</t>
  </si>
  <si>
    <t>Lâmpada halógena tubular, base R7s bilateral de 300 W - 110 ou 220 V</t>
  </si>
  <si>
    <t>41.07</t>
  </si>
  <si>
    <t>Lampada fluorescente</t>
  </si>
  <si>
    <t>41.07.030</t>
  </si>
  <si>
    <t>Lâmpada fluorescente tubular, base bipino bilateral de 16 W</t>
  </si>
  <si>
    <t>41.07.050</t>
  </si>
  <si>
    <t>Lâmpada fluorescente tubular, base bipino bilateral de 20 W</t>
  </si>
  <si>
    <t>41.07.060</t>
  </si>
  <si>
    <t>Lâmpada fluorescente tubular, base bipino bilateral de 28 W</t>
  </si>
  <si>
    <t>41.07.070</t>
  </si>
  <si>
    <t>Lâmpada fluorescente tubular, base bipino bilateral de 32 W</t>
  </si>
  <si>
    <t>41.07.200</t>
  </si>
  <si>
    <t>Lâmpada fluorescente tubular, base bipino bilateral de 32 W, com camada trifósforo</t>
  </si>
  <si>
    <t>41.07.430</t>
  </si>
  <si>
    <t>Lâmpada fluorescente compacta eletrônica "3U", base E27 de 20 W - 110 ou 220 V</t>
  </si>
  <si>
    <t>41.07.450</t>
  </si>
  <si>
    <t>Lâmpada fluorescente compacta eletrônica "3U", base E27 de 25 W - 110 ou 220 V</t>
  </si>
  <si>
    <t>41.07.800</t>
  </si>
  <si>
    <t>Lâmpada fluorescente compacta "1U", base G-23 de 9 W</t>
  </si>
  <si>
    <t>41.07.810</t>
  </si>
  <si>
    <t>Lâmpada fluorescente compacta "2U", base G-24D-2 de 18 W</t>
  </si>
  <si>
    <t>41.07.820</t>
  </si>
  <si>
    <t>Lâmpada fluorescente compacta "2U", base G-24D-3 de 26 W</t>
  </si>
  <si>
    <t>41.07.860</t>
  </si>
  <si>
    <t>41.08</t>
  </si>
  <si>
    <t>Reator e equipamentos para lampada de descarga de alta potencia</t>
  </si>
  <si>
    <t>41.08.010</t>
  </si>
  <si>
    <t>Transformador eletrônico para lâmpada halógena dicroica de 50 W - 220 V</t>
  </si>
  <si>
    <t>41.09</t>
  </si>
  <si>
    <t>Reator e equipamentos para lampada fluorescente</t>
  </si>
  <si>
    <t>41.09.720</t>
  </si>
  <si>
    <t>41.09.740</t>
  </si>
  <si>
    <t>41.09.750</t>
  </si>
  <si>
    <t>41.09.830</t>
  </si>
  <si>
    <t>41.09.870</t>
  </si>
  <si>
    <t>Reator eletrônico de alto fator de potência com partida instantânea, para uma lâmpada fluorescente compacta "2U", base G24q-3, 26 W - 220 V</t>
  </si>
  <si>
    <t>41.09.890</t>
  </si>
  <si>
    <t>41.10</t>
  </si>
  <si>
    <t>Postes e acessorios</t>
  </si>
  <si>
    <t>41.10.060</t>
  </si>
  <si>
    <t>41.10.070</t>
  </si>
  <si>
    <t>Cruzeta reforçada em ferro galvanizado para fixação de quatro luminárias</t>
  </si>
  <si>
    <t>41.10.080</t>
  </si>
  <si>
    <t>Cruzeta reforçada em ferro galvanizado para fixação de duas luminárias</t>
  </si>
  <si>
    <t>41.10.260</t>
  </si>
  <si>
    <t>Poste telecônico curvo em aço SAE 1010/1020 galvanizado a fogo, altura de 8,00 m</t>
  </si>
  <si>
    <t>41.10.330</t>
  </si>
  <si>
    <t>Poste telecônico reto em aço SAE 1010/1020 galvanizado a fogo, altura de 10,00 m</t>
  </si>
  <si>
    <t>41.10.340</t>
  </si>
  <si>
    <t>Poste telecônico reto em aço SAE 1010/1020 galvanizado a fogo, altura de 8,00 m</t>
  </si>
  <si>
    <t>41.10.400</t>
  </si>
  <si>
    <t>Poste telecônico em aço SAE 1010/1020 galvanizado a fogo, com espera para uma luminária, altura de 3,00 m</t>
  </si>
  <si>
    <t>41.10.410</t>
  </si>
  <si>
    <t>Poste telecônico em aço SAE 1010/1020 galvanizado a fogo, com espera para duas luminárias, altura de 3,00 m</t>
  </si>
  <si>
    <t>41.10.430</t>
  </si>
  <si>
    <t>Poste telecônico reto em aço SAE 1010/1020 galvanizado a fogo, altura de 6,00 m</t>
  </si>
  <si>
    <t>41.10.490</t>
  </si>
  <si>
    <t>Poste telecônico reto em aço SAE 1010/1020 galvanizado a fogo, com base, altura de 7,00 m</t>
  </si>
  <si>
    <t>41.10.500</t>
  </si>
  <si>
    <t>Poste telecônico reto em aço SAE 1010/1020 galvanizado a fogo, altura de 4,00 m</t>
  </si>
  <si>
    <t>41.11</t>
  </si>
  <si>
    <t>Aparelho de iluminacao publica e decorativa</t>
  </si>
  <si>
    <t>41.11.060</t>
  </si>
  <si>
    <t>Luminária fechada para iluminação pública tipo pétala pequena</t>
  </si>
  <si>
    <t>41.11.094</t>
  </si>
  <si>
    <t>41.11.100</t>
  </si>
  <si>
    <t>Luminária retangular fechada para iluminação externa em poste, tipo pétala grande</t>
  </si>
  <si>
    <t>41.11.110</t>
  </si>
  <si>
    <t>Luminária retangular fechada para iluminação externa em poste, tipo pétala pequena</t>
  </si>
  <si>
    <t>41.11.440</t>
  </si>
  <si>
    <t>Suporte tubular de fixação em poste para 1 luminária tipo pétala</t>
  </si>
  <si>
    <t>41.11.450</t>
  </si>
  <si>
    <t>Suporte tubular de fixação em poste para 2 luminárias tipo pétala</t>
  </si>
  <si>
    <t>41.11.702</t>
  </si>
  <si>
    <t>41.11.703</t>
  </si>
  <si>
    <t>41.11.711</t>
  </si>
  <si>
    <t>41.11.712</t>
  </si>
  <si>
    <t>41.11.721</t>
  </si>
  <si>
    <t>41.12</t>
  </si>
  <si>
    <t>Aparelho de iluminacao de longo alcance e especifica</t>
  </si>
  <si>
    <t>41.12.210</t>
  </si>
  <si>
    <t>41.13</t>
  </si>
  <si>
    <t>Aparelho de iluminacao a prova de tempo, gases e vapores</t>
  </si>
  <si>
    <t>41.13.050</t>
  </si>
  <si>
    <t>41.13.102</t>
  </si>
  <si>
    <t>Luminária blindada tipo arandela de 45º e 90º, para lâmpada LED</t>
  </si>
  <si>
    <t>41.13.200</t>
  </si>
  <si>
    <t>41.14</t>
  </si>
  <si>
    <t>Aparelho de iluminacao comercial e industrial</t>
  </si>
  <si>
    <t>41.14.020</t>
  </si>
  <si>
    <t>Luminária retangular de embutir tipo calha fechada, com difusor plano, para 2 lâmpadas fluorescentes tubulares de 28 W/32 W/36 W/54 W</t>
  </si>
  <si>
    <t>41.14.070</t>
  </si>
  <si>
    <t>Luminária retangular de sobrepor tipo calha aberta, para 2 lâmpadas fluorescentes tubulares de 32 W</t>
  </si>
  <si>
    <t>41.14.090</t>
  </si>
  <si>
    <t>Luminária retangular de sobrepor tipo calha fechada, com difusor translúcido, para 2 lâmpadas fluorescentes de 28 W/32 W/36 W/54 W</t>
  </si>
  <si>
    <t>41.14.210</t>
  </si>
  <si>
    <t>Luminária quadrada de embutir tipo calha aberta com aletas planas, para 2 lâmpadas fluorescentes compactas de 18 W/26 W</t>
  </si>
  <si>
    <t>41.14.390</t>
  </si>
  <si>
    <t>41.14.430</t>
  </si>
  <si>
    <t>Luminária quadrada de embutir tipo calha aberta, com refletor e aleta parabólicas em alumínio de alto brilho, para 4 lâmpadas fluorescentes de 14 W/16 W/18 W</t>
  </si>
  <si>
    <t>41.14.530</t>
  </si>
  <si>
    <t>41.14.560</t>
  </si>
  <si>
    <t>41.14.590</t>
  </si>
  <si>
    <t>41.14.600</t>
  </si>
  <si>
    <t>41.14.620</t>
  </si>
  <si>
    <t>41.14.640</t>
  </si>
  <si>
    <t>41.14.670</t>
  </si>
  <si>
    <t>41.14.730</t>
  </si>
  <si>
    <t>41.14.740</t>
  </si>
  <si>
    <t>41.14.790</t>
  </si>
  <si>
    <t>41.15</t>
  </si>
  <si>
    <t>Aparelho de iluminacao interna decorativa</t>
  </si>
  <si>
    <t>41.15.170</t>
  </si>
  <si>
    <t>Luminária redonda de embutir, com foco orientável e acessório antiofuscante, para 1 lâmpada dicroica de 50 W</t>
  </si>
  <si>
    <t>41.20</t>
  </si>
  <si>
    <t>Reparos, conservacoes e complementos - GRUPO 41</t>
  </si>
  <si>
    <t>41.20.020</t>
  </si>
  <si>
    <t>Recolocação de aparelhos de iluminação ou projetores fixos em teto, piso ou parede</t>
  </si>
  <si>
    <t>41.20.080</t>
  </si>
  <si>
    <t>Plafon plástico e/ou PVC para acabamento de ponto de luz, com soquete E-27 para lâmpada fluorescente compacta</t>
  </si>
  <si>
    <t>41.20.120</t>
  </si>
  <si>
    <t>Recolocação de reator</t>
  </si>
  <si>
    <t>41.20.130</t>
  </si>
  <si>
    <t>Recolocação de lâmpada</t>
  </si>
  <si>
    <t>41.31</t>
  </si>
  <si>
    <t>41.31.040</t>
  </si>
  <si>
    <t>41.31.070</t>
  </si>
  <si>
    <t>41.31.080</t>
  </si>
  <si>
    <t>41.31.087</t>
  </si>
  <si>
    <t>42</t>
  </si>
  <si>
    <t>PARA-RAIOS PARA EDIFICACAO</t>
  </si>
  <si>
    <t>42.01</t>
  </si>
  <si>
    <t>Complementos para para-raios</t>
  </si>
  <si>
    <t>42.01.020</t>
  </si>
  <si>
    <t>Captor tipo Franklin, h= 300 mm, 4 pontos, 1 descida, acabamento cromado</t>
  </si>
  <si>
    <t>42.01.040</t>
  </si>
  <si>
    <t>Captor tipo Franklin, h= 300 mm, 4 pontos, 2 descidas, acabamento cromado</t>
  </si>
  <si>
    <t>42.01.060</t>
  </si>
  <si>
    <t>Luva de redução galvanizada de 2´ x 3/4´</t>
  </si>
  <si>
    <t>42.01.080</t>
  </si>
  <si>
    <t>Niple duplo galvanizado de 2´</t>
  </si>
  <si>
    <t>42.01.086</t>
  </si>
  <si>
    <t>Captor tipo terminal aéreo, h= 300 mm em alumínio</t>
  </si>
  <si>
    <t>42.01.090</t>
  </si>
  <si>
    <t>Captor tipo terminal aéreo, h= 300 mm, diâmetro de 1/4´ em cobre</t>
  </si>
  <si>
    <t>42.01.096</t>
  </si>
  <si>
    <t>Captor tipo terminal aéreo, h= 250 mm, diâmetro de 3/8´ galvanizado a fogo</t>
  </si>
  <si>
    <t>42.01.098</t>
  </si>
  <si>
    <t>Captor tipo terminal aéreo, h= 600 mm, diâmetro de 3/8´ galvanizado a fogo</t>
  </si>
  <si>
    <t>42.02</t>
  </si>
  <si>
    <t>Isolador galvanizado uso geral</t>
  </si>
  <si>
    <t>42.02.010</t>
  </si>
  <si>
    <t>Isolador galvanizado uso geral, simples com rosca mecânica</t>
  </si>
  <si>
    <t>42.02.020</t>
  </si>
  <si>
    <t>Isolador galvanizado uso geral, reforçado para fixação a 90°</t>
  </si>
  <si>
    <t>42.02.040</t>
  </si>
  <si>
    <t>Isolador galvanizado uso geral, simples com chapa de encosto</t>
  </si>
  <si>
    <t>42.02.060</t>
  </si>
  <si>
    <t>Isolador galvanizado uso geral, reforçado com chapa de encosto</t>
  </si>
  <si>
    <t>42.02.080</t>
  </si>
  <si>
    <t>Isolador galvanizado uso geral, simples com calha para telha ondulada</t>
  </si>
  <si>
    <t>42.02.100</t>
  </si>
  <si>
    <t>Isolador galvanizado uso geral, reforçado com calha para telha ondulada</t>
  </si>
  <si>
    <t>42.03</t>
  </si>
  <si>
    <t>Isolador galvanizado para mastro</t>
  </si>
  <si>
    <t>42.03.020</t>
  </si>
  <si>
    <t>Isolador galvanizado para mastro de diâmetro 2´, simples com 1 descida</t>
  </si>
  <si>
    <t>42.03.040</t>
  </si>
  <si>
    <t>Isolador galvanizado para mastro de diâmetro 2´, simples com 2 descidas</t>
  </si>
  <si>
    <t>42.03.060</t>
  </si>
  <si>
    <t>Isolador galvanizado para mastro de diâmetro 2´, reforçado com 1 descida</t>
  </si>
  <si>
    <t>42.03.080</t>
  </si>
  <si>
    <t>Isolador galvanizado para mastro de diâmetro 2´, reforçado com 2 descidas</t>
  </si>
  <si>
    <t>42.04</t>
  </si>
  <si>
    <t>Componentes de sustentacao para mastro galvanizado</t>
  </si>
  <si>
    <t>42.04.020</t>
  </si>
  <si>
    <t>Braçadeira de contraventagem para mastro de diâmetro 2´</t>
  </si>
  <si>
    <t>42.04.040</t>
  </si>
  <si>
    <t>Apoio para mastro de diâmetro 2´</t>
  </si>
  <si>
    <t>42.04.060</t>
  </si>
  <si>
    <t>Base para mastro de diâmetro 2´</t>
  </si>
  <si>
    <t>42.04.080</t>
  </si>
  <si>
    <t>Contraventagem com cabo para mastro de diâmetro 2´</t>
  </si>
  <si>
    <t>42.04.120</t>
  </si>
  <si>
    <t>Mastro simples galvanizado de diâmetro 2´</t>
  </si>
  <si>
    <t>42.04.140</t>
  </si>
  <si>
    <t>Suporte porta bandeira simples para mastro de diâmetro 2´</t>
  </si>
  <si>
    <t>42.04.160</t>
  </si>
  <si>
    <t>Suporte porta bandeira reforçado para mastro de diâmetro 2´</t>
  </si>
  <si>
    <t>42.05</t>
  </si>
  <si>
    <t>Componentes para cabo de descida</t>
  </si>
  <si>
    <t>42.05.010</t>
  </si>
  <si>
    <t>Sinalizador de obstáculo simples, sem célula fotoelétrica</t>
  </si>
  <si>
    <t>42.05.020</t>
  </si>
  <si>
    <t>Braçadeira para fixação do aparelho sinalizador para mastro de diâmetro 2´</t>
  </si>
  <si>
    <t>42.05.030</t>
  </si>
  <si>
    <t>Sinalizador de obstáculo duplo, sem célula fotoelétrica</t>
  </si>
  <si>
    <t>42.05.050</t>
  </si>
  <si>
    <t>Sinalizador de obstáculo simples, com célula fotoelétrica</t>
  </si>
  <si>
    <t>42.05.070</t>
  </si>
  <si>
    <t>Sinalizador de obstáculo duplo, com célula fotoelétrica</t>
  </si>
  <si>
    <t>42.05.100</t>
  </si>
  <si>
    <t>Caixa de inspeção suspensa</t>
  </si>
  <si>
    <t>42.05.110</t>
  </si>
  <si>
    <t>Conector cabo/haste de 3/4´</t>
  </si>
  <si>
    <t>42.05.120</t>
  </si>
  <si>
    <t>Conector de emenda em latão para cabo de até 50 mm² com 4 parafusos</t>
  </si>
  <si>
    <t>42.05.140</t>
  </si>
  <si>
    <t>Conector olhal cabo/haste de 3/4´</t>
  </si>
  <si>
    <t>42.05.160</t>
  </si>
  <si>
    <t>Conector olhal cabo/haste de 5/8´</t>
  </si>
  <si>
    <t>42.05.170</t>
  </si>
  <si>
    <t>Vergalhão liso de aço galvanizado, diâmetro de 3/8´</t>
  </si>
  <si>
    <t>42.05.180</t>
  </si>
  <si>
    <t>Esticador em latão para cabo de cobre</t>
  </si>
  <si>
    <t>42.05.190</t>
  </si>
  <si>
    <t>42.05.200</t>
  </si>
  <si>
    <t>42.05.210</t>
  </si>
  <si>
    <t>42.05.220</t>
  </si>
  <si>
    <t>42.05.230</t>
  </si>
  <si>
    <t>Clips de fixação para vergalhão em aço galvanizado de 3/8´</t>
  </si>
  <si>
    <t>42.05.240</t>
  </si>
  <si>
    <t>Suporte para tubo de proteção com chapa de encosto, diâmetro 2´</t>
  </si>
  <si>
    <t>42.05.250</t>
  </si>
  <si>
    <t>Barra condutora chata em alumínio de 3/4´ x 1/4´, inclusive acessórios de fixação</t>
  </si>
  <si>
    <t>42.05.260</t>
  </si>
  <si>
    <t>Suporte para tubo de proteção com grapa para chumbar, diâmetro 2´</t>
  </si>
  <si>
    <t>42.05.270</t>
  </si>
  <si>
    <t>42.05.290</t>
  </si>
  <si>
    <t>Suporte para fixação de terminal aéreo e/ou de cabo de cobre nu, com base plana</t>
  </si>
  <si>
    <t>42.05.300</t>
  </si>
  <si>
    <t>Tampa para caixa de inspeção cilíndrica, aço galvanizado</t>
  </si>
  <si>
    <t>42.05.310</t>
  </si>
  <si>
    <t>Caixa de inspeção do terra cilíndrica em PVC rígido, diâmetro de 300 mm - h= 250 mm</t>
  </si>
  <si>
    <t>42.05.320</t>
  </si>
  <si>
    <t>Caixa de inspeção do terra cilíndrica em PVC rígido, diâmetro de 300 mm - h= 400 mm</t>
  </si>
  <si>
    <t>42.05.330</t>
  </si>
  <si>
    <t>Caixa de inspeção do terra cilíndrica em PVC rígido, diâmetro de 300 mm - h= 600 mm</t>
  </si>
  <si>
    <t>42.05.340</t>
  </si>
  <si>
    <t>Barra condutora chata em cobre de 3/4´ x 3/16´, inclusive acessórios de fixação</t>
  </si>
  <si>
    <t>42.05.370</t>
  </si>
  <si>
    <t>Caixa de equalização, de embutir, em aço com barramento, de 400 x 400 mm e tampa</t>
  </si>
  <si>
    <t>42.05.380</t>
  </si>
  <si>
    <t>Caixa de equalização, de embutir, em aço com barramento, de 200 x 200 mm e tampa</t>
  </si>
  <si>
    <t>42.05.390</t>
  </si>
  <si>
    <t>Presilha em latão para cabos de 16 até 50 mm²</t>
  </si>
  <si>
    <t>42.05.410</t>
  </si>
  <si>
    <t>Suporte para fixação de terminal aéreo e/ou de cabo de cobre nu, com base ondulada</t>
  </si>
  <si>
    <t>42.05.440</t>
  </si>
  <si>
    <t>Barra condutora chata em alumínio de 7/8´ x 1/8´, inclusive acessórios de fixação</t>
  </si>
  <si>
    <t>42.05.450</t>
  </si>
  <si>
    <t>Conector com rabicho e porca em latão para cabo de 16 a 35 mm²</t>
  </si>
  <si>
    <t>42.05.510</t>
  </si>
  <si>
    <t>42.05.520</t>
  </si>
  <si>
    <t>42.05.542</t>
  </si>
  <si>
    <t>42.05.550</t>
  </si>
  <si>
    <t>Cordoalha flexível "Jumpers" de 25 x 235 mm, com 4 furos de 11 mm</t>
  </si>
  <si>
    <t>42.05.560</t>
  </si>
  <si>
    <t>Cordoalha flexível "Jumpers" de 25 x 300 mm, com 4 furos de 11 mm</t>
  </si>
  <si>
    <t>42.05.570</t>
  </si>
  <si>
    <t>Terminal estanhado com 1 furo e 1 compressão - 16 mm²</t>
  </si>
  <si>
    <t>42.05.580</t>
  </si>
  <si>
    <t>Terminal estanhado com 1 furo e 1 compressão - 35 mm²</t>
  </si>
  <si>
    <t>42.05.590</t>
  </si>
  <si>
    <t>Terminal estanhado com 1 furo e 1 compressão - 50 mm²</t>
  </si>
  <si>
    <t>42.05.620</t>
  </si>
  <si>
    <t>Terminal estanhado com 2 furos e 1 compressão - 50 mm²</t>
  </si>
  <si>
    <t>42.05.630</t>
  </si>
  <si>
    <t>Conector tipo ´X´ para aterramento de telas, acabamento estanhado, para cabo de 16 - 50 mm²</t>
  </si>
  <si>
    <t>42.05.650</t>
  </si>
  <si>
    <t>Malha fechada pré-fabricada em fio de cobre de 16mm e mesch 30 x 30cm para aterramento</t>
  </si>
  <si>
    <t>42.20</t>
  </si>
  <si>
    <t>Reparos, conservacoes e complementos - GRUPO 42</t>
  </si>
  <si>
    <t>42.20.080</t>
  </si>
  <si>
    <t>Solda exotérmica conexão cabo-cabo horizontal em X, bitola do cabo de 16-16mm² a 35-35mm²</t>
  </si>
  <si>
    <t>42.20.090</t>
  </si>
  <si>
    <t>Solda exotérmica conexão cabo-cabo horizontal em X, bitola do cabo de 50-25mm² a 95-50mm²</t>
  </si>
  <si>
    <t>42.20.120</t>
  </si>
  <si>
    <t>Solda exotérmica conexão cabo-cabo horizontal em X sobreposto, bitola do cabo de 35-35mm² a 50-35mm²</t>
  </si>
  <si>
    <t>42.20.130</t>
  </si>
  <si>
    <t>Solda exotérmica conexão cabo-cabo horizontal em X sobreposto, bitola do cabo de 50-50mm² a 95-50mm²</t>
  </si>
  <si>
    <t>42.20.150</t>
  </si>
  <si>
    <t>Solda exotérmica conexão cabo-cabo horizontal em T, bitola do cabo de 16-16mm² a 50-35mm², 70-35mm² e 95-35mm²</t>
  </si>
  <si>
    <t>42.20.160</t>
  </si>
  <si>
    <t>Solda exotérmica conexão cabo-cabo horizontal em T, bitola do cabo de 50-50mm² a 95-50mm²</t>
  </si>
  <si>
    <t>42.20.170</t>
  </si>
  <si>
    <t>Solda exotérmica conexão cabo-cabo horizontal reto, bitola do cabo de 16mm² a 70mm²</t>
  </si>
  <si>
    <t>42.20.190</t>
  </si>
  <si>
    <t>Solda exotérmica conexão cabo-haste em X sobreposto, bitola do cabo de 35mm² a 50mm² para haste de 5/8" e 3/4"</t>
  </si>
  <si>
    <t>42.20.210</t>
  </si>
  <si>
    <t>Solda exotérmica conexão cabo-haste em T, bitola do cabo de 35mm² para haste de 5/8" e 3/4"</t>
  </si>
  <si>
    <t>42.20.220</t>
  </si>
  <si>
    <t>Solda exotérmica conexão cabo-haste em T, bitola do cabo de 50mm² a 95mm² para haste de 5/8" e 3/4"</t>
  </si>
  <si>
    <t>42.20.230</t>
  </si>
  <si>
    <t>Solda exotérmica conexão cabo-haste na lateral, bitola do cabo de 25mm² a 70mm² para haste de 5/8" e 3/4"</t>
  </si>
  <si>
    <t>42.20.240</t>
  </si>
  <si>
    <t>Solda exotérmica conexão cabo-haste no topo, bitola do cabo de 25mm² a 35mm² para haste de 5/8"</t>
  </si>
  <si>
    <t>42.20.250</t>
  </si>
  <si>
    <t>Solda exotérmica conexão cabo-haste no topo, bitola do cabo de 50mm² a 95mm² para haste de 5/8" e 3/4"</t>
  </si>
  <si>
    <t>42.20.260</t>
  </si>
  <si>
    <t>Solda exotérmica conexão cabo-ferro de construção com cabo paralelo, bitola do cabo de 35mm² para haste de 5/8" e 3/4"</t>
  </si>
  <si>
    <t>42.20.270</t>
  </si>
  <si>
    <t>Solda exotérmica conexão cabo-ferro de construção com cabo paralelo, bitola do cabo de 50mm² a 70mm² para haste de 5/8" e 3/4"</t>
  </si>
  <si>
    <t>42.20.280</t>
  </si>
  <si>
    <t>Solda exotérmica conexão cabo-ferro de construção com cabo em X sobreposto, bitola do cabo de 35mm² a 70mm² para haste de 5/8"</t>
  </si>
  <si>
    <t>42.20.290</t>
  </si>
  <si>
    <t>Solda exotérmica conexão cabo-ferro de construção com cabo em X sobreposto, bitola do cabo de 35mm² a 70mm² para haste de 3/8"</t>
  </si>
  <si>
    <t>42.20.300</t>
  </si>
  <si>
    <t>Solda exotérmica conexão cabo-terminal com duas fixações, bitola do cabo de 25mm² a 50mm² para terminal 3x25</t>
  </si>
  <si>
    <t>42.20.310</t>
  </si>
  <si>
    <t>Solda exotérmica conexão cabo-superfície de aço, bitola do cabo de 16mm² a 35mm²</t>
  </si>
  <si>
    <t>42.20.320</t>
  </si>
  <si>
    <t>Solda exotérmica conexão cabo-superfície de aço, bitola do cabo de 50mm² a 95mm²</t>
  </si>
  <si>
    <t>43</t>
  </si>
  <si>
    <t>APARELHOS ELETRICOS, HIDRAULICOS E A GAS.</t>
  </si>
  <si>
    <t>43.01</t>
  </si>
  <si>
    <t>Bebedouros</t>
  </si>
  <si>
    <t>43.01.012</t>
  </si>
  <si>
    <t>Purificador de pressão elétrico em chapa eletrozincado pré-pintada e tampo em aço inoxidável, tipo coluna, capacidade de refrigeração de 2 l/h - simples</t>
  </si>
  <si>
    <t>43.01.032</t>
  </si>
  <si>
    <t>Purificador de pressão elétrico em chapa eletrozincado pré-pintada e tampo em aço inoxidável, tipo coluna, capacidade de refrigeração de 2 l/h - conjugado</t>
  </si>
  <si>
    <t>43.02</t>
  </si>
  <si>
    <t>Chuveiros</t>
  </si>
  <si>
    <t>43.02.010</t>
  </si>
  <si>
    <t>Chuveiro frio em PVC, diâmetro de 10 cm</t>
  </si>
  <si>
    <t>43.02.070</t>
  </si>
  <si>
    <t>Chuveiro com válvula de acionamento antivandalismo, DN= 3/4´</t>
  </si>
  <si>
    <t>43.02.080</t>
  </si>
  <si>
    <t>Chuveiro elétrico de 6.500W / 220V com resistência blindada</t>
  </si>
  <si>
    <t>43.02.100</t>
  </si>
  <si>
    <t>Chuveiro com jato regulável em metal com acabamento cromado</t>
  </si>
  <si>
    <t>43.02.122</t>
  </si>
  <si>
    <t>Chuveiro frio em PVC, com registro e tubo de ligação acoplados</t>
  </si>
  <si>
    <t>43.02.140</t>
  </si>
  <si>
    <t>Chuveiro elétrico de 5.500 W / 220 V em PVC</t>
  </si>
  <si>
    <t>43.02.160</t>
  </si>
  <si>
    <t>Chuveiro lava-olhos, acionamento manual, tubulação em ferro galvanizado com pintura epóxi cor verde</t>
  </si>
  <si>
    <t>43.02.180</t>
  </si>
  <si>
    <t>Ducha eletrônica de 6.800W até 7.900 W / 220 V</t>
  </si>
  <si>
    <t>43.03</t>
  </si>
  <si>
    <t>Aquecedores</t>
  </si>
  <si>
    <t>43.03.050</t>
  </si>
  <si>
    <t>Aquecedor a gás de acumulação, capacidade 300 l</t>
  </si>
  <si>
    <t>43.03.130</t>
  </si>
  <si>
    <t>Aquecedor a gás de acumulação, capacidade 500 l</t>
  </si>
  <si>
    <t>43.03.212</t>
  </si>
  <si>
    <t>Aquecedor de passagem elétrico individual, baixa pressão - 5.000 W / 6.400 W</t>
  </si>
  <si>
    <t>43.03.220</t>
  </si>
  <si>
    <t>Sistema de aquecimento de passagem a gás com sistema misturador para abastecimento de até 08 duchas</t>
  </si>
  <si>
    <t>43.03.500</t>
  </si>
  <si>
    <t>Coletor em alumínio para sistema de aquecimento solar com área coletora até 1,60 m²</t>
  </si>
  <si>
    <t>43.03.510</t>
  </si>
  <si>
    <t>Coletor em alumínio para sistema de aquecimento solar com área coletora até 2,00 m²</t>
  </si>
  <si>
    <t>43.03.550</t>
  </si>
  <si>
    <t>Reservatório térmico horizontal em aço inoxidável AISI 304, capacidade de 500 litros</t>
  </si>
  <si>
    <t>43.04</t>
  </si>
  <si>
    <t>Torneiras eletricas</t>
  </si>
  <si>
    <t>43.04.020</t>
  </si>
  <si>
    <t>Torneira elétrica</t>
  </si>
  <si>
    <t>43.05</t>
  </si>
  <si>
    <t>Exaustor, ventilador e circulador de ar</t>
  </si>
  <si>
    <t>43.05.030</t>
  </si>
  <si>
    <t>Exaustor elétrico em plástico, vazão de 150 a 190m³/h</t>
  </si>
  <si>
    <t>43.05.100</t>
  </si>
  <si>
    <t>Insuflador de ar compacto, para renovação de ar em ambientes, vazão máxima 93 m³/h</t>
  </si>
  <si>
    <t>43.06</t>
  </si>
  <si>
    <t>Emissores de som</t>
  </si>
  <si>
    <t>43.06.010</t>
  </si>
  <si>
    <t>Cigarra de embutir 50/60HZ até 127V, com placa</t>
  </si>
  <si>
    <t>43.07</t>
  </si>
  <si>
    <t>Aparelho condicionador de ar</t>
  </si>
  <si>
    <t>43.07.070</t>
  </si>
  <si>
    <t>Ar condicionado a frio, tipo split piso teto com capacidade de 48.000 BTU/h</t>
  </si>
  <si>
    <t>43.07.300</t>
  </si>
  <si>
    <t>Ar condicionado a frio, tipo split cassete com capacidade de 18.000 BTU/h</t>
  </si>
  <si>
    <t>43.07.310</t>
  </si>
  <si>
    <t>Ar condicionado a frio, tipo split cassete com capacidade de 24.000 BTU/h</t>
  </si>
  <si>
    <t>43.07.320</t>
  </si>
  <si>
    <t>Ar condicionado a frio, tipo split cassete com capacidade de 36.000 BTU/h</t>
  </si>
  <si>
    <t>43.07.330</t>
  </si>
  <si>
    <t>Ar condicionado a frio, tipo split parede com capacidade de 12.000 BTU/h</t>
  </si>
  <si>
    <t>43.07.340</t>
  </si>
  <si>
    <t>Ar condicionado a frio, tipo split parede com capacidade de 18.000 BTU/h</t>
  </si>
  <si>
    <t>43.07.350</t>
  </si>
  <si>
    <t>Ar condicionado a frio, tipo split parede com capacidade de 24.000 BTU/h</t>
  </si>
  <si>
    <t>43.07.360</t>
  </si>
  <si>
    <t>Ar condicionado a frio, tipo split parede com capacidade de 30.000 BTU/h</t>
  </si>
  <si>
    <t>43.07.380</t>
  </si>
  <si>
    <t>Ar condicionado a frio, tipo split piso teto com capacidade de 24.000 BTU/h</t>
  </si>
  <si>
    <t>43.07.390</t>
  </si>
  <si>
    <t>Ar condicionado a frio, tipo split piso teto com capacidade de 36.000 BTU/h</t>
  </si>
  <si>
    <t>43.08</t>
  </si>
  <si>
    <t>Equipamentos para sistema VRF ar condicionado</t>
  </si>
  <si>
    <t>43.08.001</t>
  </si>
  <si>
    <t>Condensador para sistema VRF de ar condicionado, capacidade até 6 TR</t>
  </si>
  <si>
    <t>43.08.002</t>
  </si>
  <si>
    <t>Condensador para sistema VRF de ar condicionado, capacidade de 8 TR a 10 TR</t>
  </si>
  <si>
    <t>43.08.003</t>
  </si>
  <si>
    <t>Condensador para sistema VRF de ar condicionado, capacidade de 11 TR a 13 TR</t>
  </si>
  <si>
    <t>43.08.004</t>
  </si>
  <si>
    <t>Condensador para sistema VRF de ar condicionado, capacidade de 14 TR a 16 TR</t>
  </si>
  <si>
    <t>43.08.020</t>
  </si>
  <si>
    <t>Evaporador para sistema VRF de ar condicionado, tipo parede, capacidade de 1 TR</t>
  </si>
  <si>
    <t>43.08.021</t>
  </si>
  <si>
    <t>Evaporador para sistema VRF de ar condicionado, tipo parede, capacidade de 2 TR</t>
  </si>
  <si>
    <t>43.08.022</t>
  </si>
  <si>
    <t>Evaporador para sistema VRF de ar condicionado, tipo parede, capacidade de 3 TR</t>
  </si>
  <si>
    <t>43.08.030</t>
  </si>
  <si>
    <t>Evaporador para sistema VRF de ar condicionado, tipo piso teto, capacidade de 1 TR</t>
  </si>
  <si>
    <t>43.08.031</t>
  </si>
  <si>
    <t>Evaporador para sistema VRF de ar condicionado, tipo piso teto, capacidade de 2 TR</t>
  </si>
  <si>
    <t>43.08.032</t>
  </si>
  <si>
    <t>Evaporador para sistema VRF de ar condicionado, tipo piso teto, capacidade de 3 TR</t>
  </si>
  <si>
    <t>43.08.033</t>
  </si>
  <si>
    <t>Evaporador para sistema VRF de ar condicionado, tipo piso teto, capacidade de 4 TR</t>
  </si>
  <si>
    <t>43.08.040</t>
  </si>
  <si>
    <t>Evaporador para sistema VRF de ar condicionado, tipo cassete, capacidade de 1 TR</t>
  </si>
  <si>
    <t>43.08.041</t>
  </si>
  <si>
    <t>Evaporador para sistema VRF de ar condicionado, tipo cassete, capacidade de 2 TR</t>
  </si>
  <si>
    <t>43.08.042</t>
  </si>
  <si>
    <t>Evaporador para sistema VRF de ar condicionado, tipo cassete, capacidade de 3 TR</t>
  </si>
  <si>
    <t>43.08.043</t>
  </si>
  <si>
    <t>Evaporador para sistema VRF de ar condicionado, tipo cassete, capacidade de 4 TR</t>
  </si>
  <si>
    <t>43.10</t>
  </si>
  <si>
    <t>Bombas centrifugas, uso geral</t>
  </si>
  <si>
    <t>43.10.050</t>
  </si>
  <si>
    <t>Conjunto motor-bomba (centrífuga) 10 cv, monoestágio, Hman= 24 a 36 mca, Q= 53 a 45 m³/h</t>
  </si>
  <si>
    <t>43.10.090</t>
  </si>
  <si>
    <t>Conjunto motor-bomba (centrífuga) 20 cv, monoestágio, Hman= 40 a 70 mca, Q= 76 a 28 m³/h</t>
  </si>
  <si>
    <t>43.10.110</t>
  </si>
  <si>
    <t>Conjunto motor-bomba (centrífuga) 5 cv, monoestágio, Hmam= 14 a 26 mca, Q= 56 a 30 m³/h</t>
  </si>
  <si>
    <t>43.10.130</t>
  </si>
  <si>
    <t>Conjunto motor-bomba (centrífuga) 3/4 cv, monoestágio, Hman= 10 a 16 mca, Q= 12,7 a 8 m³/h</t>
  </si>
  <si>
    <t>43.10.210</t>
  </si>
  <si>
    <t>Conjunto motor-bomba (centrífuga) 60 cv, monoestágio, Hman= 90 a 125 mca, Q= 115 a 50 m³/h</t>
  </si>
  <si>
    <t>43.10.230</t>
  </si>
  <si>
    <t>Conjunto motor-bomba (centrífuga) 2 cv, monoestágio, Hman= 12 a 27 mca, Q= 25 a 8 m³/h</t>
  </si>
  <si>
    <t>43.10.250</t>
  </si>
  <si>
    <t>Conjunto motor-bomba (centrífuga) 15 cv, monoestágio, Hman= 30 a 60 mca, Q= 82 a 20 m³/h</t>
  </si>
  <si>
    <t>43.10.290</t>
  </si>
  <si>
    <t>Conjunto motor-bomba (centrífuga) 5 cv, monoestágio, Hman= 24 a 33 mca, Q= 41,6 a 35,2 m³/h</t>
  </si>
  <si>
    <t>43.10.450</t>
  </si>
  <si>
    <t>Conjunto motor-bomba (centrífuga) 30 cv, monoestágio, Hman= 20 a 50 mca, Q= 197 a 112 m³/h</t>
  </si>
  <si>
    <t>43.10.452</t>
  </si>
  <si>
    <t>Conjunto motor-bomba (centrífuga) 1,5 cv, multiestágio, Hman= 20 a 35 mca, Q= 7,1 a 4,5 m³/h</t>
  </si>
  <si>
    <t>43.10.454</t>
  </si>
  <si>
    <t>Conjunto motor-bomba (centrífuga) 3 cv, multiestágio, Hman= 30 a 45 mca, Q= 12,4 a 8,4 m³/h</t>
  </si>
  <si>
    <t>43.10.456</t>
  </si>
  <si>
    <t>Conjunto motor-bomba (centrífuga) 3 cv, multiestágio, Hman= 35 a 60 mca, Q= 7,8 a 5,8 m³/h</t>
  </si>
  <si>
    <t>43.10.480</t>
  </si>
  <si>
    <t>Conjunto motor-bomba (centrífuga) 7,5 cv, multiestágio, Hman= 30 a 80 mca, Q= 21,6 a 12,0 m³/h</t>
  </si>
  <si>
    <t>43.10.490</t>
  </si>
  <si>
    <t>Conjunto motor-bomba (centrífuga) 5 cv, multiestágio, Hman= 25 a 50 mca, Q= 21,0 a 13,3 m³/h</t>
  </si>
  <si>
    <t>43.10.620</t>
  </si>
  <si>
    <t>Conjunto motor-bomba (centrífuga), 0,5 cv, monoestágio, Hman= 10 a 20 mca, Q= 7,5 a 1,5 m³/h</t>
  </si>
  <si>
    <t>43.10.670</t>
  </si>
  <si>
    <t>Conjunto motor-bomba (centrífuga) 0,5 cv, monoestágio, trifásico, Hman= 9 a 21 mca, Q= 8,3 a 2,0 m³/h</t>
  </si>
  <si>
    <t>43.10.730</t>
  </si>
  <si>
    <t>Conjunto motor-bomba (centrífuga) 30 cv, monoestágio trifásico, Hman= 70 a 94 mca, Q= 34,80 a 61,7 m³/h</t>
  </si>
  <si>
    <t>43.10.740</t>
  </si>
  <si>
    <t>Conjunto motor-bomba (centrífuga) 20 cv, monoestágio trifásico, Hman= 62 a 90 mca, Q= 21,1 a 43,8 m³/h</t>
  </si>
  <si>
    <t>43.10.750</t>
  </si>
  <si>
    <t>Conjunto motor-bomba (centrífuga) 1 cv, monoestágio trifásico, Hman= 8 a 25 mca e Q= 11 a 1,50 m³/h</t>
  </si>
  <si>
    <t>43.10.770</t>
  </si>
  <si>
    <t>Conjunto motor-bomba (centrífuga) 40 cv, monoestágio trifásico, Hman= 45 a 75 mca e Q= 120 a 75 m³/h</t>
  </si>
  <si>
    <t>43.10.780</t>
  </si>
  <si>
    <t>Conjunto motor-bomba (centrífuga) 50 cv, monoestágio trifásico, Hman= 61 a 81 mca e Q= 170 a 80 m³/h</t>
  </si>
  <si>
    <t>43.10.790</t>
  </si>
  <si>
    <t>Conjunto motor-bomba (centrífuga) 1 cv, multiestágio trifásico, Hman= 15 a 30 mca, Q= 6,5 a 4,2 m³/h</t>
  </si>
  <si>
    <t>43.10.794</t>
  </si>
  <si>
    <t>Conjunto motor-bomba (centrífuga) 1 cv, multiestágio trifásico, Hman= 70 a 115 mca e Q= 1,0 a 1,6 m³/h</t>
  </si>
  <si>
    <t>43.11</t>
  </si>
  <si>
    <t>Bombas submersiveis</t>
  </si>
  <si>
    <t>43.11.050</t>
  </si>
  <si>
    <t>Conjunto motor-bomba submersível para poço profundo de 6´, Q= 10 a 20m³/h, Hman= 80 a 48 mca, até 6 HP</t>
  </si>
  <si>
    <t>43.11.060</t>
  </si>
  <si>
    <t>Conjunto motor-bomba submersível para poço profundo de 6´, Q= 10 a 20m³/h, Hman= 108 a 64,5 mca, 8 HP</t>
  </si>
  <si>
    <t>43.11.100</t>
  </si>
  <si>
    <t>Conjunto motor-bomba submersível para poço profundo de 6´, Q= 10 a 20m³/h, Hman= 274 a 170 mca, 20 HP</t>
  </si>
  <si>
    <t>43.11.110</t>
  </si>
  <si>
    <t>Conjunto motor-bomba submersível para poço profundo de 6´, Q= 20 a 34m³/h, Hman= 56,5 a 32 mca, até 8 HP</t>
  </si>
  <si>
    <t>43.11.130</t>
  </si>
  <si>
    <t>Conjunto motor-bomba submersível para poço profundo de 6´, Q= 20 a 34m³/h, Hman= 92,5 a 53 mca, 12,5 HP</t>
  </si>
  <si>
    <t>43.11.150</t>
  </si>
  <si>
    <t>Conjunto motor-bomba submersível para poço profundo de 6´, Q= 20 a 34m³/h, Hman= 152 a 88 mca, 20 HP</t>
  </si>
  <si>
    <t>43.11.320</t>
  </si>
  <si>
    <t>Conjunto motor-bomba submersível vertical para esgoto, Q= 4,8 a 25,8 m³/h, Hmam= 19 a 5 mca, potência 1 cv, diâmetro de sólidos até 20mm</t>
  </si>
  <si>
    <t>43.11.330</t>
  </si>
  <si>
    <t>Conjunto motor-bomba submersível vertical para esgoto, Q= 4,6 a 57,2 m³/h, Hman= 13 a 4 mca, potência 2 a 3,5 cv, diâmetro de sólidos até 50mm</t>
  </si>
  <si>
    <t>43.11.360</t>
  </si>
  <si>
    <t>Conjunto motor-bomba submersível vertical para águas residuais, Q= 2 a16 m³/h, Hman= 12 a 2 mca, potência de 0,5 cv</t>
  </si>
  <si>
    <t>43.11.370</t>
  </si>
  <si>
    <t>Conjunto motor-bomba submersível vertical para águas residuais, Q= 3 a 20 m³/h, Hman= 13 a 5 mca, potência de 1 cv</t>
  </si>
  <si>
    <t>43.11.380</t>
  </si>
  <si>
    <t>Conjunto motor-bomba submersível vertical para águas residuais, Q= 10 a 50 m³/h, Hman= 22 a 4 mca, potência 4 cv</t>
  </si>
  <si>
    <t>43.11.390</t>
  </si>
  <si>
    <t>Conjunto motor-bomba submersível vertical para águas residuais, Q= 8 a 45 m³/h, Hman= 10,5 a 3,5 mca, potência 1,5 cv</t>
  </si>
  <si>
    <t>43.11.400</t>
  </si>
  <si>
    <t>Conjunto motor-bomba submersível vertical para esgoto, Q= 3,4 a 86,3 m³/h, Hman= 14 a 5 mca, potência 5 cv</t>
  </si>
  <si>
    <t>43.11.410</t>
  </si>
  <si>
    <t>Conjunto motor-bomba submersível vertical para esgoto, Q= 9,1 a 113,6m³/h, Hman= 20 a 15 mca, potência 10 cv</t>
  </si>
  <si>
    <t>43.11.420</t>
  </si>
  <si>
    <t>Conjunto motor-bomba submersível vertical para esgoto, Q=9,3 a 69,0 m³/h, Hman=15 a 7 mca, potência 3cv, diâmetro de sólidos 50/65mm</t>
  </si>
  <si>
    <t>43.11.460</t>
  </si>
  <si>
    <t>Conjunto motor-bomba submersível vertical para esgoto, Q= 40 m³/h, Hman= 40 mca, diâmetro de sólidos até 50 mm</t>
  </si>
  <si>
    <t>43.12</t>
  </si>
  <si>
    <t>Bombas especiais, uso industrial</t>
  </si>
  <si>
    <t>43.12.500</t>
  </si>
  <si>
    <t>Filtro de areia com carga de areia filtrante, vazão de 16,9 m³/h</t>
  </si>
  <si>
    <t>43.20</t>
  </si>
  <si>
    <t>Reparos, conservacoes e complementos - GRUPO 43</t>
  </si>
  <si>
    <t>43.20.130</t>
  </si>
  <si>
    <t>Caixa de passagem para condicionamento de ar tipo Split, com saída de dreno único na vertical - 39 x 22 x 6 cm</t>
  </si>
  <si>
    <t>43.20.140</t>
  </si>
  <si>
    <t>Bomba de remoção de condensados para condicionadores de ar</t>
  </si>
  <si>
    <t>43.20.200</t>
  </si>
  <si>
    <t>43.20.210</t>
  </si>
  <si>
    <t>Bomba de circulação para água quente</t>
  </si>
  <si>
    <t>43.20.250</t>
  </si>
  <si>
    <t>Poço termométrico em alumínio, com haste de 30mm e rosca 1/2" npt</t>
  </si>
  <si>
    <t>43.20.260</t>
  </si>
  <si>
    <t>Termostato para aquecimento ou refrigeração com programação horária</t>
  </si>
  <si>
    <t>44</t>
  </si>
  <si>
    <t>APARELHOS E METAIS HIDRAULICOS</t>
  </si>
  <si>
    <t>44.01</t>
  </si>
  <si>
    <t>Aparelhos e loucas</t>
  </si>
  <si>
    <t>44.01.030</t>
  </si>
  <si>
    <t>Bacia turca de louça - 6 litros</t>
  </si>
  <si>
    <t>44.01.040</t>
  </si>
  <si>
    <t xml:space="preserve">Bacia sifonada com caixa de descarga acoplada e tampa - infantil	</t>
  </si>
  <si>
    <t>44.01.050</t>
  </si>
  <si>
    <t>Bacia sifonada de louça sem tampa - 6 litros</t>
  </si>
  <si>
    <t>44.01.070</t>
  </si>
  <si>
    <t>44.01.100</t>
  </si>
  <si>
    <t>Lavatório de louça sem coluna</t>
  </si>
  <si>
    <t>44.01.110</t>
  </si>
  <si>
    <t>Lavatório de louça com coluna</t>
  </si>
  <si>
    <t>44.01.160</t>
  </si>
  <si>
    <t>Lavatório de louça pequeno com coluna suspensa - linha especial</t>
  </si>
  <si>
    <t>44.01.170</t>
  </si>
  <si>
    <t>Lavatório em polipropileno</t>
  </si>
  <si>
    <t>44.01.200</t>
  </si>
  <si>
    <t>Mictório de louça sifonado auto aspirante</t>
  </si>
  <si>
    <t>44.01.240</t>
  </si>
  <si>
    <t>Lavatório em louça com coluna suspensa</t>
  </si>
  <si>
    <t>44.01.270</t>
  </si>
  <si>
    <t>Cuba de louça de embutir oval</t>
  </si>
  <si>
    <t>44.01.310</t>
  </si>
  <si>
    <t>Tanque de louça com coluna de 30 litros</t>
  </si>
  <si>
    <t>44.01.360</t>
  </si>
  <si>
    <t>Tanque de louça com coluna de 18 a 20 litros</t>
  </si>
  <si>
    <t>44.01.370</t>
  </si>
  <si>
    <t>Tanque em granito sintético, linha comercial - sem pertences</t>
  </si>
  <si>
    <t>44.01.610</t>
  </si>
  <si>
    <t>Lavatório de louça para canto, sem coluna - sem pertences</t>
  </si>
  <si>
    <t>44.01.680</t>
  </si>
  <si>
    <t>Caixa de descarga em plástico, de sobrepor, capacidade 9 litros com engate flexível</t>
  </si>
  <si>
    <t>44.01.690</t>
  </si>
  <si>
    <t>Tanque de louça sem coluna de 30 litros</t>
  </si>
  <si>
    <t>44.01.800</t>
  </si>
  <si>
    <t>Bacia sifonada com caixa de descarga acoplada sem tampa - 6 litros</t>
  </si>
  <si>
    <t>44.01.850</t>
  </si>
  <si>
    <t>Cuba de louça de embutir redonda</t>
  </si>
  <si>
    <t>44.02</t>
  </si>
  <si>
    <t>Bancadas e tampos</t>
  </si>
  <si>
    <t>44.02.062</t>
  </si>
  <si>
    <t>Tampo/bancada em granito, com frontão, espessura de 2 cm, acabamento polido</t>
  </si>
  <si>
    <t>44.02.100</t>
  </si>
  <si>
    <t>Tampo/bancada em mármore nacional espessura de 3 cm</t>
  </si>
  <si>
    <t>44.02.200</t>
  </si>
  <si>
    <t>Tampo/bancada em concreto armado, revestido em aço inoxidável fosco polido</t>
  </si>
  <si>
    <t>44.02.300</t>
  </si>
  <si>
    <t>Superfície sólido mineral para bancadas, saias, frontões e/ou cubas</t>
  </si>
  <si>
    <t>44.03</t>
  </si>
  <si>
    <t>Acessorios e metais</t>
  </si>
  <si>
    <t>44.03.010</t>
  </si>
  <si>
    <t>Dispenser toalheiro em ABS e policarbonato para bobina de 20 cm x 200 m, com alavanca</t>
  </si>
  <si>
    <t>44.03.020</t>
  </si>
  <si>
    <t>Meia saboneteira de louça de embutir</t>
  </si>
  <si>
    <t>44.03.030</t>
  </si>
  <si>
    <t>Dispenser toalheiro metálico esmaltado para bobina de 25cm x 50m, sem alavanca</t>
  </si>
  <si>
    <t>44.03.040</t>
  </si>
  <si>
    <t>Saboneteira de louça de embutir</t>
  </si>
  <si>
    <t>44.03.050</t>
  </si>
  <si>
    <t>Dispenser papel higiênico em ABS para rolão 300 / 600 m, com visor</t>
  </si>
  <si>
    <t>44.03.080</t>
  </si>
  <si>
    <t>Porta-papel de louça de embutir</t>
  </si>
  <si>
    <t>44.03.090</t>
  </si>
  <si>
    <t>Cabide cromado para banheiro</t>
  </si>
  <si>
    <t>44.03.130</t>
  </si>
  <si>
    <t>Saboneteira tipo dispenser, para refil de 800 ml</t>
  </si>
  <si>
    <t>44.03.180</t>
  </si>
  <si>
    <t>Dispenser toalheiro em ABS, para folhas</t>
  </si>
  <si>
    <t>44.03.210</t>
  </si>
  <si>
    <t>Ducha cromada simples</t>
  </si>
  <si>
    <t>44.03.260</t>
  </si>
  <si>
    <t>Armário de plástico de embutir, para lavatório</t>
  </si>
  <si>
    <t>44.03.300</t>
  </si>
  <si>
    <t>44.03.315</t>
  </si>
  <si>
    <t>Torneira de mesa com bica móvel e alavanca</t>
  </si>
  <si>
    <t>44.03.316</t>
  </si>
  <si>
    <t>Torneira misturador clínica de mesa com arejador articulado, acionamento cotovelo</t>
  </si>
  <si>
    <t>44.03.360</t>
  </si>
  <si>
    <t>Ducha higiênica cromada</t>
  </si>
  <si>
    <t>44.03.370</t>
  </si>
  <si>
    <t>Torneira curta com rosca para uso geral, em latão fundido sem acabamento, DN= 1/2´</t>
  </si>
  <si>
    <t>44.03.380</t>
  </si>
  <si>
    <t>Torneira curta com rosca para uso geral, em latão fundido sem acabamento, DN= 3/4´</t>
  </si>
  <si>
    <t>44.03.400</t>
  </si>
  <si>
    <t>Torneira curta com rosca para uso geral, em latão fundido cromado, DN= 3/4´</t>
  </si>
  <si>
    <t>44.03.420</t>
  </si>
  <si>
    <t>Torneira curta sem rosca para uso geral, em latão fundido sem acabamento, DN= 3/4´</t>
  </si>
  <si>
    <t>44.03.430</t>
  </si>
  <si>
    <t>44.03.440</t>
  </si>
  <si>
    <t>44.03.450</t>
  </si>
  <si>
    <t>Torneira longa sem rosca para uso geral, em latão fundido cromado</t>
  </si>
  <si>
    <t>44.03.470</t>
  </si>
  <si>
    <t>Torneira de parede para pia com bica móvel e arejador, em latão fundido cromado</t>
  </si>
  <si>
    <t>44.03.500</t>
  </si>
  <si>
    <t>Aparelho misturador de parede, para pia, com bica móvel, acabamento cromado</t>
  </si>
  <si>
    <t>44.03.510</t>
  </si>
  <si>
    <t>Torneira de parede antivandalismo, DN= 3/4´</t>
  </si>
  <si>
    <t>44.03.590</t>
  </si>
  <si>
    <t>Torneira de mesa para pia com bica móvel e arejador em latão fundido cromado</t>
  </si>
  <si>
    <t>44.03.630</t>
  </si>
  <si>
    <t>Torneira de acionamento restrito em latão cromado, DN= 1/2´ com adaptador para 3/4´</t>
  </si>
  <si>
    <t>44.03.640</t>
  </si>
  <si>
    <t>Torneira de parede acionamento hidromecânico, em latão cromado, DN= 1/2´ ou 3/4´</t>
  </si>
  <si>
    <t>44.03.670</t>
  </si>
  <si>
    <t>Caixa de descarga de embutir, acionamento frontal, completa</t>
  </si>
  <si>
    <t>44.03.690</t>
  </si>
  <si>
    <t>Torneira de parede em ABS, DN 1/2´ ou 3/4´, 10cm</t>
  </si>
  <si>
    <t>44.03.700</t>
  </si>
  <si>
    <t>Torneira de parede em ABS, DN 1/2´ ou 3/4´, 15cm</t>
  </si>
  <si>
    <t>44.03.720</t>
  </si>
  <si>
    <t>Torneira de mesa para lavatório, acionamento hidromecânico com alavanca, registro integrado regulador de vazão, em latão cromado, DN= 1/2´</t>
  </si>
  <si>
    <t>44.03.810</t>
  </si>
  <si>
    <t>Aparelho misturador de mesa para pia com bica móvel, acabamento cromado</t>
  </si>
  <si>
    <t>44.03.825</t>
  </si>
  <si>
    <t>Misturador termostato para chuveiro ou ducha, acabamento cromado</t>
  </si>
  <si>
    <t>44.03.900</t>
  </si>
  <si>
    <t>Secador de mãos em ABS</t>
  </si>
  <si>
    <t>44.03.920</t>
  </si>
  <si>
    <t>Ducha higiênica com registro</t>
  </si>
  <si>
    <t>44.03.931</t>
  </si>
  <si>
    <t>Desviador para duchas e chuveiros</t>
  </si>
  <si>
    <t>44.03.940</t>
  </si>
  <si>
    <t>Válvula dupla para bancada de laboratório, uso em GLP, com bico para mangueira - diâmetro de 1/4´ a 1/2´</t>
  </si>
  <si>
    <t>44.03.950</t>
  </si>
  <si>
    <t>Válvula para cuba de laboratório, com nuca giratória e bico escalonado para mangueira</t>
  </si>
  <si>
    <t>44.04</t>
  </si>
  <si>
    <t>Prateleiras</t>
  </si>
  <si>
    <t>44.04.030</t>
  </si>
  <si>
    <t>Prateleira em granito com espessura de 2 cm</t>
  </si>
  <si>
    <t>44.04.040</t>
  </si>
  <si>
    <t>Prateleira em granilite</t>
  </si>
  <si>
    <t>44.04.050</t>
  </si>
  <si>
    <t>Prateleira em granito com espessura de 3 cm</t>
  </si>
  <si>
    <t>44.06</t>
  </si>
  <si>
    <t>Aparelhos de aco inoxidavel</t>
  </si>
  <si>
    <t>44.06.010</t>
  </si>
  <si>
    <t>Lavatório coletivo em aço inoxidável</t>
  </si>
  <si>
    <t>44.06.100</t>
  </si>
  <si>
    <t>Mictório coletivo em aço inoxidável</t>
  </si>
  <si>
    <t>44.06.200</t>
  </si>
  <si>
    <t>Tanque em aço inoxidável</t>
  </si>
  <si>
    <t>44.06.250</t>
  </si>
  <si>
    <t>Cuba em aço inoxidável simples de 300 x 140mm</t>
  </si>
  <si>
    <t>44.06.300</t>
  </si>
  <si>
    <t>Cuba em aço inoxidável simples de 400x340x140mm</t>
  </si>
  <si>
    <t>44.06.310</t>
  </si>
  <si>
    <t>Cuba em aço inoxidável simples de 465x300x140mm</t>
  </si>
  <si>
    <t>44.06.320</t>
  </si>
  <si>
    <t>Cuba em aço inoxidável simples de 560x330x140mm</t>
  </si>
  <si>
    <t>44.06.330</t>
  </si>
  <si>
    <t>Cuba em aço inoxidável simples de 500x400x400mm</t>
  </si>
  <si>
    <t>44.06.360</t>
  </si>
  <si>
    <t>Cuba em aço inoxidável simples de 500x400x200mm</t>
  </si>
  <si>
    <t>44.06.370</t>
  </si>
  <si>
    <t>Cuba em aço inoxidável simples de 500x400x250mm</t>
  </si>
  <si>
    <t>44.06.400</t>
  </si>
  <si>
    <t>Cuba em aço inoxidável simples de 500x400x300mm</t>
  </si>
  <si>
    <t>44.06.410</t>
  </si>
  <si>
    <t>Cuba em aço inoxidável simples de 600x500x300mm</t>
  </si>
  <si>
    <t>44.06.470</t>
  </si>
  <si>
    <t>Cuba em aço inoxidável simples de 600x500x350mm</t>
  </si>
  <si>
    <t>44.06.520</t>
  </si>
  <si>
    <t>Cuba em aço inoxidável simples de 600x500x400mm</t>
  </si>
  <si>
    <t>44.06.570</t>
  </si>
  <si>
    <t>Cuba em aço inoxidável simples de 700x600x450mm</t>
  </si>
  <si>
    <t>44.06.600</t>
  </si>
  <si>
    <t>Cuba em aço inoxidável simples de 1400x900x500mm</t>
  </si>
  <si>
    <t>44.06.610</t>
  </si>
  <si>
    <t>Cuba em aço inoxidável simples de 1100x600x400mm</t>
  </si>
  <si>
    <t>44.06.700</t>
  </si>
  <si>
    <t>Cuba em aço inoxidável dupla de 715x400x140mm</t>
  </si>
  <si>
    <t>44.06.710</t>
  </si>
  <si>
    <t>Cuba em aço inoxidável dupla de 835x340x140mm</t>
  </si>
  <si>
    <t>44.06.750</t>
  </si>
  <si>
    <t>Cuba em aço inoxidável dupla de 1020x400x250mm</t>
  </si>
  <si>
    <t>44.20</t>
  </si>
  <si>
    <t>Reparos, conservacoes e complementos - GRUPO 44</t>
  </si>
  <si>
    <t>44.20.010</t>
  </si>
  <si>
    <t>Sifão plástico sanfonado universal de 1´</t>
  </si>
  <si>
    <t>44.20.020</t>
  </si>
  <si>
    <t>Recolocação de torneiras</t>
  </si>
  <si>
    <t>44.20.040</t>
  </si>
  <si>
    <t>Recolocação de sifões</t>
  </si>
  <si>
    <t>44.20.060</t>
  </si>
  <si>
    <t>Recolocação de aparelhos sanitários, incluindo acessórios</t>
  </si>
  <si>
    <t>44.20.080</t>
  </si>
  <si>
    <t>Recolocação de caixas de descarga de sobrepor</t>
  </si>
  <si>
    <t>44.20.100</t>
  </si>
  <si>
    <t>Engate flexível metálico DN= 1/2´</t>
  </si>
  <si>
    <t>44.20.110</t>
  </si>
  <si>
    <t>Engate flexível de PVC DN= 1/2´</t>
  </si>
  <si>
    <t>44.20.120</t>
  </si>
  <si>
    <t>Canopla para válvula de descarga</t>
  </si>
  <si>
    <t>44.20.121</t>
  </si>
  <si>
    <t>Arejador com articulador em ABS cromado para torneira padrão, completo</t>
  </si>
  <si>
    <t>44.20.130</t>
  </si>
  <si>
    <t>Tubo de ligação para mictório, DN= 1/2´</t>
  </si>
  <si>
    <t>44.20.150</t>
  </si>
  <si>
    <t>Acabamento cromado para registro</t>
  </si>
  <si>
    <t>44.20.160</t>
  </si>
  <si>
    <t>Botão para válvula de descarga</t>
  </si>
  <si>
    <t>44.20.180</t>
  </si>
  <si>
    <t>Reparo para válvula de descarga</t>
  </si>
  <si>
    <t>44.20.200</t>
  </si>
  <si>
    <t>Sifão de metal cromado de 1 1/2´ x 2´</t>
  </si>
  <si>
    <t>44.20.220</t>
  </si>
  <si>
    <t>Sifão de metal cromado de 1´ x 1 1/2´</t>
  </si>
  <si>
    <t>44.20.230</t>
  </si>
  <si>
    <t>Tubo de ligação para sanitário</t>
  </si>
  <si>
    <t>44.20.240</t>
  </si>
  <si>
    <t>Sifão plástico com copo, rígido, de 1´ x 1 1/2´</t>
  </si>
  <si>
    <t>44.20.260</t>
  </si>
  <si>
    <t>Sifão plástico com copo, rígido, de 1 1/4´ x 2´</t>
  </si>
  <si>
    <t>44.20.280</t>
  </si>
  <si>
    <t>Tampa de plástico para bacia sanitária</t>
  </si>
  <si>
    <t>44.20.300</t>
  </si>
  <si>
    <t>Bolsa para bacia sanitária</t>
  </si>
  <si>
    <t>44.20.310</t>
  </si>
  <si>
    <t>Filtro de pressão em ABS, para 360 l/h</t>
  </si>
  <si>
    <t>44.20.390</t>
  </si>
  <si>
    <t>Válvula de PVC para lavatório</t>
  </si>
  <si>
    <t>44.20.620</t>
  </si>
  <si>
    <t>Válvula americana</t>
  </si>
  <si>
    <t>44.20.640</t>
  </si>
  <si>
    <t>Válvula de metal cromado de 1 1/2´</t>
  </si>
  <si>
    <t>44.20.650</t>
  </si>
  <si>
    <t>Válvula de metal cromado de 1´</t>
  </si>
  <si>
    <t>45</t>
  </si>
  <si>
    <t>ENTRADA DE AGUA, INCÊNDIO E GAS</t>
  </si>
  <si>
    <t>45.01</t>
  </si>
  <si>
    <t>Entrada de agua</t>
  </si>
  <si>
    <t>45.01.020</t>
  </si>
  <si>
    <t>Entrada completa de água com abrigo e registro de gaveta, DN= 3/4´</t>
  </si>
  <si>
    <t>45.01.040</t>
  </si>
  <si>
    <t>Entrada completa de água com abrigo e registro de gaveta, DN= 1´</t>
  </si>
  <si>
    <t>45.01.060</t>
  </si>
  <si>
    <t>Entrada completa de água com abrigo e registro de gaveta, DN= 1 1/2´</t>
  </si>
  <si>
    <t>45.01.066</t>
  </si>
  <si>
    <t>Entrada completa de água com abrigo e registro de gaveta, DN= 2´</t>
  </si>
  <si>
    <t>45.01.080</t>
  </si>
  <si>
    <t>Entrada completa de água com abrigo e registro de gaveta, DN= 2 1/2´</t>
  </si>
  <si>
    <t>45.01.082</t>
  </si>
  <si>
    <t>Entrada completa de água com abrigo e registro de gaveta, DN= 3´</t>
  </si>
  <si>
    <t>45.02</t>
  </si>
  <si>
    <t>Entrada de gas</t>
  </si>
  <si>
    <t>45.02.020</t>
  </si>
  <si>
    <t>45.02.040</t>
  </si>
  <si>
    <t>Entrada completa de gás GLP com 2 cilindros de 45 kg</t>
  </si>
  <si>
    <t>45.02.060</t>
  </si>
  <si>
    <t>Entrada completa de gás GLP com 4 cilindros de 45 kg</t>
  </si>
  <si>
    <t>45.02.080</t>
  </si>
  <si>
    <t>Entrada completa de gás GLP com 6 cilindros de 45 kg</t>
  </si>
  <si>
    <t>45.02.200</t>
  </si>
  <si>
    <t>Abrigo padronizado de gás GLP encanado</t>
  </si>
  <si>
    <t>45.03</t>
  </si>
  <si>
    <t>Hidrômetro</t>
  </si>
  <si>
    <t>45.03.010</t>
  </si>
  <si>
    <t>Hidrômetro em ferro fundido, diâmetro 50 mm (2´)</t>
  </si>
  <si>
    <t>45.03.030</t>
  </si>
  <si>
    <t>Hidrômetro em ferro fundido, diâmetro 100 mm (4´)</t>
  </si>
  <si>
    <t>45.03.100</t>
  </si>
  <si>
    <t>Hidrômetro em bronze, diâmetro de 25 mm (1´)</t>
  </si>
  <si>
    <t>45.03.110</t>
  </si>
  <si>
    <t>Hidrômetro em bronze, diâmetro de 40 mm (1 1/2´)</t>
  </si>
  <si>
    <t>45.03.200</t>
  </si>
  <si>
    <t>Filtro tipo cesto para hidrômetro de 50 mm (2´)</t>
  </si>
  <si>
    <t>45.20</t>
  </si>
  <si>
    <t>Reparos, conservacoes e complementos - GRUPO 45</t>
  </si>
  <si>
    <t>45.20.020</t>
  </si>
  <si>
    <t>Cilindro de gás (GLP) de 45 kg, com carga</t>
  </si>
  <si>
    <t>46</t>
  </si>
  <si>
    <t>TUBULACAO E CONDUTORES PARA LIQUIDOS E GASES.</t>
  </si>
  <si>
    <t>46.01</t>
  </si>
  <si>
    <t>Tubulacao em PVC rigido marrom para sistemas prediais de agua fria</t>
  </si>
  <si>
    <t>46.01.010</t>
  </si>
  <si>
    <t>Tubo de PVC rígido soldável marrom, DN= 20 mm, (1/2´), inclusive conexões</t>
  </si>
  <si>
    <t>46.01.020</t>
  </si>
  <si>
    <t>Tubo de PVC rígido soldável marrom, DN= 25 mm, (3/4´), inclusive conexões</t>
  </si>
  <si>
    <t>46.01.030</t>
  </si>
  <si>
    <t>Tubo de PVC rígido soldável marrom, DN= 32 mm, (1´), inclusive conexões</t>
  </si>
  <si>
    <t>46.01.040</t>
  </si>
  <si>
    <t>Tubo de PVC rígido soldável marrom, DN= 40 mm, (1 1/4´), inclusive conexões</t>
  </si>
  <si>
    <t>46.01.050</t>
  </si>
  <si>
    <t>Tubo de PVC rígido soldável marrom, DN= 50 mm, (1 1/2´), inclusive conexões</t>
  </si>
  <si>
    <t>46.01.060</t>
  </si>
  <si>
    <t>Tubo de PVC rígido soldável marrom, DN= 60 mm, (2´), inclusive conexões</t>
  </si>
  <si>
    <t>46.01.070</t>
  </si>
  <si>
    <t>Tubo de PVC rígido soldável marrom, DN= 75 mm, (2 1/2´), inclusive conexões</t>
  </si>
  <si>
    <t>46.01.080</t>
  </si>
  <si>
    <t>Tubo de PVC rígido soldável marrom, DN= 85 mm, (3´), inclusive conexões</t>
  </si>
  <si>
    <t>46.01.090</t>
  </si>
  <si>
    <t>Tubo de PVC rígido soldável marrom, DN= 110 mm, (4´), inclusive conexões</t>
  </si>
  <si>
    <t>46.02</t>
  </si>
  <si>
    <t>Tubulacao em PVC rigido branco para esgoto domiciliar</t>
  </si>
  <si>
    <t>46.02.010</t>
  </si>
  <si>
    <t>Tubo de PVC rígido branco, pontas lisas, soldável, linha esgoto série normal, DN= 40 mm, inclusive conexões</t>
  </si>
  <si>
    <t>46.02.050</t>
  </si>
  <si>
    <t>Tubo de PVC rígido branco PxB com virola e anel de borracha, linha esgoto série normal, DN= 50 mm, inclusive conexões</t>
  </si>
  <si>
    <t>46.02.060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</si>
  <si>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</si>
  <si>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</si>
  <si>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</si>
  <si>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46.03</t>
  </si>
  <si>
    <t>Tubulacao em PVC rigido branco serie R - A.P e esgoto domiciliar</t>
  </si>
  <si>
    <t>46.03.038</t>
  </si>
  <si>
    <t>Tubo de PVC rígido PxB com virola e anel de borracha, linha esgoto série reforçada ´R´, DN= 50 mm, inclusive conexões</t>
  </si>
  <si>
    <t>46.03.040</t>
  </si>
  <si>
    <t>Tubo de PVC rígido PxB com virola e anel de borracha, linha esgoto série reforçada ´R´, DN= 75 mm, inclusive conexões</t>
  </si>
  <si>
    <t>46.03.050</t>
  </si>
  <si>
    <t>Tubo de PVC rígido PxB com virola e anel de borracha, linha esgoto série reforçada ´R´, DN= 100 mm, inclusive conexões</t>
  </si>
  <si>
    <t>46.03.060</t>
  </si>
  <si>
    <t>Tubo de PVC rígido PxB com virola e anel de borracha, linha esgoto série reforçada ´R´. DN= 150 mm, inclusive conexões</t>
  </si>
  <si>
    <t>46.03.080</t>
  </si>
  <si>
    <t>Tubo de PVC rígido, pontas lisas, soldável, linha esgoto série reforçada ´R´, DN= 40 mm, inclusive conexões</t>
  </si>
  <si>
    <t>46.04</t>
  </si>
  <si>
    <t>Tubulacao em PVC rigido com junta elastica - aducao e distribuicao de agua</t>
  </si>
  <si>
    <t>46.04.010</t>
  </si>
  <si>
    <t>Tubo de PVC rígido tipo PBA classe 15, DN= 50mm, (DE= 60mm), inclusive conexões</t>
  </si>
  <si>
    <t>46.04.020</t>
  </si>
  <si>
    <t>Tubo de PVC rígido tipo PBA classe 15, DN= 75mm, (DE= 85mm), inclusive conexões</t>
  </si>
  <si>
    <t>46.04.030</t>
  </si>
  <si>
    <t>Tubo de PVC rígido tipo PBA classe 15, DN= 100mm, (DE= 110mm), inclusive conexões</t>
  </si>
  <si>
    <t>46.04.040</t>
  </si>
  <si>
    <t>Tubo de PVC rígido DEFoFo, DN= 100mm (DE= 118mm), inclusive conexões</t>
  </si>
  <si>
    <t>46.04.050</t>
  </si>
  <si>
    <t>Tubo de PVC rígido DEFoFo, DN= 150mm (DE= 170mm), inclusive conexões</t>
  </si>
  <si>
    <t>46.04.070</t>
  </si>
  <si>
    <t>Tubo de PVC rígido DEFoFo, DN= 200mm (DE= 222mm), inclusive conexões</t>
  </si>
  <si>
    <t>46.04.080</t>
  </si>
  <si>
    <t>Tubo de PVC rígido DEFoFo, DN= 250mm (DE= 274mm), inclusive conexões</t>
  </si>
  <si>
    <t>46.04.090</t>
  </si>
  <si>
    <t>Tubo de PVC rígido DEFoFo, DN= 300mm (DE= 326mm), inclusive conexões</t>
  </si>
  <si>
    <t>46.05</t>
  </si>
  <si>
    <t>Tubulacao em PVC rigido com junta elastica - rede de esgoto</t>
  </si>
  <si>
    <t>46.05.020</t>
  </si>
  <si>
    <t>Tubo PVC rígido, tipo Coletor Esgoto, junta elástica, DN= 100 mm, inclusive conexões</t>
  </si>
  <si>
    <t>46.05.040</t>
  </si>
  <si>
    <t>Tubo PVC rígido, tipo Coletor Esgoto, junta elástica, DN= 150 mm, inclusive conexões</t>
  </si>
  <si>
    <t>46.05.050</t>
  </si>
  <si>
    <t>Tubo PVC rígido, tipo Coletor Esgoto, junta elástica, DN= 200 mm, inclusive conexões</t>
  </si>
  <si>
    <t>46.05.060</t>
  </si>
  <si>
    <t>Tubo PVC rígido, tipo Coletor Esgoto, junta elástica, DN= 250 mm, inclusive conexões</t>
  </si>
  <si>
    <t>46.05.070</t>
  </si>
  <si>
    <t>Tubo PVC rígido, tipo Coletor Esgoto, junta elástica, DN= 300 mm, inclusive conexões</t>
  </si>
  <si>
    <t>46.05.090</t>
  </si>
  <si>
    <t>Tubo PVC rígido, tipo Coletor Esgoto, junta elástica, DN= 400 mm, inclusive conexões</t>
  </si>
  <si>
    <t>46.07</t>
  </si>
  <si>
    <t>Tubulacao galvanizado</t>
  </si>
  <si>
    <t>46.07.010</t>
  </si>
  <si>
    <t>Tubo galvanizado DN= 1/2´, inclusive conexões</t>
  </si>
  <si>
    <t>46.07.020</t>
  </si>
  <si>
    <t>Tubo galvanizado DN= 3/4´, inclusive conexões</t>
  </si>
  <si>
    <t>46.07.030</t>
  </si>
  <si>
    <t>Tubo galvanizado DN= 1´, inclusive conexões</t>
  </si>
  <si>
    <t>46.07.040</t>
  </si>
  <si>
    <t>Tubo galvanizado DN= 1 1/4´, inclusive conexões</t>
  </si>
  <si>
    <t>46.07.050</t>
  </si>
  <si>
    <t>Tubo galvanizado DN= 1 1/2´, inclusive conexões</t>
  </si>
  <si>
    <t>46.07.060</t>
  </si>
  <si>
    <t>Tubo galvanizado DN= 2´, inclusive conexões</t>
  </si>
  <si>
    <t>46.07.070</t>
  </si>
  <si>
    <t>Tubo galvanizado DN= 2 1/2´, inclusive conexões</t>
  </si>
  <si>
    <t>46.07.080</t>
  </si>
  <si>
    <t>Tubo galvanizado DN= 3´, inclusive conexões</t>
  </si>
  <si>
    <t>46.07.090</t>
  </si>
  <si>
    <t>Tubo galvanizado DN= 4´, inclusive conexões</t>
  </si>
  <si>
    <t>46.07.100</t>
  </si>
  <si>
    <t>Tubo galvanizado DN= 6´, inclusive conexões</t>
  </si>
  <si>
    <t>46.08</t>
  </si>
  <si>
    <t>Tubulacao em aco carbono galvanizado classe schedule</t>
  </si>
  <si>
    <t>46.08.006</t>
  </si>
  <si>
    <t>Tubo galvanizado sem costura schedule 40, DN= 1/2´, inclusive conexões</t>
  </si>
  <si>
    <t>46.08.010</t>
  </si>
  <si>
    <t>Tubo galvanizado sem costura schedule 40, DN= 3/4´, inclusive conexões</t>
  </si>
  <si>
    <t>46.08.020</t>
  </si>
  <si>
    <t>Tubo galvanizado sem costura schedule 40, DN= 1´, inclusive conexões</t>
  </si>
  <si>
    <t>46.08.030</t>
  </si>
  <si>
    <t>Tubo galvanizado sem costura schedule 40, DN= 1 1/4´, inclusive conexões</t>
  </si>
  <si>
    <t>46.08.040</t>
  </si>
  <si>
    <t>Tubo galvanizado sem costura schedule 40, DN= 1 1/2´, inclusive conexões</t>
  </si>
  <si>
    <t>46.08.050</t>
  </si>
  <si>
    <t>Tubo galvanizado sem costura schedule 40, DN= 2´, inclusive conexões</t>
  </si>
  <si>
    <t>46.08.070</t>
  </si>
  <si>
    <t>Tubo galvanizado sem costura schedule 40, DN= 2 1/2´, inclusive conexões</t>
  </si>
  <si>
    <t>46.08.080</t>
  </si>
  <si>
    <t>Tubo galvanizado sem costura schedule 40, DN= 3´, inclusive conexões</t>
  </si>
  <si>
    <t>46.08.100</t>
  </si>
  <si>
    <t>Tubo galvanizado sem costura schedule 40, DN= 4´, inclusive conexões</t>
  </si>
  <si>
    <t>46.08.110</t>
  </si>
  <si>
    <t>Tubo galvanizado sem costura schedule 40, DN= 6´, inclusive conexões</t>
  </si>
  <si>
    <t>46.09</t>
  </si>
  <si>
    <t>Conexoes e acessorios em ferro fundido, predial e tradicional, esgoto e pluvial</t>
  </si>
  <si>
    <t>46.09.050</t>
  </si>
  <si>
    <t>Joelho 45° em ferro fundido, linha predial tradicional, DN= 50 mm</t>
  </si>
  <si>
    <t>46.09.060</t>
  </si>
  <si>
    <t>Joelho 45° em ferro fundido, linha predial tradicional, DN= 75 mm</t>
  </si>
  <si>
    <t>46.09.070</t>
  </si>
  <si>
    <t>Joelho 45° em ferro fundido, linha predial tradicional, DN= 100 mm</t>
  </si>
  <si>
    <t>46.09.080</t>
  </si>
  <si>
    <t>Joelho 45° em ferro fundido, linha predial tradicional, DN= 150 mm</t>
  </si>
  <si>
    <t>46.09.100</t>
  </si>
  <si>
    <t>Joelho 87° 30´ em ferro fundido, linha predial tradicional, DN= 50 mm</t>
  </si>
  <si>
    <t>46.09.110</t>
  </si>
  <si>
    <t>Joelho 87° 30´ em ferro fundido, linha predial tradicional, DN= 75 mm</t>
  </si>
  <si>
    <t>46.09.120</t>
  </si>
  <si>
    <t>Joelho 87° 30´ em ferro fundido, linha predial tradicional, DN= 100 mm</t>
  </si>
  <si>
    <t>46.09.130</t>
  </si>
  <si>
    <t>Joelho 87° 30´ em ferro fundido, linha predial tradicional, DN= 150 mm</t>
  </si>
  <si>
    <t>46.09.150</t>
  </si>
  <si>
    <t>Luva bolsa e bolsa em ferro fundido, linha predial tradicional, DN= 50 mm</t>
  </si>
  <si>
    <t>46.09.160</t>
  </si>
  <si>
    <t>Luva bolsa e bolsa em ferro fundido, linha predial tradicional, DN= 75 mm</t>
  </si>
  <si>
    <t>46.09.170</t>
  </si>
  <si>
    <t>Luva bolsa e bolsa em ferro fundido, linha predial tradicional, DN= 100 mm</t>
  </si>
  <si>
    <t>46.09.180</t>
  </si>
  <si>
    <t>Luva bolsa e bolsa em ferro fundido, linha predial tradicional, DN= 150 mm</t>
  </si>
  <si>
    <t>46.09.200</t>
  </si>
  <si>
    <t>Placa cega em ferro fundido, linha predial tradicional, DN= 75 mm</t>
  </si>
  <si>
    <t>46.09.210</t>
  </si>
  <si>
    <t>Placa cega em ferro fundido, linha predial tradicional, DN= 100 mm</t>
  </si>
  <si>
    <t>46.09.230</t>
  </si>
  <si>
    <t>Junção 45° em ferro fundido, linha predial tradicional, DN= 50 x 50 mm</t>
  </si>
  <si>
    <t>46.09.240</t>
  </si>
  <si>
    <t>Junção 45° em ferro fundido, linha predial tradicional, DN= 75 x 50 mm</t>
  </si>
  <si>
    <t>46.09.250</t>
  </si>
  <si>
    <t>Junção 45° em ferro fundido, linha predial tradicional, DN= 75 x 75 mm</t>
  </si>
  <si>
    <t>46.09.260</t>
  </si>
  <si>
    <t>Junção 45° em ferro fundido, linha predial tradicional, DN= 100 x 50 mm</t>
  </si>
  <si>
    <t>46.09.270</t>
  </si>
  <si>
    <t>Junção 45° em ferro fundido, linha predial tradicional, DN= 100 x 75 mm</t>
  </si>
  <si>
    <t>46.09.280</t>
  </si>
  <si>
    <t>Junção 45° em ferro fundido, linha predial tradicional, DN= 100 x 100 mm</t>
  </si>
  <si>
    <t>46.09.290</t>
  </si>
  <si>
    <t>Junção 45° em ferro fundido, linha predial tradicional, DN= 150 x 100 mm</t>
  </si>
  <si>
    <t>46.09.300</t>
  </si>
  <si>
    <t>Junção dupla 45° em ferro fundido, linha predial tradicional, DN= 100 mm</t>
  </si>
  <si>
    <t>46.09.320</t>
  </si>
  <si>
    <t>Te sanitário 87° 30´ em ferro fundido, linha predial tradicional, DN= 50 x 50 mm</t>
  </si>
  <si>
    <t>46.09.330</t>
  </si>
  <si>
    <t>Te sanitário 87° 30´ em ferro fundido, linha predial tradicional, DN= 75 x 50 mm</t>
  </si>
  <si>
    <t>46.09.340</t>
  </si>
  <si>
    <t>Te sanitário 87° 30´ em ferro fundido, linha predial tradicional, DN= 75 x 75 mm</t>
  </si>
  <si>
    <t>46.09.350</t>
  </si>
  <si>
    <t>Te sanitário 87° 30´ em ferro fundido, linha predial tradicional, DN= 100 x 50 mm</t>
  </si>
  <si>
    <t>46.09.360</t>
  </si>
  <si>
    <t>Te sanitário 87° 30´ em ferro fundido, linha predial tradicional, DN= 100 x 75 mm</t>
  </si>
  <si>
    <t>46.09.370</t>
  </si>
  <si>
    <t>Te sanitário 87° 30´ em ferro fundido, linha predial tradicional, DN= 100 x 100 mm</t>
  </si>
  <si>
    <t>46.09.400</t>
  </si>
  <si>
    <t>Bucha de redução em ferro fundido, linha predial tradicional, DN= 75 x 50 mm</t>
  </si>
  <si>
    <t>46.09.410</t>
  </si>
  <si>
    <t>Bucha de redução em ferro fundido, linha predial tradicional, DN= 100 x 75 mm</t>
  </si>
  <si>
    <t>46.09.420</t>
  </si>
  <si>
    <t>Bucha de redução em ferro fundido, linha predial tradicional, DN= 150 x 100 mm</t>
  </si>
  <si>
    <t>46.10</t>
  </si>
  <si>
    <t>Tubulacao em cobre para agua quente, gas e vapor</t>
  </si>
  <si>
    <t>46.10.010</t>
  </si>
  <si>
    <t>Tubo de cobre classe A, DN= 15mm (1/2´), inclusive conexões</t>
  </si>
  <si>
    <t>46.10.020</t>
  </si>
  <si>
    <t>Tubo de cobre classe A, DN= 22mm (3/4´), inclusive conexões</t>
  </si>
  <si>
    <t>46.10.030</t>
  </si>
  <si>
    <t>Tubo de cobre classe A, DN= 28mm (1´), inclusive conexões</t>
  </si>
  <si>
    <t>46.10.040</t>
  </si>
  <si>
    <t>Tubo de cobre classe A, DN= 35mm (1 1/4´), inclusive conexões</t>
  </si>
  <si>
    <t>46.10.050</t>
  </si>
  <si>
    <t>Tubo de cobre classe A, DN= 42mm (1 1/2´), inclusive conexões</t>
  </si>
  <si>
    <t>46.10.060</t>
  </si>
  <si>
    <t>Tubo de cobre classe A, DN= 54mm (2´), inclusive conexões</t>
  </si>
  <si>
    <t>46.10.070</t>
  </si>
  <si>
    <t>Tubo de cobre classe A, DN= 66mm (2 1/2´), inclusive conexões</t>
  </si>
  <si>
    <t>46.10.080</t>
  </si>
  <si>
    <t>Tubo de cobre classe A, DN= 79mm (3´), inclusive conexões</t>
  </si>
  <si>
    <t>46.10.090</t>
  </si>
  <si>
    <t>Tubo de cobre classe A, DN= 104mm (4´), inclusive conexões</t>
  </si>
  <si>
    <t>46.10.200</t>
  </si>
  <si>
    <t>Tubo de cobre classe E, DN= 22mm (3/4´), inclusive conexões</t>
  </si>
  <si>
    <t>46.10.210</t>
  </si>
  <si>
    <t>Tubo de cobre classe E, DN= 28mm (1´), inclusive conexões</t>
  </si>
  <si>
    <t>46.10.220</t>
  </si>
  <si>
    <t>Tubo de cobre classe E, DN= 35mm (1 1/4´), inclusive conexões</t>
  </si>
  <si>
    <t>46.10.230</t>
  </si>
  <si>
    <t>Tubo de cobre classe E, DN= 42mm (1 1/2´), inclusive conexões</t>
  </si>
  <si>
    <t>46.10.240</t>
  </si>
  <si>
    <t>Tubo de cobre classe E, DN= 54mm (2´), inclusive conexões</t>
  </si>
  <si>
    <t>46.10.250</t>
  </si>
  <si>
    <t>Tubo de cobre classe E, DN= 66mm (2 1/2´), inclusive conexões</t>
  </si>
  <si>
    <t>46.12</t>
  </si>
  <si>
    <t>Tubulacao em concreto para rede de aguas pluviais</t>
  </si>
  <si>
    <t>46.12.010</t>
  </si>
  <si>
    <t>Tubo de concreto (PS-1), DN= 300mm</t>
  </si>
  <si>
    <t>46.12.020</t>
  </si>
  <si>
    <t>Tubo de concreto (PS-1), DN= 400mm</t>
  </si>
  <si>
    <t>46.12.050</t>
  </si>
  <si>
    <t>Tubo de concreto (PS-2), DN= 300mm</t>
  </si>
  <si>
    <t>46.12.060</t>
  </si>
  <si>
    <t>Tubo de concreto (PS-2), DN= 400mm</t>
  </si>
  <si>
    <t>46.12.070</t>
  </si>
  <si>
    <t>Tubo de concreto (PS-2), DN= 500mm</t>
  </si>
  <si>
    <t>46.12.080</t>
  </si>
  <si>
    <t>Tubo de concreto (PA-1), DN= 600mm</t>
  </si>
  <si>
    <t>46.12.100</t>
  </si>
  <si>
    <t>Tubo de concreto (PA-1), DN= 800mm</t>
  </si>
  <si>
    <t>46.12.120</t>
  </si>
  <si>
    <t>Tubo de concreto (PA-1), DN= 1000mm</t>
  </si>
  <si>
    <t>46.12.140</t>
  </si>
  <si>
    <t>Tubo de concreto (PA-1), DN= 1200mm</t>
  </si>
  <si>
    <t>46.12.150</t>
  </si>
  <si>
    <t>Tubo de concreto (PA-2), DN= 600mm</t>
  </si>
  <si>
    <t>46.12.160</t>
  </si>
  <si>
    <t>Tubo de concreto (PA-2), DN= 800mm</t>
  </si>
  <si>
    <t>46.12.170</t>
  </si>
  <si>
    <t>Tubo de concreto (PA-2), DN= 1000mm</t>
  </si>
  <si>
    <t>46.12.180</t>
  </si>
  <si>
    <t>Tubo de concreto (PA-3), DN= 600mm</t>
  </si>
  <si>
    <t>46.12.190</t>
  </si>
  <si>
    <t>Tubo de concreto (PA-3), DN= 800mm</t>
  </si>
  <si>
    <t>46.12.200</t>
  </si>
  <si>
    <t>Tubo de concreto (PA-3), DN= 1000mm</t>
  </si>
  <si>
    <t>46.12.210</t>
  </si>
  <si>
    <t>Meio tubo de concreto, DN= 300mm</t>
  </si>
  <si>
    <t>46.12.220</t>
  </si>
  <si>
    <t>Meio tubo de concreto, DN= 400mm</t>
  </si>
  <si>
    <t>46.12.240</t>
  </si>
  <si>
    <t>Meio tubo de concreto, DN= 600mm</t>
  </si>
  <si>
    <t>46.12.250</t>
  </si>
  <si>
    <t>Tubo de concreto (PA-2), DN= 1500mm</t>
  </si>
  <si>
    <t>46.12.260</t>
  </si>
  <si>
    <t>Tubo de concreto (PA-1), DN= 400mm</t>
  </si>
  <si>
    <t>46.12.270</t>
  </si>
  <si>
    <t>Tubo de concreto (PA-2), DN= 400mm</t>
  </si>
  <si>
    <t>46.12.280</t>
  </si>
  <si>
    <t>Tubo de concreto (PA-3), DN= 400mm</t>
  </si>
  <si>
    <t>46.12.290</t>
  </si>
  <si>
    <t>Tubo de concreto (PA-2), DN= 700mm</t>
  </si>
  <si>
    <t>46.12.300</t>
  </si>
  <si>
    <t>Tubo de concreto (PA-2), DN= 500mm</t>
  </si>
  <si>
    <t>46.12.310</t>
  </si>
  <si>
    <t>Tubo de concreto (PA-2), DN= 900mm</t>
  </si>
  <si>
    <t>46.12.320</t>
  </si>
  <si>
    <t>Tubo de concreto (PA-1), DN= 300mm</t>
  </si>
  <si>
    <t>46.12.330</t>
  </si>
  <si>
    <t>Tubo de concreto (PA-2), DN= 300mm</t>
  </si>
  <si>
    <t>46.12.340</t>
  </si>
  <si>
    <t>Meio tubo de concreto, DN= 200mm</t>
  </si>
  <si>
    <t>46.13</t>
  </si>
  <si>
    <t>Tubulacao em PEAD corrugado perfurado para rede drenagem</t>
  </si>
  <si>
    <t>46.13.006</t>
  </si>
  <si>
    <t>Tubo em polietileno de alta densidade corrugado perfurado, DN= 2 1/2´, inclusive conexões</t>
  </si>
  <si>
    <t>46.13.010</t>
  </si>
  <si>
    <t>Tubo em polietileno de alta densidade corrugado perfurado, DN= 3´, inclusive conexões</t>
  </si>
  <si>
    <t>46.13.020</t>
  </si>
  <si>
    <t>Tubo em polietileno de alta densidade corrugado perfurado, DN= 4´, inclusive conexões</t>
  </si>
  <si>
    <t>46.13.026</t>
  </si>
  <si>
    <t>Tubo em polietileno de alta densidade corrugado perfurado, DN= 6´, inclusive conexões</t>
  </si>
  <si>
    <t>46.13.030</t>
  </si>
  <si>
    <t>Tubo em polietileno de alta densidade corrugado perfurado, DN= 8´, inclusive conexões</t>
  </si>
  <si>
    <t>46.13.100</t>
  </si>
  <si>
    <t>Tubo em polietileno de alta densidade corrugado, DN/DI= 250 mm</t>
  </si>
  <si>
    <t>46.13.101</t>
  </si>
  <si>
    <t>Tubo em polietileno de alta densidade corrugado, DN/DI= 300 mm</t>
  </si>
  <si>
    <t>46.13.102</t>
  </si>
  <si>
    <t>Tubo em polietileno de alta densidade corrugado, DN/DI= 400 mm</t>
  </si>
  <si>
    <t>46.13.103</t>
  </si>
  <si>
    <t>Tubo em polietileno de alta densidade corrugado, DN/DI= 500 mm</t>
  </si>
  <si>
    <t>46.13.104</t>
  </si>
  <si>
    <t>Tubo em polietileno de alta densidade corrugado, DN/DI= 600 mm</t>
  </si>
  <si>
    <t>46.13.105</t>
  </si>
  <si>
    <t>Tubo em polietileno de alta densidade corrugado, DN/DI= 800 mm</t>
  </si>
  <si>
    <t>46.13.106</t>
  </si>
  <si>
    <t>Tubo em polietileno de alta densidade corrugado, DN/DI= 1000 mm</t>
  </si>
  <si>
    <t>46.13.107</t>
  </si>
  <si>
    <t>Tubo em polietileno de alta densidade corrugado, DN/DI= 1200 mm</t>
  </si>
  <si>
    <t>46.14</t>
  </si>
  <si>
    <t>Tubulacao em ferro ductil para redes de saneamento</t>
  </si>
  <si>
    <t>46.14.020</t>
  </si>
  <si>
    <t>Tubo de ferro fundido classe K-7 com junta elástica, DN= 150mm, inclusive conexões</t>
  </si>
  <si>
    <t>46.14.030</t>
  </si>
  <si>
    <t>Tubo de ferro fundido classe K-7 com junta elástica, DN= 200mm, inclusive conexões</t>
  </si>
  <si>
    <t>46.14.040</t>
  </si>
  <si>
    <t>Tubo de ferro fundido classe K-7 com junta elástica, DN= 250mm, inclusive conexões</t>
  </si>
  <si>
    <t>46.14.050</t>
  </si>
  <si>
    <t>Tubo de ferro fundido classe K-7 com junta elástica, DN= 350mm, inclusive conexões</t>
  </si>
  <si>
    <t>46.14.060</t>
  </si>
  <si>
    <t>Tubo de ferro fundido classe K-7 com junta elástica, DN= 300mm, inclusive conexões</t>
  </si>
  <si>
    <t>46.14.490</t>
  </si>
  <si>
    <t>Tubo de ferro fundido classe k-9 com junta elástica, DN= 80mm, inclusive conexões</t>
  </si>
  <si>
    <t>46.14.510</t>
  </si>
  <si>
    <t>Tubo de ferro fundido classe K-9 com junta elástica, DN= 100mm, inclusive conexões</t>
  </si>
  <si>
    <t>46.14.520</t>
  </si>
  <si>
    <t>Tubo de ferro fundido classe K-9 com junta elástica, DN= 150mm, inclusive conexões</t>
  </si>
  <si>
    <t>46.14.530</t>
  </si>
  <si>
    <t>Tubo de ferro fundido classe K-9 com junta elástica, DN= 200mm, inclusive conexões</t>
  </si>
  <si>
    <t>46.14.540</t>
  </si>
  <si>
    <t>Tubo de ferro fundido classe k-9 com junta elástica, DN= 250mm, inclusive conexões</t>
  </si>
  <si>
    <t>46.14.550</t>
  </si>
  <si>
    <t>Tubo de ferro fundido classe K-9 com junta elástica, DN= 300mm, inclusive conexões</t>
  </si>
  <si>
    <t>46.14.560</t>
  </si>
  <si>
    <t>Tubo de ferro fundido classe k-9 com junta elástica, DN= 350mm, inclusive conexões</t>
  </si>
  <si>
    <t>46.15</t>
  </si>
  <si>
    <t>Tubulacao em PEAD - recalque de tratamento de esgoto</t>
  </si>
  <si>
    <t>46.15.111</t>
  </si>
  <si>
    <t>Tubo em polietileno de alta densidade DE=160 mm - PN-10, inclusive conexões</t>
  </si>
  <si>
    <t>46.15.112</t>
  </si>
  <si>
    <t>Tubo em polietileno de alta densidade DE=200 mm - PN-10, inclusive conexões</t>
  </si>
  <si>
    <t>46.15.113</t>
  </si>
  <si>
    <t>Tubo em polietileno de alta densidade DE=225 mm - PN-10, inclusive conexões</t>
  </si>
  <si>
    <t>46.18</t>
  </si>
  <si>
    <t>Tubulacao flangeada em ferro ductil para redes de saneamento</t>
  </si>
  <si>
    <t>46.18.010</t>
  </si>
  <si>
    <t>Tubo em ferro fundido com ponta e ponta TCLA - DN= 80mm, sem juntas e conexões</t>
  </si>
  <si>
    <t>46.18.020</t>
  </si>
  <si>
    <t>Tubo em ferro fundido com ponta e ponta TCLA - DN= 100mm, sem juntas e conexões</t>
  </si>
  <si>
    <t>46.18.030</t>
  </si>
  <si>
    <t>Tubo em ferro fundido com ponta e ponta TCLA - DN= 150mm, sem juntas e conexões</t>
  </si>
  <si>
    <t>46.18.040</t>
  </si>
  <si>
    <t>Tubo em ferro fundido com ponta e ponta TCLA - DN= 200mm, sem juntas e conexões</t>
  </si>
  <si>
    <t>46.18.050</t>
  </si>
  <si>
    <t>Tubo em ferro fundido com ponta e ponta TCLA - DN= 250mm, sem juntas e conexões</t>
  </si>
  <si>
    <t>46.18.060</t>
  </si>
  <si>
    <t>Tubo em ferro fundido com ponta e ponta TCLA - DN= 300mm, sem juntas e conexões</t>
  </si>
  <si>
    <t>46.18.089</t>
  </si>
  <si>
    <t>Flange avulso em ferro fundido, classe PN-10, DN= 50mm</t>
  </si>
  <si>
    <t>46.18.090</t>
  </si>
  <si>
    <t>Flange avulso em ferro fundido, classe PN-10, DN= 80mm</t>
  </si>
  <si>
    <t>46.18.100</t>
  </si>
  <si>
    <t>Flange avulso em ferro fundido, classe PN-10, DN= 100mm</t>
  </si>
  <si>
    <t>46.18.110</t>
  </si>
  <si>
    <t>Flange avulso em ferro fundido, classe PN-10, DN= 150mm</t>
  </si>
  <si>
    <t>46.18.120</t>
  </si>
  <si>
    <t>Flange avulso em ferro fundido, classe PN-10, DN= 200mm</t>
  </si>
  <si>
    <t>46.18.130</t>
  </si>
  <si>
    <t>Flange avulso em ferro fundido, classe PN-10, DN= 250mm</t>
  </si>
  <si>
    <t>46.18.140</t>
  </si>
  <si>
    <t>Flange avulso em ferro fundido, classe PN-10, DN= 300mm</t>
  </si>
  <si>
    <t>46.18.168</t>
  </si>
  <si>
    <t>Curva de 90° em ferro fundido com flanges, classe PN-10, DN= 50mm</t>
  </si>
  <si>
    <t>46.18.170</t>
  </si>
  <si>
    <t>Curva de 90° em ferro fundido, com flanges, classe PN-10, DN= 80mm</t>
  </si>
  <si>
    <t>46.18.180</t>
  </si>
  <si>
    <t>Curva de 90° em ferro fundido, com flanges, classe PN-10, DN= 100mm</t>
  </si>
  <si>
    <t>46.18.190</t>
  </si>
  <si>
    <t>Curva de 90° em ferro fundido, com flanges, classe PN-10, DN= 150mm</t>
  </si>
  <si>
    <t>46.18.410</t>
  </si>
  <si>
    <t>Te em ferro fundido, com flanges, classe PN-10, DN= 80mm, com derivação de 80mm</t>
  </si>
  <si>
    <t>46.18.420</t>
  </si>
  <si>
    <t>Te em ferro fundido, com flanges, classe PN-10, DN= 100mm, com derivações de 80 até 100mm</t>
  </si>
  <si>
    <t>46.18.430</t>
  </si>
  <si>
    <t>Te em ferro fundido, com flanges, classe PN-10, DN= 150mm, com derivações de 80 até 150mm</t>
  </si>
  <si>
    <t>46.18.560</t>
  </si>
  <si>
    <t>Junta Gibault em ferro fundido, DN= 80mm, completa</t>
  </si>
  <si>
    <t>46.18.570</t>
  </si>
  <si>
    <t>Junta Gibault em ferro fundido, DN= 100 mm, completa</t>
  </si>
  <si>
    <t>46.19</t>
  </si>
  <si>
    <t>Tubulacao flangeada em ferro ductil para redes de saneamento.</t>
  </si>
  <si>
    <t>46.19.500</t>
  </si>
  <si>
    <t>Redução excêntrica em ferro fundido, com flanges, classe PN-10, DN= 100mm x 80mm</t>
  </si>
  <si>
    <t>46.19.510</t>
  </si>
  <si>
    <t>Redução excêntrica em ferro fundido, com flanges, classe PN-10, DN= 150mm x 80/100mm</t>
  </si>
  <si>
    <t>46.19.520</t>
  </si>
  <si>
    <t>Redução excêntrica em ferro fundido, com flanges, classe PN-10, DN= 200mm x 100/150mm</t>
  </si>
  <si>
    <t>46.19.530</t>
  </si>
  <si>
    <t>Redução excêntrica em ferro fundido, com flanges, classe PN-10, DN= 250mm x 150/200mm</t>
  </si>
  <si>
    <t>46.19.590</t>
  </si>
  <si>
    <t>Redução concêntrica em ferro fundido, com flanges, classe PN-10, DN= 80 x 50mm</t>
  </si>
  <si>
    <t>46.19.600</t>
  </si>
  <si>
    <t>Redução concêntrica em ferro fundido, com flanges, classe PN-10, DN= 100mm x 80mm</t>
  </si>
  <si>
    <t>46.19.610</t>
  </si>
  <si>
    <t>Redução concêntrica em ferro fundido, com flanges, classe PN-10, DN= 150mm x 80/100mm</t>
  </si>
  <si>
    <t>46.19.620</t>
  </si>
  <si>
    <t>Redução concêntrica em ferro fundido, com flanges, classe PN-10, DN= 200mm x 100/150mm</t>
  </si>
  <si>
    <t>46.19.630</t>
  </si>
  <si>
    <t>Redução concêntrica em ferro fundido, com flanges, classe PN-10, DN= 250mm x 150/200mm</t>
  </si>
  <si>
    <t>46.20</t>
  </si>
  <si>
    <t>Reparos, conservacoes e complementos - GRUPO 46</t>
  </si>
  <si>
    <t>46.20.010</t>
  </si>
  <si>
    <t>Assentamento de tubo de concreto com diâmetro até 600 mm</t>
  </si>
  <si>
    <t>46.20.020</t>
  </si>
  <si>
    <t>Assentamento de tubo de concreto com diâmetro de 700 até 1500 mm</t>
  </si>
  <si>
    <t>46.21</t>
  </si>
  <si>
    <t>Tubulacao em aco preto schedule</t>
  </si>
  <si>
    <t>46.21.012</t>
  </si>
  <si>
    <t>Tubo de aço carbono preto sem costura Schedule 40, DN= 1´ - inclusive conexões</t>
  </si>
  <si>
    <t>46.21.036</t>
  </si>
  <si>
    <t>Tubo de aço carbono preto sem costura Schedule 40, DN= 1 1/4´ - inclusive conexões</t>
  </si>
  <si>
    <t>46.21.040</t>
  </si>
  <si>
    <t>Tubo de aço carbono preto sem costura Schedule 40, DN= 1 1/2´ - inclusive conexões</t>
  </si>
  <si>
    <t>46.21.046</t>
  </si>
  <si>
    <t>Tubo de aço carbono preto sem costura Schedule 40, DN= 2´ - inclusive conexões</t>
  </si>
  <si>
    <t>46.21.056</t>
  </si>
  <si>
    <t>Tubo de aço carbono preto sem costura Schedule 40, DN= 2 1/2´ - inclusive conexões</t>
  </si>
  <si>
    <t>46.21.060</t>
  </si>
  <si>
    <t>Tubo de aço carbono preto sem costura Schedule 40, DN= 3´ - inclusive conexões</t>
  </si>
  <si>
    <t>46.21.066</t>
  </si>
  <si>
    <t>Tubo de aço carbono preto sem costura Schedule 40, DN= 3 1/2´ - inclusive conexões</t>
  </si>
  <si>
    <t>46.21.080</t>
  </si>
  <si>
    <t>Tubo de aço carbono preto sem costura Schedule 40, DN= 4´ - inclusive conexões</t>
  </si>
  <si>
    <t>46.21.090</t>
  </si>
  <si>
    <t>Tubo de aço carbono preto sem costura Schedule 40, DN= 5´ - inclusive conexões</t>
  </si>
  <si>
    <t>46.21.100</t>
  </si>
  <si>
    <t>Tubo de aço carbono preto sem costura Schedule 40, DN= 6´ - inclusive conexões</t>
  </si>
  <si>
    <t>46.21.110</t>
  </si>
  <si>
    <t>Tubo de aço carbono preto sem costura Schedule 40, DN= 8´ - inclusive conexões</t>
  </si>
  <si>
    <t>46.21.140</t>
  </si>
  <si>
    <t>Tubo de aço carbono preto com costura Schedule 40, DN= 10´ - inclusive conexões</t>
  </si>
  <si>
    <t>46.21.150</t>
  </si>
  <si>
    <t>Tubo de aço carbono preto com costura Schedule 40, DN= 12´ - inclusive conexões</t>
  </si>
  <si>
    <t>46.23</t>
  </si>
  <si>
    <t>Tubulacao em concreto para rede de esgoto sanitario</t>
  </si>
  <si>
    <t>46.23.110</t>
  </si>
  <si>
    <t>Tubo de concreto classe EA-3, DN= 400 mm</t>
  </si>
  <si>
    <t>46.23.120</t>
  </si>
  <si>
    <t>Tubo de concreto classe EA-3, DN= 500 mm</t>
  </si>
  <si>
    <t>46.23.130</t>
  </si>
  <si>
    <t>Tubo de concreto classe EA-3, DN= 600 mm</t>
  </si>
  <si>
    <t>46.23.140</t>
  </si>
  <si>
    <t>Tubo de concreto classe EA-3, DN= 700 mm</t>
  </si>
  <si>
    <t>46.23.150</t>
  </si>
  <si>
    <t>Tubo de concreto classe EA-3, DN= 800 mm</t>
  </si>
  <si>
    <t>46.23.160</t>
  </si>
  <si>
    <t>Tubo de concreto classe EA-3, DN= 900 mm</t>
  </si>
  <si>
    <t>46.23.170</t>
  </si>
  <si>
    <t>Tubo de concreto classe EA-3, DN= 1000 mm</t>
  </si>
  <si>
    <t>46.23.180</t>
  </si>
  <si>
    <t>Tubo de concreto classe EA-3, DN= 1200 mm</t>
  </si>
  <si>
    <t>46.26</t>
  </si>
  <si>
    <t>Tubulacao em ferro fundido predial SMU - esgoto e pluvial</t>
  </si>
  <si>
    <t>46.26.010</t>
  </si>
  <si>
    <t>Tubo em ferro fundido com ponta e ponta, predial SMU, DN= 50 mm</t>
  </si>
  <si>
    <t>46.26.020</t>
  </si>
  <si>
    <t>Tubo em ferro fundido com ponta e ponta, predial SMU, DN= 75 mm</t>
  </si>
  <si>
    <t>46.26.030</t>
  </si>
  <si>
    <t>Tubo em ferro fundido com ponta e ponta, predial SMU, DN= 100 mm</t>
  </si>
  <si>
    <t>46.26.040</t>
  </si>
  <si>
    <t>Tubo em ferro fundido com ponta e ponta, predial SMU, DN= 150 mm</t>
  </si>
  <si>
    <t>46.26.050</t>
  </si>
  <si>
    <t>Tubo em ferro fundido com ponta e ponta, predial SMU, DN= 200 mm</t>
  </si>
  <si>
    <t>46.26.060</t>
  </si>
  <si>
    <t>Junta de união em aço inoxidável para tubo em ferro fundido predial SMU, DN= 50 mm</t>
  </si>
  <si>
    <t>46.26.070</t>
  </si>
  <si>
    <t>Junta de união em aço inoxidável para tubo em ferro fundido predial SMU, DN= 75 mm</t>
  </si>
  <si>
    <t>46.26.080</t>
  </si>
  <si>
    <t>Junta de união em aço inoxidável para tubo em ferro fundido predial SMU, DN= 100 mm</t>
  </si>
  <si>
    <t>46.26.090</t>
  </si>
  <si>
    <t>Junta de união em aço inoxidável para tubo em ferro fundido predial SMU, DN= 150 mm</t>
  </si>
  <si>
    <t>46.26.100</t>
  </si>
  <si>
    <t>Junta de união em aço inoxidável para tubo em ferro fundido predial SMU, DN= 200 mm</t>
  </si>
  <si>
    <t>46.26.110</t>
  </si>
  <si>
    <t>Conjunto de ancoragem para tubo em ferro fundido predial SMU, DN= 50 mm</t>
  </si>
  <si>
    <t>46.26.120</t>
  </si>
  <si>
    <t>Conjunto de ancoragem para tubo em ferro fundido predial SMU, DN= 75 mm</t>
  </si>
  <si>
    <t>46.26.130</t>
  </si>
  <si>
    <t>Conjunto de ancoragem para tubo em ferro fundido predial SMU, DN= 100 mm</t>
  </si>
  <si>
    <t>46.26.136</t>
  </si>
  <si>
    <t>Conjunto de ancoragem para tubo em ferro fundido predial SMU, DN= 125 mm</t>
  </si>
  <si>
    <t>46.26.140</t>
  </si>
  <si>
    <t>Conjunto de ancoragem para tubo em ferro fundido predial SMU, DN= 150 mm</t>
  </si>
  <si>
    <t>46.26.150</t>
  </si>
  <si>
    <t>Conjunto de ancoragem para tubo em ferro fundido predial SMU, DN= 200 mm</t>
  </si>
  <si>
    <t>46.26.200</t>
  </si>
  <si>
    <t>Tubo em ferro fundido com ponta e ponta, predial SMU, DN= 125 mm</t>
  </si>
  <si>
    <t>46.26.210</t>
  </si>
  <si>
    <t>Tubo em ferro fundido com ponta e ponta, predial SMU, DN= 250 mm</t>
  </si>
  <si>
    <t>46.26.400</t>
  </si>
  <si>
    <t>Joelho 45° em ferro fundido, predial SMU, DN= 50 mm</t>
  </si>
  <si>
    <t>46.26.410</t>
  </si>
  <si>
    <t>Joelho 45° em ferro fundido, predial SMU, DN= 75 mm</t>
  </si>
  <si>
    <t>46.26.420</t>
  </si>
  <si>
    <t>Joelho 45° em ferro fundido, predial SMU, DN= 100 mm</t>
  </si>
  <si>
    <t>46.26.426</t>
  </si>
  <si>
    <t>Joelho 45° em ferro fundido, predial SMU, DN= 125 mm</t>
  </si>
  <si>
    <t>46.26.430</t>
  </si>
  <si>
    <t>Joelho 45° em ferro fundido, predial SMU, DN= 150 mm</t>
  </si>
  <si>
    <t>46.26.440</t>
  </si>
  <si>
    <t>Joelho 45° em ferro fundido, predial SMU, DN= 200 mm</t>
  </si>
  <si>
    <t>46.26.460</t>
  </si>
  <si>
    <t>Joelho 88° em ferro fundido, predial SMU, DN= 50 mm</t>
  </si>
  <si>
    <t>46.26.470</t>
  </si>
  <si>
    <t>Joelho 88° em ferro fundido, predial SMU, DN= 75 mm</t>
  </si>
  <si>
    <t>46.26.480</t>
  </si>
  <si>
    <t>Joelho 88° em ferro fundido, predial SMU, DN= 100 mm</t>
  </si>
  <si>
    <t>46.26.490</t>
  </si>
  <si>
    <t>Joelho 88° em ferro fundido, predial SMU, DN= 150 mm</t>
  </si>
  <si>
    <t>46.26.500</t>
  </si>
  <si>
    <t>Joelho 88° em ferro fundido, predial SMU, DN= 200 mm</t>
  </si>
  <si>
    <t>46.26.510</t>
  </si>
  <si>
    <t>Junção 45° em ferro fundido, predial SMU, DN= 50 x 50 mm</t>
  </si>
  <si>
    <t>46.26.516</t>
  </si>
  <si>
    <t>Junção 45° em ferro fundido, predial SMU, DN= 75 x 50 mm</t>
  </si>
  <si>
    <t>46.26.520</t>
  </si>
  <si>
    <t>Junção 45° em ferro fundido, predial SMU, DN= 75 x 75 mm</t>
  </si>
  <si>
    <t>46.26.540</t>
  </si>
  <si>
    <t>Junção 45° em ferro fundido, predial SMU, DN= 100 x 75 mm</t>
  </si>
  <si>
    <t>46.26.550</t>
  </si>
  <si>
    <t>Junção 45° em ferro fundido, predial SMU, DN= 100 x 100 mm</t>
  </si>
  <si>
    <t>46.26.560</t>
  </si>
  <si>
    <t>Junção 45° em ferro fundido, predial SMU, DN= 150 x 150 mm</t>
  </si>
  <si>
    <t>46.26.580</t>
  </si>
  <si>
    <t>Junta de união em aço inoxidável para tubo em ferro fundido predial SMU, DN= 125 mm</t>
  </si>
  <si>
    <t>46.26.590</t>
  </si>
  <si>
    <t>Junta de união em aço inoxidável para tubo em ferro fundido predial SMU, DN= 250 mm</t>
  </si>
  <si>
    <t>46.26.600</t>
  </si>
  <si>
    <t>Redução excêntrica em ferro fundido, predial SMU, DN= 75 x 50 mm</t>
  </si>
  <si>
    <t>46.26.610</t>
  </si>
  <si>
    <t>Redução excêntrica em ferro fundido, predial SMU, DN= 100 x 75 mm</t>
  </si>
  <si>
    <t>46.26.612</t>
  </si>
  <si>
    <t>Redução excêntrica em ferro fundido, predial SMU, DN= 125 x 75 mm</t>
  </si>
  <si>
    <t>46.26.614</t>
  </si>
  <si>
    <t>Redução excêntrica em ferro fundido, predial SMU, DN= 125 x 100 mm</t>
  </si>
  <si>
    <t>46.26.616</t>
  </si>
  <si>
    <t>Redução excêntrica em ferro fundido, predial SMU, DN= 150 x 75 mm</t>
  </si>
  <si>
    <t>46.26.632</t>
  </si>
  <si>
    <t>Redução excêntrica em ferro fundido, predial SMU, DN= 150 x 100 mm</t>
  </si>
  <si>
    <t>46.26.636</t>
  </si>
  <si>
    <t>Redução excêntrica em ferro fundido, predial SMU, DN= 200 x 125 mm</t>
  </si>
  <si>
    <t>46.26.640</t>
  </si>
  <si>
    <t>Redução excêntrica em ferro fundido, predial SMU, DN= 200 x 150 mm</t>
  </si>
  <si>
    <t>46.26.690</t>
  </si>
  <si>
    <t>Redução excêntrica em ferro fundido, predial SMU, DN= 250 x 200 mm</t>
  </si>
  <si>
    <t>46.26.700</t>
  </si>
  <si>
    <t>Te de visita em ferro fundido, predial SMU, DN= 75 mm</t>
  </si>
  <si>
    <t>46.26.710</t>
  </si>
  <si>
    <t>Te de visita em ferro fundido, predial SMU, DN= 100 mm</t>
  </si>
  <si>
    <t>46.26.720</t>
  </si>
  <si>
    <t>Te de visita em ferro fundido, predial SMU, DN= 125 mm</t>
  </si>
  <si>
    <t>46.26.730</t>
  </si>
  <si>
    <t>Te de visita em ferro fundido, predial SMU, DN= 150 mm</t>
  </si>
  <si>
    <t>46.26.740</t>
  </si>
  <si>
    <t>Te de visita em ferro fundido, predial SMU, DN= 200 mm</t>
  </si>
  <si>
    <t>46.26.800</t>
  </si>
  <si>
    <t>Abraçadeira dentada para travamento em aço inoxidável, com parafuso de aço zincado, para tubo em ferro fundido predial SMU, DN= 50 mm</t>
  </si>
  <si>
    <t>46.26.810</t>
  </si>
  <si>
    <t>Abraçadeira dentada para travamento em aço inoxidável, com parafuso de aço zincado, para tubo em ferro fundido predial SMU, DN= 75 mm</t>
  </si>
  <si>
    <t>46.26.820</t>
  </si>
  <si>
    <t>Abraçadeira dentada para travamento em aço inoxidável, com parafuso de aço zincado, para tubo em ferro fundido predial SMU, DN= 100 mm</t>
  </si>
  <si>
    <t>46.26.830</t>
  </si>
  <si>
    <t>Abraçadeira dentada para travamento em aço inoxidável, com parafuso de aço zincado, para tubo em ferro fundido predial SMU, DN= 150 mm</t>
  </si>
  <si>
    <t>46.26.840</t>
  </si>
  <si>
    <t>Tampão simples em ferro fundido, predial SMU, DN= 150 mm</t>
  </si>
  <si>
    <t>46.26.843</t>
  </si>
  <si>
    <t>Tampão simples em ferro fundido, predial SMU, DN= 200 mm</t>
  </si>
  <si>
    <t>46.26.900</t>
  </si>
  <si>
    <t>Junção 45° em ferro fundido, predial SMU, DN= 125 x 100 mm</t>
  </si>
  <si>
    <t>46.26.910</t>
  </si>
  <si>
    <t>Junção 45° em ferro fundido, predial SMU, DN= 150 x 100 mm</t>
  </si>
  <si>
    <t>46.26.920</t>
  </si>
  <si>
    <t>Junção 45° em ferro fundido, predial SMU, DN= 200 x 100 mm</t>
  </si>
  <si>
    <t>46.26.930</t>
  </si>
  <si>
    <t>Junção 45° em ferro fundido, predial SMU, DN= 200 x 200 mm</t>
  </si>
  <si>
    <t>46.27</t>
  </si>
  <si>
    <t>Tubulacao em cobre, para sistema de ar condicionado</t>
  </si>
  <si>
    <t>46.27.050</t>
  </si>
  <si>
    <t>Tubo de cobre flexível, espessura 1/32" - diâmetro 3/16", inclusive conexões</t>
  </si>
  <si>
    <t>46.27.060</t>
  </si>
  <si>
    <t>Tubo de cobre flexível, espessura 1/32" - diâmetro 1/4", inclusive conexões</t>
  </si>
  <si>
    <t>46.27.070</t>
  </si>
  <si>
    <t>Tubo de cobre flexível, espessura 1/32" - diâmetro 5/16",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</si>
  <si>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</si>
  <si>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</si>
  <si>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</si>
  <si>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</si>
  <si>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46.27.100</t>
  </si>
  <si>
    <t>Tubo de cobre flexível, espessura 1/32" - diâmetro 5/8", inclusive conexões</t>
  </si>
  <si>
    <t>46.27.110</t>
  </si>
  <si>
    <t>Tubo de cobre flexível, espessura 1/32" - diâmetro 3/4", inclusive conexões</t>
  </si>
  <si>
    <t>46.32</t>
  </si>
  <si>
    <t>Tubulacao em cobre rigido, para sistema VRF de ar condicionado</t>
  </si>
  <si>
    <t>46.32.001</t>
  </si>
  <si>
    <t>Tubo de cobre sem costura, rígido, espessura 1/16" - diâmetro 3/8", inclusive conexões</t>
  </si>
  <si>
    <t>46.32.002</t>
  </si>
  <si>
    <t>Tubo de cobre sem costura, rígido, espessura 1/16" - diâmetro 1/2", inclusive conexões</t>
  </si>
  <si>
    <t>46.32.003</t>
  </si>
  <si>
    <t>Tubo de cobre sem costura, rígido, espessura 1/16" - diâmetro 5/8", inclusive conexões</t>
  </si>
  <si>
    <t>46.32.004</t>
  </si>
  <si>
    <t>Tubo de cobre sem costura, rígido, espessura 1/16" - diâmetro 3/4", inclusive conexões</t>
  </si>
  <si>
    <t>46.32.005</t>
  </si>
  <si>
    <t>Tubo de cobre sem costura, rígido, espessura 1/16" - diâmetro 7/8", inclusive conexões</t>
  </si>
  <si>
    <t>46.32.006</t>
  </si>
  <si>
    <t>Tubo de cobre sem costura, rígido, espessura 1/16" - diâmetro 1", inclusive conexões</t>
  </si>
  <si>
    <t>46.32.007</t>
  </si>
  <si>
    <t>Tubo de cobre sem costura, rígido, espessura 1/16" - diâmetro 1.1/8", inclusive conexões</t>
  </si>
  <si>
    <t>46.32.008</t>
  </si>
  <si>
    <t>Tubo de cobre sem costura, rígido, espessura 1/16" - diâmetro 1.1/4", inclusive conexões</t>
  </si>
  <si>
    <t>46.32.009</t>
  </si>
  <si>
    <t>Tubo de cobre sem costura, rígido, espessura 1/16" - diâmetro 1.3/8", inclusive conexões</t>
  </si>
  <si>
    <t>46.32.010</t>
  </si>
  <si>
    <t>Tubo de cobre sem costura, rígido, espessura 1/16" - diâmetro 1.1/2", inclusive conexões</t>
  </si>
  <si>
    <t>46.32.011</t>
  </si>
  <si>
    <t>Tubo de cobre sem costura, rígido, espessura 1/16" - diâmetro 1.5/8", inclusive conexões</t>
  </si>
  <si>
    <t>46.33</t>
  </si>
  <si>
    <t>Tubulacao em PP - aguas pluviais / esgoto</t>
  </si>
  <si>
    <t>46.33.001</t>
  </si>
  <si>
    <t>Tubo de esgoto em polipropileno de alta resistência - PP, DN= 40mm, preto, com união deslizante e guarnição elastomérica de duplo lábio</t>
  </si>
  <si>
    <t>46.33.002</t>
  </si>
  <si>
    <t>Tubo de esgoto em polipropileno de alta resistência - PP, DN= 50mm, preto, com união deslizante e guarnição elastomérica de duplo lábio</t>
  </si>
  <si>
    <t>46.33.003</t>
  </si>
  <si>
    <t>Tubo de esgoto em polipropileno de alta resistência - PP, DN= 63mm, preto, com união deslizante e guarnição elastomérica de duplo lábio</t>
  </si>
  <si>
    <t>46.33.004</t>
  </si>
  <si>
    <t>Tubo de esgoto em polipropileno de alta resistência - PP, DN= 110mm, preto, com união deslizante e guarnição elastomérica de duplo lábio</t>
  </si>
  <si>
    <t>46.33.020</t>
  </si>
  <si>
    <t>Joelho 45° em polipropileno de alta resistência, preto, tipo PB, DN= 40mm</t>
  </si>
  <si>
    <t>46.33.021</t>
  </si>
  <si>
    <t>Joelho 45° em polipropileno de alta resistência - PP, preto, tipo PB, DN= 50mm</t>
  </si>
  <si>
    <t>46.33.022</t>
  </si>
  <si>
    <t>Joelho 45° em polipropileno de alta resistência - PP, preto, tipo PB, DN= 63mm</t>
  </si>
  <si>
    <t>46.33.023</t>
  </si>
  <si>
    <t>Joelho 45° em polipropileno de alta resistência - PP, preto, tipo PB, DN= 110mm</t>
  </si>
  <si>
    <t>46.33.047</t>
  </si>
  <si>
    <t>Joelho 87°30' em polipropileno de alta resistência - PP, preto, tipo PB, DN= 40mm</t>
  </si>
  <si>
    <t>46.33.048</t>
  </si>
  <si>
    <t>Joelho 87°30' em polipropileno de alta resistência - PP, preto, tipo PB, DN= 50mm</t>
  </si>
  <si>
    <t>46.33.049</t>
  </si>
  <si>
    <t>Joelho 87°30' em polipropileno de alta resistência - PP, preto, tipo PB, DN= 63mm</t>
  </si>
  <si>
    <t>46.33.074</t>
  </si>
  <si>
    <t>Joelho 87°30' em polipropileno de alta resistência - PP, preto, tipo PB, DN= 110mm, com base de apoio</t>
  </si>
  <si>
    <t>46.33.102</t>
  </si>
  <si>
    <t>Luva dupla em polipropileno de alta resistência - PP,  preto,  DN= 40mm</t>
  </si>
  <si>
    <t>46.33.103</t>
  </si>
  <si>
    <t>Luva dupla em polipropileno de alta resistência - PP,  preto,  DN= 50mm</t>
  </si>
  <si>
    <t>46.33.104</t>
  </si>
  <si>
    <t>Luva dupla em polipropileno de alta resistência - PP,  preto,  DN= 63mm</t>
  </si>
  <si>
    <t>46.33.105</t>
  </si>
  <si>
    <t>Luva dupla em polipropileno de alta resistência - PP,  preto,  DN= 110mm</t>
  </si>
  <si>
    <t>46.33.116</t>
  </si>
  <si>
    <t>Luva de Redução em polipropileno de alta resistência - PP, preto, tipo PB, DN= 50x40mm</t>
  </si>
  <si>
    <t>46.33.117</t>
  </si>
  <si>
    <t>Luva de Redução em polipropileno de alta resistência - PP, preto, tipo PB, DN= 63x50mm</t>
  </si>
  <si>
    <t>46.33.118</t>
  </si>
  <si>
    <t>Luva de Redução em polipropileno de alta resistência - PP, preto, tipo PB, DN= 110x63mm</t>
  </si>
  <si>
    <t>46.33.130</t>
  </si>
  <si>
    <t>Tê 87°30' simples em polipropileno de alta resistência - PP, preto, tipo PB, DN= 50x50mm</t>
  </si>
  <si>
    <t>46.33.131</t>
  </si>
  <si>
    <t>Tê 87°30' simples em polipropileno de alta resistência - PP, preto, tipo PB, DN= 63x63mm</t>
  </si>
  <si>
    <t>46.33.132</t>
  </si>
  <si>
    <t>Tê 87°30' simples em polipropileno de alta resistência - PP, preto, tipo PB, DN= 110x110mm</t>
  </si>
  <si>
    <t>46.33.137</t>
  </si>
  <si>
    <t>Tê 87°30' simples de redução em polipropileno de alta resistência - PP, preto, tipo PB, DN= 110x63mm</t>
  </si>
  <si>
    <t>46.33.140</t>
  </si>
  <si>
    <t>Tê 87°30' de inspeção em polipropileno de alta resistência - PP, preto (PxB), DN 110mm</t>
  </si>
  <si>
    <t>46.33.149</t>
  </si>
  <si>
    <t>Junção 45° simples em polipropileno de alta resistência - PP, preto, tipo PB, DN= 50x50mm</t>
  </si>
  <si>
    <t>46.33.150</t>
  </si>
  <si>
    <t>Junção 45° simples em polipropileno de alta resistência - PP, preto, tipo PB, DN= 63x63mm</t>
  </si>
  <si>
    <t>46.33.151</t>
  </si>
  <si>
    <t>Junção 45° simples em polipropileno de alta resistência - PP, preto, tipo PB, DN= 110x110mm</t>
  </si>
  <si>
    <t>46.33.159</t>
  </si>
  <si>
    <t>Junção 45° simples de redução em polipropileno de alta resistência - PP, preto, tipo PB, DN= 63x50mm</t>
  </si>
  <si>
    <t>46.33.160</t>
  </si>
  <si>
    <t>Junção 45° simples de redução em polipropileno de alta resistência - PP, preto, tipo PB, DN= 110x50mm</t>
  </si>
  <si>
    <t>46.33.161</t>
  </si>
  <si>
    <t>Junção 45° simples de redução em polipropileno de alta resistência - PP, preto, tipo PB, DN= 110x63mm</t>
  </si>
  <si>
    <t>46.33.170</t>
  </si>
  <si>
    <t>Curva 87°30' em polipropileno de alta resistência - PP, preto, tipo PB, DN= 110mm</t>
  </si>
  <si>
    <t>46.33.186</t>
  </si>
  <si>
    <t>Caixa sifonada de piso, em polipropileno de alta resistência PP, preto,  DN=125mm, uma saída de 63mm</t>
  </si>
  <si>
    <t>46.33.197</t>
  </si>
  <si>
    <t>Prolongamento para caixa sifonada em prolipropileno de alta resistência PP, preto, DN= 125mm</t>
  </si>
  <si>
    <t>46.33.201</t>
  </si>
  <si>
    <t>Tampa tê de inspeção oval, em polipropileno de alta resistência preto (PxB), DN=110mm</t>
  </si>
  <si>
    <t>46.33.206</t>
  </si>
  <si>
    <t>Tampão em polipropileno de alta resistência PP, preto (PxB), DN=63mm</t>
  </si>
  <si>
    <t>46.33.207</t>
  </si>
  <si>
    <t>Tampão em polipropileno de alta resistência PP, preto (PxB), DN=110mm</t>
  </si>
  <si>
    <t>46.33.210</t>
  </si>
  <si>
    <t>Porta marco para grelha de 12x12 cm, em prolipropileno de alta resistência PP,  preto</t>
  </si>
  <si>
    <t>46.33.211</t>
  </si>
  <si>
    <t>Marco de bronze com grelha em aço inoxidável de 12x12cm</t>
  </si>
  <si>
    <t>47</t>
  </si>
  <si>
    <t>VALVULAS E APARELHOS DE MEDICAO E CONTROLE PARA LIQUIDOS E GASES</t>
  </si>
  <si>
    <t>47.01</t>
  </si>
  <si>
    <t>Registro e / ou valvula em latao fundido sem acabamento</t>
  </si>
  <si>
    <t>47.01.010</t>
  </si>
  <si>
    <t>Registro de gaveta em latão fundido sem acabamento, DN= 1/2´</t>
  </si>
  <si>
    <t>47.01.020</t>
  </si>
  <si>
    <t>Registro de gaveta em latão fundido sem acabamento, DN= 3/4´</t>
  </si>
  <si>
    <t>47.01.030</t>
  </si>
  <si>
    <t>Registro de gaveta em latão fundido sem acabamento, DN= 1´</t>
  </si>
  <si>
    <t>47.01.040</t>
  </si>
  <si>
    <t>Registro de gaveta em latão fundido sem acabamento, DN= 1 1/4´</t>
  </si>
  <si>
    <t>47.01.050</t>
  </si>
  <si>
    <t>Registro de gaveta em latão fundido sem acabamento, DN= 1 1/2´</t>
  </si>
  <si>
    <t>47.01.060</t>
  </si>
  <si>
    <t>Registro de gaveta em latão fundido sem acabamento, DN= 2´</t>
  </si>
  <si>
    <t>47.01.070</t>
  </si>
  <si>
    <t>Registro de gaveta em latão fundido sem acabamento, DN= 2 1/2´</t>
  </si>
  <si>
    <t>47.01.080</t>
  </si>
  <si>
    <t>Registro de gaveta em latão fundido sem acabamento, DN= 3´</t>
  </si>
  <si>
    <t>47.01.090</t>
  </si>
  <si>
    <t>Registro de gaveta em latão fundido sem acabamento, DN= 4´</t>
  </si>
  <si>
    <t>47.01.130</t>
  </si>
  <si>
    <t>Registro de pressão em latão fundido sem acabamento, DN= 3/4´</t>
  </si>
  <si>
    <t>47.01.170</t>
  </si>
  <si>
    <t>Válvula de esfera monobloco em latão, passagem plena, acionamento com alavanca, DN= 1/2´</t>
  </si>
  <si>
    <t>47.01.180</t>
  </si>
  <si>
    <t>Válvula de esfera monobloco em latão, passagem plena, acionamento com alavanca, DN= 3/4´</t>
  </si>
  <si>
    <t>47.01.190</t>
  </si>
  <si>
    <t>Válvula de esfera monobloco em latão, passagem plena, acionamento com alavanca, DN= 1´</t>
  </si>
  <si>
    <t>47.01.191</t>
  </si>
  <si>
    <t>Válvula de esfera monobloco em latão, passagem plena, acionamento com alavanca, DN= 1.1/4´</t>
  </si>
  <si>
    <t>47.01.210</t>
  </si>
  <si>
    <t>Válvula de esfera monobloco em latão, passagem plena, acionamento com alavanca, DN= 2´</t>
  </si>
  <si>
    <t>47.01.220</t>
  </si>
  <si>
    <t>Válvula de esfera monobloco em latão, passagem plena, acionamento com alavanca, DN= 4´</t>
  </si>
  <si>
    <t>47.02</t>
  </si>
  <si>
    <t>Registro e / ou valvula em latao fundido com acabamento cromado</t>
  </si>
  <si>
    <t>47.02.010</t>
  </si>
  <si>
    <t>Registro de gaveta em latão fundido cromado com canopla, DN= 1/2´ - linha especial</t>
  </si>
  <si>
    <t>47.02.020</t>
  </si>
  <si>
    <t>Registro de gaveta em latão fundido cromado com canopla, DN= 3/4´ - linha especial</t>
  </si>
  <si>
    <t>47.02.030</t>
  </si>
  <si>
    <t>Registro de gaveta em latão fundido cromado com canopla, DN= 1´ - linha especial</t>
  </si>
  <si>
    <t>47.02.040</t>
  </si>
  <si>
    <t>Registro de gaveta em latão fundido cromado com canopla, DN= 1 1/4´ - linha especial</t>
  </si>
  <si>
    <t>47.02.050</t>
  </si>
  <si>
    <t>Registro de gaveta em latão fundido cromado com canopla, DN= 1 1/2´ - linha especial</t>
  </si>
  <si>
    <t>47.02.100</t>
  </si>
  <si>
    <t>Registro de pressão em latão fundido cromado com canopla, DN= 1/2´ - linha especial</t>
  </si>
  <si>
    <t>47.02.110</t>
  </si>
  <si>
    <t>Registro de pressão em latão fundido cromado com canopla, DN= 3/4´ - linha especial</t>
  </si>
  <si>
    <t>47.02.200</t>
  </si>
  <si>
    <t>Registro regulador de vazão para chuveiro e ducha em latão cromado com canopla, DN= 1/2´</t>
  </si>
  <si>
    <t>47.02.210</t>
  </si>
  <si>
    <t>Registro regulador de vazão para torneira, misturador e bidê, em latão cromado com canopla, DN= 1/2´</t>
  </si>
  <si>
    <t>47.04</t>
  </si>
  <si>
    <t>Valvula de descarga ou para acionamento de metais sanitarios</t>
  </si>
  <si>
    <t>47.04.020</t>
  </si>
  <si>
    <t>Válvula de descarga com registro próprio, duplo acionamento limitador de fluxo, DN= 1 1/4´</t>
  </si>
  <si>
    <t>47.04.030</t>
  </si>
  <si>
    <t>Válvula de descarga com registro próprio, DN= 1 1/4´</t>
  </si>
  <si>
    <t>47.04.040</t>
  </si>
  <si>
    <t>Válvula de descarga com registro próprio, DN= 1 1/2´</t>
  </si>
  <si>
    <t>47.04.050</t>
  </si>
  <si>
    <t>Válvula de descarga antivandalismo, DN= 1 1/2´</t>
  </si>
  <si>
    <t>47.04.080</t>
  </si>
  <si>
    <t>Válvula de descarga externa, tipo alavanca com registro próprio, DN= 1 1/4´ e DN= 1 1/2´</t>
  </si>
  <si>
    <t>47.04.090</t>
  </si>
  <si>
    <t>Válvula de mictório antivandalismo, DN= 3/4´</t>
  </si>
  <si>
    <t>47.04.100</t>
  </si>
  <si>
    <t>Válvula de mictório padrão, vazão automática, DN= 3/4´</t>
  </si>
  <si>
    <t>47.04.110</t>
  </si>
  <si>
    <t>Válvula de acionamento hidromecânico para piso</t>
  </si>
  <si>
    <t>47.04.120</t>
  </si>
  <si>
    <t>Válvula de acionamento hidromecânico para ducha, em latão cromado, DN= 3/4´</t>
  </si>
  <si>
    <t>47.04.180</t>
  </si>
  <si>
    <t>Válvula de descarga com registro próprio, duplo acionamento limitador de fluxo, DN = 1 1/2´</t>
  </si>
  <si>
    <t>47.05</t>
  </si>
  <si>
    <t>Registro e / ou valvula em bronze</t>
  </si>
  <si>
    <t>47.05.010</t>
  </si>
  <si>
    <t>Válvula de retenção horizontal em bronze, DN= 3/4´</t>
  </si>
  <si>
    <t>47.05.020</t>
  </si>
  <si>
    <t>Válvula de retenção horizontal em bronze, DN= 1´</t>
  </si>
  <si>
    <t>47.05.030</t>
  </si>
  <si>
    <t>Válvula de retenção horizontal em bronze, DN= 1 1/4´</t>
  </si>
  <si>
    <t>47.05.040</t>
  </si>
  <si>
    <t>Válvula de retenção horizontal em bronze, DN= 1 1/2´</t>
  </si>
  <si>
    <t>47.05.050</t>
  </si>
  <si>
    <t>Válvula de retenção horizontal em bronze, DN= 2´</t>
  </si>
  <si>
    <t>47.05.060</t>
  </si>
  <si>
    <t>Válvula de retenção horizontal em bronze, DN= 2 1/2´</t>
  </si>
  <si>
    <t>47.05.070</t>
  </si>
  <si>
    <t>Válvula de retenção horizontal em bronze, DN= 3´</t>
  </si>
  <si>
    <t>47.05.100</t>
  </si>
  <si>
    <t>Válvula de retenção vertical em bronze, DN= 1´</t>
  </si>
  <si>
    <t>47.05.110</t>
  </si>
  <si>
    <t>Válvula de retenção vertical em bronze, DN= 1 1/4´</t>
  </si>
  <si>
    <t>47.05.120</t>
  </si>
  <si>
    <t>Válvula de retenção vertical em bronze, DN= 1 1/2´</t>
  </si>
  <si>
    <t>47.05.130</t>
  </si>
  <si>
    <t>Válvula de retenção vertical em bronze, DN= 2´</t>
  </si>
  <si>
    <t>47.05.140</t>
  </si>
  <si>
    <t>Válvula de retenção vertical em bronze, DN= 2 1/2´</t>
  </si>
  <si>
    <t>47.05.150</t>
  </si>
  <si>
    <t>Válvula de retenção vertical em bronze, DN= 3´</t>
  </si>
  <si>
    <t>47.05.160</t>
  </si>
  <si>
    <t>Válvula de retenção vertical em bronze, DN= 4´</t>
  </si>
  <si>
    <t>47.05.170</t>
  </si>
  <si>
    <t>Válvula de retenção de pé com crivo em bronze, DN= 1´</t>
  </si>
  <si>
    <t>47.05.180</t>
  </si>
  <si>
    <t>Válvula de retenção de pé com crivo em bronze, DN= 1 1/4´</t>
  </si>
  <si>
    <t>47.05.190</t>
  </si>
  <si>
    <t>Válvula de retenção de pé com crivo em bronze, DN= 1 1/2´</t>
  </si>
  <si>
    <t>47.05.200</t>
  </si>
  <si>
    <t>Válvula de retenção de pé com crivo em bronze, DN= 2´</t>
  </si>
  <si>
    <t>47.05.210</t>
  </si>
  <si>
    <t>Válvula de retenção de pé com crivo em bronze, DN= 2 1/2´</t>
  </si>
  <si>
    <t>47.05.220</t>
  </si>
  <si>
    <t>Válvula de gaveta em bronze, com haste não ascendente, classe 125 libras para vapor e classe 200 libras para água, óleo e gás, DN= 6´</t>
  </si>
  <si>
    <t>47.05.230</t>
  </si>
  <si>
    <t>Válvula de gaveta em bronze, com haste não ascendente, classe 125 libras para vapor e classe 200 libras para água, óleo e gás, DN= 2´</t>
  </si>
  <si>
    <t>47.05.240</t>
  </si>
  <si>
    <t>Válvula globo em bronze, classe 125 libras para vapor e classe 200 libras para água, óleo e gás, DN= 2´</t>
  </si>
  <si>
    <t>47.05.260</t>
  </si>
  <si>
    <t>Válvula de retenção de pé com crivo em bronze, DN= 3´</t>
  </si>
  <si>
    <t>47.05.270</t>
  </si>
  <si>
    <t>Válvula de retenção de pé com crivo em bronze, DN= 4´</t>
  </si>
  <si>
    <t>47.05.280</t>
  </si>
  <si>
    <t>Válvula globo angular de 45° em bronze, DN= 2 1/2´</t>
  </si>
  <si>
    <t>47.05.290</t>
  </si>
  <si>
    <t>Válvula de gaveta em bronze, haste ascendente, classe 150 libras para vapor saturado e 300 libras para água, óleo e gás, DN= 1/2´</t>
  </si>
  <si>
    <t>47.05.296</t>
  </si>
  <si>
    <t>Válvula de gaveta em bronze, haste ascendente, classe 150 libras para vapor saturado e 300 libras para água, óleo e gás, DN= 4´</t>
  </si>
  <si>
    <t>47.05.300</t>
  </si>
  <si>
    <t>Válvula de gaveta em bronze, haste não ascendente, classe 150 libras para vapor saturado e 300 libras para água, óleo e gás, DN= 4´</t>
  </si>
  <si>
    <t>47.05.310</t>
  </si>
  <si>
    <t>Válvula de gaveta em bronze, haste não ascendente, classe 150 libras para vapor saturado e 300 libras para água, óleo e gás, DN= 2´</t>
  </si>
  <si>
    <t>47.05.340</t>
  </si>
  <si>
    <t>Válvula globo em bronze, classe 150 libras para vapor saturado e 300 libras para água, óleo e gás, DN= 3/4´</t>
  </si>
  <si>
    <t>47.05.350</t>
  </si>
  <si>
    <t>Válvula globo em bronze, classe 150 libras para vapor saturado e 300 libras para água, óleo e gás, DN= 1´</t>
  </si>
  <si>
    <t>47.05.360</t>
  </si>
  <si>
    <t>Válvula globo em bronze, classe 150 libras para vapor saturado e 300 libras para água, óleo e gás, DN= 1 1/2´</t>
  </si>
  <si>
    <t>47.05.370</t>
  </si>
  <si>
    <t>Válvula globo em bronze, classe 150 libras para vapor saturado e 300 libras para água, óleo e gás, DN= 2´</t>
  </si>
  <si>
    <t>47.05.390</t>
  </si>
  <si>
    <t>Válvula globo em bronze, classe 150 libras para vapor saturado e 300 libras para água, óleo e gás, DN= 2 1/2´</t>
  </si>
  <si>
    <t>47.05.392</t>
  </si>
  <si>
    <t>Válvula globo em bronze, classe 150 libras para vapor saturado e 300 libras para água, óleo e gás, DN= 3´</t>
  </si>
  <si>
    <t>47.05.394</t>
  </si>
  <si>
    <t>Válvula globo em bronze, classe 150 libras para vapor saturado e 300 libras para água, óleo e gás, DN= 4´</t>
  </si>
  <si>
    <t>47.05.398</t>
  </si>
  <si>
    <t>Válvula de gaveta em bronze, haste não ascendente, classe 125 libras para vapor e classe 200 libras para água, óleo e gás, DN= 3/4´</t>
  </si>
  <si>
    <t>47.05.400</t>
  </si>
  <si>
    <t>Válvula de gaveta em bronze, haste não ascendente, classe 125 libras para vapor e classe 200 libras para água, óleo e gás, DN= 1´</t>
  </si>
  <si>
    <t>47.05.406</t>
  </si>
  <si>
    <t>Válvula de gaveta em bronze, haste não ascendente, classe 125 libras para vapor e classe 200 libras para água, óleo e gás, DN= 1.1/4´</t>
  </si>
  <si>
    <t>47.05.410</t>
  </si>
  <si>
    <t>Válvula de gaveta em bronze, haste não ascendente, classe 125 libras para vapor e classe 200 libras para água, óleo e gás, DN= 1 1/2´</t>
  </si>
  <si>
    <t>47.05.420</t>
  </si>
  <si>
    <t>Válvula de gaveta em bronze, haste não ascendente, classe 125 libras para vapor e classe 200 libras para água, óleo e gás, DN= 2 1/2´</t>
  </si>
  <si>
    <t>47.05.430</t>
  </si>
  <si>
    <t>Válvula de gaveta em bronze, haste não ascendente, classe 125 libras para vapor e classe 200 libras para água, óleo e gás, DN= 3´</t>
  </si>
  <si>
    <t>47.05.450</t>
  </si>
  <si>
    <t>Válvula redutora de pressão de ação direta em bronze, extremidade roscada, para água, ar, óleo e gás, PE= 200 psi e PS= 20 à 90 psi, DN= 1 1/4´</t>
  </si>
  <si>
    <t>47.05.460</t>
  </si>
  <si>
    <t>Válvula redutora de pressão de ação direta em bronze, extremidade roscada, para água, ar, óleo e gás, PE= 200 psi e PS= 20 à 90 psi, DN= 2´</t>
  </si>
  <si>
    <t>47.05.580</t>
  </si>
  <si>
    <t>Válvula de gaveta em bronze com fecho rápido, DN= 1 1/2´</t>
  </si>
  <si>
    <t>47.06</t>
  </si>
  <si>
    <t>Registro e / ou valvula em ferro fundido</t>
  </si>
  <si>
    <t>47.06.030</t>
  </si>
  <si>
    <t>Válvula de gaveta em ferro fundido, haste ascendente com flange, classe 125 libras, DN= 2´</t>
  </si>
  <si>
    <t>47.06.040</t>
  </si>
  <si>
    <t>Válvula de retenção de pé com crivo em ferro fundido, flangeada, DN= 6´</t>
  </si>
  <si>
    <t>47.06.050</t>
  </si>
  <si>
    <t>Válvula de retenção tipo portinhola dupla em ferro fundido, DN= 6´</t>
  </si>
  <si>
    <t>47.06.051</t>
  </si>
  <si>
    <t>Válvula de retenção tipo portinhola simples em ferro fundido, flangeada, DN= 6´</t>
  </si>
  <si>
    <t>47.06.060</t>
  </si>
  <si>
    <t>Válvula de gaveta em ferro fundido com bolsa, DN= 150 mm</t>
  </si>
  <si>
    <t>47.06.070</t>
  </si>
  <si>
    <t>Válvula de gaveta em ferro fundido com bolsa, DN= 200 mm</t>
  </si>
  <si>
    <t>47.06.080</t>
  </si>
  <si>
    <t>Válvula de retenção tipo portinhola simples em ferro fundido, DN= 4´</t>
  </si>
  <si>
    <t>47.06.090</t>
  </si>
  <si>
    <t>Válvula de retenção tipo portinhola dupla em ferro fundido, DN= 4´</t>
  </si>
  <si>
    <t>47.06.100</t>
  </si>
  <si>
    <t>Válvula de segurança em ferro fundido rosqueada com pressão de ajuste 0,4 até 0,75kgf/cm², DN= 2´</t>
  </si>
  <si>
    <t>47.06.110</t>
  </si>
  <si>
    <t>Válvula de segurança em ferro fundido rosqueada com pressão de ajuste 6,1 até 10,0kgf/cm², DN= 3/4´</t>
  </si>
  <si>
    <t>47.06.180</t>
  </si>
  <si>
    <t>Válvula de gaveta em ferro fundido com bolsa, DN= 100mm</t>
  </si>
  <si>
    <t>47.06.310</t>
  </si>
  <si>
    <t>Visor de fluxo com janela simples, corpo em ferro fundido ou aço carbono, DN = 1´</t>
  </si>
  <si>
    <t>47.06.320</t>
  </si>
  <si>
    <t>Válvula de governo (retenção e alarme) completa, corpo em ferro fundido, classe 125 libras, DN= 4´</t>
  </si>
  <si>
    <t>47.06.330</t>
  </si>
  <si>
    <t>Válvula de gaveta em ferro fundido, haste ascendente com flange, classe 125 libras, DN= 4´</t>
  </si>
  <si>
    <t>47.06.340</t>
  </si>
  <si>
    <t>Válvula de gaveta em ferro fundido, haste ascendente com flange, classe 125 libras, DN= 6´</t>
  </si>
  <si>
    <t>47.06.350</t>
  </si>
  <si>
    <t>Válvula de retenção vertical em ferro fundido com flange, classe 125 libras, DN= 4´</t>
  </si>
  <si>
    <t>47.07</t>
  </si>
  <si>
    <t>Registro e / ou valvula em aco carbono fundido</t>
  </si>
  <si>
    <t>47.07.010</t>
  </si>
  <si>
    <t>47.07.020</t>
  </si>
  <si>
    <t>47.07.030</t>
  </si>
  <si>
    <t>47.07.031</t>
  </si>
  <si>
    <t>47.07.090</t>
  </si>
  <si>
    <t>47.09</t>
  </si>
  <si>
    <t>Registro e / ou valvula em aco carbono forjado</t>
  </si>
  <si>
    <t>47.09.010</t>
  </si>
  <si>
    <t>Válvula globo em aço carbono forjado, classe 800 libras para vapor e classe 2000 libras para água, óleo e gás, DN= 3/4´</t>
  </si>
  <si>
    <t>47.09.020</t>
  </si>
  <si>
    <t>Válvula globo em aço carbono forjado, classe 800 libras para vapor e classe 2000 libras para água, óleo e gás, DN= 1´</t>
  </si>
  <si>
    <t>47.09.030</t>
  </si>
  <si>
    <t>Válvula globo em aço carbono forjado, classe 800 libras para vapor e classe 2000 libras para água, óleo e gás, DN= 1 1/2´</t>
  </si>
  <si>
    <t>47.09.040</t>
  </si>
  <si>
    <t>Válvula globo em aço carbono forjado, classe 800 libras para vapor e classe 2000 libras para água, óleo e gás, DN= 2´</t>
  </si>
  <si>
    <t>47.10</t>
  </si>
  <si>
    <t>Registro e / ou valvula em aco inoxidavel forjado</t>
  </si>
  <si>
    <t>47.10.010</t>
  </si>
  <si>
    <t>Purgador termodinâmico com filtro incorporado, em aço inoxidável forjado, pressão de 0,25 a 42 kg/cm², temperatura até 425°C, DN= 1/2´</t>
  </si>
  <si>
    <t>47.11</t>
  </si>
  <si>
    <t>Aparelho de medicao e controle</t>
  </si>
  <si>
    <t>47.11.021</t>
  </si>
  <si>
    <t>Pressostato diferencial ajustável mecânico, montagem inferior com diâmetro de 1/2" e/ou 1/4", faixa de operação até 16 bar</t>
  </si>
  <si>
    <t>47.11.080</t>
  </si>
  <si>
    <t>Termômetro bimetálico, mostrador com 4´, saída angular, escala 0-100°C</t>
  </si>
  <si>
    <t>47.11.100</t>
  </si>
  <si>
    <t>Manômetro com mostrador de 4´, escalas: 0-4 / 0-7 / 0-10 / 0-17 / 0-21 / 0-28 kg/cm²</t>
  </si>
  <si>
    <t>47.11.111</t>
  </si>
  <si>
    <t>Pressostato diferencial ajustável, caixa à prova de água, unidade sensora em aço inoxidável 316, faixa de operação entre 1,4 a 14 bar, para fluídos corrosivos, DN=1/2´</t>
  </si>
  <si>
    <t>47.12</t>
  </si>
  <si>
    <t>Registro e / ou valvula em ferro ductil</t>
  </si>
  <si>
    <t>47.12.040</t>
  </si>
  <si>
    <t>Válvula de gaveta em ferro dúctil com flanges, classe PN-10, DN= 200mm</t>
  </si>
  <si>
    <t>47.12.270</t>
  </si>
  <si>
    <t>Válvula de gaveta em ferro dúctil com flanges, classe PN-10, DN= 80mm</t>
  </si>
  <si>
    <t>47.12.280</t>
  </si>
  <si>
    <t>Válvula globo auto-operada hidraulicamente, em ferro dúctil, classe PN-10/16, DN= 50mm</t>
  </si>
  <si>
    <t>47.12.290</t>
  </si>
  <si>
    <t>Válvula globo auto-operada hidraulicamente, comandada por solenóide, em ferro dúctil, classe PN-10, DN= 50mm</t>
  </si>
  <si>
    <t>47.12.300</t>
  </si>
  <si>
    <t>Válvula globo auto-operada hidraulicamente, comandada por solenóide, em ferro dúctil, classe PN-10, DN= 100mm</t>
  </si>
  <si>
    <t>47.12.310</t>
  </si>
  <si>
    <t>Válvula de gaveta em ferro dúctil com flanges, classe PN-10, DN= 300mm</t>
  </si>
  <si>
    <t>47.12.320</t>
  </si>
  <si>
    <t>Válvula de gaveta em ferro dúctil com flanges, classe PN-10, DN= 100mm</t>
  </si>
  <si>
    <t>47.12.330</t>
  </si>
  <si>
    <t>Válvula de gaveta em ferro dúctil com flanges, classe PN-10, DN= 150mm</t>
  </si>
  <si>
    <t>47.12.340</t>
  </si>
  <si>
    <t>Ventosa simples rosqueada em ferro dúctil, classe PN-25, DN= 3/4´</t>
  </si>
  <si>
    <t>47.12.350</t>
  </si>
  <si>
    <t>Ventosa de tríplice função em ferro dúctil flangeada, classe PN-10/16/25, DN= 50mm</t>
  </si>
  <si>
    <t>47.14</t>
  </si>
  <si>
    <t>Registro e / ou valvula em PVC rigido ou ABS</t>
  </si>
  <si>
    <t>47.14.020</t>
  </si>
  <si>
    <t>Registro de pressão em PVC rígido, soldável, DN= 25mm (3/4´)</t>
  </si>
  <si>
    <t>47.14.200</t>
  </si>
  <si>
    <t>Registro regulador de vazão para torneira, misturador e bidê, em ABS com canopla, DN= 1/2´</t>
  </si>
  <si>
    <t>47.20</t>
  </si>
  <si>
    <t>Reparos, conservacoes e complementos - GRUPO 47</t>
  </si>
  <si>
    <t>47.20.010</t>
  </si>
  <si>
    <t>Pigtail em latão para manômetro, DN= 1/2´</t>
  </si>
  <si>
    <t>47.20.020</t>
  </si>
  <si>
    <t>Filtro ´Y´ em bronze para gás combustível, DN= 2´</t>
  </si>
  <si>
    <t>47.20.030</t>
  </si>
  <si>
    <t>Filtro ´Y´ em ferro fundido, classe 125 libras para vapor saturado, com extremidades rosqueáveis, DN= 2´</t>
  </si>
  <si>
    <t>47.20.070</t>
  </si>
  <si>
    <t>Pigtail flexível, revestido com borracha sintética resistente, DN= 7/16´ comprimento até 1,00 m</t>
  </si>
  <si>
    <t>47.20.080</t>
  </si>
  <si>
    <t>Regulador de primeiro estágio de alta pressão até 2 kgf/cm², vazão de 90 kg GLP/hora</t>
  </si>
  <si>
    <t>47.20.100</t>
  </si>
  <si>
    <t>Regulador de primeiro estágio de alta pressão até 1,3 kgf/cm², vazão de 50 kg GLP/hora</t>
  </si>
  <si>
    <t>47.20.120</t>
  </si>
  <si>
    <t>Regulador de segundo estágio para gás, uso industrial, vazão até 12 kg GLP/hora</t>
  </si>
  <si>
    <t>47.20.181</t>
  </si>
  <si>
    <t>47.20.190</t>
  </si>
  <si>
    <t>Chave de fluxo tipo palheta para tubulação de líquidos</t>
  </si>
  <si>
    <t>47.20.300</t>
  </si>
  <si>
    <t>47.20.320</t>
  </si>
  <si>
    <t>Filtro ´Y´ corpo em bronze, pressão de serviço até 20,7 bar (PN 20), DN= 1 1/2´</t>
  </si>
  <si>
    <t>47.20.330</t>
  </si>
  <si>
    <t>Filtro ´Y´ corpo em bronze, pressão de serviço até 20,7 bar (PN 20), DN= 2´</t>
  </si>
  <si>
    <t>48</t>
  </si>
  <si>
    <t>RESERVATORIO E TANQUE PARA LIQUIDOS E GASES</t>
  </si>
  <si>
    <t>48.02</t>
  </si>
  <si>
    <t>Reservatorio em material sintetico</t>
  </si>
  <si>
    <t>48.02.008</t>
  </si>
  <si>
    <t>Reservatório de fibra de vidro - capacidade de 15.000 litros</t>
  </si>
  <si>
    <t>48.02.009</t>
  </si>
  <si>
    <t>Reservatório de fibra de vidro - capacidade de 20.000 litros</t>
  </si>
  <si>
    <t>48.02.204</t>
  </si>
  <si>
    <t>Reservatório em polietileno com tampa de encaixar - capacidade de 2.000 litros</t>
  </si>
  <si>
    <t>48.02.205</t>
  </si>
  <si>
    <t>Reservatório em polietileno com tampa de encaixar - capacidade de 3.000 litros</t>
  </si>
  <si>
    <t>48.02.206</t>
  </si>
  <si>
    <t>Reservatório em polietileno com tampa de encaixar - capacidade de 5.000 litros</t>
  </si>
  <si>
    <t>48.02.207</t>
  </si>
  <si>
    <t>Reservatório em polietileno com tampa de encaixar - capacidade de 10.000 litros</t>
  </si>
  <si>
    <t>48.02.300</t>
  </si>
  <si>
    <t>Reservatório em polietileno de alta densidade (cisterna) com antioxidante e proteção contra raios ultravioleta (UV) - capacidade de 5.000 litros</t>
  </si>
  <si>
    <t>48.02.310</t>
  </si>
  <si>
    <t>Reservatório em polietileno de alta densidade (cisterna) com antioxidante e proteção contra raios ultravioleta (UV) - capacidade de 10.000 litros</t>
  </si>
  <si>
    <t>48.02.400</t>
  </si>
  <si>
    <t>Reservatório em polietileno com tampa de rosca - capacidade de 1.000 litros</t>
  </si>
  <si>
    <t>48.02.401</t>
  </si>
  <si>
    <t>Reservatório em polietileno com tampa de rosca - capacidade de 500 litros</t>
  </si>
  <si>
    <t>48.03</t>
  </si>
  <si>
    <t>Reservatorio metalico</t>
  </si>
  <si>
    <t>48.03.112</t>
  </si>
  <si>
    <t>Reservatório metálico cilíndrico horizontal - capacidade de 3.000 litros</t>
  </si>
  <si>
    <t>48.03.130</t>
  </si>
  <si>
    <t>Reservatório metálico cilíndrico horizontal - capacidade de 5.000 litros</t>
  </si>
  <si>
    <t>48.03.138</t>
  </si>
  <si>
    <t>Reservatório metálico cilíndrico horizontal - capacidade de 10.000 litros</t>
  </si>
  <si>
    <t>48.04</t>
  </si>
  <si>
    <t>Reservatorio em concreto</t>
  </si>
  <si>
    <t>48.04.381</t>
  </si>
  <si>
    <t>Reservatório em concreto armado cilíndrico, vertical, bipartido, método construtivo em formas deslizantes, diâmetro interno de 3,50m a 4,00m, altura de 15,00m a 25,00m</t>
  </si>
  <si>
    <t>48.04.391</t>
  </si>
  <si>
    <t>Reservatório em concreto armado cilíndrico, vertical, bipartido, método construtivo em formas deslizantes, diâmetro interno de 5,5m a 6,00m, altura de 25,00m a 30,00m</t>
  </si>
  <si>
    <t>48.05</t>
  </si>
  <si>
    <t>Torneira de boia</t>
  </si>
  <si>
    <t>48.05.010</t>
  </si>
  <si>
    <t>Torneira de boia, DN= 3/4´</t>
  </si>
  <si>
    <t>48.05.020</t>
  </si>
  <si>
    <t>Torneira de boia, DN= 1´</t>
  </si>
  <si>
    <t>48.05.030</t>
  </si>
  <si>
    <t>Torneira de boia, DN= 1 1/4´</t>
  </si>
  <si>
    <t>48.05.040</t>
  </si>
  <si>
    <t>Torneira de boia, DN= 1 1/2´</t>
  </si>
  <si>
    <t>48.05.050</t>
  </si>
  <si>
    <t>Torneira de boia, DN= 2´</t>
  </si>
  <si>
    <t>48.05.052</t>
  </si>
  <si>
    <t>Torneira de boia, DN= 2 1/2´</t>
  </si>
  <si>
    <t>48.05.070</t>
  </si>
  <si>
    <t>Torneira de boia, tipo registro automático de entrada, DN= 3´</t>
  </si>
  <si>
    <t>48.20</t>
  </si>
  <si>
    <t>Reparos, conservacoes e complementos - GRUPO 48</t>
  </si>
  <si>
    <t>48.20.020</t>
  </si>
  <si>
    <t>Limpeza de caixa d´água até 1.000 litros</t>
  </si>
  <si>
    <t>48.20.040</t>
  </si>
  <si>
    <t>Limpeza de caixa d´água de 1.001 até 10.000 litros</t>
  </si>
  <si>
    <t>48.20.060</t>
  </si>
  <si>
    <t>Limpeza de caixa d´água acima de 10.000 litros</t>
  </si>
  <si>
    <t>49</t>
  </si>
  <si>
    <t>CAIXA, RALO, GRELHA E ACESSORIO HIDRAULICO</t>
  </si>
  <si>
    <t>49.01</t>
  </si>
  <si>
    <t>Caixas sifonadas de PVC rigido</t>
  </si>
  <si>
    <t>49.01.016</t>
  </si>
  <si>
    <t>Caixa sifonada de PVC rígido de 100 x 100 x 50 mm, com grelha</t>
  </si>
  <si>
    <t>49.01.020</t>
  </si>
  <si>
    <t>Caixa sifonada de PVC rígido de 100 x 150 x 50 mm, com grelha</t>
  </si>
  <si>
    <t>49.01.030</t>
  </si>
  <si>
    <t>Caixa sifonada de PVC rígido de 150 x 150 x 50 mm, com grelha</t>
  </si>
  <si>
    <t>49.01.040</t>
  </si>
  <si>
    <t>Caixa sifonada de PVC rígido de 150 x 185 x 75 mm, com grelha</t>
  </si>
  <si>
    <t>49.01.050</t>
  </si>
  <si>
    <t>Caixa sifonada de PVC rígido de 250 x 172 x 50 mm, com tampa cega</t>
  </si>
  <si>
    <t>49.01.070</t>
  </si>
  <si>
    <t>Caixa sifonada de PVC rígido de 250 x 230 x 75 mm, com tampa cega</t>
  </si>
  <si>
    <t>49.03</t>
  </si>
  <si>
    <t>Caixa de gordura</t>
  </si>
  <si>
    <t>49.03.020</t>
  </si>
  <si>
    <t>Caixa de gordura em alvenaria, 600 x 600 x 600 mm</t>
  </si>
  <si>
    <t>49.03.022</t>
  </si>
  <si>
    <t>49.03.036</t>
  </si>
  <si>
    <t>Caixa de gordura em PVC com tampa reforçada - capacidade 19 litros</t>
  </si>
  <si>
    <t>49.04</t>
  </si>
  <si>
    <t>Ralo em PVC rigido</t>
  </si>
  <si>
    <t>49.04.010</t>
  </si>
  <si>
    <t>Ralo seco em PVC rígido de 100 x 40 mm, com grelha</t>
  </si>
  <si>
    <t>49.05</t>
  </si>
  <si>
    <t>Ralo em ferro fundido</t>
  </si>
  <si>
    <t>49.05.020</t>
  </si>
  <si>
    <t>Ralo seco em ferro fundido, 100 x 165 x 50 mm, com grelha metálica saída vertical</t>
  </si>
  <si>
    <t>49.05.040</t>
  </si>
  <si>
    <t>Ralo sifonado em ferro fundido de 150 x 240 x 75 mm, com grelha</t>
  </si>
  <si>
    <t>49.06</t>
  </si>
  <si>
    <t>Grelhas e tampas</t>
  </si>
  <si>
    <t>49.06.010</t>
  </si>
  <si>
    <t>Grelha em ferro fundido para caixas e canaletas</t>
  </si>
  <si>
    <t>49.06.030</t>
  </si>
  <si>
    <t>49.06.072</t>
  </si>
  <si>
    <t>Grelha articulada em ferro fundido tipo boca de leão</t>
  </si>
  <si>
    <t>49.06.080</t>
  </si>
  <si>
    <t>49.06.110</t>
  </si>
  <si>
    <t>49.06.160</t>
  </si>
  <si>
    <t>Grelha quadriculada em ferro fundido para caixas e canaletas</t>
  </si>
  <si>
    <t>49.06.170</t>
  </si>
  <si>
    <t>Grelha em alumínio fundido para caixas e canaletas - linha comercial</t>
  </si>
  <si>
    <t>49.06.190</t>
  </si>
  <si>
    <t>Grelha pré-moldada em concreto, com furos redondos, 79,5 x 24,5 x 8 cm</t>
  </si>
  <si>
    <t>49.06.200</t>
  </si>
  <si>
    <t>Captador pluvial em aço inoxidável e grelha em alumínio, com mecanismo anti-vórtice, DN= 50 mm</t>
  </si>
  <si>
    <t>49.06.210</t>
  </si>
  <si>
    <t>Captador pluvial em aço inoxidável e grelha em alumínio, com mecanismo anti-vórtice, DN= 75 mm</t>
  </si>
  <si>
    <t>49.06.400</t>
  </si>
  <si>
    <t>Tampão em ferro fundido, diâmetro de 600 mm, classe B 125 (ruptura &gt; 125 kN)</t>
  </si>
  <si>
    <t>49.06.410</t>
  </si>
  <si>
    <t>49.06.420</t>
  </si>
  <si>
    <t>Tampão em ferro fundido, diâmetro de 600 mm, classe D 400 (ruptura&gt; 400 kN)</t>
  </si>
  <si>
    <t>49.06.430</t>
  </si>
  <si>
    <t>Tampão em ferro fundido de 300 x 300 mm, classe B 125 (ruptura &gt; 125 kN)</t>
  </si>
  <si>
    <t>49.06.440</t>
  </si>
  <si>
    <t>Tampão em ferro fundido de 400 x 400 mm, classe B 125 (ruptura &gt; 125 kN)</t>
  </si>
  <si>
    <t>49.06.450</t>
  </si>
  <si>
    <t>Tampão em ferro fundido de 500 x 500 mm, classe B 125 (ruptura &gt; 125 kN)</t>
  </si>
  <si>
    <t>49.06.460</t>
  </si>
  <si>
    <t>Tampão em ferro fundido de 600 x 600 mm, classe B 125 (ruptura &gt; 125 kN)</t>
  </si>
  <si>
    <t>49.06.480</t>
  </si>
  <si>
    <t>Tampão em ferro fundido com tampa articulada, de 400 x 600 mm, classe 15 (ruptura &gt; 1500 kg)</t>
  </si>
  <si>
    <t>49.06.486</t>
  </si>
  <si>
    <t>Tampão em ferro fundido com tampa articulada, de 900 mm, classe D 400 (ruptura &gt; 400kN</t>
  </si>
  <si>
    <t>49.06.550</t>
  </si>
  <si>
    <t>Grelha com calha e cesto coletor para piso em aço inoxidável, largura de 15 cm</t>
  </si>
  <si>
    <t>49.06.560</t>
  </si>
  <si>
    <t>Grelha com calha e cesto coletor para piso em aço inoxidável, largura de 20 cm</t>
  </si>
  <si>
    <t>49.08</t>
  </si>
  <si>
    <t>Caixa de passagem e inspecao</t>
  </si>
  <si>
    <t>49.08.250</t>
  </si>
  <si>
    <t>Caixa de areia em PVC, diâmetro nominal de 100 mm</t>
  </si>
  <si>
    <t>49.11</t>
  </si>
  <si>
    <t>Canaletas e afins</t>
  </si>
  <si>
    <t>49.11.130</t>
  </si>
  <si>
    <t>Canaleta com grelha em alumínio, largura de 80 mm</t>
  </si>
  <si>
    <t>49.11.140</t>
  </si>
  <si>
    <t>Canaleta com grelha em alumínio, saída central / vertical, largura de 46 mm</t>
  </si>
  <si>
    <t>49.11.141</t>
  </si>
  <si>
    <t>Canaleta com grelha abre-fecha, em alumínio, saída central ou vertical, largura 46mm</t>
  </si>
  <si>
    <t>49.12</t>
  </si>
  <si>
    <t>Poco de visita, boca de lobo, caixa de passagem e afins</t>
  </si>
  <si>
    <t>49.12.010</t>
  </si>
  <si>
    <t>Boca de lobo simples tipo PMSP com tampa de concreto</t>
  </si>
  <si>
    <t>49.12.030</t>
  </si>
  <si>
    <t>Boca de lobo dupla tipo PMSP com tampa de concreto</t>
  </si>
  <si>
    <t>49.12.050</t>
  </si>
  <si>
    <t>Boca de lobo tripla tipo PMSP com tampa de concreto</t>
  </si>
  <si>
    <t>49.12.058</t>
  </si>
  <si>
    <t>Boca de leão simples tipo PMSP com grelha</t>
  </si>
  <si>
    <t>49.12.110</t>
  </si>
  <si>
    <t>Poço de visita de 1,60 x 1,60 x 1,60 m - tipo PMSP</t>
  </si>
  <si>
    <t>49.12.120</t>
  </si>
  <si>
    <t>Chaminé para poço de visita tipo PMSP em alvenaria, diâmetro interno 70 cm - pescoço</t>
  </si>
  <si>
    <t>49.12.140</t>
  </si>
  <si>
    <t>Poço de visita em alvenaria tipo PMSP - balão</t>
  </si>
  <si>
    <t>49.13</t>
  </si>
  <si>
    <t>Filtro anaerobio</t>
  </si>
  <si>
    <t>49.13.010</t>
  </si>
  <si>
    <t>Filtro biológico anaeróbio com anéis pré-moldados de concreto diâmetro de 1,40 m - h= 2,00 m</t>
  </si>
  <si>
    <t>49.13.020</t>
  </si>
  <si>
    <t>Filtro biológico anaeróbio com anéis pré-moldados de concreto diâmetro de 2,00 m - h= 2,00 m</t>
  </si>
  <si>
    <t>49.13.030</t>
  </si>
  <si>
    <t>Filtro biológico anaeróbio com anéis pré-moldados de concreto diâmetro de 2,40 m - h= 2,00 m</t>
  </si>
  <si>
    <t>49.13.040</t>
  </si>
  <si>
    <t>Filtro biológico anaeróbio com anéis pré-moldados de concreto diâmetro de 2,84 m - h= 2,50 m</t>
  </si>
  <si>
    <t>49.14</t>
  </si>
  <si>
    <t>Fossa septica</t>
  </si>
  <si>
    <t>49.14.010</t>
  </si>
  <si>
    <t>Fossa séptica câmara única com anéis pré-moldados em concreto, diâmetro externo de 1,50 m, altura útil de 1,50 m</t>
  </si>
  <si>
    <t>49.14.020</t>
  </si>
  <si>
    <t>Fossa séptica câmara única com anéis pré-moldados em concreto, diâmetro externo de 2,50 m, altura útil de 2,50 m</t>
  </si>
  <si>
    <t>49.14.030</t>
  </si>
  <si>
    <t>Fossa séptica câmara única com anéis pré-moldados em concreto, diâmetro externo de 2,50 m, altura útil de 4,00 m</t>
  </si>
  <si>
    <t>49.14.061</t>
  </si>
  <si>
    <t>SM01 Sumidouro - poço absorvente</t>
  </si>
  <si>
    <t>49.14.071</t>
  </si>
  <si>
    <t>Tampão pré-moldado de concreto armado para sumidouro com diâmetro externo de 2,00 m</t>
  </si>
  <si>
    <t>49.15</t>
  </si>
  <si>
    <t>Anel e aduela pre-moldados</t>
  </si>
  <si>
    <t>49.15.010</t>
  </si>
  <si>
    <t>Anel pré-moldado de concreto com diâmetro de 0,60 m</t>
  </si>
  <si>
    <t>49.15.030</t>
  </si>
  <si>
    <t>Anel pré-moldado de concreto com diâmetro de 0,80 m</t>
  </si>
  <si>
    <t>49.15.040</t>
  </si>
  <si>
    <t>Anel pré-moldado de concreto com diâmetro de 1,20 m</t>
  </si>
  <si>
    <t>49.15.050</t>
  </si>
  <si>
    <t>Anel pré-moldado de concreto com diâmetro de 1,50 m</t>
  </si>
  <si>
    <t>49.15.060</t>
  </si>
  <si>
    <t>Anel pré-moldado de concreto com diâmetro de 1,80 m</t>
  </si>
  <si>
    <t>49.15.100</t>
  </si>
  <si>
    <t>Anel pré-moldado de concreto com diâmetro de 3,00 m</t>
  </si>
  <si>
    <t>49.16</t>
  </si>
  <si>
    <t>Acessorios hidraulicos para agua de reuso</t>
  </si>
  <si>
    <t>49.16.050</t>
  </si>
  <si>
    <t>49.16.051</t>
  </si>
  <si>
    <t>Sifão ladrão em polietileno para extravasão, diâmetro de 100mm</t>
  </si>
  <si>
    <t>50</t>
  </si>
  <si>
    <t>DETECCAO, COMBATE E PREVENCAO A INCÊNDIO</t>
  </si>
  <si>
    <t>50.01</t>
  </si>
  <si>
    <t>Hidrantes e acessorios</t>
  </si>
  <si>
    <t>50.01.030</t>
  </si>
  <si>
    <t>Abrigo duplo para hidrante/mangueira, com visor e suporte (embutir e externo)</t>
  </si>
  <si>
    <t>50.01.060</t>
  </si>
  <si>
    <t>Abrigo para hidrante/mangueira (embutir e externo)</t>
  </si>
  <si>
    <t>50.01.080</t>
  </si>
  <si>
    <t>Mangueira com união de engate rápido, DN= 1 1/2´ (38 mm)</t>
  </si>
  <si>
    <t>50.01.090</t>
  </si>
  <si>
    <t>Botoeira para acionamento de bomba de incêndio tipo quebra-vidro</t>
  </si>
  <si>
    <t>50.01.100</t>
  </si>
  <si>
    <t>Mangueira com união de engate rápido, DN= 2 1/2´ (63 mm)</t>
  </si>
  <si>
    <t>50.01.110</t>
  </si>
  <si>
    <t>Esguicho em latão com engate rápido, DN= 2 1/2´, jato regulável</t>
  </si>
  <si>
    <t>50.01.130</t>
  </si>
  <si>
    <t>Abrigo simples com suporte, em aço inoxidável escovado, para mangueira de 1 1/2´, porta em vidro temperado jateado - inclusive mangueira de 30 m (2 x 15 m)</t>
  </si>
  <si>
    <t>50.01.160</t>
  </si>
  <si>
    <t>Adaptador de engate rápido em latão de 2 1/2´ x 1 1/2´</t>
  </si>
  <si>
    <t>50.01.170</t>
  </si>
  <si>
    <t>Adaptador de engate rápido em latão de 2 1/2´ x 2 1/2´</t>
  </si>
  <si>
    <t>50.01.180</t>
  </si>
  <si>
    <t>Hidrante de coluna com duas saídas, 4´x 2 1/2´ - simples</t>
  </si>
  <si>
    <t>50.01.190</t>
  </si>
  <si>
    <t>Tampão de engate rápido em latão, DN= 2 1/2´, com corrente</t>
  </si>
  <si>
    <t>50.01.200</t>
  </si>
  <si>
    <t>Tampão de engate rápido em latão, DN= 1 1/2´, com corrente</t>
  </si>
  <si>
    <t>50.01.210</t>
  </si>
  <si>
    <t>Chave para conexão de engate rápido</t>
  </si>
  <si>
    <t>50.01.220</t>
  </si>
  <si>
    <t>Esguicho latão com engate rápido, DN= 1 1/2´, jato regulável</t>
  </si>
  <si>
    <t>50.01.320</t>
  </si>
  <si>
    <t>Abrigo de hidrante de 1 1/2´ completo - inclusive mangueira de 30 m (2 x 15 m)</t>
  </si>
  <si>
    <t>50.01.330</t>
  </si>
  <si>
    <t>Abrigo de hidrante de 2 1/2´ completo - inclusive mangueira de 30 m (2 x 15 m)</t>
  </si>
  <si>
    <t>50.01.340</t>
  </si>
  <si>
    <t>Abrigo para registro de recalque tipo coluna, completo - inclusive tubulações e válvulas</t>
  </si>
  <si>
    <t>50.02</t>
  </si>
  <si>
    <t>Registro e valvula controladora</t>
  </si>
  <si>
    <t>50.02.020</t>
  </si>
  <si>
    <t>50.02.050</t>
  </si>
  <si>
    <t>Alarme hidráulico tipo gongo</t>
  </si>
  <si>
    <t>50.02.060</t>
  </si>
  <si>
    <t>50.02.080</t>
  </si>
  <si>
    <t>Válvula de governo completa com alarme VGA, corpo em ferro fundido, extremidades flangeadas e DN = 6´</t>
  </si>
  <si>
    <t>50.05</t>
  </si>
  <si>
    <t>Iluminacao e sinalizacao de emergencia</t>
  </si>
  <si>
    <t>50.05.022</t>
  </si>
  <si>
    <t>Destravador magnético (eletroímã) para porta corta-fogo de 24 Vcc</t>
  </si>
  <si>
    <t>50.05.060</t>
  </si>
  <si>
    <t>Central de iluminação de emergência, completa, para até 6.000 W</t>
  </si>
  <si>
    <t>50.05.160</t>
  </si>
  <si>
    <t>Módulo para adaptação de luminária de emergência, autonomia 90 minutos para lâmpada fluorescente de 32 W</t>
  </si>
  <si>
    <t>50.05.170</t>
  </si>
  <si>
    <t>Acionador manual tipo quebra vidro, em caixa plástica</t>
  </si>
  <si>
    <t>50.05.210</t>
  </si>
  <si>
    <t>Detector termovelocimétrico endereçável com base endereçável</t>
  </si>
  <si>
    <t>50.05.214</t>
  </si>
  <si>
    <t>Detector de gás liquefeito (GLP), gás natural (GN) ou derivados de metano</t>
  </si>
  <si>
    <t>50.05.230</t>
  </si>
  <si>
    <t>Sirene audiovisual tipo endereçável</t>
  </si>
  <si>
    <t>50.05.250</t>
  </si>
  <si>
    <t>Central de iluminação de emergência, completa, autonomia 1 hora, para até 240 W</t>
  </si>
  <si>
    <t>50.05.270</t>
  </si>
  <si>
    <t>Central de detecção e alarme de incêndio completa, autonomia de 1 hora para 12 laços, 220 V/12 V</t>
  </si>
  <si>
    <t>50.05.280</t>
  </si>
  <si>
    <t>Sirene tipo corneta de 12 V</t>
  </si>
  <si>
    <t>50.05.312</t>
  </si>
  <si>
    <t>Bloco autônomo de iluminação de emergência LED, com autonomia mínima de 3 horas, fluxo luminoso de 2.000 até 3.000 lúmens, equipado com 2 faróis</t>
  </si>
  <si>
    <t>50.05.400</t>
  </si>
  <si>
    <t>Sirene eletrônica em caixa metálica de 4 x 4</t>
  </si>
  <si>
    <t>50.05.430</t>
  </si>
  <si>
    <t>Detector óptico de fumaça com base endereçável</t>
  </si>
  <si>
    <t>50.05.440</t>
  </si>
  <si>
    <t>Painel repetidor de detecção e alarme de incêndio tipo endereçável</t>
  </si>
  <si>
    <t>50.05.450</t>
  </si>
  <si>
    <t>Acionador manual quebra-vidro endereçável</t>
  </si>
  <si>
    <t>50.05.470</t>
  </si>
  <si>
    <t>Módulo isolador, módulo endereçador para audiovisual</t>
  </si>
  <si>
    <t>50.05.490</t>
  </si>
  <si>
    <t>Sinalizador audiovisual endereçável com LED</t>
  </si>
  <si>
    <t>50.05.491</t>
  </si>
  <si>
    <t>Sinalizador visual de advertência</t>
  </si>
  <si>
    <t>50.05.492</t>
  </si>
  <si>
    <t>Sinalizador audiovisual de advertência</t>
  </si>
  <si>
    <t>50.10</t>
  </si>
  <si>
    <t>Extintores</t>
  </si>
  <si>
    <t>50.10.030</t>
  </si>
  <si>
    <t>Extintor sobre rodas de gás carbônico - capacidade de 10 kg</t>
  </si>
  <si>
    <t>50.10.050</t>
  </si>
  <si>
    <t>Extintor sobre rodas de gás carbônico - capacidade de 25 kg</t>
  </si>
  <si>
    <t>50.10.058</t>
  </si>
  <si>
    <t>Extintor manual de pó químico seco BC - capacidade de 4 kg</t>
  </si>
  <si>
    <t>50.10.060</t>
  </si>
  <si>
    <t>Extintor manual de pó químico seco BC - capacidade de 8 kg</t>
  </si>
  <si>
    <t>50.10.084</t>
  </si>
  <si>
    <t>Extintor manual de pó químico seco 20 BC - capacidade de 12 kg</t>
  </si>
  <si>
    <t>50.10.096</t>
  </si>
  <si>
    <t>Extintor sobre rodas de pó químico seco BC - capacidade de 20 kg</t>
  </si>
  <si>
    <t>50.10.100</t>
  </si>
  <si>
    <t>Extintor manual de água pressurizada - capacidade de 10 litros</t>
  </si>
  <si>
    <t>50.10.110</t>
  </si>
  <si>
    <t>Extintor manual de pó químico seco ABC - capacidade de 4 kg</t>
  </si>
  <si>
    <t>50.10.120</t>
  </si>
  <si>
    <t>Extintor manual de pó químico seco ABC - capacidade de 6 kg</t>
  </si>
  <si>
    <t>50.10.140</t>
  </si>
  <si>
    <t>Extintor manual de gás carbônico 5 BC - capacidade de 6 kg</t>
  </si>
  <si>
    <t>50.10.210</t>
  </si>
  <si>
    <t>Suporte para extintor de piso em fibra de vidro</t>
  </si>
  <si>
    <t>50.10.220</t>
  </si>
  <si>
    <t>Suporte para extintor de piso em aço inoxidável</t>
  </si>
  <si>
    <t>50.20</t>
  </si>
  <si>
    <t>Reparos, conservacoes e complementos - GRUPO 50</t>
  </si>
  <si>
    <t>50.20.110</t>
  </si>
  <si>
    <t>Recarga de extintor de água pressurizada</t>
  </si>
  <si>
    <t>50.20.120</t>
  </si>
  <si>
    <t>Recarga de extintor de gás carbônico</t>
  </si>
  <si>
    <t>50.20.130</t>
  </si>
  <si>
    <t>Recarga de extintor de pó químico seco</t>
  </si>
  <si>
    <t>50.20.160</t>
  </si>
  <si>
    <t>Pintura de extintor de gás carbônico, pó químico seco, ou água pressurizada, com capacidade acima de 12 kg até 20 kg</t>
  </si>
  <si>
    <t>50.20.170</t>
  </si>
  <si>
    <t>Pintura de extintor de gás carbônico, pó químico seco, ou água pressurizada, com capacidade até 12 kg</t>
  </si>
  <si>
    <t>50.20.200</t>
  </si>
  <si>
    <t>Recolocação de bico de sprinkler</t>
  </si>
  <si>
    <t>54</t>
  </si>
  <si>
    <t>PAVIMENTACAO E PASSEIO</t>
  </si>
  <si>
    <t>54.01</t>
  </si>
  <si>
    <t>Pavimentacao preparo de base</t>
  </si>
  <si>
    <t>54.01.010</t>
  </si>
  <si>
    <t>54.01.050</t>
  </si>
  <si>
    <t>Compactação do subleito mínimo de 95% do PN</t>
  </si>
  <si>
    <t>54.01.200</t>
  </si>
  <si>
    <t>Base de macadame hidráulico</t>
  </si>
  <si>
    <t>Base de brita graduada</t>
  </si>
  <si>
    <t>54.01.220</t>
  </si>
  <si>
    <t>Base de bica corrida</t>
  </si>
  <si>
    <t>54.01.230</t>
  </si>
  <si>
    <t>Base de macadame betuminoso</t>
  </si>
  <si>
    <t>54.01.410</t>
  </si>
  <si>
    <t>Varrição de pavimento para recapeamento</t>
  </si>
  <si>
    <t>54.02</t>
  </si>
  <si>
    <t>Pavimentacao com pedrisco e revestimento primario</t>
  </si>
  <si>
    <t>54.02.030</t>
  </si>
  <si>
    <t>Revestimento primário com pedra britada, compactação mínima de 95% do PN</t>
  </si>
  <si>
    <t>54.03</t>
  </si>
  <si>
    <t>Pavimentacao flexivel</t>
  </si>
  <si>
    <t>54.03.200</t>
  </si>
  <si>
    <t>Concreto asfáltico usinado a quente - Binder</t>
  </si>
  <si>
    <t>Camada de rolamento em concreto betuminoso usinado quente - CBUQ</t>
  </si>
  <si>
    <t>54.03.221</t>
  </si>
  <si>
    <t>Restauração de pavimento asfáltico com concreto betuminoso usinado quente - CBUQ</t>
  </si>
  <si>
    <t>Imprimação betuminosa ligante</t>
  </si>
  <si>
    <t>Imprimação betuminosa impermeabilizante</t>
  </si>
  <si>
    <t>54.03.250</t>
  </si>
  <si>
    <t>Revestimento de pré-misturado a quente</t>
  </si>
  <si>
    <t>54.03.260</t>
  </si>
  <si>
    <t>Revestimento de pré-misturado a frio</t>
  </si>
  <si>
    <t>54.04</t>
  </si>
  <si>
    <t>Pavimentacao em paralelepipedos e blocos de concreto</t>
  </si>
  <si>
    <t>54.04.030</t>
  </si>
  <si>
    <t>Pavimentação em paralelepípedo, sem rejunte</t>
  </si>
  <si>
    <t>54.04.040</t>
  </si>
  <si>
    <t>Rejuntamento de paralelepípedo com areia</t>
  </si>
  <si>
    <t>54.04.050</t>
  </si>
  <si>
    <t>Rejuntamento de paralelepípedo com argamassa de cimento e areia 1:3</t>
  </si>
  <si>
    <t>54.04.060</t>
  </si>
  <si>
    <t>Rejuntamento de paralelepípedo com asfalto e pedrisco</t>
  </si>
  <si>
    <t>Pavimentação em lajota de concreto 35 MPa, espessura 6 cm, cor natural, tipos: raquete, retangular, sextavado e 16 faces, com rejunte em areia</t>
  </si>
  <si>
    <t>54.04.342</t>
  </si>
  <si>
    <t>Pavimentação em lajota de concreto 35 MPa, espessura 6 cm, colorido, tipos: raquete, retangular, sextavado e 16 faces, com rejunte em areia</t>
  </si>
  <si>
    <t>54.04.350</t>
  </si>
  <si>
    <t>Pavimentação em lajota de concreto 35 MPa, espessura 8 cm, tipos: raquete, retangular, sextavado e 16 faces, com rejunte em areia</t>
  </si>
  <si>
    <t>54.04.360</t>
  </si>
  <si>
    <t>54.04.392</t>
  </si>
  <si>
    <t>54.04.393</t>
  </si>
  <si>
    <t>54.06</t>
  </si>
  <si>
    <t>Guias e sarjetas</t>
  </si>
  <si>
    <t>54.06.020</t>
  </si>
  <si>
    <t>Guia pré-moldada curva tipo PMSP 100 - fck 25 MPa</t>
  </si>
  <si>
    <t>Guia pré-moldada reta tipo PMSP 100 - fck 25 MPa</t>
  </si>
  <si>
    <t>54.06.100</t>
  </si>
  <si>
    <t>Base em concreto com fck de 20 MPa, para guias, sarjetas ou sarjetões</t>
  </si>
  <si>
    <t>54.06.110</t>
  </si>
  <si>
    <t>Base em concreto com fck de 25 MPa, para guias, sarjetas ou sarjetões</t>
  </si>
  <si>
    <t>54.06.160</t>
  </si>
  <si>
    <t>54.07</t>
  </si>
  <si>
    <t>Calcadas e passeios.</t>
  </si>
  <si>
    <t>54.07.040</t>
  </si>
  <si>
    <t>Passeio em mosaico português</t>
  </si>
  <si>
    <t>54.07.110</t>
  </si>
  <si>
    <t>54.07.130</t>
  </si>
  <si>
    <t>Piso em ladrilho hidráulico várias cores 20 x 20 cm, assentado com argamassa colante industrializada</t>
  </si>
  <si>
    <t>54.07.210</t>
  </si>
  <si>
    <t>Rejuntamento de piso em ladrilho hidráulico (20 x 20 x 1,8 cm) com argamassa industrializada para rejunte, juntas de 2 mm</t>
  </si>
  <si>
    <t>54.07.240</t>
  </si>
  <si>
    <t>Rejuntamento de piso em ladrilho hidráulico (30 x 30 x 2,5 cm), com cimento branco, juntas de 2 mm</t>
  </si>
  <si>
    <t>54.07.260</t>
  </si>
  <si>
    <t>Piso em ladrilho hidráulico tipo rampa várias cores 30 x 30 cm, antiderrapante, assentado com argamassa mista</t>
  </si>
  <si>
    <t>54.20</t>
  </si>
  <si>
    <t>Reparos, conservacoes e complementos - GRUPO 54</t>
  </si>
  <si>
    <t>54.20.040</t>
  </si>
  <si>
    <t>Bate-roda em concreto pré-moldado</t>
  </si>
  <si>
    <t>54.20.100</t>
  </si>
  <si>
    <t>Reassentamento de guia pré-moldada reta e/ou curva</t>
  </si>
  <si>
    <t>54.20.110</t>
  </si>
  <si>
    <t>Reassentamento de paralelepípedos, sem rejunte</t>
  </si>
  <si>
    <t>54.20.120</t>
  </si>
  <si>
    <t>Reassentamento de pavimentação em lajota de concreto, espessura 6 cm, com rejunte em areia</t>
  </si>
  <si>
    <t>54.20.130</t>
  </si>
  <si>
    <t>Reassentamento de pavimentação em lajota de concreto, espessura 8 cm, com rejunte em areia</t>
  </si>
  <si>
    <t>54.20.140</t>
  </si>
  <si>
    <t>Reassentamento de pavimentação em lajota de concreto, espessura 10 cm, com rejunte em areia</t>
  </si>
  <si>
    <t>55</t>
  </si>
  <si>
    <t>LIMPEZA E ARREMATE</t>
  </si>
  <si>
    <t>55.01</t>
  </si>
  <si>
    <t>Limpeza de obra</t>
  </si>
  <si>
    <t>55.01.020</t>
  </si>
  <si>
    <t>Limpeza final da obra</t>
  </si>
  <si>
    <t>55.01.030</t>
  </si>
  <si>
    <t>Limpeza complementar com hidrojateamento</t>
  </si>
  <si>
    <t>55.01.070</t>
  </si>
  <si>
    <t>Limpeza complementar e especial de piso com produtos químicos</t>
  </si>
  <si>
    <t>55.01.080</t>
  </si>
  <si>
    <t>Limpeza complementar e especial de peças e aparelhos sanitários</t>
  </si>
  <si>
    <t>55.01.100</t>
  </si>
  <si>
    <t>Limpeza complementar e especial de vidros</t>
  </si>
  <si>
    <t>55.01.130</t>
  </si>
  <si>
    <t>Limpeza e lavagem de superfície revestida com material cerâmico ou pastilhas por hidrojateamento com rejuntamento</t>
  </si>
  <si>
    <t>55.01.140</t>
  </si>
  <si>
    <t>Limpeza de superfície com hidrojateamento</t>
  </si>
  <si>
    <t>55.02</t>
  </si>
  <si>
    <t>Limpeza e desinfeccao sanitaria</t>
  </si>
  <si>
    <t>55.02.010</t>
  </si>
  <si>
    <t>Limpeza de caixa de inspeção</t>
  </si>
  <si>
    <t>55.02.012</t>
  </si>
  <si>
    <t>Limpeza de caixa de passagem, poço de visita ou bueiro</t>
  </si>
  <si>
    <t>55.02.020</t>
  </si>
  <si>
    <t>Limpeza de fossa</t>
  </si>
  <si>
    <t>55.02.040</t>
  </si>
  <si>
    <t>Limpeza e desobstrução de boca de lobo</t>
  </si>
  <si>
    <t>55.02.050</t>
  </si>
  <si>
    <t>Limpeza e desobstrução de canaletas ou tubulações de águas pluviais</t>
  </si>
  <si>
    <t>55.02.060</t>
  </si>
  <si>
    <t>Limpeza e desentupimento manual de tubulação de esgoto predial</t>
  </si>
  <si>
    <t>55.10</t>
  </si>
  <si>
    <t>Remocao de entulho</t>
  </si>
  <si>
    <t>55.10.030</t>
  </si>
  <si>
    <t>Locação de duto coletor de entulho</t>
  </si>
  <si>
    <t>61</t>
  </si>
  <si>
    <t>CONFORTO MECANICO, EQUIPAMENTO E SISTEMA</t>
  </si>
  <si>
    <t>61.01</t>
  </si>
  <si>
    <t>Elevador</t>
  </si>
  <si>
    <t>61.01.670</t>
  </si>
  <si>
    <t>Elevador para passageiros, uso interno com capacidade mínima de 600 kg para duas paradas, portas unilaterais</t>
  </si>
  <si>
    <t>61.01.680</t>
  </si>
  <si>
    <t>Elevador para passageiros, uso interno com capacidade mínima de 600 kg para três paradas, portas unilaterais</t>
  </si>
  <si>
    <t>61.01.690</t>
  </si>
  <si>
    <t>Elevador para passageiros, uso interno com capacidade mínima de 600 kg para três paradas, portas bilaterais</t>
  </si>
  <si>
    <t>61.01.760</t>
  </si>
  <si>
    <t>Elevador para passageiros, uso interno com capacidade mínima de 600 kg para quatro paradas, portas bilaterais</t>
  </si>
  <si>
    <t>61.01.770</t>
  </si>
  <si>
    <t>Elevador para passageiros, uso interno com capacidade mínima de 600 kg para quatro paradas, portas unilaterais</t>
  </si>
  <si>
    <t>61.01.800</t>
  </si>
  <si>
    <t>Fechamento em vidro laminado para caixa de elevador</t>
  </si>
  <si>
    <t>61.10</t>
  </si>
  <si>
    <t>Climatizacao</t>
  </si>
  <si>
    <t>61.10.001</t>
  </si>
  <si>
    <t>Resfriadora de líquidos (chiller), com compressor e condensação à ar, capacidade de 120 TR</t>
  </si>
  <si>
    <t>61.10.007</t>
  </si>
  <si>
    <t>Resfriadora de líquidos (chiller), com compressor e condensação à ar, capacidade de 160 TR</t>
  </si>
  <si>
    <t>61.10.010</t>
  </si>
  <si>
    <t>Resfriadora de líquidos (chiller), com compressor e condensação à ar, capacidade de 200-210 TR</t>
  </si>
  <si>
    <t>61.10.012</t>
  </si>
  <si>
    <t>Resfriadora de líquidos (chiller), com compressor e condensação à ar, capacidade de 80 TR</t>
  </si>
  <si>
    <t>61.10.014</t>
  </si>
  <si>
    <t>Resfriadora de líquidos (chiller), com compressor e condensação à ar, capacidade de 20 TR</t>
  </si>
  <si>
    <t>61.10.100</t>
  </si>
  <si>
    <t>Tratamento de ar (fan-coil) tipo Air Handling Unit de concepção modular, capacidade de 10 TR</t>
  </si>
  <si>
    <t>61.10.101</t>
  </si>
  <si>
    <t>61.10.110</t>
  </si>
  <si>
    <t>Tratamento de ar (fan-coil) tipo Air Handling Unit de concepção modular, capacidade de 40 TR</t>
  </si>
  <si>
    <t>61.10.120</t>
  </si>
  <si>
    <t>Tratamento de ar (fan-coil) tipo Air Handling Unit de concepção modular, capacidade de 50 TR</t>
  </si>
  <si>
    <t>61.10.200</t>
  </si>
  <si>
    <t>Tratamento de ar compacta fancolete hidrônico tipo piso-teto, vazão de ar nominal 637 m³/h, capacidade de refrigeração 14.000 Btu/h - 1,2 TR</t>
  </si>
  <si>
    <t>61.10.210</t>
  </si>
  <si>
    <t>Tratamento de ar compacta fancolete hidrônico tipo piso-teto, vazão de ar nominal 1.215 m³/h, capacidade de refrigeração 25.000 Btu/h - 2,1 TR</t>
  </si>
  <si>
    <t>61.10.220</t>
  </si>
  <si>
    <t>Tratamento de ar compacta fancolete hidrônico tipo piso-teto, vazão de ar nominal 1.758 m³/h, capacidade de refrigeração 36.000 Btu/h - 3,0 TR</t>
  </si>
  <si>
    <t>61.10.230</t>
  </si>
  <si>
    <t>Tratamento de ar compacta fancolete hidrônico tipo piso-teto, vazão de ar nominal 2.166 m³/h, capacidade de refrigeração 48.000 Btu/h - 4,0 TR</t>
  </si>
  <si>
    <t>61.10.250</t>
  </si>
  <si>
    <t>Tratamento de ar compacta fancolete hidrônico tipo cassete, capacidade de refrigeração 20.000 Btu/h - 1,6 TR</t>
  </si>
  <si>
    <t>61.10.260</t>
  </si>
  <si>
    <t>Tratamento de ar compacta fancolete hidrônico tipo cassete, capacidade de refrigeração 25.000 Btu/h - 2,1 TR</t>
  </si>
  <si>
    <t>61.10.270</t>
  </si>
  <si>
    <t>Tratamento de ar compacta fancolete hidrônico tipo cassete, capacidade de refrigeração 32.000 Btu/h - 2,6 TR</t>
  </si>
  <si>
    <t>61.10.300</t>
  </si>
  <si>
    <t>61.10.310</t>
  </si>
  <si>
    <t>61.10.320</t>
  </si>
  <si>
    <t>61.10.380</t>
  </si>
  <si>
    <t>Duto em painel rígido de lã de vidro acústico, espessura 25 mm</t>
  </si>
  <si>
    <t>61.10.400</t>
  </si>
  <si>
    <t>Damper corta fogo (DCF) tipo comporta, com elemento fusível e chave fim de curso.</t>
  </si>
  <si>
    <t>61.10.401</t>
  </si>
  <si>
    <t>Damper de regulagem manual, tamanho: 0,10 m² a 0,14 m²</t>
  </si>
  <si>
    <t>61.10.402</t>
  </si>
  <si>
    <t>Damper de regulagem manual, tamanho: 0,15 m² a 0,20 m²</t>
  </si>
  <si>
    <t>61.10.403</t>
  </si>
  <si>
    <t>Damper de regulagem manual, tamanho: 0,21 m² a 0,40 m²</t>
  </si>
  <si>
    <t>61.10.410</t>
  </si>
  <si>
    <t>Serviço de instalação de Damper Corta Fogo</t>
  </si>
  <si>
    <t>61.10.430</t>
  </si>
  <si>
    <t>Tanque de compensação pressurizado, capacidade (volume mínimo) de 250 litros</t>
  </si>
  <si>
    <t>61.10.440</t>
  </si>
  <si>
    <t>Registro de regulagem de vazão de ar</t>
  </si>
  <si>
    <t>61.10.510</t>
  </si>
  <si>
    <t>Difusor de ar de longo alcance tipo Jet-Nozzles, vazão de ar 1.330 m³/h</t>
  </si>
  <si>
    <t>61.10.511</t>
  </si>
  <si>
    <t>Difusor para insuflamento de ar com plenum, multivias e colarinho</t>
  </si>
  <si>
    <t>61.10.512</t>
  </si>
  <si>
    <t>Difusor para insuflamento de ar com plenum, com 2 aberturas</t>
  </si>
  <si>
    <t>61.10.513</t>
  </si>
  <si>
    <t>Difusor de plástico, diâmetro 15 cm</t>
  </si>
  <si>
    <t>61.10.514</t>
  </si>
  <si>
    <t>Difusor de plástico, diâmetro 20 cm</t>
  </si>
  <si>
    <t>61.10.530</t>
  </si>
  <si>
    <t>Difusor de insuflação de ar tipo direcional, medindo 30 x 30 cm</t>
  </si>
  <si>
    <t>61.10.550</t>
  </si>
  <si>
    <t>Difusor de insuflação de ar tipo direcional, medindo 45 x 15 cm</t>
  </si>
  <si>
    <t>61.10.564</t>
  </si>
  <si>
    <t>Grelha de insuflação de ar em alumínio anodizado, de dupla deflexão, tamanho: até 0,10 m²</t>
  </si>
  <si>
    <t>61.10.565</t>
  </si>
  <si>
    <t>Grelha de insuflação de ar em alumínio anodizado, de dupla deflexão, tamanho: acima de 0,10 m² até 0,50 m²</t>
  </si>
  <si>
    <t>61.10.566</t>
  </si>
  <si>
    <t>Grelha de insuflação de ar em alumínio anodizado, de dupla deflexão, tamanho: acima de 0,50 m² até 1,00 m²</t>
  </si>
  <si>
    <t>61.10.567</t>
  </si>
  <si>
    <t>Grelha de porta, tamanho: 0,14 m² a 0,30 m²</t>
  </si>
  <si>
    <t>61.10.568</t>
  </si>
  <si>
    <t>Grelha de porta, tamanho: 0,07 m² a 0,13 m²</t>
  </si>
  <si>
    <t>61.10.569</t>
  </si>
  <si>
    <t>Grelha de porta, tamanho: 0,03 m² a 0,06 m²</t>
  </si>
  <si>
    <t>61.10.574</t>
  </si>
  <si>
    <t>Grelha de retorno/exaustão com registro, tamanho: 0,03 m² a 0,06 m²</t>
  </si>
  <si>
    <t>61.10.575</t>
  </si>
  <si>
    <t>Grelha de retorno/exaustão com registro, tamanho: 0,07 m² a 0,13 m²</t>
  </si>
  <si>
    <t>61.10.576</t>
  </si>
  <si>
    <t>Grelha de retorno/exaustão com registro, tamanho: 0,14 m² a 0,19 m²</t>
  </si>
  <si>
    <t>61.10.577</t>
  </si>
  <si>
    <t>Grelha de retorno/exaustão com registro, tamanho: 0,20 m² a 0,40 m²</t>
  </si>
  <si>
    <t>61.10.578</t>
  </si>
  <si>
    <t>Grelha de retorno/exaustão com registro, tamanho: 0,41 m² a 0,65 m²</t>
  </si>
  <si>
    <t>61.10.581</t>
  </si>
  <si>
    <t>Veneziana com tela e filtro G4</t>
  </si>
  <si>
    <t>61.10.582</t>
  </si>
  <si>
    <t>Veneziana com tela</t>
  </si>
  <si>
    <t>61.10.583</t>
  </si>
  <si>
    <t>Veneziana com tela, tamanho 38,5 x 33 cm</t>
  </si>
  <si>
    <t>61.10.584</t>
  </si>
  <si>
    <t>Veneziana com tela, tamanho 78,5 x 33 cm</t>
  </si>
  <si>
    <t>61.14</t>
  </si>
  <si>
    <t>Ventilacao</t>
  </si>
  <si>
    <t>61.14.005</t>
  </si>
  <si>
    <t>Caixa ventiladora com ventilador centrífugo, vazão 4.600 m³/h, pressão 30 mmCA - 220 / 380 V / 60HZ</t>
  </si>
  <si>
    <t>61.14.015</t>
  </si>
  <si>
    <t>Caixa ventiladora com ventilador centrífugo, vazão 28.000 m³/h, pressão 30 mmCA - 220 / 380 V / 60HZ</t>
  </si>
  <si>
    <t>61.14.050</t>
  </si>
  <si>
    <t>Caixa ventiladora com ventilador centrífugo, vazão 8.800 m³/h, pressão 35 mmCA - 220/380 V / 60Hz</t>
  </si>
  <si>
    <t>61.14.051</t>
  </si>
  <si>
    <t>Caixa ventiladora com ventilador centrífugo, vazão 10.000 m³/h, pressão 30 mmCA - 220/380 V / 60Hz</t>
  </si>
  <si>
    <t>61.14.070</t>
  </si>
  <si>
    <t>Caixa ventiladora com ventilador centrífugo, vazão 1.710 m³/h, pressão 35 mmCA - 220/380 V / 60Hz</t>
  </si>
  <si>
    <t>61.14.080</t>
  </si>
  <si>
    <t>61.14.100</t>
  </si>
  <si>
    <t>Ventilador centrífugo de dupla aspiração "limite-load", vazão 20.000 m³/h, pressão 50 mmCA - 380/660 V / 60 Hz</t>
  </si>
  <si>
    <t>61.15</t>
  </si>
  <si>
    <t>Controles para Fan-Coil e CAG</t>
  </si>
  <si>
    <t>61.15.010</t>
  </si>
  <si>
    <t>Fonte de alimentação universal bivolt com saída de 24 V - 1,5 A - 35 W</t>
  </si>
  <si>
    <t>61.15.020</t>
  </si>
  <si>
    <t>Tomada simples de sobrepor universal 2P+T - 10 A - 250 V</t>
  </si>
  <si>
    <t>61.15.030</t>
  </si>
  <si>
    <t>Transformador abaixador, entrada 110/220V, saída 24V+24V, corrente secundário 6A</t>
  </si>
  <si>
    <t>61.15.040</t>
  </si>
  <si>
    <t>Atuador Floating de 40Nm, sinal de controle 3 e 2 pontos, tensão de entrada AC/DC 24V, IP 54</t>
  </si>
  <si>
    <t>61.15.050</t>
  </si>
  <si>
    <t>61.15.060</t>
  </si>
  <si>
    <t>61.15.070</t>
  </si>
  <si>
    <t>61.15.080</t>
  </si>
  <si>
    <t>61.15.090</t>
  </si>
  <si>
    <t>61.15.100</t>
  </si>
  <si>
    <t>Atuador proporcional de 10 Nm, tensão de entrada AC/DC 24 V - IP 54</t>
  </si>
  <si>
    <t>61.15.110</t>
  </si>
  <si>
    <t>61.15.120</t>
  </si>
  <si>
    <t>Acoplador a relé 24 VCC/VAC - 1 contato reversível</t>
  </si>
  <si>
    <t>61.15.130</t>
  </si>
  <si>
    <t>Chave de fluxo para ar</t>
  </si>
  <si>
    <t>61.15.140</t>
  </si>
  <si>
    <t>Repetidor de sinal I/I e V/I</t>
  </si>
  <si>
    <t>61.15.150</t>
  </si>
  <si>
    <t>Relé de corrente ajustável de 0 a 200 A</t>
  </si>
  <si>
    <t>61.15.160</t>
  </si>
  <si>
    <t>61.15.164</t>
  </si>
  <si>
    <t>Termostato de segurança com temperatura ajustável de 90°C - 110°C</t>
  </si>
  <si>
    <t>61.15.170</t>
  </si>
  <si>
    <t>Transmissor de pressão diferencial, operação de 0 a 750 Pa</t>
  </si>
  <si>
    <t>61.15.172</t>
  </si>
  <si>
    <t>Transmissor de pressão compacto, escala de pressão 0 a 10 Bar, sinal de saída 4 - 20 mA</t>
  </si>
  <si>
    <t>61.15.174</t>
  </si>
  <si>
    <t>Transmissor de temperatura e umidade para dutos, alta precisão, corrente de 0 a 20 mA, alimentação 12Vcc a 30Vcc</t>
  </si>
  <si>
    <t>61.15.181</t>
  </si>
  <si>
    <t>Controlador lógico programável para 16 entradas/16 saídas</t>
  </si>
  <si>
    <t>61.15.191</t>
  </si>
  <si>
    <t>Módulo de expansão para 4 canais de saída analógica</t>
  </si>
  <si>
    <t>61.15.196</t>
  </si>
  <si>
    <t>Módulo de expansão para 8 canais de entrada analógica</t>
  </si>
  <si>
    <t>61.15.201</t>
  </si>
  <si>
    <t>Módulo de expansão para 8 canais de entrada e saída digitais</t>
  </si>
  <si>
    <t>61.20</t>
  </si>
  <si>
    <t>Reparos, conservacoes e complementos - GRUPO 61</t>
  </si>
  <si>
    <t>61.20.040</t>
  </si>
  <si>
    <t>Cortina de ar com duas velocidades, para vão de 1,20 m</t>
  </si>
  <si>
    <t>61.20.092</t>
  </si>
  <si>
    <t>Cortina de ar com duas velocidades, para vão de 1,50 m</t>
  </si>
  <si>
    <t>61.20.100</t>
  </si>
  <si>
    <t>Ligação típica, (cavalete), para ar condicionado ´fancoil´, diâmetro de 1/2´</t>
  </si>
  <si>
    <t>61.20.110</t>
  </si>
  <si>
    <t>Ligação típica, (cavalete), para ar condicionado ´fancoil´, diâmetro de 3/4´</t>
  </si>
  <si>
    <t>61.20.120</t>
  </si>
  <si>
    <t>Ligação típica, (cavalete), para ar condicionado ´fancoil´, diâmetro de 1´</t>
  </si>
  <si>
    <t>61.20.130</t>
  </si>
  <si>
    <t>Ligação típica, (cavalete), para ar condicionado ´fancoil´, diâmetro de 1 1/4´</t>
  </si>
  <si>
    <t>61.20.450</t>
  </si>
  <si>
    <t>Duto em chapa de aço galvanizado</t>
  </si>
  <si>
    <t>62</t>
  </si>
  <si>
    <t>COZINHA, REFEITORIO, LAVANDERIA INDUSTRIAL E EQUIPAMENTOS</t>
  </si>
  <si>
    <t>62.04</t>
  </si>
  <si>
    <t>Mobiliario e acessorios</t>
  </si>
  <si>
    <t>62.04.060</t>
  </si>
  <si>
    <t>Tanque duplo com pés em aço inoxidável de 1600 x 700 x 850 mm</t>
  </si>
  <si>
    <t>62.04.070</t>
  </si>
  <si>
    <t>Mesa em aço inoxidável, largura até 700 mm</t>
  </si>
  <si>
    <t>62.04.090</t>
  </si>
  <si>
    <t>Mesa lateral em aço inoxidável com prateleira inferior, largura até 700 mm</t>
  </si>
  <si>
    <t>62.20</t>
  </si>
  <si>
    <t>Reparos, conservacoes e complementos - GRUPO 62</t>
  </si>
  <si>
    <t>62.20.330</t>
  </si>
  <si>
    <t>Coifa em aço inoxidável com filtro e exaustor axial - área até 3,00 m²</t>
  </si>
  <si>
    <t>62.20.340</t>
  </si>
  <si>
    <t>Coifa em aço inoxidável com filtro e exaustor axial - área de 3,01 até 7,50 m²</t>
  </si>
  <si>
    <t>62.20.350</t>
  </si>
  <si>
    <t>Coifa em aço inoxidável com filtro e exaustor axial - área de 7,51 até 16,00 m²</t>
  </si>
  <si>
    <t>65</t>
  </si>
  <si>
    <t>RESFRIAMENTO E CONSERVACAO DE MATERIAL PERECIVEL</t>
  </si>
  <si>
    <t>65.01</t>
  </si>
  <si>
    <t>Camara frigorifica para resfriado</t>
  </si>
  <si>
    <t>65.01.210</t>
  </si>
  <si>
    <t>Câmara frigorífica para resfriados</t>
  </si>
  <si>
    <t>65.02</t>
  </si>
  <si>
    <t>Camara frigorifica para congelado</t>
  </si>
  <si>
    <t>65.02.100</t>
  </si>
  <si>
    <t>Câmara frigorífica para congelados</t>
  </si>
  <si>
    <t>66</t>
  </si>
  <si>
    <t>SEGURANCA, VIGILANCIA E CONTROLE, EQUIPAMENTO E SISTEMA</t>
  </si>
  <si>
    <t>66.02</t>
  </si>
  <si>
    <t>Controle de acessos e alarme</t>
  </si>
  <si>
    <t>66.02.060</t>
  </si>
  <si>
    <t>Repetidora de sinais de ocorrências, do painel sinóptico da central de alarme</t>
  </si>
  <si>
    <t>66.02.090</t>
  </si>
  <si>
    <t>Detector de metais, tipo portal, microprocessado</t>
  </si>
  <si>
    <t>66.02.130</t>
  </si>
  <si>
    <t>Porteiro eletrônico com um interfone</t>
  </si>
  <si>
    <t>66.02.239</t>
  </si>
  <si>
    <t>Sistema eletrônico de automatização de portão deslizante, para esforços até 800 kg</t>
  </si>
  <si>
    <t>66.02.240</t>
  </si>
  <si>
    <t>Sistema eletrônico de automatização de portão deslizante, para esforços maior de 800 kg e até 1400 kg</t>
  </si>
  <si>
    <t>66.02.460</t>
  </si>
  <si>
    <t>Vídeo porteiro eletrônico colorido, com um interfone</t>
  </si>
  <si>
    <t>66.02.500</t>
  </si>
  <si>
    <t>Central de alarme microprocessada, para até 125 zonas</t>
  </si>
  <si>
    <t>66.02.560</t>
  </si>
  <si>
    <t>Controlador de acesso com identificação por impressão digital (biometria) e software de gerenciamento</t>
  </si>
  <si>
    <t>66.08</t>
  </si>
  <si>
    <t>Equipamentos para sistema de seguranca, vigilancia e controle</t>
  </si>
  <si>
    <t>66.08.061</t>
  </si>
  <si>
    <t>Mesa controladora híbrida para até 32 câmeras IPs, com teclado e joystick, compatível com sistema de CFTV, IP ou analógico</t>
  </si>
  <si>
    <t>66.08.100</t>
  </si>
  <si>
    <t>Rack fechado padrão metálico, 19 x 12 Us x 470 mm</t>
  </si>
  <si>
    <t>66.08.110</t>
  </si>
  <si>
    <t>Rack fechado padrão metálico, 19 x 20 Us x 470 mm</t>
  </si>
  <si>
    <t>66.08.111</t>
  </si>
  <si>
    <t>Rack fechado de piso padrão metálico, 19 x 24 Us x 570 mm</t>
  </si>
  <si>
    <t>66.08.115</t>
  </si>
  <si>
    <t>Rack fechado de piso padrão metálico, 19 x 44 Us x 770 mm</t>
  </si>
  <si>
    <t>66.08.131</t>
  </si>
  <si>
    <t>66.08.258</t>
  </si>
  <si>
    <t>Ponto de acesso de dados (Access Point), uso interno, compatível com PoE 802.3af</t>
  </si>
  <si>
    <t>66.08.260</t>
  </si>
  <si>
    <t>Modulador de canais VHF / UHF / CATV / CFTV</t>
  </si>
  <si>
    <t>66.08.270</t>
  </si>
  <si>
    <t>Amplificador de linha VHF / UHF com conector de F-50 dB</t>
  </si>
  <si>
    <t>66.08.324</t>
  </si>
  <si>
    <t>Câmera fixa colorida compacta com domo, para áreas internas e externas - 1,3 MP</t>
  </si>
  <si>
    <t>66.08.326</t>
  </si>
  <si>
    <t>Câmera fixa colorida tipo bullet, para áreas internas e externas - 1,3 MP</t>
  </si>
  <si>
    <t>66.08.328</t>
  </si>
  <si>
    <t>Câmera fixa colorida com domo, para áreas internas e externas - 5 MP</t>
  </si>
  <si>
    <t>66.08.340</t>
  </si>
  <si>
    <t>Unidade de disco rígido (HD) externo de 5 TB</t>
  </si>
  <si>
    <t>66.08.400</t>
  </si>
  <si>
    <t>Estação de monitoramento "WorkStation" para até 3 monitores - memória RAM de 8 GB</t>
  </si>
  <si>
    <t>66.08.401</t>
  </si>
  <si>
    <t>Estação de monitoramento "WorkStation" para até 3 monitores - memória RAM de 16 GB</t>
  </si>
  <si>
    <t>66.08.600</t>
  </si>
  <si>
    <t>Unidade gerenciadora digital de vídeo em rede (NVR) de até 8 câmeras IP, armazenamento de 6 TB, 1 interface de rede Fast Ethernet</t>
  </si>
  <si>
    <t>66.08.610</t>
  </si>
  <si>
    <t>Unidade gerenciadora digital de vídeo em rede (NVR) de até 16 câmeras IP, armazenamento de 12 TB, 1 interface de rede Gigabit Ethernet e 4 entradas de alarme</t>
  </si>
  <si>
    <t>66.08.620</t>
  </si>
  <si>
    <t>Unidade gerenciadora digital vídeo em rede (NVR) de até 32 câmeras IP, armazenamento de 48 TB, 2 interface de rede Gigabit Ethernet e 16 entradas de alarme</t>
  </si>
  <si>
    <t>66.20</t>
  </si>
  <si>
    <t>Reparos, conservacoes e complementos - GRUPO 66</t>
  </si>
  <si>
    <t>66.20.150</t>
  </si>
  <si>
    <t>Guia organizadora de cabos para rack, 19´ 1 U</t>
  </si>
  <si>
    <t>66.20.170</t>
  </si>
  <si>
    <t>Guia organizadora de cabos para rack, 19´ 2 U</t>
  </si>
  <si>
    <t>66.20.202</t>
  </si>
  <si>
    <t>Instalação de câmera fixa para CFTV</t>
  </si>
  <si>
    <t>66.20.212</t>
  </si>
  <si>
    <t>Instalação de câmera móvel para CFTV</t>
  </si>
  <si>
    <t>66.20.221</t>
  </si>
  <si>
    <t>66.20.225</t>
  </si>
  <si>
    <t>Switch Gigabit 24 portas com capacidade de 10/100/1000/Mbps</t>
  </si>
  <si>
    <t>67</t>
  </si>
  <si>
    <t>CAPTACAO, ADUCAO E TRATAMENTO DE AGUA E ESGOTO, EQUIPAMENTOS E SISTEMA</t>
  </si>
  <si>
    <t>67.02</t>
  </si>
  <si>
    <t>Tratamento</t>
  </si>
  <si>
    <t>67.02.160</t>
  </si>
  <si>
    <t>Medidor de vazão tipo calha Parshall com garganta W= 3´</t>
  </si>
  <si>
    <t>67.02.210</t>
  </si>
  <si>
    <t>Tela galvanizada revestida em poliamida, malha de 10 mm</t>
  </si>
  <si>
    <t>67.02.240</t>
  </si>
  <si>
    <t>Grade média em aço carbono, espaçamento de 2 cm com barras chatas de 1´ x 3/8´</t>
  </si>
  <si>
    <t>67.02.280</t>
  </si>
  <si>
    <t>Cesto em chapa de aço inoxidável com espessura de 1,5 mm e furos de 1/2´</t>
  </si>
  <si>
    <t>67.02.301</t>
  </si>
  <si>
    <t>Peneira estática em poliéster reforçado de fibra de vidro (PRFV) com tela de aço inoxidável AISI 304, malha de 1,5 mm, vazão de 50 l/s</t>
  </si>
  <si>
    <t>67.02.320</t>
  </si>
  <si>
    <t>Comporta em fibra de vidro (stop log) - espessura de 10 mm</t>
  </si>
  <si>
    <t>67.02.330</t>
  </si>
  <si>
    <t>Sistema de tratamento de águas cinzas e aproveitamento de águas pluviais, para reuso em fins não potáveis, vazão de 2 m³/h</t>
  </si>
  <si>
    <t>67.02.400</t>
  </si>
  <si>
    <t>Tanque em fibra de vidro (PRFV) com quebra ondas, capacidade de 25.000 l e misturador interno vertical em aço inoxidável</t>
  </si>
  <si>
    <t>67.02.410</t>
  </si>
  <si>
    <t>Sistema de tratamento de efluente por reator anaeróbio (UASB) e filtro aeróbio (FAS), para obras de segurança com vazão máxima horária 12 l/s</t>
  </si>
  <si>
    <t>67.02.502</t>
  </si>
  <si>
    <t>Elaboração de projeto de sistema de estação compacta de tratamento de esgoto para vazão máxima horária 12 l/s e atendimento classe II, assessoria, documentação e aprovação na CETESB</t>
  </si>
  <si>
    <t>67.02.503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</si>
  <si>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</si>
  <si>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68</t>
  </si>
  <si>
    <t>ELETRIFICACAO, EQUIPAMENTOS E SISTEMA</t>
  </si>
  <si>
    <t>68.01</t>
  </si>
  <si>
    <t>Posteamento</t>
  </si>
  <si>
    <t>68.01.600</t>
  </si>
  <si>
    <t>Poste de concreto circular, 200 kg, H = 7,00 m</t>
  </si>
  <si>
    <t>68.01.620</t>
  </si>
  <si>
    <t>Poste de concreto circular, 200 kg, H = 9,00 m</t>
  </si>
  <si>
    <t>68.01.630</t>
  </si>
  <si>
    <t>Poste de concreto circular, 200 kg, H = 10,00 m</t>
  </si>
  <si>
    <t>68.01.640</t>
  </si>
  <si>
    <t>Poste de concreto circular, 200 kg, H = 11,00 m</t>
  </si>
  <si>
    <t>68.01.650</t>
  </si>
  <si>
    <t>Poste de concreto circular, 200 kg, H = 12,00 m</t>
  </si>
  <si>
    <t>68.01.670</t>
  </si>
  <si>
    <t>Poste de concreto circular, 300 kg, H = 9,00 m</t>
  </si>
  <si>
    <t>68.01.730</t>
  </si>
  <si>
    <t>Poste de concreto circular, 400 kg, H = 9,00 m</t>
  </si>
  <si>
    <t>68.01.740</t>
  </si>
  <si>
    <t>Poste de concreto circular, 400 kg, H = 10,00 m</t>
  </si>
  <si>
    <t>68.01.750</t>
  </si>
  <si>
    <t>Poste de concreto circular, 400 kg, H = 11,00 m</t>
  </si>
  <si>
    <t>68.01.760</t>
  </si>
  <si>
    <t>Poste de concreto circular, 400 kg, H = 12,00 m</t>
  </si>
  <si>
    <t>68.01.800</t>
  </si>
  <si>
    <t>Poste de concreto circular, 600 kg, H = 11,00 m</t>
  </si>
  <si>
    <t>68.01.810</t>
  </si>
  <si>
    <t>Poste de concreto circular, 600 kg, H = 12,00 m</t>
  </si>
  <si>
    <t>68.01.850</t>
  </si>
  <si>
    <t>Poste de concreto circular, 1000 kg, H = 12,00 m</t>
  </si>
  <si>
    <t>68.02</t>
  </si>
  <si>
    <t>Estrutura especifica</t>
  </si>
  <si>
    <t>68.02.010</t>
  </si>
  <si>
    <t>Estai</t>
  </si>
  <si>
    <t>68.02.020</t>
  </si>
  <si>
    <t>Estrutura tipo M1</t>
  </si>
  <si>
    <t>68.02.030</t>
  </si>
  <si>
    <t>Estrutura tipo M2</t>
  </si>
  <si>
    <t>68.02.040</t>
  </si>
  <si>
    <t>Estrutura tipo N3</t>
  </si>
  <si>
    <t>68.02.050</t>
  </si>
  <si>
    <t>Estrutura tipo M1 - N3</t>
  </si>
  <si>
    <t>68.02.060</t>
  </si>
  <si>
    <t>Estrutura tipo M4</t>
  </si>
  <si>
    <t>68.02.070</t>
  </si>
  <si>
    <t>Estrutura tipo N2</t>
  </si>
  <si>
    <t>68.02.090</t>
  </si>
  <si>
    <t>Estrutura tipo N4</t>
  </si>
  <si>
    <t>68.02.100</t>
  </si>
  <si>
    <t>Armação secundária tipo 1C - 2R</t>
  </si>
  <si>
    <t>68.02.110</t>
  </si>
  <si>
    <t>Armação secundária tipo 1C - 3R</t>
  </si>
  <si>
    <t>68.02.120</t>
  </si>
  <si>
    <t>Armação secundária tipo 2C - 3R</t>
  </si>
  <si>
    <t>68.02.140</t>
  </si>
  <si>
    <t>Armação secundária tipo 4C - 6R</t>
  </si>
  <si>
    <t>68.20</t>
  </si>
  <si>
    <t>Reparos, conservacoes e complementos - GRUPO 68</t>
  </si>
  <si>
    <t>68.20.010</t>
  </si>
  <si>
    <t>Recolocação de poste de madeira</t>
  </si>
  <si>
    <t>68.20.040</t>
  </si>
  <si>
    <t>Braçadeira circular em aço carbono galvanizado, diâmetro nominal de 140 até 300 mm</t>
  </si>
  <si>
    <t>68.20.050</t>
  </si>
  <si>
    <t>Cruzeta em aço carbono galvanizado perfil ´L´ 75 x 75 x 8 mm, comprimento 2500 mm</t>
  </si>
  <si>
    <t>68.20.120</t>
  </si>
  <si>
    <t>Bengala em PVC para ramal de entrada, diâmetro de 32 mm</t>
  </si>
  <si>
    <t>69</t>
  </si>
  <si>
    <t>TELEFONIA, LOGICA E TRANSMISSAO DE DADOS, EQUIPAMENTOS E SISTEMA</t>
  </si>
  <si>
    <t>69.03</t>
  </si>
  <si>
    <t>Distribuicao e comando, caixas e equipamentos especificos</t>
  </si>
  <si>
    <t>69.03.090</t>
  </si>
  <si>
    <t>Aparelho telefônico multifrequencial, com teclas ´FLASH´, ´HOOK´, ´PAUSE´, ´LND´, ´MODE´</t>
  </si>
  <si>
    <t>69.03.130</t>
  </si>
  <si>
    <t>69.03.140</t>
  </si>
  <si>
    <t>69.03.310</t>
  </si>
  <si>
    <t>Caixa de tomada em poliamida e tampa para piso elevado, com 4 alojamentos para elétrica e até 8 alojamentos para telefonia e dados</t>
  </si>
  <si>
    <t>69.03.340</t>
  </si>
  <si>
    <t>Conector RJ-45 fêmea - categoria 6</t>
  </si>
  <si>
    <t>69.03.360</t>
  </si>
  <si>
    <t>Conector RJ-45 fêmea - categoria 6A</t>
  </si>
  <si>
    <t>69.03.400</t>
  </si>
  <si>
    <t>Central PABX híbrida de telefonia para 8 linhas tronco e 24 a 32 ramais digital e analógico</t>
  </si>
  <si>
    <t>69.03.410</t>
  </si>
  <si>
    <t>Central PABX híbrida de telefonia para 8 linhas tronco e 128 ramais digital e analógico</t>
  </si>
  <si>
    <t>69.05</t>
  </si>
  <si>
    <t>Estabilizacao de tensao</t>
  </si>
  <si>
    <t>69.05.010</t>
  </si>
  <si>
    <t>Estabilizador eletrônico de tensão, monofásico, com potência de 5 kVA</t>
  </si>
  <si>
    <t>69.05.040</t>
  </si>
  <si>
    <t>Estabilizador eletrônico de tensão, monofásico, com potência de 10 kVA</t>
  </si>
  <si>
    <t>69.05.230</t>
  </si>
  <si>
    <t>Estabilizador eletrônico de tensão, trifásico, com potência de 40 kVA</t>
  </si>
  <si>
    <t>69.06</t>
  </si>
  <si>
    <t>Sistemas ininterruptos de energia</t>
  </si>
  <si>
    <t>69.06.020</t>
  </si>
  <si>
    <t>Sistema ininterrupto de energia, trifásico on line de 10 kVA (220 V/220 V), com autonomia de 15 minutos</t>
  </si>
  <si>
    <t>69.06.030</t>
  </si>
  <si>
    <t>Sistema ininterrupto de energia, trifásico on line de 20 kVA (220 V/208 V-108 V), com autonomia 15 minutos</t>
  </si>
  <si>
    <t>69.06.040</t>
  </si>
  <si>
    <t>Sistema ininterrupto de energia, trifásico on line senoidal de 15 kVA (208 V/110 V), com autonomia de 15 minutos</t>
  </si>
  <si>
    <t>69.06.050</t>
  </si>
  <si>
    <t>Sistema ininterrupto de energia, monofásico, com potência de 2 kVA</t>
  </si>
  <si>
    <t>69.06.080</t>
  </si>
  <si>
    <t>Sistema ininterrupto de energia, monofásico on line senoidal de 5 kVA (220 V/110 V), com autonomia de 15 minutos</t>
  </si>
  <si>
    <t>69.06.100</t>
  </si>
  <si>
    <t>Sistema ininterrupto de energia, monofásico, com potência entre 5 a 7,5 kVA</t>
  </si>
  <si>
    <t>69.06.110</t>
  </si>
  <si>
    <t>Sistema ininterrupto de energia, monofásico de 600 VA (127 V/127 V), com autonomia de 10 a 15 minutos</t>
  </si>
  <si>
    <t>69.06.120</t>
  </si>
  <si>
    <t>Sistema ininterrupto de energia, trifásico on line senoidal de 10 kVA (220 V/110 V), com autonomia de 2 horas</t>
  </si>
  <si>
    <t>69.06.200</t>
  </si>
  <si>
    <t>Sistema ininterrupto de energia, trifásico on line de 20 kVA (220/127 V), com autonomia de 15 minutos</t>
  </si>
  <si>
    <t>69.06.210</t>
  </si>
  <si>
    <t>Sistema ininterrupto de energia, trifásico on line de 60 kVA (220/127 V), com autonomia de 15 minutos</t>
  </si>
  <si>
    <t>69.06.220</t>
  </si>
  <si>
    <t>Sistema ininterrupto de energia, trifásico on line de 80 kVA (220/127 V), com autonomia de 15 minutos</t>
  </si>
  <si>
    <t>69.06.240</t>
  </si>
  <si>
    <t>Sistema ininterrupto de energia, trifásico on line de 20 kVA (380/220 V), com autonomia de 15 minutos</t>
  </si>
  <si>
    <t>69.06.280</t>
  </si>
  <si>
    <t>Sistema ininterrupto de energia, trifásico on line senoidal de 5 kVA (220/110 V), com autonomia de 15 minutos</t>
  </si>
  <si>
    <t>69.06.290</t>
  </si>
  <si>
    <t>Sistema ininterrupto de energia, trifásico on line senoidal de 10 kVA (220/110 V), com autonomia de 10 a 15 minutos</t>
  </si>
  <si>
    <t>69.06.300</t>
  </si>
  <si>
    <t>Sistema ininterrupto de energia, trifásico on line senoidal de 50 kVA (220/110 V), com autonomia de 15 minutos</t>
  </si>
  <si>
    <t>69.06.320</t>
  </si>
  <si>
    <t>Sistema ininterrupto de energia, trifásico on line senoidal de 7,5 kVA (220/110 V), com autonomia de 15 minutos</t>
  </si>
  <si>
    <t>69.06.390</t>
  </si>
  <si>
    <t>Sistema ininterrupto de energia, trifásico on line senoidal de 40 kVA (380/220 V), com autonomia de 15 minutos</t>
  </si>
  <si>
    <t>69.08</t>
  </si>
  <si>
    <t>Equipamentos para informatica</t>
  </si>
  <si>
    <t>69.09</t>
  </si>
  <si>
    <t>Sistema de rede</t>
  </si>
  <si>
    <t>69.09.250</t>
  </si>
  <si>
    <t>Patch cords de 1,50 ou 3,00 m - RJ-45 / RJ-45 - categoria 6A</t>
  </si>
  <si>
    <t>69.09.260</t>
  </si>
  <si>
    <t>Patch panel de 24 portas - categoria 6</t>
  </si>
  <si>
    <t>69.09.300</t>
  </si>
  <si>
    <t>Voice panel de 50 portas - categoria 3</t>
  </si>
  <si>
    <t>69.09.360</t>
  </si>
  <si>
    <t>Patch cords de 2,00 ou 3,00 m - RJ-45 / RJ-45 - categoria 6A</t>
  </si>
  <si>
    <t>69.09.370</t>
  </si>
  <si>
    <t>Transceptor Gigabit SX - LC conectável de formato pequeno (SFP)</t>
  </si>
  <si>
    <t>69.10</t>
  </si>
  <si>
    <t>Telecomunicacoes</t>
  </si>
  <si>
    <t>69.10.130</t>
  </si>
  <si>
    <t>69.20</t>
  </si>
  <si>
    <t>Reparos, conservacoes e complementos - GRUPO 69</t>
  </si>
  <si>
    <t>69.20.010</t>
  </si>
  <si>
    <t>Arame de espinar em aço inoxidável nu, para TV a cabo</t>
  </si>
  <si>
    <t>69.20.040</t>
  </si>
  <si>
    <t>Isolador roldana em porcelana de 72 x 72 mm</t>
  </si>
  <si>
    <t>69.20.050</t>
  </si>
  <si>
    <t>Suporte para isolador roldana tipo DM, padrão TELEBRÁS</t>
  </si>
  <si>
    <t>69.20.070</t>
  </si>
  <si>
    <t>Fita em aço inoxidável para poste de 0,50 m x 19 mm, com fecho em aço inoxidável</t>
  </si>
  <si>
    <t>69.20.100</t>
  </si>
  <si>
    <t>Tampa para caixa R1, padrão TELEBRÁS</t>
  </si>
  <si>
    <t>69.20.110</t>
  </si>
  <si>
    <t>Tampa para caixa R2, padrão TELEBRÁS</t>
  </si>
  <si>
    <t>69.20.130</t>
  </si>
  <si>
    <t>Bloco de ligação interna para 10 pares, BLI-10</t>
  </si>
  <si>
    <t>69.20.140</t>
  </si>
  <si>
    <t>Bloco de ligação com engate rápido para 10 pares, BER-10</t>
  </si>
  <si>
    <t>69.20.170</t>
  </si>
  <si>
    <t>Calha de aço com 4 tomadas 2P+T - 250 V, com cabo</t>
  </si>
  <si>
    <t>69.20.180</t>
  </si>
  <si>
    <t>Cordão óptico duplex, multimodo com conector LC/LC - 2,5 m</t>
  </si>
  <si>
    <t>69.20.200</t>
  </si>
  <si>
    <t>69.20.210</t>
  </si>
  <si>
    <t>69.20.220</t>
  </si>
  <si>
    <t>69.20.230</t>
  </si>
  <si>
    <t>Calha de aço com 8 tomadas 2P+T - 250 V, com cabo</t>
  </si>
  <si>
    <t>69.20.240</t>
  </si>
  <si>
    <t>Calha de aço com 12 tomadas 2P+T - 250 V, com cabo</t>
  </si>
  <si>
    <t>69.20.248</t>
  </si>
  <si>
    <t>69.20.250</t>
  </si>
  <si>
    <t>69.20.260</t>
  </si>
  <si>
    <t>Protetor de surto híbrido para rede de telecomunicações</t>
  </si>
  <si>
    <t>69.20.270</t>
  </si>
  <si>
    <t>Divisor interno com 1 entrada e 2 saídas - 75 Ohms</t>
  </si>
  <si>
    <t>69.20.280</t>
  </si>
  <si>
    <t>Divisor interno com 1 entrada e 4 saídas - 75 Ohms</t>
  </si>
  <si>
    <t>69.20.290</t>
  </si>
  <si>
    <t>Tomada blindada para VHF/UHF, CATV e FM, frequência 5 MHz a 1 GHz</t>
  </si>
  <si>
    <t>69.20.300</t>
  </si>
  <si>
    <t>69.20.340</t>
  </si>
  <si>
    <t>Tomada para TV, tipo pino Jack, com placa</t>
  </si>
  <si>
    <t>69.20.350</t>
  </si>
  <si>
    <t>Caixa de emenda ventilada, em polipropileno, para até 200 pares</t>
  </si>
  <si>
    <t>70</t>
  </si>
  <si>
    <t>SINALIZACAO VIARIA</t>
  </si>
  <si>
    <t>70.01</t>
  </si>
  <si>
    <t>Dispositivo viario</t>
  </si>
  <si>
    <t>70.01.050</t>
  </si>
  <si>
    <t>Defensa semimaleavel simples</t>
  </si>
  <si>
    <t>70.02</t>
  </si>
  <si>
    <t>Sinalizacao horizontal</t>
  </si>
  <si>
    <t>70.02.001</t>
  </si>
  <si>
    <t>Limpeza, pré marcação e pré pintura de solo</t>
  </si>
  <si>
    <t>70.02.010</t>
  </si>
  <si>
    <t>Sinalização horizontal com tinta vinílica ou acrílica</t>
  </si>
  <si>
    <t>70.02.012</t>
  </si>
  <si>
    <t>70.02.013</t>
  </si>
  <si>
    <t>70.02.014</t>
  </si>
  <si>
    <t>70.02.017</t>
  </si>
  <si>
    <t>70.02.020</t>
  </si>
  <si>
    <t>Sinalização horizontal em plástico a frio manual, para faixas</t>
  </si>
  <si>
    <t>70.02.021</t>
  </si>
  <si>
    <t>Sinalização horizontal em termoplástico de alto relevo</t>
  </si>
  <si>
    <t>70.02.022</t>
  </si>
  <si>
    <t>70.03</t>
  </si>
  <si>
    <t>Sinalizacao vertical</t>
  </si>
  <si>
    <t>70.03.001</t>
  </si>
  <si>
    <t>Placa para sinalização viária em chapa de aço, totalmente refletiva com película IA/IA - área até 2,0 m²</t>
  </si>
  <si>
    <t>Placa para sinalização viária em chapa de aço, totalmente refletiva com película III/III - área até 2,0 m²</t>
  </si>
  <si>
    <t>70.03.006</t>
  </si>
  <si>
    <t>Placa para sinalização viária em chapa de alumínio, totalmente refletiva com película IA/IA - área até 2,0 m²</t>
  </si>
  <si>
    <t>70.03.008</t>
  </si>
  <si>
    <t>Placa para sinalização viária em chapa de alumínio, totalmente refletiva com película III/III - área até 2,0 m²</t>
  </si>
  <si>
    <t>70.03.009</t>
  </si>
  <si>
    <t>Placa para sinalização viária em chapa de alumínio, totalmente refletiva com película III/III - área maior que 2,0 m²</t>
  </si>
  <si>
    <t>70.03.010</t>
  </si>
  <si>
    <t>Placa para sinalização viária em alumínio composto, totalmente refletiva com película IA/IA - área até 2,0 m²</t>
  </si>
  <si>
    <t>70.03.012</t>
  </si>
  <si>
    <t>Placa para sinalização viária em alumínio composto, totalmente refletiva com película III/III - área até 2,0 m²</t>
  </si>
  <si>
    <t>70.03.013</t>
  </si>
  <si>
    <t>Placa para sinalização viária em alumínio composto, totalmente refletiva com película III/III - área maior que 2,0 m²</t>
  </si>
  <si>
    <t>70.04</t>
  </si>
  <si>
    <t>Coluna cônica</t>
  </si>
  <si>
    <t>70.04.001</t>
  </si>
  <si>
    <t>70.04.002</t>
  </si>
  <si>
    <t>Coluna simples (P-51), para fixação de placa de orientação</t>
  </si>
  <si>
    <t>70.04.003</t>
  </si>
  <si>
    <t>Coluna dupla (P-53) para fixação de placa de orientação</t>
  </si>
  <si>
    <t>70.04.004</t>
  </si>
  <si>
    <t>Coluna (P-57) para fixação de placa de orientação, com braço projetado</t>
  </si>
  <si>
    <t>70.04.005</t>
  </si>
  <si>
    <t>Braço (P-55) para fixação em poste de concreto</t>
  </si>
  <si>
    <t>70.04.006</t>
  </si>
  <si>
    <t>70.04.007</t>
  </si>
  <si>
    <t>Coluna semafórica simples 101 mm x 6 m</t>
  </si>
  <si>
    <t>70.05</t>
  </si>
  <si>
    <t>Sinalizacao semaforica e complementar</t>
  </si>
  <si>
    <t>70.05.001</t>
  </si>
  <si>
    <t>Botoeira convencional para pedestre</t>
  </si>
  <si>
    <t>70.05.002</t>
  </si>
  <si>
    <t>Botoeira sonora para deficientes visuais</t>
  </si>
  <si>
    <t>70.05.006</t>
  </si>
  <si>
    <t>Luminária LED 20W com braço, para travessia de pedestre</t>
  </si>
  <si>
    <t>70.05.011</t>
  </si>
  <si>
    <t>Grupo focal para pedestre com lâmpada LED e contador regressivo</t>
  </si>
  <si>
    <t>70.05.020</t>
  </si>
  <si>
    <t>Grupo focal veicular com lâmpada LED, com anteparo e suportes de fixação</t>
  </si>
  <si>
    <t>70.06</t>
  </si>
  <si>
    <t>Tachas e tachoes</t>
  </si>
  <si>
    <t>70.06.001</t>
  </si>
  <si>
    <t>Tacha tipo I bidirecional refletiva</t>
  </si>
  <si>
    <t>Tacha tipo I monodirecional refletiva</t>
  </si>
  <si>
    <t>70.06.013</t>
  </si>
  <si>
    <t>Tacha tipo II bidirecional refletiva</t>
  </si>
  <si>
    <t>70.06.014</t>
  </si>
  <si>
    <t>Tacha tipo II monodirecional refletiva</t>
  </si>
  <si>
    <t>70.06.020</t>
  </si>
  <si>
    <t>Tachão tipo I bidirecional refletivo</t>
  </si>
  <si>
    <t>70.06.021</t>
  </si>
  <si>
    <t>Tachão tipo I monodirecional refletivo</t>
  </si>
  <si>
    <t>97</t>
  </si>
  <si>
    <t>SINALIZACAO E COMUNICACAO VISUAL</t>
  </si>
  <si>
    <t>97.02</t>
  </si>
  <si>
    <t>Placas, porticos e obeliscos arquitetônicos</t>
  </si>
  <si>
    <t>97.02.030</t>
  </si>
  <si>
    <t>Placa comemorativa em aço inoxidável escovado</t>
  </si>
  <si>
    <t>97.02.036</t>
  </si>
  <si>
    <t>Placa de identificação em PVC com texto em vinil</t>
  </si>
  <si>
    <t>97.02.190</t>
  </si>
  <si>
    <t>Placa de identificação em acrílico com texto em vinil</t>
  </si>
  <si>
    <t>97.02.193</t>
  </si>
  <si>
    <t>Placa de sinalização em PVC fotoluminescente (200x200mm), com indicação de equipamentos de alarme, detecção e extinção de incêndio</t>
  </si>
  <si>
    <t>97.02.194</t>
  </si>
  <si>
    <t>Placa de sinalização em PVC fotoluminescente (150x150mm), com indicação de equipamentos de combate à incêndio e alarme</t>
  </si>
  <si>
    <t>97.02.195</t>
  </si>
  <si>
    <t>Placa de sinalização em PVC fotoluminescente (240x120mm), com indicação de rota de evacuação e saída de emergência</t>
  </si>
  <si>
    <t>97.02.196</t>
  </si>
  <si>
    <t>Placa de sinalização em PVC fotoluminescente, com identificação de pavimentos</t>
  </si>
  <si>
    <t>97.02.197</t>
  </si>
  <si>
    <t>Placa de sinalização em PVC, com indicação de alerta</t>
  </si>
  <si>
    <t>97.02.198</t>
  </si>
  <si>
    <t>Placa de sinalização em PVC, com indicação de proibição normativa</t>
  </si>
  <si>
    <t>97.02.210</t>
  </si>
  <si>
    <t>Placa de sinalização em PVC para ambientes</t>
  </si>
  <si>
    <t>97.03</t>
  </si>
  <si>
    <t>Pintura de letras e pictogramas</t>
  </si>
  <si>
    <t>97.03.010</t>
  </si>
  <si>
    <t>Sinalização com pictograma em tinta acrílica</t>
  </si>
  <si>
    <t>97.05</t>
  </si>
  <si>
    <t>Placas, porticos e sinalizacao viaria</t>
  </si>
  <si>
    <t>97.05.070</t>
  </si>
  <si>
    <t>Manta de borracha para sinalização em estacionamento e proteção de coluna e parede, de 1000 x 750 mm e espessura 10 mm</t>
  </si>
  <si>
    <t>97.05.080</t>
  </si>
  <si>
    <t>Cantoneira de borracha para sinalização em estacionamento e proteção de coluna, de 750 x 100 x 100 mm e espessura 10 mm</t>
  </si>
  <si>
    <t>97.05.130</t>
  </si>
  <si>
    <t>Colocação de placa em suporte de madeira / metálico - solo</t>
  </si>
  <si>
    <t>Suporte de perfil metálico galvanizado</t>
  </si>
  <si>
    <t>98</t>
  </si>
  <si>
    <t>ARQUITETURA DE INTERIORES</t>
  </si>
  <si>
    <t>98.02</t>
  </si>
  <si>
    <t>Mobiliario</t>
  </si>
  <si>
    <t>98.02.210</t>
  </si>
  <si>
    <t>Banco de madeira com encosto e pés em ferro fundido pintado</t>
  </si>
  <si>
    <t>COM DESONERAÇÃO</t>
  </si>
  <si>
    <t>2.4</t>
  </si>
  <si>
    <t>2.5</t>
  </si>
  <si>
    <t>2.6</t>
  </si>
  <si>
    <t>2.7</t>
  </si>
  <si>
    <t>2.8</t>
  </si>
  <si>
    <t>2.9</t>
  </si>
  <si>
    <t xml:space="preserve"> Arthur Ribeiro Alvares Pimenta</t>
  </si>
  <si>
    <t>4.4</t>
  </si>
  <si>
    <t>7.0</t>
  </si>
  <si>
    <t>7.1</t>
  </si>
  <si>
    <t>7.2</t>
  </si>
  <si>
    <t>7.3</t>
  </si>
  <si>
    <t>7.4</t>
  </si>
  <si>
    <t>7.5</t>
  </si>
  <si>
    <t>7.6</t>
  </si>
  <si>
    <t>Santa Branca,  28 de jameiro de 2022.</t>
  </si>
  <si>
    <t>Data da Elaboração: 28/01/2022</t>
  </si>
  <si>
    <t xml:space="preserve">Processo nº </t>
  </si>
  <si>
    <t>Objeto: RECOMPOSIÇÃO E RECAPEAMENTO DE PAVIMENTO ASFÁLTICO DE  TRECHO DA RUA ANDRÉ IANICELLI E AVENIDA DEP. BENEDITO MATARAZZO, JD. PRADO - SANTA BRANCA - SP</t>
  </si>
  <si>
    <t>09.04.070</t>
  </si>
  <si>
    <t>Forma em tubo de papelão com diâmetro de 50 cm</t>
  </si>
  <si>
    <t>12.07.275</t>
  </si>
  <si>
    <t>Estaca tipo Raiz, diâmetro de 20 cm para 50 t, sem armação e sem argamassa, em rocha</t>
  </si>
  <si>
    <t>16.33.250</t>
  </si>
  <si>
    <t>Calha em PVC 125mm, inclusive conexões - AP</t>
  </si>
  <si>
    <t>22.04.030</t>
  </si>
  <si>
    <t>Forro metálico removível, em painéis de 625mm x 625mm, tile tegular perfurada</t>
  </si>
  <si>
    <t>23.08.242</t>
  </si>
  <si>
    <t>Porta lisa de correr suspensa em madeira com batente</t>
  </si>
  <si>
    <t>26.01.142</t>
  </si>
  <si>
    <t>Vidro liso laminado colorido de 8 mm</t>
  </si>
  <si>
    <t>Piso em ladrilho hidráulico podotátil várias cores (25x25cm), assentado com argamassa mista</t>
  </si>
  <si>
    <t>Rejuntamento de piso em ladrilho hidráulico (25x25cm) com argamassa industrializada para rejunte, juntas de 2 mm</t>
  </si>
  <si>
    <t>38.07.800</t>
  </si>
  <si>
    <t>Gancho longo em chapa aço zincado para fixação de luminária</t>
  </si>
  <si>
    <t>38.07.801</t>
  </si>
  <si>
    <t>Sapata externa com 4 furos, 38 x 38 mm</t>
  </si>
  <si>
    <t>Lâmpada LED tubular T8 com base G13, de 900 até 1050 Im - 9 a 10 W</t>
  </si>
  <si>
    <t>Lâmpada LED tubular T8 com base G13, de 1850 até 2000 Im - 18 a 20 W</t>
  </si>
  <si>
    <t>Lâmpada LED tubular T8 com base G13, de 3400 até 4000 Im - 36 a 40 W</t>
  </si>
  <si>
    <t>Braço em tubo de ferro galvanizado de 1" x 1,00 m para fixação de uma luminária</t>
  </si>
  <si>
    <t>Luminária LED de embutir para caixa de luz 4 x 2cm, para uso externo, tipo balizador de 3 W</t>
  </si>
  <si>
    <t>41.11.115</t>
  </si>
  <si>
    <t>Luminária retangular tipo arandela externa para 2 lâmpadas, com difusor em polietileno ou vidro leitoso</t>
  </si>
  <si>
    <t>Luminária LED solar integrada para poste, fluxo luminoso de 8000 lm, eficiência mínima de 130,5 lm/W - potência de 80 W</t>
  </si>
  <si>
    <t>41.11.704</t>
  </si>
  <si>
    <t>41.11.707</t>
  </si>
  <si>
    <t>Luminária LED retangular para parede ou piso, fluxo luminoso de 11838 a 12150 lm, eficiência mínima 107 lm/W - potência de 86 W/120 W</t>
  </si>
  <si>
    <t>Projetor LED modular, fluxo luminoso de 26294 lm, eficiência mínima de 125 l/W - 150 W/200 W</t>
  </si>
  <si>
    <t>Luminária redonda de sobrepor com difusor em vidro temperado jateado para 1 ou 2 lâmpadas fluorescentes compactas de 18 W/26 W</t>
  </si>
  <si>
    <t>Luminária retangular de embutir tipo calha aberta com aletas parabólicas para 2 lâmpadas fluorescentes tubulares de 28 W/54 W</t>
  </si>
  <si>
    <t>Luminária industrial pendente tipo calha aberta instalação em perfilado para 1 ou 2 lâmpadas fluorescentes tubulares 14 W</t>
  </si>
  <si>
    <t>Luminária retangular de sobrepor tipo calha aberta com refletor e aletas parabólicas para 2 lâmpadas fluorescentes tubulares 28 W/54 W</t>
  </si>
  <si>
    <t>Luminária triangular de sobrepor tipo arandela para fluorescente compacta de 15 W/20 W/23 W</t>
  </si>
  <si>
    <t>Luminária redonda de embutir com refletor em alumínio jateado e difusor em vidro para 2 lâmpadas fluorescentes compactas duplas de 18 W/26 W</t>
  </si>
  <si>
    <t>Luminária retangular de embutir assimétrica para 1 lâmpada fluorescente tubular de 14 W</t>
  </si>
  <si>
    <t>Iluminacao LED</t>
  </si>
  <si>
    <t>Luminária LED quadrada de sobrepor com difusor prismático translúcido, 4000 K, fluxo luminoso de 1363 a 1800 lm, potência de 15 W a 24 W</t>
  </si>
  <si>
    <t>Luminária LED redonda de embutir com difusor translúcido, 4000 K, fluxo luminoso de 800 a 1060 lm, potência de 9 W a 12 W</t>
  </si>
  <si>
    <t>41.31.101</t>
  </si>
  <si>
    <t>Projetor LED retangular, potência de 30 W, fluxo luminoso de 2250 a 2400 lm, temperatura cor 6.500 K, bivolt</t>
  </si>
  <si>
    <t>44.03.645</t>
  </si>
  <si>
    <t>46.25</t>
  </si>
  <si>
    <t>Tubulação em CPVC</t>
  </si>
  <si>
    <t>46.25.050</t>
  </si>
  <si>
    <t>Condutor em PVC 88mm, inclusive conexões - AP</t>
  </si>
  <si>
    <t>46.26.634</t>
  </si>
  <si>
    <t>Redução excêntrica em ferro fundido, predial SMU, DN= 150 x 125 mm</t>
  </si>
  <si>
    <t>46.26.825</t>
  </si>
  <si>
    <t>Abraçadeira dentada para travamento em aço inoxidável, com parafuso de aço zincado, para tubo em ferro fundido predial SMU, DN= 125 mm</t>
  </si>
  <si>
    <t>Caixa de gordura premoldada com tampa - capacidade 18 litros</t>
  </si>
  <si>
    <t>69.03.301</t>
  </si>
  <si>
    <t>Central de Pabx para 2 linhas e 8 ramais</t>
  </si>
  <si>
    <t>Data Base:</t>
  </si>
  <si>
    <t>01.20.280</t>
  </si>
  <si>
    <t>Levantamento planimétrico de área pavimentada para veículo e pedestre</t>
  </si>
  <si>
    <t>Furação de 1 1/4´ em concreto armado</t>
  </si>
  <si>
    <t>Furação de 1 1/2´ em concreto armado</t>
  </si>
  <si>
    <t>Furação de 2 1/4´ em concreto armado</t>
  </si>
  <si>
    <t>Furação de 2 1/2´ em concreto armado</t>
  </si>
  <si>
    <t>Furação de 1´ em concreto armado</t>
  </si>
  <si>
    <t>Furação de 2´ em concreto armado</t>
  </si>
  <si>
    <t>Furação de 3´ em concreto armado</t>
  </si>
  <si>
    <t>Furação de 4´ em concreto armado</t>
  </si>
  <si>
    <t>Furação de 5´ em concreto armado</t>
  </si>
  <si>
    <t>Furação de 6´ em concreto armado</t>
  </si>
  <si>
    <t>14.28.012</t>
  </si>
  <si>
    <t>Elemento vazado em cerâmica, tipo quadriculado de 18 x 18 x 7 cm</t>
  </si>
  <si>
    <t>Regularização de piso com nata de cimento e adesivo de alto desempenho</t>
  </si>
  <si>
    <t>Chapisco com adesivo de alto desempenho</t>
  </si>
  <si>
    <t>Rodapé abaulado, com argamassa epoxi, altura entre 5 a 10 cm</t>
  </si>
  <si>
    <t>17.12.302</t>
  </si>
  <si>
    <t>Piso epóxi autonivelante, múltiplas camadas, espessura 4 mm</t>
  </si>
  <si>
    <t>17.12.310</t>
  </si>
  <si>
    <t>Taxa de mobilização e desmobilização de equipe e equipamentos para execução de piso epóxi</t>
  </si>
  <si>
    <t>18.06.152</t>
  </si>
  <si>
    <t>Placa cerâmica esmaltada PEI-4 para área interna com saída para o exterior, grupo de absorção BIIb, tráfego médio, assentado com argamassa colante industrializada</t>
  </si>
  <si>
    <t>18.06.153</t>
  </si>
  <si>
    <t>Rodapé em placa cerâmica esmaltada PEI-4 para área interna com saída para o exterior, grupo de absorção BIIb, tráfego médio, assentado com argamassa colante industrializada</t>
  </si>
  <si>
    <t>Rejuntamento em placa cerâmica extrudada antiácida, com argamassa industrializada anticorrosiva bicomponente à base de bauxita, para área de altas temperaturas, juntas acima de 3 até 6 mm</t>
  </si>
  <si>
    <t>Revestimento em placa cerâmica esmaltada, tipo monoporosa, assentado e rejuntado com argamassa industrializada</t>
  </si>
  <si>
    <t>Revestimento em pastilha de porcelana natural ou esmaltada de 5x5 cm, assentado e rejuntado com argamassa colante industrializada</t>
  </si>
  <si>
    <t>Revestimento em pastilha de porcelana natural ou esmaltada de 2,5x2,5 cm, assentado e rejuntado com argamassa colante industrializada</t>
  </si>
  <si>
    <t>Revestimento em pastilha de porcelana natural ou esmaltada de 2,5x5 cm, assentado e rejuntado com argamassa colante industrializada</t>
  </si>
  <si>
    <t>Testeira em tábua aparelhada, largura até 20cm</t>
  </si>
  <si>
    <t>Forro em painéis de gesso acartonado, espessura de 12,5mm, fixo</t>
  </si>
  <si>
    <t>Forro em lã de vidro revestido em PVC, espessura de 20mm</t>
  </si>
  <si>
    <t>Forro em fibra mineral NRC 0.55 acústico, revestido em látex</t>
  </si>
  <si>
    <t>Forro em fibra mineral NRC 0.50, revestido em látex</t>
  </si>
  <si>
    <t>Forro em fibra mineral NRC 0.85, em placas acústicas removíveis de 625mm x 1250mm</t>
  </si>
  <si>
    <t>Forro em fibra mineral NRC 0.65, em placas acústicas removíveis de 625mm x 625mm</t>
  </si>
  <si>
    <t>22.03.200</t>
  </si>
  <si>
    <t>Forro em fibra mineral NRC 0.70, em placas acústicas removíveis</t>
  </si>
  <si>
    <t>Brise metálico fixo em chapa lisa aluzinc pré-pintada, formato ogiva, lâmina frontal de 200mm</t>
  </si>
  <si>
    <t>Moldura de gesso simples, largura até 6,0cm</t>
  </si>
  <si>
    <t>23.08.244</t>
  </si>
  <si>
    <t>Porta articulada em MDF revestida com laminado melamínico, batente em alumínio - completa</t>
  </si>
  <si>
    <t>25.02.010</t>
  </si>
  <si>
    <t>Porta de entrada de abrir em alumínio com vidro, linha comercial</t>
  </si>
  <si>
    <t>Chapa em policarbonato compacta, fumê, espessura de 6 mm</t>
  </si>
  <si>
    <t>Trocador acessível em MDF com revestimento em laminado melamínico de 180x80 cm</t>
  </si>
  <si>
    <t>Árvore ornamental tipo Falso barbatimão - h= 2,00 m</t>
  </si>
  <si>
    <t>Árvore ornamental tipo Manacá-da-serra - h= 2,00 m</t>
  </si>
  <si>
    <t>Chave fusível base ´C´  para 15 kV/200 A, com capacidade de ruptura até 10 kA - com fusível</t>
  </si>
  <si>
    <t>Chave fusível base ´C´ para 25 kV/100 A, com capacidade de ruptura até 6,3 kA - com fusível</t>
  </si>
  <si>
    <t>Sistema de barramento blindado de 100 a 2000 A, trifásico, barra de cobre</t>
  </si>
  <si>
    <t>37.16.081</t>
  </si>
  <si>
    <t>Sistema de barramento blindado de 100 a 2000 A, trifásico, barra de alumínio</t>
  </si>
  <si>
    <t>Transformador monofásico de comando de 200 VA, a seco</t>
  </si>
  <si>
    <t>Supressor de surto monofásico, corrente nominal 4 a 11 kA, Imax. de surto 12 até 15 kA</t>
  </si>
  <si>
    <t>Supressor de surto monofásico, corrente nominal 20 kA, Imax. de surto 50 até 80 kA</t>
  </si>
  <si>
    <t>Eletrocalha perfurada galvanizada a fogo, 150x100 mm, com acessórios</t>
  </si>
  <si>
    <t>Eletrocalha perfurada galvanizada a fogo, 200x100 mm, com acessórios</t>
  </si>
  <si>
    <t>Eletrocalha perfurada galvanizada a fogo, 250x100 mm, com acessórios</t>
  </si>
  <si>
    <t>Eletrocalha perfurada galvanizada a fogo, 300x100 mm, com acessórios</t>
  </si>
  <si>
    <t>Eletrocalha perfurada galvanizada a fogo, 400x100 mm, com acessórios</t>
  </si>
  <si>
    <t>Tampa de encaixe para eletrocalha, galvanizada a fogo, L= 50 mm</t>
  </si>
  <si>
    <t>Tampa de encaixe para eletrocalha, galvanizada a fogo, L= 100 mm</t>
  </si>
  <si>
    <t>Tampa de encaixe para eletrocalha, galvanizada a fogo, L= 150 mm</t>
  </si>
  <si>
    <t>Tampa de encaixe para eletrocalha, galvanizada a fogo, L= 200 mm</t>
  </si>
  <si>
    <t>Tampa de encaixe para eletrocalha, galvanizada a fogo, L= 250 mm</t>
  </si>
  <si>
    <t>Tampa de encaixe para eletrocalha, galvanizada a fogo, L= 300 mm</t>
  </si>
  <si>
    <t>Tampa de encaixe para eletrocalha, galvanizada a fogo, L= 400 mm</t>
  </si>
  <si>
    <t>Suporte para eletrocalha, galvanizado a fogo, 50x50 mm</t>
  </si>
  <si>
    <t>Suporte para eletrocalha, galvanizado a fogo, 100x50 mm</t>
  </si>
  <si>
    <t>Suporte para eletrocalha, galvanizado a fogo, 150x50 mm</t>
  </si>
  <si>
    <t>Suporte para eletrocalha, galvanizado a fogo, 200x50 mm</t>
  </si>
  <si>
    <t>Suporte para eletrocalha, galvanizado a fogo, 250x50 mm</t>
  </si>
  <si>
    <t>Suporte para eletrocalha, galvanizado a fogo, 300x50 mm</t>
  </si>
  <si>
    <t>Suporte para eletrocalha, galvanizado a fogo, 100x100 mm</t>
  </si>
  <si>
    <t>Suporte para eletrocalha, galvanizado a fogo, 150x100 mm</t>
  </si>
  <si>
    <t>Suporte para eletrocalha, galvanizado a fogo, 200x100 mm</t>
  </si>
  <si>
    <t>Suporte para eletrocalha, galvanizado a fogo, 250x100 mm</t>
  </si>
  <si>
    <t>Suporte para eletrocalha, galvanizado a fogo, 300x100 mm</t>
  </si>
  <si>
    <t>Suporte para eletrocalha, galvanizado a fogo, 400x100 mm</t>
  </si>
  <si>
    <t>Mão francesa simples, galvanizada a fogo, L= 200 mm</t>
  </si>
  <si>
    <t>Mão francesa simples, galvanizada a fogo, L= 300 mm</t>
  </si>
  <si>
    <t>Mão francesa simples, galvanizada a fogo, L= 400 mm</t>
  </si>
  <si>
    <t>Mão francesa simples, galvanizada a fogo, L= 500 mm</t>
  </si>
  <si>
    <t>Mão francesa dupla, galvanizada a fogo, L= 300 mm</t>
  </si>
  <si>
    <t>Mão francesa dupla, galvanizada a fogo, L= 400 mm</t>
  </si>
  <si>
    <t>Mão francesa dupla, galvanizada a fogo, L= 500 mm</t>
  </si>
  <si>
    <t>Cabo coaxial tipo RGC 6</t>
  </si>
  <si>
    <t>40.04.492</t>
  </si>
  <si>
    <t>Conjunto 4´ x 4´ de 1 interruptor simples, 1 tomada universal e 1 tomada de 3 polos</t>
  </si>
  <si>
    <t>Relé de tempo eletrônico de 1,5 até 15 minutos - 110V/220V - 50/60Hz</t>
  </si>
  <si>
    <t>40.20.302</t>
  </si>
  <si>
    <t>Placa suporte (tampa) 4´ x 4´ para áreas úmidas, grau de proteção IP55</t>
  </si>
  <si>
    <t>Lâmpada LED 13,5W, com base E-27, 1400 até 1510 lm</t>
  </si>
  <si>
    <t>Reator eletrônico de alto fator de potência com partida instantânea, para 2 lâmpadas fluorescentes tubulares, base bipino bilateral, 16 W - 127 V / 220 V</t>
  </si>
  <si>
    <t>Reator eletrônico de alto fator de potência com partida instantânea, para 2 lâmpadas fluorescentes tubulares, base bipino bilateral, 28 W - 127 V / 220 V</t>
  </si>
  <si>
    <t>Reator eletrônico de alto fator de potência com partida instantânea, para 2 lâmpadas fluorescentes tubulares, base bipino bilateral, 32 W - 127 V / 220 V</t>
  </si>
  <si>
    <t>Reator eletrônico de alto fator de potência com partida instantânea, para 2 lâmpadas fluorescentes tubulares "HO", base bipino bilateral, 110 W - 220 V</t>
  </si>
  <si>
    <t>Reator eletrônico de alto fator de potência com partida instantânea, para 2 lâmpadas fluorescentes compactas "2U", base G24q-3, 26 W - 220 V</t>
  </si>
  <si>
    <t>41.11.090</t>
  </si>
  <si>
    <t>Luminária com corpo em tubo de alumínio tipo balizador para uso externo</t>
  </si>
  <si>
    <t>Luminária LED redonda de embutir para parede ou piso, área interna ou externa, bivolt - potência 6 W</t>
  </si>
  <si>
    <t>41.14.792</t>
  </si>
  <si>
    <t>Haste de aterramento de 3/4´ x 3 m</t>
  </si>
  <si>
    <t>Haste de aterramento de 5/8´ x 3 m</t>
  </si>
  <si>
    <t>Mastro para sinalizador de obstáculo, de 1,5 m x 3/4´</t>
  </si>
  <si>
    <t>Conector em latão estanhado para cabos de 16 a 50 mm² e vergalhões até 3/8´</t>
  </si>
  <si>
    <t>Suporte para fixação de fita de alumínio 7/8´ x 1/8´ e/ou cabo de cobre nu, com base ondulada</t>
  </si>
  <si>
    <t>Suporte para fixação de fita de alumínio 7/8´ x 1/8´, com base plana</t>
  </si>
  <si>
    <t>Torneira de mesa automática, acionamento hidromecânico, em latão cromado, DN= 1/2´ou 3/4´</t>
  </si>
  <si>
    <t>Filtro Y em aço carbono, classe 150 libras, conexões flangeadas, DN= 4´</t>
  </si>
  <si>
    <t>Chave de fluxo de água com retardo para tubulações com diâmetro nominal de 1´ a 6´ - conexão BSP</t>
  </si>
  <si>
    <t>Grelha hemisférica em ferro fundido de 4´</t>
  </si>
  <si>
    <t>Grelha hemisférica em ferro fundido de 3´</t>
  </si>
  <si>
    <t>Grelha hemisférica em ferro fundido de 6´</t>
  </si>
  <si>
    <t>Grelha hemisférica em ferro fundido de 2´</t>
  </si>
  <si>
    <t>Realimentador automático, DN= 1´</t>
  </si>
  <si>
    <t>54.02.040</t>
  </si>
  <si>
    <t>Camada de areia grossa compactada manualmente com compactador</t>
  </si>
  <si>
    <t>Piso em placa de concreto permeável drenante, cor natural - espessura de 6 cm</t>
  </si>
  <si>
    <t>Piso em placa de concreto permeável drenante, cor natural - espessura de 8 cm</t>
  </si>
  <si>
    <t>54.06.151</t>
  </si>
  <si>
    <t>Execução de perfil extrusado no local, sem concreto</t>
  </si>
  <si>
    <t>Tratamento de ar (fan-Coil) tipo Air Handling Unit de concepção modular, capacidade de 6 TR</t>
  </si>
  <si>
    <t>Duto flexível aluminizado, seção circular de 10cm (4´)</t>
  </si>
  <si>
    <t>Duto flexível aluminizado, seção circular de 15cm (6´)</t>
  </si>
  <si>
    <t>Duto flexível aluminizado, seção circular de 20cm (8´)</t>
  </si>
  <si>
    <t>Caixa ventiladora com ventilador centrífugo, vazão 1.190 m³/h, pressão 37 mmCA - 220/380 V / 60Hz</t>
  </si>
  <si>
    <t>Válvula motorizada esfera, com duas vias atuador floating, diâmetro 3/4´ a 1 1/2´</t>
  </si>
  <si>
    <t>Válvula de balanceamento diâmetro 1´ a 2 1/2´</t>
  </si>
  <si>
    <t>Válvula borboleta na configuração wafer motorizada atuador floating diâmetro 3´ a 4´</t>
  </si>
  <si>
    <t>Válvula duas vias on/off retorno elétrico diâmetro 1/2´ a 3/4´</t>
  </si>
  <si>
    <t>Válvula esfera motorizada de duas vias de atuador proporcional diâmetro 2´ a 2 1/2´</t>
  </si>
  <si>
    <t>Válvula esfera duas vias flangeada, diâmetro 3´</t>
  </si>
  <si>
    <t>61.20.452</t>
  </si>
  <si>
    <t>Chapéu tipo chinês para duto galvanizado de 35cm</t>
  </si>
  <si>
    <t>Monitor LCD ou LED colorido, tela plana de 21,5´</t>
  </si>
  <si>
    <t>Bandeja fixa para rack, 19´ x 500 mm</t>
  </si>
  <si>
    <t>Bandeja fixa para rack, 19´ x 800 mm</t>
  </si>
  <si>
    <t>Bandeja deslizante para rack, 19´ x 800 mm</t>
  </si>
  <si>
    <t>Painel frontal cego - 19´ x 1 U</t>
  </si>
  <si>
    <t>Painel frontal cego - 19´ x 2 U</t>
  </si>
  <si>
    <t>70.01.003</t>
  </si>
  <si>
    <t>70.01.030</t>
  </si>
  <si>
    <t>70.01.031</t>
  </si>
  <si>
    <t>Coluna simples (PP), diâmetro de 2 1/2´ e comprimento de 3,6 m</t>
  </si>
  <si>
    <t>Coluna dupla (PP), diâmetro de 2 x 2 1/2´ e comprimento de 3,6 m</t>
  </si>
  <si>
    <t>BASE: CDHU - BOLETIM 187 COM DESONERAÇÃO / SIURB 07-2021 COM DESONERAÇÃO</t>
  </si>
  <si>
    <t>10.20</t>
  </si>
  <si>
    <t>Reparos, conservações e complementos - GRUPO 10</t>
  </si>
  <si>
    <t>10.20.001</t>
  </si>
  <si>
    <t>Lubrificante em pasta para aplicação em barras de transferência de concreto</t>
  </si>
  <si>
    <t>11.01.621</t>
  </si>
  <si>
    <t>Concreto usinado, fck=30 MPa, fctm_k=4,2 Mpa</t>
  </si>
  <si>
    <t>Cura química de concreto, membrana líquida</t>
  </si>
  <si>
    <t>12.04.080</t>
  </si>
  <si>
    <t>12.04.081</t>
  </si>
  <si>
    <t>Estaca pré-moldada protendida cravada para 20t</t>
  </si>
  <si>
    <t>12.04.082</t>
  </si>
  <si>
    <t>Estaca pré-moldada protendida cravada para 30t</t>
  </si>
  <si>
    <t>12.04.083</t>
  </si>
  <si>
    <t>Estaca pré-moldada protendida cravada para 40t</t>
  </si>
  <si>
    <t>12.04.084</t>
  </si>
  <si>
    <t>Estaca pré-moldada protendida cravada para 50t</t>
  </si>
  <si>
    <t>12.04.085</t>
  </si>
  <si>
    <t>Estaca pré-moldada protendida cravada para 60t</t>
  </si>
  <si>
    <t>Recolocação de telha de barro tipo francesa</t>
  </si>
  <si>
    <t>Revestimento em placa de alumínio composto "ACM", espessura de 4 mm e acabamento em PVDF</t>
  </si>
  <si>
    <t>21.03.153</t>
  </si>
  <si>
    <t>Revestimento em placa de alumínio composto "ACM", espessura de 3 mm e acabamento em poliéster - uso interno</t>
  </si>
  <si>
    <t>Forro em painéis de gesso acartonado, acabamento liso com película em PVC - removível</t>
  </si>
  <si>
    <t>Escada marinheiro (em aço galvanizado)</t>
  </si>
  <si>
    <t>Escada marinheiro com guarda corpo (em aço galvanizado)</t>
  </si>
  <si>
    <t>Vidro float monolítico verde de 6 mm</t>
  </si>
  <si>
    <t>Bloco terminal conector até 65A / 600V, faixa de aplicação até 16 mm²</t>
  </si>
  <si>
    <t>Cabo de cobre de 4 mm², isolamento 0,6/1 kV - isolação em PVC 70°C</t>
  </si>
  <si>
    <t>Lâmpada fluorescente compacta "2U", base G-24Q-3 de 26 W</t>
  </si>
  <si>
    <t>41.11.116</t>
  </si>
  <si>
    <t>Luminária LED retangular para poste, fluxo luminoso de 5000 a 5500 lm - potência de 50W</t>
  </si>
  <si>
    <t>Luminária hermética de sobrepor, com difusor em policarbonato, para lâmpadas de 2 x 28 W/32 W/54 W</t>
  </si>
  <si>
    <t>Luminária LED retangular de sobrepor com difusor translúcido, 4000 K, fluxo luminoso de 3690 a 4800 lm, potência de 35 W a 41 W</t>
  </si>
  <si>
    <t>Haste de aterramento de 5/8" x 2,4 m</t>
  </si>
  <si>
    <t>Controlador de temperatura digital</t>
  </si>
  <si>
    <t>Torneira clínica com volante tipo alavanca</t>
  </si>
  <si>
    <t>Torneira curta sem rosca para uso geral, em latão fundido cromado, DN= 1/2"</t>
  </si>
  <si>
    <t>Torneira curta sem rosca para uso geral, em latão fundido cromado, DN= 3/4"</t>
  </si>
  <si>
    <t>Válvula de esfera em aço carbono fundido, passagem plena, extremidades rosqueáveis, classe 300 libras para vapor e classe 600 libras para água, óleo e gás, DN= 1/2"</t>
  </si>
  <si>
    <t>Válvula de esfera em aço carbono fundido, passagem plena, extremidades rosqueáveis, classe 300 libras para vapor e classe 600 libras para água, óleo e gás, DN= 3/4"</t>
  </si>
  <si>
    <t>Válvula de esfera em aço carbono fundido, passagem plena, extremidades rosqueáveis, classe 300 libras para vapor e classe 600 libras para água, óleo e gás, DN= 1"</t>
  </si>
  <si>
    <t>Válvula de esfera em aço carbono fundido, passagem plena, extremidades rosqueáveis, classe 300 libras para vapor e classe 600 libras para água, óleo e gás, DN= 1.1/4"</t>
  </si>
  <si>
    <t>Válvula de esfera em aço carbono fundido, passagem plena, extremidades rosqueáveis, classe 300 libras para vapor saturado, DN= 2"</t>
  </si>
  <si>
    <t>Tampão em ferro fundido, diâmetro de 600 mm, classe C 300 (ruptura &gt; 300 kN)</t>
  </si>
  <si>
    <t>50.05.072</t>
  </si>
  <si>
    <t>Luminária de emergência LED de sobrepor, para teto ou parede, autonomia mínima 2 horas</t>
  </si>
  <si>
    <t>54.08</t>
  </si>
  <si>
    <t>Pavimentação rígida</t>
  </si>
  <si>
    <t>54.08.001</t>
  </si>
  <si>
    <t>Nivelamento e regularização de superfície e desempeno mecânico através de régua vibratória de pavimento em concreto</t>
  </si>
  <si>
    <t>54.08.002</t>
  </si>
  <si>
    <t>Texturização de superfície de pavimento em concreto com vassoura</t>
  </si>
  <si>
    <t>54.08.010</t>
  </si>
  <si>
    <t>Fibra em polipropileno (macrofibra), resistência residual 4,3+-0,3 Mpa</t>
  </si>
  <si>
    <t>54.08.011</t>
  </si>
  <si>
    <t>Fibra polimérica (microfibra anticrack), tenacidade mínima 5cN/dtex</t>
  </si>
  <si>
    <t>54.20.050</t>
  </si>
  <si>
    <t>Bate rodas / limitador de pneus em resina</t>
  </si>
  <si>
    <t xml:space="preserve">Amplificador de potência para VHF e CATV-50 dB, frequência 54 a 750 MHz  </t>
  </si>
  <si>
    <t>69.10.152</t>
  </si>
  <si>
    <t>Antena WI-FI dual band access point, bandas simultâneas - 1750Mbps</t>
  </si>
  <si>
    <t>Faixa elevada para travessia de pedestres em massa asfáltica - lombofaixa de vias com execução de recapeamento</t>
  </si>
  <si>
    <t>Ondulação transversal em massa asfáltica - lombada tipo "A" de vias com execução de recapeamento</t>
  </si>
  <si>
    <t>Ondulação transversal em massa asfáltica - lombada tipo "B" de vias com execução de recapeamento</t>
  </si>
  <si>
    <t>Segregador (bate-roda) refletivo - resina</t>
  </si>
  <si>
    <t>70.06.031</t>
  </si>
  <si>
    <t>Tacha tipo I bidirecional refletiva - resina</t>
  </si>
  <si>
    <t>70.06.032</t>
  </si>
  <si>
    <t>Tacha tipo I monodirecional refletiva - resina</t>
  </si>
  <si>
    <t>70.06.033</t>
  </si>
  <si>
    <t>Tacha tipo II bidirecional refletiva - resina</t>
  </si>
  <si>
    <t>70.06.034</t>
  </si>
  <si>
    <t>Tacha tipo II monodirecional refletiva - resina</t>
  </si>
  <si>
    <t>70.06.040</t>
  </si>
  <si>
    <t>Tachão tipo I bidirecional refletivo - resina</t>
  </si>
  <si>
    <t>70.06.041</t>
  </si>
  <si>
    <t>Tachão tipo I monodirecional refletivo - resina</t>
  </si>
  <si>
    <t>70.20</t>
  </si>
  <si>
    <t>Dispositivo viário / transporte</t>
  </si>
  <si>
    <t>70.20.001</t>
  </si>
  <si>
    <t>Faixa elevada para travessia de pedestres em massa asfáltica - lombafaixa - conservação de vias sem execução de recapeamento</t>
  </si>
  <si>
    <t>70.20.010</t>
  </si>
  <si>
    <t>Ondulação transversal em massa asfáltica - lombada tipo "A" - conservação de vias urbanas sem execução de recapeamento</t>
  </si>
  <si>
    <t>70.20.011</t>
  </si>
  <si>
    <t>Ondulação transversal em massa asfáltica - lombada tipo "B" - conservação de vias urbanas sem execução de recapeamento</t>
  </si>
  <si>
    <t>70.20.020</t>
  </si>
  <si>
    <t>Transporte de equipamentos com caminhão carroceria em rodovia pavimentada</t>
  </si>
  <si>
    <t>70.20.021</t>
  </si>
  <si>
    <t>Equipe para serviços de conservação de pavimentação de vias</t>
  </si>
  <si>
    <t>m</t>
  </si>
  <si>
    <t>Perímetro [m]</t>
  </si>
  <si>
    <t>Secção Transversal [m²]</t>
  </si>
  <si>
    <t>Concreto [m³]</t>
  </si>
  <si>
    <t>DESMOBILIZAÇÃO E 
TRÂMITES BUROCRÁTICOS</t>
  </si>
  <si>
    <t>05.07.100</t>
  </si>
  <si>
    <t>Transporte de resíduo sólido em aterro - telhas cimento amianto Classe D</t>
  </si>
  <si>
    <t>Taxa de destinação de resíduo sólido em aterro - telhas cimento amianto</t>
  </si>
  <si>
    <t>Alvenaria de bloco cerâmico de vedação de 9 cm</t>
  </si>
  <si>
    <t>Alvenaria de bloco cerâmico de vedação de 14 cm</t>
  </si>
  <si>
    <t>Alvenaria de bloco cerâmico de vedação de 19 cm</t>
  </si>
  <si>
    <t>Alvenaria de bloco cerâmico estrutural de 14 cm</t>
  </si>
  <si>
    <t>Alvenaria de bloco cerâmico estrutural de 19 cm</t>
  </si>
  <si>
    <t>Porta/portinhola tipo veneziana de abrir em alumínio, sob medida</t>
  </si>
  <si>
    <t>Portinhola tipo veneziana de abrir em alumínio, linha comercial</t>
  </si>
  <si>
    <t>Revestimento sintético de borracha ou PVC colorido, para sinalização tátil de alerta / direcional - assentamento argamassado</t>
  </si>
  <si>
    <t>Revestimento sintético de borracha ou PVC colorido, para sinalização tátil de alerta / direcional - colado</t>
  </si>
  <si>
    <t>30.04.034</t>
  </si>
  <si>
    <t>Piso em ladrilho hidráulico podotátil várias cores, assentado com argamassa mista</t>
  </si>
  <si>
    <t>Piso tátil de concreto intertravado alerta / direcional, espessura de 6 cm, com rejunte em areia</t>
  </si>
  <si>
    <t>Película de controle solar refletiva na cor prata, aplicado em vidros</t>
  </si>
  <si>
    <t>32.06.240</t>
  </si>
  <si>
    <t>Película adesiva jateada para vidros - uso interno</t>
  </si>
  <si>
    <t>Árvore ornamental tipo Quaresmeira - h= 1,50 / 2,00 m</t>
  </si>
  <si>
    <t>34.05.322</t>
  </si>
  <si>
    <t>Gradil rígido modular em aço 2" - H=1,10m, C=1,65m, padrão CET SP</t>
  </si>
  <si>
    <t>Caixa de ferro octogonal fundo móvel 4´ x 4´</t>
  </si>
  <si>
    <t>un</t>
  </si>
  <si>
    <t>Bloco diagonal em concreto tipo piso drenante para plantio de grama - espessura de 10 cm</t>
  </si>
  <si>
    <t>Piso em ladrilho hidráulico preto, branco e cinza, assentado com argamassa colante industrializada</t>
  </si>
  <si>
    <t>Alvenaria de bloco de concreto de vedação de 9 cm - classe C</t>
  </si>
  <si>
    <t>Alvenaria de bloco de concreto de vedação de 14 cm - classe C</t>
  </si>
  <si>
    <t>Alvenaria de bloco de concreto de vedação de 19 cm - classe C</t>
  </si>
  <si>
    <t>Alvenaria de bloco de concreto estrutural 14 cm - classe B</t>
  </si>
  <si>
    <t>Alvenaria de bloco de concreto estrutural 19 cm - classe B</t>
  </si>
  <si>
    <t>Alvenaria de bloco de concreto estrutural 14 cm - classe A</t>
  </si>
  <si>
    <t>Alvenaria de bloco de concreto estrutural 19 cm - classe A</t>
  </si>
  <si>
    <t>Porta/portão de abrir tipo veneziana de ferro, sob medida</t>
  </si>
  <si>
    <t>Tela de proteção em malha ondulada de 1´, fio 12 (BWG), com requadro</t>
  </si>
  <si>
    <t>Luminária pública LED retangular para poste, fluxo luminoso de 14200 a 18000 lm, eficiência mínima de 120 lm/W - potência de 100 W/120 W</t>
  </si>
  <si>
    <t>Luminária pública LED retangular para poste, fluxo luminoso de 6250 a 6674 lm, eficiência mínima 113 lm/W - potência 40 W/59 W</t>
  </si>
  <si>
    <t>Luminária retangular de embutir tipo calha aberta com refletor assimétrico em alumínio de alto brilho para 2 lâmpadas tubulares de 28 W/54 W</t>
  </si>
  <si>
    <t>Volume [m³]</t>
  </si>
  <si>
    <t>1.3</t>
  </si>
  <si>
    <t>Quantidade [un]</t>
  </si>
  <si>
    <t>Mureta 1</t>
  </si>
  <si>
    <t>Mureta 2</t>
  </si>
  <si>
    <t>Forma [m²]</t>
  </si>
  <si>
    <t>ELETRODUTOS E CABOS</t>
  </si>
  <si>
    <t>Ambiente</t>
  </si>
  <si>
    <t>Tomada [un.]</t>
  </si>
  <si>
    <t>Luminárias [un.]</t>
  </si>
  <si>
    <t>Cabo #4,0 mm² [m]</t>
  </si>
  <si>
    <t>Cabo #6,0 mm² [m]</t>
  </si>
  <si>
    <t>DISPOSITIVOS ELÉTRICOS</t>
  </si>
  <si>
    <t>Arandela 14 W [un]</t>
  </si>
  <si>
    <t>Refletor  50 W [un]</t>
  </si>
  <si>
    <t>CÁLCULO DE LUMINÁRIAS - NBR ISSO/CIE 8995-1:2013</t>
  </si>
  <si>
    <t>Luminárias [W]</t>
  </si>
  <si>
    <t>Fluxo L. Unit [lm]</t>
  </si>
  <si>
    <t>Luminárias [un]</t>
  </si>
  <si>
    <t>Ilum. Calc. [lux]</t>
  </si>
  <si>
    <t>Demanda [lux]</t>
  </si>
  <si>
    <t>Fluxo Lum. Calc. [lm]</t>
  </si>
  <si>
    <t>Demanda [lm]</t>
  </si>
  <si>
    <t>Verif.</t>
  </si>
  <si>
    <t>FDE</t>
  </si>
  <si>
    <t>HIDRÁULICA</t>
  </si>
  <si>
    <t>ILUMINAÇÃO</t>
  </si>
  <si>
    <t>8.0</t>
  </si>
  <si>
    <t>9.0</t>
  </si>
  <si>
    <t>10.0</t>
  </si>
  <si>
    <t>11.0</t>
  </si>
  <si>
    <t>AÇO</t>
  </si>
  <si>
    <t>POS.</t>
  </si>
  <si>
    <t>COMPRIMENTO</t>
  </si>
  <si>
    <t>UNIT. [cm]</t>
  </si>
  <si>
    <t>TOTAL [cm]</t>
  </si>
  <si>
    <t>CA-50A</t>
  </si>
  <si>
    <t>MURO DE CONTENÇÃO - MÓDULO 1 (x3)</t>
  </si>
  <si>
    <t>BITOLA [mm]</t>
  </si>
  <si>
    <t>MURO DE CONTENÇÃO - MÓDULO 2 (x1)</t>
  </si>
  <si>
    <t>VIGA BALDRAME 1  (x3)</t>
  </si>
  <si>
    <t>VIGA BALBRAME 2  (x1)</t>
  </si>
  <si>
    <t>RESUMO AÇO CA-50</t>
  </si>
  <si>
    <t>COMP. [m]</t>
  </si>
  <si>
    <t>PESO [kg]</t>
  </si>
  <si>
    <t>BIT   [mm]</t>
  </si>
  <si>
    <t>50A</t>
  </si>
  <si>
    <t>PESO UNIT.  [kg/m]</t>
  </si>
  <si>
    <t>ALVENARIA ESTRUTURAL</t>
  </si>
  <si>
    <t>Mureta 3</t>
  </si>
  <si>
    <t>Mureta 4</t>
  </si>
  <si>
    <t>Escavação [m³]</t>
  </si>
  <si>
    <t>Tardoz Mureta</t>
  </si>
  <si>
    <t>ESCAVAÇÃO MECANIZADA DE SOLO</t>
  </si>
  <si>
    <t>Viga Baldrame 1</t>
  </si>
  <si>
    <t>Viga Baldrame 2</t>
  </si>
  <si>
    <t>Viga Baldrame 3</t>
  </si>
  <si>
    <t>Viga Baldrame 4</t>
  </si>
  <si>
    <t>FORMA DAS VIGAS  BALDRAME</t>
  </si>
  <si>
    <t>CONCRETO DAS VIGAS  BALDRAME</t>
  </si>
  <si>
    <t>Concreto [m]</t>
  </si>
  <si>
    <t>Lastro [m³]</t>
  </si>
  <si>
    <t>LASTRO DE BRITA DAS VIGAS  BALDRAME</t>
  </si>
  <si>
    <t>Comprimento Unitário [m]</t>
  </si>
  <si>
    <t>Contraforte Mureta 1</t>
  </si>
  <si>
    <t>Contraforte Mureta 2</t>
  </si>
  <si>
    <t>Contraforte Mureta 3</t>
  </si>
  <si>
    <t>Contraforte Mureta 4</t>
  </si>
  <si>
    <t>CONCRETO GRAUTE DA ALVENARIA</t>
  </si>
  <si>
    <t>Área secção [m²]</t>
  </si>
  <si>
    <t>Graute [m³]</t>
  </si>
  <si>
    <t>Cintas Mureta 1</t>
  </si>
  <si>
    <t>Cintas Mureta 2</t>
  </si>
  <si>
    <t>Vertical Mureta 1</t>
  </si>
  <si>
    <t>Vertical Mureta 2</t>
  </si>
  <si>
    <t>Vertical Mureta 3</t>
  </si>
  <si>
    <t>Vertical Mureta 4</t>
  </si>
  <si>
    <t>Cintas Mureta 3</t>
  </si>
  <si>
    <t>Cintas Mureta 4</t>
  </si>
  <si>
    <t>2.203,73 m² de parque</t>
  </si>
  <si>
    <t>LASTRO DE PEDRA BRITADA</t>
  </si>
  <si>
    <t>Taxa [kg/m³]</t>
  </si>
  <si>
    <t>Peso [kg]</t>
  </si>
  <si>
    <t>Viga VB 1</t>
  </si>
  <si>
    <t>Viga VB 2</t>
  </si>
  <si>
    <t>Aço CA-50 [m]</t>
  </si>
  <si>
    <t>QUANTITATIVO DE AÇO CA-50</t>
  </si>
  <si>
    <t>Fechamento Lateral 1</t>
  </si>
  <si>
    <t>Fechamento Lateral 2</t>
  </si>
  <si>
    <t>Piso escada</t>
  </si>
  <si>
    <t>Variável</t>
  </si>
  <si>
    <t>CONCRETO fck = 30 MPa</t>
  </si>
  <si>
    <t>Lateral Escada</t>
  </si>
  <si>
    <t>Espelho Escada</t>
  </si>
  <si>
    <t>Base escada</t>
  </si>
  <si>
    <t>FORMA EM MADEIRA MACIÇA</t>
  </si>
  <si>
    <t>Bloco B1</t>
  </si>
  <si>
    <t>Bloco B2</t>
  </si>
  <si>
    <t>Bloco B3</t>
  </si>
  <si>
    <t>Bloco B4</t>
  </si>
  <si>
    <t>FORMA DE MADEIRA</t>
  </si>
  <si>
    <t>Estaca E1</t>
  </si>
  <si>
    <t>Estaca E2</t>
  </si>
  <si>
    <t>Estaca E3</t>
  </si>
  <si>
    <t>Estaca E4</t>
  </si>
  <si>
    <t>Piso 1</t>
  </si>
  <si>
    <t>Piso 2</t>
  </si>
  <si>
    <t>Bloco B5</t>
  </si>
  <si>
    <t>Bloco B6</t>
  </si>
  <si>
    <t>Bloco B7</t>
  </si>
  <si>
    <t>Bloco B8</t>
  </si>
  <si>
    <t>Estaca E5</t>
  </si>
  <si>
    <t>Estaca E6</t>
  </si>
  <si>
    <t>Estaca E7</t>
  </si>
  <si>
    <t>Estaca E8</t>
  </si>
  <si>
    <t>ESCAVAÇÃO MANUAL</t>
  </si>
  <si>
    <t>Peso Unit. [kg/m²]</t>
  </si>
  <si>
    <t>Quant. [un]</t>
  </si>
  <si>
    <t>Verniz [m²]</t>
  </si>
  <si>
    <t>Vigas Suporte (6x30)</t>
  </si>
  <si>
    <t>Vigas 5x25</t>
  </si>
  <si>
    <t>Vigas 5x15</t>
  </si>
  <si>
    <t>Pilar 20x20</t>
  </si>
  <si>
    <t>Base</t>
  </si>
  <si>
    <t>Densidade [kg/m³]</t>
  </si>
  <si>
    <t>Aço A-36 [kg]</t>
  </si>
  <si>
    <t>Chumbador</t>
  </si>
  <si>
    <t>Engaste</t>
  </si>
  <si>
    <t>QUANTITATIVO DE AÇO ASTM  A-36</t>
  </si>
  <si>
    <t>PINTURA ESMALTE</t>
  </si>
  <si>
    <t>Faces [un]</t>
  </si>
  <si>
    <t>Mão Francesa</t>
  </si>
  <si>
    <t>PINTURA PISO</t>
  </si>
  <si>
    <t>08.17.081</t>
  </si>
  <si>
    <t>TJ-03 Torneira de jardim</t>
  </si>
  <si>
    <t>12.0</t>
  </si>
  <si>
    <t>13.0</t>
  </si>
  <si>
    <t>Caixa 4x2' [un]</t>
  </si>
  <si>
    <t>Relê [un.]</t>
  </si>
  <si>
    <t>Eletrodutos 30 mm [m]</t>
  </si>
  <si>
    <t>Eletrodutos 75 mm [m]</t>
  </si>
  <si>
    <t>Ramal A</t>
  </si>
  <si>
    <t>Ramal B</t>
  </si>
  <si>
    <t>Ramal C</t>
  </si>
  <si>
    <t>Ramal D</t>
  </si>
  <si>
    <t>Ramal E</t>
  </si>
  <si>
    <t>Ramal F</t>
  </si>
  <si>
    <t>Ramal G</t>
  </si>
  <si>
    <t>Ramal H</t>
  </si>
  <si>
    <t>Ramal I</t>
  </si>
  <si>
    <t>Ramal J</t>
  </si>
  <si>
    <t>Ramal K</t>
  </si>
  <si>
    <t>Caixa 200x200 mm [un]</t>
  </si>
  <si>
    <t>Área Ocup.</t>
  </si>
  <si>
    <t>Bitola Fio [mm²]</t>
  </si>
  <si>
    <t>Conduite [mm]</t>
  </si>
  <si>
    <t>Cond. [mm²]</t>
  </si>
  <si>
    <t>Vala [m³]</t>
  </si>
  <si>
    <t>ESCAVAÇÃO DE VALAS</t>
  </si>
  <si>
    <t>REATERRO VALAS DE VALAS</t>
  </si>
  <si>
    <t>Secção 30 mm [m²]</t>
  </si>
  <si>
    <t>Secção 70 mm [m²]</t>
  </si>
  <si>
    <t>Reaterro [m³]</t>
  </si>
  <si>
    <t>Volume #30 mm [m³]</t>
  </si>
  <si>
    <t>Volume #70 mm [m³]</t>
  </si>
  <si>
    <t>14.0</t>
  </si>
  <si>
    <t>13.1</t>
  </si>
  <si>
    <t>13.2</t>
  </si>
  <si>
    <t>13.3</t>
  </si>
  <si>
    <t>13.4</t>
  </si>
  <si>
    <t>13.5</t>
  </si>
  <si>
    <t>13.6</t>
  </si>
  <si>
    <t>15.0</t>
  </si>
  <si>
    <t>16.0</t>
  </si>
  <si>
    <t>16.1</t>
  </si>
  <si>
    <t>16.2</t>
  </si>
  <si>
    <t>ELÉTRICA</t>
  </si>
  <si>
    <t>SERVIÇOS COMPLEMENTARES</t>
  </si>
  <si>
    <t>6.5</t>
  </si>
  <si>
    <t>1.4</t>
  </si>
  <si>
    <t>ELETRODUTOS E CABOS -  VERSÃO ECONOMICA</t>
  </si>
  <si>
    <t>6º MÊS</t>
  </si>
  <si>
    <t>QUANTITATIVOS DE BROCAS ϕ30 cm</t>
  </si>
  <si>
    <t>TABELA QUANTITATIVO DE AÇO</t>
  </si>
  <si>
    <t>BROCAS φ25 cm</t>
  </si>
  <si>
    <t>m² CONSTRUÍDO:</t>
  </si>
  <si>
    <t>QUANTITATIVO DE TELA SOLDADA Q159</t>
  </si>
  <si>
    <t>Aço CA-60 [kg]</t>
  </si>
  <si>
    <t>QUANTITATIVO DE PINTURA EM VERNIZ</t>
  </si>
  <si>
    <t>Pintura [m²]</t>
  </si>
  <si>
    <t>REATERRO DE VALAS</t>
  </si>
  <si>
    <t>Assessor de Engenharia</t>
  </si>
  <si>
    <t>PLANILHA ORÇAMENTÁRIA - CONSTRUÇÃO DA BASE DA POLÍCIA MILITAR DE SANTA BRANCA -SP</t>
  </si>
  <si>
    <t>Corrimão, bate-maca ou protetor de parede em PVC, com amortecimento à impacto</t>
  </si>
  <si>
    <t>39.11.092</t>
  </si>
  <si>
    <t>Cabo telefônico CCI, com 1 par de 0,50 mm, para ligação de aparelhos telefônicos</t>
  </si>
  <si>
    <t>49.06.194</t>
  </si>
  <si>
    <t>Grelha em aço inoxidável com fecho rotativo, DN= 100mm</t>
  </si>
  <si>
    <t>49.06.196</t>
  </si>
  <si>
    <t>Grelha em aço inoxidável com fecho rotativo, DN= 150mm</t>
  </si>
  <si>
    <t>FUNDAÇÃO</t>
  </si>
  <si>
    <t>COBERTURA</t>
  </si>
  <si>
    <t>CERCAMENTO</t>
  </si>
  <si>
    <t>ESQUADRIAS</t>
  </si>
  <si>
    <t>Comp. [m]</t>
  </si>
  <si>
    <t>Formas [m²]</t>
  </si>
  <si>
    <t>BLOCOS DE COROAMENTO</t>
  </si>
  <si>
    <t>B101</t>
  </si>
  <si>
    <t>B102</t>
  </si>
  <si>
    <t>B103</t>
  </si>
  <si>
    <t>B104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</si>
  <si>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</si>
  <si>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</si>
  <si>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</si>
  <si>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</si>
  <si>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</si>
  <si>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</si>
  <si>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</si>
  <si>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</si>
  <si>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</si>
  <si>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</si>
  <si>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</si>
  <si>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</si>
  <si>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</si>
  <si>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</si>
  <si>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</si>
  <si>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</si>
  <si>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</si>
  <si>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</si>
  <si>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</si>
  <si>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</si>
  <si>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</si>
  <si>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</si>
  <si>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</si>
  <si>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</si>
  <si>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</si>
  <si>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</si>
  <si>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</si>
  <si>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</si>
  <si>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</si>
  <si>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</si>
  <si>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VB1</t>
  </si>
  <si>
    <t>VIGAS BALDRAME</t>
  </si>
  <si>
    <t>VB2</t>
  </si>
  <si>
    <t>VB3</t>
  </si>
  <si>
    <t>VB4</t>
  </si>
  <si>
    <t>VB5</t>
  </si>
  <si>
    <t>VB6</t>
  </si>
  <si>
    <t>VB7</t>
  </si>
  <si>
    <t>VB8</t>
  </si>
  <si>
    <t>VB9</t>
  </si>
  <si>
    <t>VB10</t>
  </si>
  <si>
    <t>VB11</t>
  </si>
  <si>
    <t>VB12</t>
  </si>
  <si>
    <t>VB13</t>
  </si>
  <si>
    <t>VB14</t>
  </si>
  <si>
    <t>VB15</t>
  </si>
  <si>
    <t>VB16</t>
  </si>
  <si>
    <t>VB17</t>
  </si>
  <si>
    <t>Taxa Aço [kg/m³]</t>
  </si>
  <si>
    <t>Aço CA-50 [kg]</t>
  </si>
  <si>
    <t>E102</t>
  </si>
  <si>
    <t>E104</t>
  </si>
  <si>
    <t>E10</t>
  </si>
  <si>
    <t>E23</t>
  </si>
  <si>
    <t>E24</t>
  </si>
  <si>
    <t>E201</t>
  </si>
  <si>
    <t>E202</t>
  </si>
  <si>
    <t>E203</t>
  </si>
  <si>
    <t>E204</t>
  </si>
  <si>
    <t>E205</t>
  </si>
  <si>
    <t>E206</t>
  </si>
  <si>
    <t>E207</t>
  </si>
  <si>
    <t>E208</t>
  </si>
  <si>
    <t>E209</t>
  </si>
  <si>
    <t>E210</t>
  </si>
  <si>
    <t>E211</t>
  </si>
  <si>
    <t>E212</t>
  </si>
  <si>
    <t>E213</t>
  </si>
  <si>
    <t>E214</t>
  </si>
  <si>
    <t>E215</t>
  </si>
  <si>
    <t>E216</t>
  </si>
  <si>
    <t>E217</t>
  </si>
  <si>
    <t>E218</t>
  </si>
  <si>
    <t>E301</t>
  </si>
  <si>
    <t>E302</t>
  </si>
  <si>
    <t>E303</t>
  </si>
  <si>
    <t>E304</t>
  </si>
  <si>
    <t>MBBaUnXz3Gp5nm3RAZarxjj</t>
  </si>
  <si>
    <t>B105</t>
  </si>
  <si>
    <t>B106</t>
  </si>
  <si>
    <t>Recepção 1</t>
  </si>
  <si>
    <t>Recepção 2</t>
  </si>
  <si>
    <t>Varanda</t>
  </si>
  <si>
    <t>Garagem da frente</t>
  </si>
  <si>
    <t>Ante Câmara</t>
  </si>
  <si>
    <t>W.C. Masculino</t>
  </si>
  <si>
    <t>W. C. Feminino</t>
  </si>
  <si>
    <t>Circulação 1</t>
  </si>
  <si>
    <t>Circulação 2</t>
  </si>
  <si>
    <t>Área de Serviço</t>
  </si>
  <si>
    <t>Reserva de Armamento</t>
  </si>
  <si>
    <t>Administração</t>
  </si>
  <si>
    <t>Arquivo I</t>
  </si>
  <si>
    <t>Refeitório</t>
  </si>
  <si>
    <t>Despensa</t>
  </si>
  <si>
    <t>Escada</t>
  </si>
  <si>
    <t>Dormitório Feminino</t>
  </si>
  <si>
    <t>Banheiro Feminino</t>
  </si>
  <si>
    <t>Dormitório Comandante</t>
  </si>
  <si>
    <t>Banheiro Comandante</t>
  </si>
  <si>
    <t>Dormitório Masculino</t>
  </si>
  <si>
    <t>Banheiro Masculino</t>
  </si>
  <si>
    <t>Vestiário Masculino</t>
  </si>
  <si>
    <t>Pátio Lateral Esquerdo</t>
  </si>
  <si>
    <t>Garagem Fundos</t>
  </si>
  <si>
    <t>Pátio Fundos</t>
  </si>
  <si>
    <t>Pátio Lateral Direito</t>
  </si>
  <si>
    <t>2x20</t>
  </si>
  <si>
    <t>Arquivo 2</t>
  </si>
  <si>
    <t>Circulação Fundos</t>
  </si>
  <si>
    <t>Acesso</t>
  </si>
  <si>
    <t>Área externa Lateral</t>
  </si>
  <si>
    <t>1x10 W</t>
  </si>
  <si>
    <t>2x20 W</t>
  </si>
  <si>
    <t>1x20 W</t>
  </si>
  <si>
    <t>a / b</t>
  </si>
  <si>
    <t>c</t>
  </si>
  <si>
    <t>e</t>
  </si>
  <si>
    <t>Varanda (Ornamental)</t>
  </si>
  <si>
    <t>d</t>
  </si>
  <si>
    <t>a</t>
  </si>
  <si>
    <t>Rele Re1</t>
  </si>
  <si>
    <t>Garagem da frente (Ornamental)</t>
  </si>
  <si>
    <t>f</t>
  </si>
  <si>
    <t>Cobertura lateral</t>
  </si>
  <si>
    <t>g</t>
  </si>
  <si>
    <t>b</t>
  </si>
  <si>
    <t>c / d</t>
  </si>
  <si>
    <t>Rele Re2</t>
  </si>
  <si>
    <t>Cirtuito Ilum.</t>
  </si>
  <si>
    <t>Inter.</t>
  </si>
  <si>
    <t>C.I. 1</t>
  </si>
  <si>
    <t>C. I. 2</t>
  </si>
  <si>
    <t>C.I. 3</t>
  </si>
  <si>
    <t>C. I. 4</t>
  </si>
  <si>
    <t>C.I. 7</t>
  </si>
  <si>
    <t>C. I. 10</t>
  </si>
  <si>
    <t>E01</t>
  </si>
  <si>
    <t>E03A</t>
  </si>
  <si>
    <t>E03B</t>
  </si>
  <si>
    <t>E04A</t>
  </si>
  <si>
    <t>E04B</t>
  </si>
  <si>
    <t>E05A</t>
  </si>
  <si>
    <t>E05B</t>
  </si>
  <si>
    <t>E06A</t>
  </si>
  <si>
    <t>E06B</t>
  </si>
  <si>
    <t>E07A</t>
  </si>
  <si>
    <t>E07B</t>
  </si>
  <si>
    <t>E08A</t>
  </si>
  <si>
    <t>E08B</t>
  </si>
  <si>
    <t>E09A</t>
  </si>
  <si>
    <t>E09B</t>
  </si>
  <si>
    <t>E11A</t>
  </si>
  <si>
    <t>E11B</t>
  </si>
  <si>
    <t>E12A</t>
  </si>
  <si>
    <t>E12B</t>
  </si>
  <si>
    <t>E13A</t>
  </si>
  <si>
    <t>E13B</t>
  </si>
  <si>
    <t>E14A</t>
  </si>
  <si>
    <t>E14B</t>
  </si>
  <si>
    <t>E15</t>
  </si>
  <si>
    <t>E16A</t>
  </si>
  <si>
    <t>E16B</t>
  </si>
  <si>
    <t>E17</t>
  </si>
  <si>
    <t>E18A</t>
  </si>
  <si>
    <t>E18B</t>
  </si>
  <si>
    <t>E19A</t>
  </si>
  <si>
    <t>E19B</t>
  </si>
  <si>
    <t>E20A</t>
  </si>
  <si>
    <t>E20B</t>
  </si>
  <si>
    <t>E21A</t>
  </si>
  <si>
    <t>E21B</t>
  </si>
  <si>
    <t>E22</t>
  </si>
  <si>
    <t>E25A</t>
  </si>
  <si>
    <t>E25B</t>
  </si>
  <si>
    <t>E26A</t>
  </si>
  <si>
    <t>E26B</t>
  </si>
  <si>
    <t>E27A</t>
  </si>
  <si>
    <t>E27B</t>
  </si>
  <si>
    <t>E28A</t>
  </si>
  <si>
    <t>E28B</t>
  </si>
  <si>
    <t>E29</t>
  </si>
  <si>
    <t>E30</t>
  </si>
  <si>
    <t>E31</t>
  </si>
  <si>
    <t>E32A</t>
  </si>
  <si>
    <t>E32B</t>
  </si>
  <si>
    <t>E33</t>
  </si>
  <si>
    <t>E34A</t>
  </si>
  <si>
    <t>E34B</t>
  </si>
  <si>
    <t>E35A</t>
  </si>
  <si>
    <t>E35B</t>
  </si>
  <si>
    <t>E36A</t>
  </si>
  <si>
    <t>E36B</t>
  </si>
  <si>
    <t>E37A</t>
  </si>
  <si>
    <t>E37B</t>
  </si>
  <si>
    <t>E38A</t>
  </si>
  <si>
    <t>E38B</t>
  </si>
  <si>
    <t>E39A</t>
  </si>
  <si>
    <t>E39B</t>
  </si>
  <si>
    <t>E40</t>
  </si>
  <si>
    <t>E41A</t>
  </si>
  <si>
    <t>E41B</t>
  </si>
  <si>
    <t>E42</t>
  </si>
  <si>
    <t>E43A</t>
  </si>
  <si>
    <t>E43B</t>
  </si>
  <si>
    <t>E44</t>
  </si>
  <si>
    <t>E45A</t>
  </si>
  <si>
    <t>E45B</t>
  </si>
  <si>
    <t>E46A</t>
  </si>
  <si>
    <t>E46B</t>
  </si>
  <si>
    <t>E47</t>
  </si>
  <si>
    <t>E48</t>
  </si>
  <si>
    <t>E49</t>
  </si>
  <si>
    <t>E101</t>
  </si>
  <si>
    <t>E103</t>
  </si>
  <si>
    <t>E105</t>
  </si>
  <si>
    <t>E106</t>
  </si>
  <si>
    <t>E219</t>
  </si>
  <si>
    <t>E220</t>
  </si>
  <si>
    <t>E221</t>
  </si>
  <si>
    <t>E222</t>
  </si>
  <si>
    <t>E501</t>
  </si>
  <si>
    <t>E502</t>
  </si>
  <si>
    <t>E305</t>
  </si>
  <si>
    <t>E306</t>
  </si>
  <si>
    <t>E307</t>
  </si>
  <si>
    <t>E308</t>
  </si>
  <si>
    <t>E309</t>
  </si>
  <si>
    <t>E310</t>
  </si>
  <si>
    <t>E311</t>
  </si>
  <si>
    <t>E312</t>
  </si>
  <si>
    <t>E313</t>
  </si>
  <si>
    <t>E314</t>
  </si>
  <si>
    <t>E315</t>
  </si>
  <si>
    <t>E316</t>
  </si>
  <si>
    <t>E317</t>
  </si>
  <si>
    <t>E318</t>
  </si>
  <si>
    <t>E319</t>
  </si>
  <si>
    <t>E401</t>
  </si>
  <si>
    <t>E402</t>
  </si>
  <si>
    <t>E403</t>
  </si>
  <si>
    <t>E404</t>
  </si>
  <si>
    <t>E405</t>
  </si>
  <si>
    <t>E406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</si>
  <si>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</si>
  <si>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</si>
  <si>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</si>
  <si>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</si>
  <si>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</si>
  <si>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</si>
  <si>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</si>
  <si>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</si>
  <si>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</si>
  <si>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</si>
  <si>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</si>
  <si>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</si>
  <si>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</si>
  <si>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</si>
  <si>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</si>
  <si>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</si>
  <si>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</si>
  <si>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</si>
  <si>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B501</t>
  </si>
  <si>
    <t>B502</t>
  </si>
  <si>
    <t>B503</t>
  </si>
  <si>
    <t>VB18</t>
  </si>
  <si>
    <t>VB19</t>
  </si>
  <si>
    <t>VB20</t>
  </si>
  <si>
    <t>VB21</t>
  </si>
  <si>
    <t>VB22</t>
  </si>
  <si>
    <t>VB23</t>
  </si>
  <si>
    <t>VB24</t>
  </si>
  <si>
    <t>Tela Soldada</t>
  </si>
  <si>
    <t>CONTRA PISO</t>
  </si>
  <si>
    <t>Taxa Aço [kg/m²]</t>
  </si>
  <si>
    <t>Q159</t>
  </si>
  <si>
    <t>CP 1</t>
  </si>
  <si>
    <t>CP 2</t>
  </si>
  <si>
    <t>CP 3</t>
  </si>
  <si>
    <t>CP 4</t>
  </si>
  <si>
    <t>CP 5</t>
  </si>
  <si>
    <t>CP 6</t>
  </si>
  <si>
    <t>CP 7</t>
  </si>
  <si>
    <t>CP 8</t>
  </si>
  <si>
    <t>CP 9</t>
  </si>
  <si>
    <t>CP 10</t>
  </si>
  <si>
    <t>CP 11</t>
  </si>
  <si>
    <t>CP 12</t>
  </si>
  <si>
    <t>CP 13</t>
  </si>
  <si>
    <t>CP 14</t>
  </si>
  <si>
    <t>CP 15</t>
  </si>
  <si>
    <t>CP 16</t>
  </si>
  <si>
    <t>CP 17</t>
  </si>
  <si>
    <t>CP 18</t>
  </si>
  <si>
    <t>CP 19</t>
  </si>
  <si>
    <t>CP 20</t>
  </si>
  <si>
    <t>CP 21</t>
  </si>
  <si>
    <t>CP 22</t>
  </si>
  <si>
    <t>CP 23</t>
  </si>
  <si>
    <t>CP 24</t>
  </si>
  <si>
    <t>CP 25</t>
  </si>
  <si>
    <t>CP 26</t>
  </si>
  <si>
    <t>CP 27</t>
  </si>
  <si>
    <t>Local</t>
  </si>
  <si>
    <t>Argamassa [m³]</t>
  </si>
  <si>
    <t>ARGAMASSA DE REGULARIZAÇÃO</t>
  </si>
  <si>
    <t>Arquivo 1</t>
  </si>
  <si>
    <t>Sala de Comando</t>
  </si>
  <si>
    <t>W. C. Masculino</t>
  </si>
  <si>
    <t>Garagem da Frente</t>
  </si>
  <si>
    <t>Parede Par 1</t>
  </si>
  <si>
    <t>Alvenaria [m²]</t>
  </si>
  <si>
    <t>Parede Par 2</t>
  </si>
  <si>
    <t>Parede Par 3</t>
  </si>
  <si>
    <t>Parede Par 4</t>
  </si>
  <si>
    <t>Parede Par 5</t>
  </si>
  <si>
    <t>Parede Par 6</t>
  </si>
  <si>
    <t>Parede Par 10</t>
  </si>
  <si>
    <t>Parede Par 12</t>
  </si>
  <si>
    <t>Parede Par 13</t>
  </si>
  <si>
    <t>Parede Par 14</t>
  </si>
  <si>
    <t>Parede Par 15</t>
  </si>
  <si>
    <t>ALVENARIA ESTRUTURAL - Família M20</t>
  </si>
  <si>
    <t>ALVENARIA ESTRUTURAL - Família M15</t>
  </si>
  <si>
    <t>Parede Par 7 e Par 107</t>
  </si>
  <si>
    <t>Parede Par 8 e Par 108</t>
  </si>
  <si>
    <t>Parede Par 9 e Par 109</t>
  </si>
  <si>
    <t>Parede Par 11 e Par 111</t>
  </si>
  <si>
    <t>Parede Par 16 e Par 116</t>
  </si>
  <si>
    <t>Parede Par 17 e Par 117</t>
  </si>
  <si>
    <t>Parede Par 18</t>
  </si>
  <si>
    <t>Parede Par 19 e Par 119</t>
  </si>
  <si>
    <t>Parede Par 20</t>
  </si>
  <si>
    <t>Parede Par 21 e Par 121</t>
  </si>
  <si>
    <t>GRAUTEAMENTO - Família M20</t>
  </si>
  <si>
    <t>Área Unit. [m²]</t>
  </si>
  <si>
    <t>Parede Par 1 (Vertical)</t>
  </si>
  <si>
    <t>Parede Par 1 (Horizontal)</t>
  </si>
  <si>
    <t>Parede Par 2 (Vertical)</t>
  </si>
  <si>
    <t>Parede Par 2 (Horizontal)</t>
  </si>
  <si>
    <t>GRAUTEAMENTO - Família M15</t>
  </si>
  <si>
    <t>Parede Par 3 (Vertical)</t>
  </si>
  <si>
    <t>Parede Par 3 (Horizontal)</t>
  </si>
  <si>
    <t>Parede Par 4 (Vertical)</t>
  </si>
  <si>
    <t>Parede Par 4 (Horizontal)</t>
  </si>
  <si>
    <t>Parede Par 5 (Vertical)</t>
  </si>
  <si>
    <t>Parede Par 5 (Horizontal)</t>
  </si>
  <si>
    <t>Parede Par 6 (Vertical)</t>
  </si>
  <si>
    <t>Parede Par 6 (Horizontal)</t>
  </si>
  <si>
    <t>Parede Par 7 (Vertical)</t>
  </si>
  <si>
    <t>Parede Par 7 (Horizontal)</t>
  </si>
  <si>
    <t>Parede Par 117 (Vertical)</t>
  </si>
  <si>
    <t>Parede Par 117 (Horizontal)</t>
  </si>
  <si>
    <t>Platibanda 117 (Vertical)</t>
  </si>
  <si>
    <t>Platibanda 117 (Horizontal)</t>
  </si>
  <si>
    <t>Parede Par 8 (Vertical)</t>
  </si>
  <si>
    <t>Parede Par 8 (Horizontal)</t>
  </si>
  <si>
    <t>Parede Par 118 (Vertical)</t>
  </si>
  <si>
    <t>Parede Par 118 (Horizontal)</t>
  </si>
  <si>
    <t>Platibanda 118 (Horizontal)</t>
  </si>
  <si>
    <t>Platibanda 118 (Vertical)</t>
  </si>
  <si>
    <t>Parede Par 9 (Vertical)</t>
  </si>
  <si>
    <t>Parede Par 9 (Horizontal)</t>
  </si>
  <si>
    <t>Parede Par 119 (Vertical)</t>
  </si>
  <si>
    <t>Parede Par 119 (Horizontal)</t>
  </si>
  <si>
    <t>Platibanda 119 (Vertical)</t>
  </si>
  <si>
    <t>Platibanda 119 (Horizontal)</t>
  </si>
  <si>
    <t>Parede Par 11 (Vertical)</t>
  </si>
  <si>
    <t>Parede Par 11 (Horizontal)</t>
  </si>
  <si>
    <t>Parede Par 111 (Vertical)</t>
  </si>
  <si>
    <t>Parede Par 111 (Horizontal)</t>
  </si>
  <si>
    <t>Platibanda 111 (Vertical)</t>
  </si>
  <si>
    <t>Platibanda 111 (Horizontal)</t>
  </si>
  <si>
    <t>Parede Par 10 (Vertical)</t>
  </si>
  <si>
    <t>Parede Par 10 (Horizontal)</t>
  </si>
  <si>
    <t>Parede Par 12 (Vertical)</t>
  </si>
  <si>
    <t>Parede Par 12 (Horizontal)</t>
  </si>
  <si>
    <t>Parede Par 14 (Vertical)</t>
  </si>
  <si>
    <t>Parede Par 14 (Horizontal)</t>
  </si>
  <si>
    <t>Parede Par 13 (Vertical)</t>
  </si>
  <si>
    <t>Parede Par 13 (Horizontal)</t>
  </si>
  <si>
    <t>Parede Par 113 (Vertical)</t>
  </si>
  <si>
    <t>Parede Par 15 (Vertical)</t>
  </si>
  <si>
    <t>Parede Par 15 (Horizontal)</t>
  </si>
  <si>
    <t>Parede Par 16 (Vertical)</t>
  </si>
  <si>
    <t>Parede Par 16 (Horizontal)</t>
  </si>
  <si>
    <t>Parede Par 116 (Vertical)</t>
  </si>
  <si>
    <t>Parede Par 116 (Horizontal)</t>
  </si>
  <si>
    <t>Parede Par 17 (Vertical)</t>
  </si>
  <si>
    <t>Parede Par 17 (Horizontal)</t>
  </si>
  <si>
    <t>Platibanda Par 117 (Vertical)</t>
  </si>
  <si>
    <t>Platibanda Par 117 (Horizontal)</t>
  </si>
  <si>
    <t>Parede Par 18 (Vertical)</t>
  </si>
  <si>
    <t>Parede Par 18 (Horizontal)</t>
  </si>
  <si>
    <t>Parede Par 19 (Vertical)</t>
  </si>
  <si>
    <t>Parede Par 19 (Horizontal)</t>
  </si>
  <si>
    <t>Parede Par 20 (Vertical)</t>
  </si>
  <si>
    <t>Parede Par 20 (Horizontal)</t>
  </si>
  <si>
    <t>Parede Par 21 (Vertical)</t>
  </si>
  <si>
    <t>Parede Par 21 (Horizontal)</t>
  </si>
  <si>
    <t>Parede Par 121 (Vertical)</t>
  </si>
  <si>
    <t>Parede Par 121 (Horizontal)</t>
  </si>
  <si>
    <t>Modelo</t>
  </si>
  <si>
    <t>L101</t>
  </si>
  <si>
    <t>L102</t>
  </si>
  <si>
    <t>L103</t>
  </si>
  <si>
    <t>L104</t>
  </si>
  <si>
    <t>L105</t>
  </si>
  <si>
    <t>L106</t>
  </si>
  <si>
    <t>L107</t>
  </si>
  <si>
    <t>TR 12646</t>
  </si>
  <si>
    <t>L108</t>
  </si>
  <si>
    <t>L109</t>
  </si>
  <si>
    <t>L110</t>
  </si>
  <si>
    <t>L111</t>
  </si>
  <si>
    <t>L112</t>
  </si>
  <si>
    <t>L113</t>
  </si>
  <si>
    <t>L114</t>
  </si>
  <si>
    <t>L115</t>
  </si>
  <si>
    <t>L116</t>
  </si>
  <si>
    <t>L117</t>
  </si>
  <si>
    <t>L118</t>
  </si>
  <si>
    <t>L119</t>
  </si>
  <si>
    <t>L120</t>
  </si>
  <si>
    <t>L121</t>
  </si>
  <si>
    <t>TR 12646 + 1φ8</t>
  </si>
  <si>
    <t>TR 12646 + 1φ4,2</t>
  </si>
  <si>
    <t>ESTACAS ϕ 30 cm</t>
  </si>
  <si>
    <t>BROCAS ϕ 20 cm</t>
  </si>
  <si>
    <t>Tela</t>
  </si>
  <si>
    <t>LAJES: ARMADURAS NEGATIVAS E DE DISTRIBUIÇÃO</t>
  </si>
  <si>
    <t>Q196</t>
  </si>
  <si>
    <t>LAJES: CONCRETO USINADO fck = 30 MPa</t>
  </si>
  <si>
    <t>Q283</t>
  </si>
  <si>
    <t>Telhamento metálico</t>
  </si>
  <si>
    <t>Quant.</t>
  </si>
  <si>
    <t>Valor</t>
  </si>
  <si>
    <t>Descrição Genérica</t>
  </si>
  <si>
    <t>Itens</t>
  </si>
  <si>
    <t>Unid.</t>
  </si>
  <si>
    <t>06.001 e 06.002</t>
  </si>
  <si>
    <t>Fornecimento e Montagem de estrutura em aço</t>
  </si>
  <si>
    <t>kg</t>
  </si>
  <si>
    <t>Revestimento vinílico autoportante acústico</t>
  </si>
  <si>
    <t>12.008</t>
  </si>
  <si>
    <t>12.009</t>
  </si>
  <si>
    <t>Revestimento com carpete</t>
  </si>
  <si>
    <t xml:space="preserve">Forro em fibra mineral </t>
  </si>
  <si>
    <t>15.003</t>
  </si>
  <si>
    <t>Cabos de cobre flexível, isolação HEPR 90ºC</t>
  </si>
  <si>
    <t>Ar condicionado Split</t>
  </si>
  <si>
    <t>26.001 e 26.002</t>
  </si>
  <si>
    <t>23.030 a 23.034, 33.002</t>
  </si>
  <si>
    <t>06.014, 09.001, 15.03.131, 18.015, 35.012</t>
  </si>
  <si>
    <t>Eletrodutos (Galvanizado, PVC corrugado, PEAD corrugado)</t>
  </si>
  <si>
    <t>23.012 a 23.022, 25.001 a 25.004</t>
  </si>
  <si>
    <t>unid.</t>
  </si>
  <si>
    <t>h=20</t>
  </si>
  <si>
    <t>h=16</t>
  </si>
  <si>
    <t>h=12</t>
  </si>
  <si>
    <t>Q166</t>
  </si>
  <si>
    <t>EQ 257*</t>
  </si>
  <si>
    <t>Bitola [mm]</t>
  </si>
  <si>
    <t>Q 61</t>
  </si>
  <si>
    <t>Q 75</t>
  </si>
  <si>
    <t>Q 92</t>
  </si>
  <si>
    <t>Q 113</t>
  </si>
  <si>
    <t>Q 138</t>
  </si>
  <si>
    <t>Q 158*</t>
  </si>
  <si>
    <t>Q 166</t>
  </si>
  <si>
    <t>Q 196</t>
  </si>
  <si>
    <t>Q 238</t>
  </si>
  <si>
    <t>Q 283</t>
  </si>
  <si>
    <t>Q 335</t>
  </si>
  <si>
    <t>Q 385</t>
  </si>
  <si>
    <t>EQ 473*</t>
  </si>
  <si>
    <t>Q 503</t>
  </si>
  <si>
    <t>EQ 591*</t>
  </si>
  <si>
    <t>Q 709</t>
  </si>
  <si>
    <t>Q 785</t>
  </si>
  <si>
    <t>10x10</t>
  </si>
  <si>
    <t>12x12</t>
  </si>
  <si>
    <t>15x15</t>
  </si>
  <si>
    <t>Telas produzidas por encomenda</t>
  </si>
  <si>
    <t>Malha [cm]</t>
  </si>
  <si>
    <t>Massa [kg/m²]</t>
  </si>
  <si>
    <t>TABELA RESUMO TELAS SOLDADAS - Q</t>
  </si>
  <si>
    <t>L201</t>
  </si>
  <si>
    <t>TR 8645</t>
  </si>
  <si>
    <t>L202</t>
  </si>
  <si>
    <t>L203</t>
  </si>
  <si>
    <t>L204</t>
  </si>
  <si>
    <t>TR 8645 + 1φ5,0</t>
  </si>
  <si>
    <r>
      <t>TR 12646+2</t>
    </r>
    <r>
      <rPr>
        <sz val="11"/>
        <rFont val="Calibri"/>
        <family val="2"/>
      </rPr>
      <t>φ4,2</t>
    </r>
  </si>
  <si>
    <r>
      <t>TR 12646 + 2</t>
    </r>
    <r>
      <rPr>
        <b/>
        <sz val="11"/>
        <rFont val="Calibri"/>
        <family val="2"/>
      </rPr>
      <t>φ4,2</t>
    </r>
  </si>
  <si>
    <r>
      <t>TR 16746+2</t>
    </r>
    <r>
      <rPr>
        <sz val="11"/>
        <rFont val="Calibri"/>
        <family val="2"/>
      </rPr>
      <t>φ5,0</t>
    </r>
  </si>
  <si>
    <r>
      <t>TR 8645+1</t>
    </r>
    <r>
      <rPr>
        <sz val="11"/>
        <rFont val="Calibri"/>
        <family val="2"/>
      </rPr>
      <t>φ5,0</t>
    </r>
  </si>
  <si>
    <t>Esquadrias</t>
  </si>
  <si>
    <t xml:space="preserve">ESQUADRIAS </t>
  </si>
  <si>
    <t>Área [m]</t>
  </si>
  <si>
    <t>Vidro [m²]</t>
  </si>
  <si>
    <t>PM126x260</t>
  </si>
  <si>
    <t>Madeira</t>
  </si>
  <si>
    <t>Tipo</t>
  </si>
  <si>
    <t>PM90</t>
  </si>
  <si>
    <t>PM80</t>
  </si>
  <si>
    <t>PM70</t>
  </si>
  <si>
    <t>De abrir</t>
  </si>
  <si>
    <t>PDM90</t>
  </si>
  <si>
    <t>Deslizante</t>
  </si>
  <si>
    <t>Ferro</t>
  </si>
  <si>
    <t>Veneziana</t>
  </si>
  <si>
    <t>Mad.+Vidro</t>
  </si>
  <si>
    <t>PF100</t>
  </si>
  <si>
    <t>Ferro+Vidro</t>
  </si>
  <si>
    <t>Abrir/2 Folhas</t>
  </si>
  <si>
    <t>PG100</t>
  </si>
  <si>
    <t>JM200x160</t>
  </si>
  <si>
    <t>De Correr</t>
  </si>
  <si>
    <t>JF80x80</t>
  </si>
  <si>
    <t>Maxim-Ar</t>
  </si>
  <si>
    <t>JF100x80</t>
  </si>
  <si>
    <t>JF160x80</t>
  </si>
  <si>
    <t>JF200x80</t>
  </si>
  <si>
    <t>JF300x80</t>
  </si>
  <si>
    <t>JF200x140</t>
  </si>
  <si>
    <t>Pivotante</t>
  </si>
  <si>
    <t>JF180x160</t>
  </si>
  <si>
    <t>JF200x100</t>
  </si>
  <si>
    <t>JFB100x80</t>
  </si>
  <si>
    <t>Basculante</t>
  </si>
  <si>
    <t>PCF90</t>
  </si>
  <si>
    <t>PCF80</t>
  </si>
  <si>
    <t>JM200x100</t>
  </si>
  <si>
    <t>De correr</t>
  </si>
  <si>
    <t>JFC200x140</t>
  </si>
  <si>
    <t>PoCF</t>
  </si>
  <si>
    <t>De Abrir</t>
  </si>
  <si>
    <t>PoM</t>
  </si>
  <si>
    <t>PV60</t>
  </si>
  <si>
    <t>GUI.V.B.</t>
  </si>
  <si>
    <t>Vidro Blind.</t>
  </si>
  <si>
    <t>Fixo</t>
  </si>
  <si>
    <t>Esquadria</t>
  </si>
  <si>
    <t>TOTAL VIDRO 4 mm</t>
  </si>
  <si>
    <t>TOTAL ESMALTE EM METAL</t>
  </si>
  <si>
    <t>Maxim Ar</t>
  </si>
  <si>
    <t>PORCELANATO</t>
  </si>
  <si>
    <t>Área de Serviço (Piso)</t>
  </si>
  <si>
    <t>Área de Serviço (Paredes)</t>
  </si>
  <si>
    <t>Comp./Perímetro [m]</t>
  </si>
  <si>
    <t>Larg./Altura [m]</t>
  </si>
  <si>
    <t>PISO SUPERIOR</t>
  </si>
  <si>
    <t>Hall da Escada (Piso)</t>
  </si>
  <si>
    <t>Banheiro Masculino (Piso)</t>
  </si>
  <si>
    <t>Banheiro Masculino (Paredes)</t>
  </si>
  <si>
    <t>Banheiro Comandante (Piso)</t>
  </si>
  <si>
    <t>Banheiro Comandante (Paredes)</t>
  </si>
  <si>
    <t>Vestiário Masculino (Piso)</t>
  </si>
  <si>
    <t>Vestiário Masculino (Paredes)</t>
  </si>
  <si>
    <t>Banheiro Feminino (Piso)</t>
  </si>
  <si>
    <t>Banheiro Feminino (Paredes)</t>
  </si>
  <si>
    <t>Escada (Piso)</t>
  </si>
  <si>
    <t>Escada (Espelho)</t>
  </si>
  <si>
    <t>Escada (Piso Degrau)</t>
  </si>
  <si>
    <t>Refeitório (Piso)</t>
  </si>
  <si>
    <t>Refeitório (Paredes)</t>
  </si>
  <si>
    <t>SUBTOTAL TÉRREO</t>
  </si>
  <si>
    <t>Sala de Reunião</t>
  </si>
  <si>
    <t>Sanitários Piso Superior (Piso)</t>
  </si>
  <si>
    <t>Sanitário Masculino 1 (Piso)</t>
  </si>
  <si>
    <t>Sanitário Masculino 1 (Paredes)</t>
  </si>
  <si>
    <t>Sanitário Feminino 1 (Piso)</t>
  </si>
  <si>
    <t>Sanitário Feminino 1 (Paredes)</t>
  </si>
  <si>
    <t>SUBTOTAL PISO SUPERIOR</t>
  </si>
  <si>
    <t>ESTRUTURA DE MADEIRA</t>
  </si>
  <si>
    <t>TELHA CERÂMICA</t>
  </si>
  <si>
    <t>Comp. Longitudinal [m]</t>
  </si>
  <si>
    <t>Perímetro Transversal [m]</t>
  </si>
  <si>
    <t>Telhado 1</t>
  </si>
  <si>
    <t>Telhado 2</t>
  </si>
  <si>
    <t>Telhado 3</t>
  </si>
  <si>
    <t>Telhado 4</t>
  </si>
  <si>
    <t>Telhado 5</t>
  </si>
  <si>
    <t>Telhado 6</t>
  </si>
  <si>
    <t>Telhado 3 (a)</t>
  </si>
  <si>
    <t>Telhado 3 (b)</t>
  </si>
  <si>
    <t>Telhado 5 (a)</t>
  </si>
  <si>
    <t>Telhado 5 (b)</t>
  </si>
  <si>
    <t>PINTURA LÁTEX</t>
  </si>
  <si>
    <t>Dormitório Comandante (Paredes)</t>
  </si>
  <si>
    <t>Dormitório Masculino (Paredes)</t>
  </si>
  <si>
    <t>Dormitório Feminino (Paredes)</t>
  </si>
  <si>
    <t>Banheiro Feminino (Teto)</t>
  </si>
  <si>
    <t>Circulação 2 (Teto)</t>
  </si>
  <si>
    <t>Dormitório Comandante (Teto)</t>
  </si>
  <si>
    <t>Dormitório Masculino (Teto)</t>
  </si>
  <si>
    <t>Banheiro Comandante (Teto)</t>
  </si>
  <si>
    <t>Banheiro Masculino (Teto)</t>
  </si>
  <si>
    <t>Vestiário Masculino (Teto)</t>
  </si>
  <si>
    <t>Dormitório Feminino (Teto)</t>
  </si>
  <si>
    <t>Circulação 2 (Paredes)</t>
  </si>
  <si>
    <t>Circulação 1 (Teto)</t>
  </si>
  <si>
    <t>Circulação 1 (Paredes)</t>
  </si>
  <si>
    <t>Despensa (Teto)</t>
  </si>
  <si>
    <t>Despensa (Paredes)</t>
  </si>
  <si>
    <t>Reserva Armamentos (Teto)</t>
  </si>
  <si>
    <t>Reserva Armamentos (Paredes)</t>
  </si>
  <si>
    <t>Escada (Paredes)</t>
  </si>
  <si>
    <t>Escada (Fundo)</t>
  </si>
  <si>
    <t>Arquivo 1 (Teto)</t>
  </si>
  <si>
    <t>Arquivo 1 (Paredes)</t>
  </si>
  <si>
    <t>Sala de Comando (Teto)</t>
  </si>
  <si>
    <t>Sala de Comando (Paredes)</t>
  </si>
  <si>
    <t>Recepção 1 (Teto)</t>
  </si>
  <si>
    <t>Recepção 1 (Paredes)</t>
  </si>
  <si>
    <t>Recepção 2 (Paredes)</t>
  </si>
  <si>
    <t>Arquivo 2 (Teto)</t>
  </si>
  <si>
    <t>Arquivo 2 (Paredes)</t>
  </si>
  <si>
    <t>VERNIZ</t>
  </si>
  <si>
    <t>Sala de Reunião (Teto)</t>
  </si>
  <si>
    <t>Sala de Reunião (Paredes)</t>
  </si>
  <si>
    <t>Sanitários (Teto)</t>
  </si>
  <si>
    <t>Piso Inferior</t>
  </si>
  <si>
    <t>Piso Superior</t>
  </si>
  <si>
    <t>PINTURA ACRÍLICA</t>
  </si>
  <si>
    <t>Platibanda 107</t>
  </si>
  <si>
    <t>Platibanda 103</t>
  </si>
  <si>
    <t>Platibanda 109</t>
  </si>
  <si>
    <t>Platibanda 117</t>
  </si>
  <si>
    <t>Platibanda 119</t>
  </si>
  <si>
    <t>Muro Divisa Direita*</t>
  </si>
  <si>
    <t>Muro Divisa Fundos</t>
  </si>
  <si>
    <t>Muro Divisa Esquerda</t>
  </si>
  <si>
    <t>Recepção 2 (Forro do teto)</t>
  </si>
  <si>
    <t>Copa (Forro do teto)</t>
  </si>
  <si>
    <t>Escada (Forro do teto)</t>
  </si>
  <si>
    <t>D.E.C. (Forro do teto)</t>
  </si>
  <si>
    <t>Varanda (Forro do teto)</t>
  </si>
  <si>
    <t>Garagem (Forro do teto)</t>
  </si>
  <si>
    <t>Largura  [m]</t>
  </si>
  <si>
    <t>Comprimento  [m]</t>
  </si>
  <si>
    <t>TOTAL VERNIZ EM MADEIRA</t>
  </si>
  <si>
    <t>Calculado</t>
  </si>
  <si>
    <t>Lastro 5 cm [m³]</t>
  </si>
  <si>
    <r>
      <t xml:space="preserve">Arm. </t>
    </r>
    <r>
      <rPr>
        <b/>
        <sz val="11"/>
        <rFont val="Calibri"/>
        <family val="2"/>
      </rPr>
      <t>φ10 mm</t>
    </r>
    <r>
      <rPr>
        <b/>
        <sz val="11"/>
        <rFont val="Calibri"/>
        <family val="2"/>
        <scheme val="minor"/>
      </rPr>
      <t xml:space="preserve"> [m]</t>
    </r>
  </si>
  <si>
    <t>CA-50 [kg]</t>
  </si>
  <si>
    <r>
      <t xml:space="preserve">Estr. </t>
    </r>
    <r>
      <rPr>
        <b/>
        <sz val="11"/>
        <rFont val="Calibri"/>
        <family val="2"/>
      </rPr>
      <t>φ6,3 mm</t>
    </r>
    <r>
      <rPr>
        <b/>
        <sz val="11"/>
        <rFont val="Calibri"/>
        <family val="2"/>
        <scheme val="minor"/>
      </rPr>
      <t xml:space="preserve"> [m]</t>
    </r>
  </si>
  <si>
    <t>LAJES</t>
  </si>
  <si>
    <t>TR 16746+1φ10</t>
  </si>
  <si>
    <t>TR 16746 + 1φ10</t>
  </si>
  <si>
    <t>TR 16746 + 2φ5,0</t>
  </si>
  <si>
    <t>CONTRA-PISO</t>
  </si>
  <si>
    <t>BEIRAL DE MADEIRA</t>
  </si>
  <si>
    <t>Beiral 1-2</t>
  </si>
  <si>
    <t>Beiral 1-3</t>
  </si>
  <si>
    <t>Beiral 1-1</t>
  </si>
  <si>
    <t>Beiral 2-1</t>
  </si>
  <si>
    <t>Beiral 2-2</t>
  </si>
  <si>
    <t>Beiral 3-1</t>
  </si>
  <si>
    <t>Beiral 3-2</t>
  </si>
  <si>
    <t>Beiral 4-1</t>
  </si>
  <si>
    <t>Beiral 4-2</t>
  </si>
  <si>
    <t>Beiral 5-1</t>
  </si>
  <si>
    <t>Beiral 5-2</t>
  </si>
  <si>
    <t>Beiral 5-3</t>
  </si>
  <si>
    <t>Beiral 6-1</t>
  </si>
  <si>
    <t>Beiral 6-2</t>
  </si>
  <si>
    <t>Beiral 6-3</t>
  </si>
  <si>
    <t>Beiral 6-4</t>
  </si>
  <si>
    <t>TESTEIRAS</t>
  </si>
  <si>
    <t>T1-1</t>
  </si>
  <si>
    <t>T1-2</t>
  </si>
  <si>
    <t>T1-3</t>
  </si>
  <si>
    <t>T1-4</t>
  </si>
  <si>
    <t>T1-5</t>
  </si>
  <si>
    <t>T2-1</t>
  </si>
  <si>
    <t>T2-2</t>
  </si>
  <si>
    <t>T3-1</t>
  </si>
  <si>
    <t>T3-2</t>
  </si>
  <si>
    <t>T3-3</t>
  </si>
  <si>
    <t>T3-4</t>
  </si>
  <si>
    <t>T4-1</t>
  </si>
  <si>
    <t>T4-2</t>
  </si>
  <si>
    <t>T5-1</t>
  </si>
  <si>
    <t>T5-2</t>
  </si>
  <si>
    <t>T5-3</t>
  </si>
  <si>
    <t>T6-1</t>
  </si>
  <si>
    <t>T6-2</t>
  </si>
  <si>
    <t>T6-3</t>
  </si>
  <si>
    <t>T6-4</t>
  </si>
  <si>
    <t>T2-3</t>
  </si>
  <si>
    <t>T2-4</t>
  </si>
  <si>
    <t>T4-3</t>
  </si>
  <si>
    <t>CALHAS E RUFOS</t>
  </si>
  <si>
    <t>Calha C1</t>
  </si>
  <si>
    <t>Calha C2</t>
  </si>
  <si>
    <t>Calha C3</t>
  </si>
  <si>
    <t>Calha C4</t>
  </si>
  <si>
    <t>Calha C5</t>
  </si>
  <si>
    <t>Calha C6</t>
  </si>
  <si>
    <t>Calha C7</t>
  </si>
  <si>
    <t>Calha C8</t>
  </si>
  <si>
    <t>Rufo R1</t>
  </si>
  <si>
    <t>Rufo R2</t>
  </si>
  <si>
    <t>Rufo R3</t>
  </si>
  <si>
    <t>Rufo R4</t>
  </si>
  <si>
    <t>Rufo R5</t>
  </si>
  <si>
    <t>Rufo R6</t>
  </si>
  <si>
    <t>Rufo R7</t>
  </si>
  <si>
    <t>Rufo R8</t>
  </si>
  <si>
    <t>Rufo R9</t>
  </si>
  <si>
    <t>Rufo R10</t>
  </si>
  <si>
    <t>Rufo R11</t>
  </si>
  <si>
    <t>TUBOS DE DESCIDA DE ÁGUA PLUVIAL</t>
  </si>
  <si>
    <t>bitola [mm]</t>
  </si>
  <si>
    <t>Tubo T1</t>
  </si>
  <si>
    <t>Tubo T2</t>
  </si>
  <si>
    <t>Tubo T3</t>
  </si>
  <si>
    <t>Tubo T4</t>
  </si>
  <si>
    <t>Tubo T5</t>
  </si>
  <si>
    <t>Tubo T6</t>
  </si>
  <si>
    <t>Tubo T7</t>
  </si>
  <si>
    <t>Tubo T8</t>
  </si>
  <si>
    <t>Tubo T9</t>
  </si>
  <si>
    <t>Tubo T10</t>
  </si>
  <si>
    <t>Tubo T11</t>
  </si>
  <si>
    <t>Tubo T12</t>
  </si>
  <si>
    <t>Tubo T13</t>
  </si>
  <si>
    <t>Tubo T14</t>
  </si>
  <si>
    <t>Tubo T15</t>
  </si>
  <si>
    <t>Tubo T16</t>
  </si>
  <si>
    <t>Tubo T17</t>
  </si>
  <si>
    <t>Tubo T18</t>
  </si>
  <si>
    <t>Tubo T19</t>
  </si>
  <si>
    <t>Tubo T20</t>
  </si>
  <si>
    <t>Tubo T21</t>
  </si>
  <si>
    <t>Tubo T22</t>
  </si>
  <si>
    <t>PISO DE CONCRETO</t>
  </si>
  <si>
    <t>ESCADA</t>
  </si>
  <si>
    <t>EMBOÇAMENTO DE BEIRAL</t>
  </si>
  <si>
    <t>Beiral "T3-4"</t>
  </si>
  <si>
    <t>Fundo Telhado 5</t>
  </si>
  <si>
    <t>DIVISÓRIAS EM GRANITO</t>
  </si>
  <si>
    <t>ESPELHO DE 4 mm</t>
  </si>
  <si>
    <t>BANCADAS DE GRANITO</t>
  </si>
  <si>
    <t>Área  [m²]</t>
  </si>
  <si>
    <t>BARRAS DE ACESSIBILIDADE</t>
  </si>
  <si>
    <t>Comprimento Unit. [mm]</t>
  </si>
  <si>
    <t>Quantidade [un.]</t>
  </si>
  <si>
    <t>Barra reta</t>
  </si>
  <si>
    <t>Registro Gaveta 3/4` [un]</t>
  </si>
  <si>
    <t>Registro Pressão 3/4` [un]</t>
  </si>
  <si>
    <t>Copa</t>
  </si>
  <si>
    <t>Sanitário Masculino 1</t>
  </si>
  <si>
    <t>Sanitário Feminino 1</t>
  </si>
  <si>
    <t>Sanitário Masculino 2</t>
  </si>
  <si>
    <t>Sanitário Feminino 2</t>
  </si>
  <si>
    <t>DISPOSITIVOS HIDRÁULICOS</t>
  </si>
  <si>
    <t>Lavatório S/ Coluna [un]</t>
  </si>
  <si>
    <t>Cuba Oval de Embutir [un]</t>
  </si>
  <si>
    <t>PORTAS DE VIDRO</t>
  </si>
  <si>
    <t>05.10.041</t>
  </si>
  <si>
    <t>Transporte de material escavado - rocha</t>
  </si>
  <si>
    <t>Argamassa graute autonivelante de alta resistência</t>
  </si>
  <si>
    <t>Lona plástica preta - uso geral</t>
  </si>
  <si>
    <t>11.20.140</t>
  </si>
  <si>
    <t>Controlador de retração de concreto, a base de óxido de cálcio</t>
  </si>
  <si>
    <t>Telha em fibra vegetal, perfil ondulado, com espessura de 3mm</t>
  </si>
  <si>
    <t>Cumeeira em fibra vegetal, lisa, com espessura de 3mm</t>
  </si>
  <si>
    <t>Telhamento em chapa de aço pré-pintada, perfil ondulado, com espessura de 0,50mm</t>
  </si>
  <si>
    <t>Telhamento em chapa de aço pré-pintada, perfil ondulado calandrado, com espessura de 0,80mm</t>
  </si>
  <si>
    <t>Telhamento em chapa de aço pré-pintada, perfil trapezoidal, com espessura de 0,80mm e altura de 100mm</t>
  </si>
  <si>
    <t>Telhamento em chapa de aço pré-pintada, perfil trapezoidal, com espessura de 0,50mm e altura de 40mm</t>
  </si>
  <si>
    <t>Cumeeira em chapa de aço pré-pintada, perfil trapezoidal, com espessura de 0,50mm</t>
  </si>
  <si>
    <t>Cumeeira em chapa de aço pré-pintada, perfil ondulado, com espessura de 0,50mm</t>
  </si>
  <si>
    <t>Telhamento em chapa de aço pré-pintada, tipo sanduíche, espessura de 0,50mm, com lã de rocha</t>
  </si>
  <si>
    <t>Telhamento em chapa de aço pré-pintada, tipo sanduíche, espessura de 0,50mm, com poliisocianurato (PIR)</t>
  </si>
  <si>
    <t>Telhamento em chapa de aço pré-pintada, tipo sanduíche, espessura de 0,50mm, com poliestireno expandido</t>
  </si>
  <si>
    <t>Telhamento em chapa de aço galvanizado autoportante, perfil trapezoidal, com espessura de 0,80mm e altura de 120mm</t>
  </si>
  <si>
    <t>Forro em placa de gesso liso, espessura de 12,5mm, fixo</t>
  </si>
  <si>
    <t>23.20.560</t>
  </si>
  <si>
    <t>Folha de madeira sarrafeada, revestida nas 2 faces com laminado melamínico</t>
  </si>
  <si>
    <t>Grade para piso eletrofundida, malha 30x100mm, com barra de 40x2mm</t>
  </si>
  <si>
    <t>Grade para forro eletrofundida, malha 25x100mm, com barra de 25x2mm</t>
  </si>
  <si>
    <t>Veda porta/veda fresta em alumínio branco, com borracha vedante</t>
  </si>
  <si>
    <t>Plataforma para elevação até 1,00m, nas dimensões de 900x1400mm, capacidade de 250kg - percurso até 1,00m de altura</t>
  </si>
  <si>
    <t>Plataforma para elevação até 2,00m, nas dimensões de 900x1400mm, capacidade de 250kg - percurso superior a 1,00m de altura</t>
  </si>
  <si>
    <t>30.14.060</t>
  </si>
  <si>
    <t>Plataforma para elevacao até 4,00m, nas dimensões de 1100x1400mm, capacidade de 325kg</t>
  </si>
  <si>
    <t>32.07.226</t>
  </si>
  <si>
    <t>Selante elástico monocomponente a base de poliuretano (PU) para juntas de dilatação</t>
  </si>
  <si>
    <t>32.20.066</t>
  </si>
  <si>
    <t>Lona plástica em polietileno, 150 micras, para camada separadora de piso/pavimento</t>
  </si>
  <si>
    <t>Hidrorepelente incolor à base de silano-siloxano oligomérico disperso em água</t>
  </si>
  <si>
    <t>Hidrorepelente incolor à base de silano-siloxano oligomérico disperso em solvente</t>
  </si>
  <si>
    <t>34.20.384</t>
  </si>
  <si>
    <t>Bicicletário modelo U invertido em tubo circular de aço Ø 2", com acabamento em pintura eletrostática, para fixação chumbado/parafusado</t>
  </si>
  <si>
    <t>Disjuntor em caixa aberta trifásico, 600 V de 800 A, 50/60 Hz, com acessórios</t>
  </si>
  <si>
    <t>Disjuntor em caixa aberta tripolar extraível, 500 V de 3200 A, com acessórios</t>
  </si>
  <si>
    <t>Disjuntor em caixa aberta tripolar extraível, 500 V de 4000 A, com acessórios</t>
  </si>
  <si>
    <t>Disjuntor série universal em caixa moldada, térmico e magnético fixos, bipolar 415 VCA, corrente de 60 A até 100 A</t>
  </si>
  <si>
    <t>Disjuntor série universal em caixa moldada, térmico e magnético fixos, bipolar 380/600 VCA, corrente de 125 A</t>
  </si>
  <si>
    <t>Disjuntor série universal em caixa moldada, térmico fixo e magnético ajustável, tripolar 600 VCA, corrente de 300 A até 400 A</t>
  </si>
  <si>
    <t>Disjuntor série universal em caixa moldada, térmico fixo e magnético ajustável, tripolar 600 VCA, corrente de 500 A até 630 A</t>
  </si>
  <si>
    <t>Disjuntor série universal em caixa moldada, térmico fixo e magnético ajustável, tripolar 600 VCA, corrente de 700 A até 800 A</t>
  </si>
  <si>
    <t>Mini-disjuntor termomagnético, tripolar 415 V, corrente de 80 A até 125 A</t>
  </si>
  <si>
    <t>Disjuntor em caixa aberta, térmico ajustável e magnético fixo, tripolar 2000/1200 V, faixa de ajuste de 1600 até 2000 A</t>
  </si>
  <si>
    <t>Disjuntor em caixa aberta, térmico ajustável e magnético fixo, tripolar 2500/1200 V, faixa de ajuste de 2000 até 2500 A</t>
  </si>
  <si>
    <t>Inversor de frequência para variação de velocidade em motores, potência de 0,25 a 175 cv</t>
  </si>
  <si>
    <t>Inversor de frequência para variação de velocidade em motores, potência de 1,5 a 150 cv</t>
  </si>
  <si>
    <t>Dispositivo de proteção contra surto, 2 polos, suportabilidade &lt;= 4 kV, Un até 240V/415V, Iimp = 60 kA, curva de ensaio 10/350µs - classe 1</t>
  </si>
  <si>
    <t>Dispositivo de proteção contra surto, 2 polos, monobloco, suportabilidade &lt;=1,4kV, F+N / F+F, Un até 240V/264V, curva de ensaio 8/20µs - classe 3</t>
  </si>
  <si>
    <t>Disjuntor em caixa moldada tripolar, térmico e magnético fixos, tensão de isolamento 500/690V, de 10A a 63A</t>
  </si>
  <si>
    <t>Variador de luminosidade rotativo até 600 W / 220 V, com placa</t>
  </si>
  <si>
    <t>Luminária LED retangular para poste, fluxo luminoso de 18000 lm, eficiência mínima 180 lm/W - potência de 100 W</t>
  </si>
  <si>
    <t>Luminária LED retangular para poste, fluxo luminoso de 36000 lm, eficiência mínima 180 lm/W - potência de 200 W</t>
  </si>
  <si>
    <t>Luminária retangular de sobrepor tipo calha aberta, com refletor em alumínio de alto brilho, para 2 lâmpadas tubulares 32 W/36 W</t>
  </si>
  <si>
    <t>Luminária industrial pendente tipo calha aberta instalação em perfilado para 1 ou 2 lâmpadas tubulares 28 W/54 W</t>
  </si>
  <si>
    <t>Luminária retangular de embutir tipo calha aberta com refletor em alumínio de alto brilho para 2 lâmpadas tubulares de 28 W/54 W</t>
  </si>
  <si>
    <t>Luminária LED redonda de sobrepor com difusor translucido, 4000 K, fluxo luminoso de 1900 a 2000 lm, potência de 17 W a 19 W</t>
  </si>
  <si>
    <t>Tela para equipotencial em aço inoxidável</t>
  </si>
  <si>
    <t>43.03.222</t>
  </si>
  <si>
    <t>Sistema de aquecimento de passagem a gás com sistema misturador para abastecimento de até 04 duchas</t>
  </si>
  <si>
    <t>44.01.052</t>
  </si>
  <si>
    <t>Bacia sifonada de louça com tampa - 6 litros</t>
  </si>
  <si>
    <t>Bacia sifonada de louça sem tampa, com saída horizontal - 6 litros</t>
  </si>
  <si>
    <t>44.01.072</t>
  </si>
  <si>
    <t>Bacia sifonada de louça com tampa, com saída horizontal - 6 litros</t>
  </si>
  <si>
    <t>44.01.820</t>
  </si>
  <si>
    <t>Bacia sifonada com caixa de descarga acoplada com tampa - 6 litros</t>
  </si>
  <si>
    <t>Entrada completa de gás GLP domiciliar com 2 botijões de 13 kg</t>
  </si>
  <si>
    <t>50.01.062</t>
  </si>
  <si>
    <t>Abrigo para hidrante de recalque (embutir e interno)</t>
  </si>
  <si>
    <t>Bico de sprinkler resposta rápida, posição pendente, temperatura nominal 68°C</t>
  </si>
  <si>
    <t>Bico de sprinkler resposta rápida, posição para cima, temperatura nominal 68°C</t>
  </si>
  <si>
    <t>54.08.005</t>
  </si>
  <si>
    <t>Agente de cura química, retardador de evaporação, em pavimento de concreto</t>
  </si>
  <si>
    <t>54.09</t>
  </si>
  <si>
    <t>Pavimentação sustentável de vias, calçadas e passeios</t>
  </si>
  <si>
    <t>54.09.001</t>
  </si>
  <si>
    <t>Concreto asfáltico modificado por borracha AB8</t>
  </si>
  <si>
    <t>54.20.160</t>
  </si>
  <si>
    <t>Corte para junta de dilatação através de cortadora a gasolina, com serra de disco diamantado segmentado para pavimento de concreto e asfalto</t>
  </si>
  <si>
    <t>Sensor de temperatura ambiente PT100</t>
  </si>
  <si>
    <t>Switch Gigabit para servidor central com 24 portas frontais e 4 portas SFP, capacidade 10 / 100 / 1000 Mbps</t>
  </si>
  <si>
    <t>Caixa subterrânea de entrada de telefonia, tipo R1 (550 x 350 x 550) mm, padrão TELEBRÁS, com tampa</t>
  </si>
  <si>
    <t>Caixa subterrânea de entrada de telefonia, tipo R2 (1050 x 550 x 800) mm, padrão TELEBRÁS, com tampa</t>
  </si>
  <si>
    <t>69.08.012</t>
  </si>
  <si>
    <t>Distribuidor interno óptico 1U de até 24 fibras - completo</t>
  </si>
  <si>
    <t>Bloco de distribuição para 10 pares</t>
  </si>
  <si>
    <t>CJDIA</t>
  </si>
  <si>
    <t>Bacia Sanitária [un]</t>
  </si>
  <si>
    <t>Torneira Acionamento Hidrom. [un]</t>
  </si>
  <si>
    <t>Tubo DN = 3/4` [m]</t>
  </si>
  <si>
    <t>Tubo DN = 100 mm [m]</t>
  </si>
  <si>
    <t>Tubo DN = 50 mm [m]</t>
  </si>
  <si>
    <t>Caixa Sifonada [un]</t>
  </si>
  <si>
    <t>Dispositivos (Água Fria) [un]</t>
  </si>
  <si>
    <t>Dispositivos (Esgoto 50 mm) [un]</t>
  </si>
  <si>
    <t>Dispositivos (Esgoto 100 mm) [un]</t>
  </si>
  <si>
    <t>TUBULAÇÕES DE ÁGUA FRIA E ESGOTO</t>
  </si>
  <si>
    <t>APARELHOS SANITÁRIOS</t>
  </si>
  <si>
    <t>Dispenser Papel Higiênico [un]</t>
  </si>
  <si>
    <t>Dispenser Sabonete Líquido [un]</t>
  </si>
  <si>
    <t>Dispenser Papel Toalha [un]</t>
  </si>
  <si>
    <t>Pátios</t>
  </si>
  <si>
    <t>cj</t>
  </si>
  <si>
    <t>Instalações Hidráulicas</t>
  </si>
  <si>
    <t>Dispositivos</t>
  </si>
  <si>
    <t>Divisórias e Bancadas</t>
  </si>
  <si>
    <t>m³</t>
  </si>
  <si>
    <t>PV83</t>
  </si>
  <si>
    <t>Comp.   [m]</t>
  </si>
  <si>
    <t>Prateleira Ban. Masc.</t>
  </si>
  <si>
    <t>GABINETES</t>
  </si>
  <si>
    <t>Pia da Copa</t>
  </si>
  <si>
    <t>Recepção</t>
  </si>
  <si>
    <t>Quant.   [un]</t>
  </si>
  <si>
    <t>PRATELEIRAS EM GRANITO</t>
  </si>
  <si>
    <t>8.1</t>
  </si>
  <si>
    <t>8.2</t>
  </si>
  <si>
    <t>8.3</t>
  </si>
  <si>
    <t>9.1</t>
  </si>
  <si>
    <t>9.2</t>
  </si>
  <si>
    <t>9.3</t>
  </si>
  <si>
    <t>9.4</t>
  </si>
  <si>
    <t>9.5</t>
  </si>
  <si>
    <t>9.6</t>
  </si>
  <si>
    <t>9.7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</si>
  <si>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</si>
  <si>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</si>
  <si>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</si>
  <si>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</si>
  <si>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</si>
  <si>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</si>
  <si>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</si>
  <si>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</si>
  <si>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</si>
  <si>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</si>
  <si>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REVESTIMENTO</t>
  </si>
  <si>
    <t>06.02.001</t>
  </si>
  <si>
    <t>PC-01 porta corta-fogo P90 L=90 cm completa</t>
  </si>
  <si>
    <t>PDF100</t>
  </si>
  <si>
    <t>JF100x280</t>
  </si>
  <si>
    <t>RODAPÉ</t>
  </si>
  <si>
    <t>Recepção 2 (Piso)</t>
  </si>
  <si>
    <t>Recepção 2 (Parede Frontal)</t>
  </si>
  <si>
    <t>SUBTOTAL 1</t>
  </si>
  <si>
    <t>Depósito de Evidências Criminais</t>
  </si>
  <si>
    <t>Depósito Evidências Criminais (Piso)</t>
  </si>
  <si>
    <t>Hall da Escada</t>
  </si>
  <si>
    <t>SUBTOTAL 2</t>
  </si>
  <si>
    <t>PORCELANATO TÉCNICO NATURAL</t>
  </si>
  <si>
    <t>Pilares</t>
  </si>
  <si>
    <t>Fachada Frontal</t>
  </si>
  <si>
    <t>CHAPISCO</t>
  </si>
  <si>
    <t>Sanitário Masculino 2 (Paredes)</t>
  </si>
  <si>
    <t>Hall da Escada (Paredes)</t>
  </si>
  <si>
    <t>Sanitário Feminino 2 (Paredes)</t>
  </si>
  <si>
    <t>Sala de Reunião (Paredes</t>
  </si>
  <si>
    <t>Depósito Evidências Criminais (Paredes)</t>
  </si>
  <si>
    <t>GESSO SOBRE BLOCO</t>
  </si>
  <si>
    <t>Sanitário Masculino 1 (Teto)</t>
  </si>
  <si>
    <t>Sanitário Feminino 1 (Teto)</t>
  </si>
  <si>
    <t>Recepção 2 (Parede)</t>
  </si>
  <si>
    <t>Fachadas</t>
  </si>
  <si>
    <t>estrutura telhado</t>
  </si>
  <si>
    <t>Forros e Beirais</t>
  </si>
  <si>
    <t>Escada e Esquadrias</t>
  </si>
  <si>
    <t>VERNIZ EM SUPERFÍCIE DE MADEIRA</t>
  </si>
  <si>
    <t>PINTURA LÁTEX SOBRE GESSO</t>
  </si>
  <si>
    <t>PINTURA ACRÍLICA SOBRE ARGAMASSA</t>
  </si>
  <si>
    <t>Fachadas Piso Inferior</t>
  </si>
  <si>
    <t>Fachadas Piso Superior</t>
  </si>
  <si>
    <t>Muro de divisa lado esquerdo</t>
  </si>
  <si>
    <t>Muro de divisa dos fundos</t>
  </si>
  <si>
    <t>Muro de divisa lado direito</t>
  </si>
  <si>
    <t>ESMALTE SOBRE SUPERFÍCIE METÁLICA</t>
  </si>
  <si>
    <t>Escada (Guarda-Corpo)</t>
  </si>
  <si>
    <t>11.1</t>
  </si>
  <si>
    <t>11.2</t>
  </si>
  <si>
    <t>11.3</t>
  </si>
  <si>
    <t>11.4</t>
  </si>
  <si>
    <t>11.5</t>
  </si>
  <si>
    <t>11.6</t>
  </si>
  <si>
    <t>11.7</t>
  </si>
  <si>
    <t>12.1</t>
  </si>
  <si>
    <t>14.1</t>
  </si>
  <si>
    <t>12.2</t>
  </si>
  <si>
    <t>12.3</t>
  </si>
  <si>
    <t>12.4</t>
  </si>
  <si>
    <t>12.5</t>
  </si>
  <si>
    <t>12.6</t>
  </si>
  <si>
    <t>14.2</t>
  </si>
  <si>
    <t>14.3</t>
  </si>
  <si>
    <t>15.1</t>
  </si>
  <si>
    <t>15.2</t>
  </si>
  <si>
    <t>15.3</t>
  </si>
  <si>
    <t>15.4</t>
  </si>
  <si>
    <t>15.5</t>
  </si>
  <si>
    <t>15.6</t>
  </si>
  <si>
    <t>15.7</t>
  </si>
  <si>
    <t>GARAGEM DOS FUNDOS</t>
  </si>
  <si>
    <t>AREA TOTAL</t>
  </si>
  <si>
    <t>$ POR m²</t>
  </si>
  <si>
    <t>Comprim. [m]</t>
  </si>
  <si>
    <t>SOLEIRAS EM GRANITO E = 2 cm</t>
  </si>
  <si>
    <t>Dormitório do Comandante</t>
  </si>
  <si>
    <t>Banheiro do Comandante</t>
  </si>
  <si>
    <t>Sanitário Masculino</t>
  </si>
  <si>
    <t>Sanitário Feminino</t>
  </si>
  <si>
    <t>Sanitários</t>
  </si>
  <si>
    <t>11.8</t>
  </si>
  <si>
    <t>11.9</t>
  </si>
  <si>
    <t>CP 28</t>
  </si>
  <si>
    <t>Garagem</t>
  </si>
  <si>
    <t>Refletor 200 W [un]</t>
  </si>
  <si>
    <t>Spot 6 W [un]</t>
  </si>
  <si>
    <t>Sobrepor 18 W [un]</t>
  </si>
  <si>
    <t>Tomada Dupla 10 A [un]</t>
  </si>
  <si>
    <t>Tomada Simp. 20 A [un]</t>
  </si>
  <si>
    <t>Interruptor Simples 1 Tecla [un.]</t>
  </si>
  <si>
    <t>Interruptor 2 Teclas [un.]</t>
  </si>
  <si>
    <t>Interruptor 3 Teclas [un.]</t>
  </si>
  <si>
    <t>C. I. 5</t>
  </si>
  <si>
    <t>C.I. 6</t>
  </si>
  <si>
    <t>b / c</t>
  </si>
  <si>
    <t>e / f</t>
  </si>
  <si>
    <t>Ante Camara 2</t>
  </si>
  <si>
    <t>C.I. 8</t>
  </si>
  <si>
    <t>C. I. 9</t>
  </si>
  <si>
    <t>a / b / c</t>
  </si>
  <si>
    <t>Sanitário feminino 2</t>
  </si>
  <si>
    <t>C.I.2-2</t>
  </si>
  <si>
    <t>C.I.2-1</t>
  </si>
  <si>
    <t>C.I.2-3</t>
  </si>
  <si>
    <t>Circ. Iluminação 1</t>
  </si>
  <si>
    <t>Circ. Tomadas 1</t>
  </si>
  <si>
    <t>Acesso (Ornamental)</t>
  </si>
  <si>
    <t>Tomada Simples 10 A [un]</t>
  </si>
  <si>
    <t>Circ. Iluminação 2</t>
  </si>
  <si>
    <t>Circ. Tomadas 2</t>
  </si>
  <si>
    <t>Circ. Iluminação 3</t>
  </si>
  <si>
    <t>Circ. Tomadas 3</t>
  </si>
  <si>
    <t>Pessoas [un]</t>
  </si>
  <si>
    <t>Eletrônicos [un]</t>
  </si>
  <si>
    <t>Demanda [BTU]</t>
  </si>
  <si>
    <t>Dimens. [BTU]</t>
  </si>
  <si>
    <t>A./C. [W]</t>
  </si>
  <si>
    <t>DIMENSIONAMENTO AR CONDICIONADOS</t>
  </si>
  <si>
    <t>DISJUNTOR [A]</t>
  </si>
  <si>
    <t>Circ. Iluminação 4</t>
  </si>
  <si>
    <t>Circ. Tomadas 4</t>
  </si>
  <si>
    <t>Circ. Iluminação 5</t>
  </si>
  <si>
    <t>Circ. Tomadas 5</t>
  </si>
  <si>
    <t>Circ. Iluminação 6</t>
  </si>
  <si>
    <t>Circ. Tomadas 6</t>
  </si>
  <si>
    <t>Circ. Iluminação 7</t>
  </si>
  <si>
    <t>Circ. Tomadas 7</t>
  </si>
  <si>
    <t>Circ. Iluminação 8</t>
  </si>
  <si>
    <t>Circ. Tomadas 8</t>
  </si>
  <si>
    <t>Circ. Iluminação 9</t>
  </si>
  <si>
    <t>Circ. Tomadas 9</t>
  </si>
  <si>
    <t>Circ. Iluminação 10</t>
  </si>
  <si>
    <t>Circ. Tomadas 10</t>
  </si>
  <si>
    <t>Calha B. 2x20 W [un]</t>
  </si>
  <si>
    <t>Calha B. 1x10 ou 20 W [un]</t>
  </si>
  <si>
    <t>Circ. Tomadas 11</t>
  </si>
  <si>
    <t>Circ. Tomadas 12</t>
  </si>
  <si>
    <t>Circ. Tomadas 13</t>
  </si>
  <si>
    <t>Circ. Tomadas 14</t>
  </si>
  <si>
    <t>Circ. Tomadas 15</t>
  </si>
  <si>
    <t>Interruptores [un.]</t>
  </si>
  <si>
    <t>Cabo #2,5 mm² [m]</t>
  </si>
  <si>
    <t>Tomadas T.U.E. [un.]</t>
  </si>
  <si>
    <t>Tomadas T.U.G. [un.]</t>
  </si>
  <si>
    <t>Disjuntor Bifásico 16 a 32 A [un]</t>
  </si>
  <si>
    <t>Cabo #10,0 mm² [m]</t>
  </si>
  <si>
    <t>Circ. Iluminação 2-1</t>
  </si>
  <si>
    <t>Circ. Tomadas 2-1</t>
  </si>
  <si>
    <t>Circ. Iluminação 2-2</t>
  </si>
  <si>
    <t>Circ. Tomadas 2-2</t>
  </si>
  <si>
    <t>Circ. Iluminação 2-3</t>
  </si>
  <si>
    <t>Circ. Tomadas 2-3</t>
  </si>
  <si>
    <t>Eletrodutos 32 mm [m]</t>
  </si>
  <si>
    <t>09.09.026</t>
  </si>
  <si>
    <t>Luminária sobrepor LED tubular vidro 1x20 tempertura de cor 6.000K</t>
  </si>
  <si>
    <t>Spot 30 W [un]</t>
  </si>
  <si>
    <t>calha x2</t>
  </si>
  <si>
    <t>Arandela</t>
  </si>
  <si>
    <t>Calha x1</t>
  </si>
  <si>
    <t>Refletor 200 W</t>
  </si>
  <si>
    <t>Plafon 24 W</t>
  </si>
  <si>
    <t>Projetor 30 W</t>
  </si>
  <si>
    <t>SPOT 6 W</t>
  </si>
  <si>
    <t>Pot. TUGs</t>
  </si>
  <si>
    <t>Pot. TUEs</t>
  </si>
  <si>
    <t>Pot. 2xTUGs</t>
  </si>
  <si>
    <t>Pot Arand.</t>
  </si>
  <si>
    <t>Pot. Calha</t>
  </si>
  <si>
    <t>Pot Calha x2</t>
  </si>
  <si>
    <t>Pot. Spot</t>
  </si>
  <si>
    <t>Pot Proj</t>
  </si>
  <si>
    <t>Pot. Plafon</t>
  </si>
  <si>
    <t>Pot, 50 W</t>
  </si>
  <si>
    <t xml:space="preserve">Pot. </t>
  </si>
  <si>
    <t>09.02.034</t>
  </si>
  <si>
    <t>AE-33 Abrigo e entrada de energia padrão EDP - T7 - 200 A (Ver Modelo AE-21 do catálogo FDE)</t>
  </si>
  <si>
    <t>VBM 1</t>
  </si>
  <si>
    <t>VBM 2</t>
  </si>
  <si>
    <t>VBM 3</t>
  </si>
  <si>
    <t>VBM 4</t>
  </si>
  <si>
    <t>tx</t>
  </si>
  <si>
    <t>E601</t>
  </si>
  <si>
    <t>E602</t>
  </si>
  <si>
    <t>ESCAVAÇÃO DAS VIGAS</t>
  </si>
  <si>
    <t>Vigas [m³]</t>
  </si>
  <si>
    <t>DIVISA: ALVENARIA ESTRUTURAL</t>
  </si>
  <si>
    <t>MURO 1</t>
  </si>
  <si>
    <t>MURO 2</t>
  </si>
  <si>
    <t>MURO 3</t>
  </si>
  <si>
    <t>MURO 4</t>
  </si>
  <si>
    <t>CONCRETO ARMADO - VIGAS</t>
  </si>
  <si>
    <t>V101</t>
  </si>
  <si>
    <t>VIGAS 1º PAVIMENTO</t>
  </si>
  <si>
    <t>V102</t>
  </si>
  <si>
    <t>V103</t>
  </si>
  <si>
    <t>V104</t>
  </si>
  <si>
    <t>V105</t>
  </si>
  <si>
    <t>V106</t>
  </si>
  <si>
    <t>V107</t>
  </si>
  <si>
    <t>V108</t>
  </si>
  <si>
    <t>V109</t>
  </si>
  <si>
    <t>V110</t>
  </si>
  <si>
    <t>V111</t>
  </si>
  <si>
    <t>V112</t>
  </si>
  <si>
    <t>V113</t>
  </si>
  <si>
    <t>V114</t>
  </si>
  <si>
    <t>V115</t>
  </si>
  <si>
    <t>V116</t>
  </si>
  <si>
    <t>V118</t>
  </si>
  <si>
    <t>V119</t>
  </si>
  <si>
    <t>V120</t>
  </si>
  <si>
    <t>V122</t>
  </si>
  <si>
    <t>1º PAVIMENTO</t>
  </si>
  <si>
    <t>5.1.1</t>
  </si>
  <si>
    <t>5.1.2</t>
  </si>
  <si>
    <t>5.1.3</t>
  </si>
  <si>
    <t>5.1.4</t>
  </si>
  <si>
    <t>2º PAVIMENTO</t>
  </si>
  <si>
    <t>5.2.1</t>
  </si>
  <si>
    <t>5.2.2</t>
  </si>
  <si>
    <t>5.2.3</t>
  </si>
  <si>
    <t>5.2.4</t>
  </si>
  <si>
    <t>V117A</t>
  </si>
  <si>
    <t>V117B</t>
  </si>
  <si>
    <t>V121A</t>
  </si>
  <si>
    <t>V121B</t>
  </si>
  <si>
    <t>7.7</t>
  </si>
  <si>
    <t>7.8</t>
  </si>
  <si>
    <t>7.9</t>
  </si>
  <si>
    <t>7.10</t>
  </si>
  <si>
    <t>VIGAS 2º PAVIMENTO</t>
  </si>
  <si>
    <t>V201</t>
  </si>
  <si>
    <t>V202</t>
  </si>
  <si>
    <t>V205</t>
  </si>
  <si>
    <t>V206</t>
  </si>
  <si>
    <t>V208</t>
  </si>
  <si>
    <t>V209</t>
  </si>
  <si>
    <t>V203A</t>
  </si>
  <si>
    <t>V203b</t>
  </si>
  <si>
    <t>V204A</t>
  </si>
  <si>
    <t>V204B</t>
  </si>
  <si>
    <t>V207A</t>
  </si>
  <si>
    <t>V207B</t>
  </si>
  <si>
    <t>8.1.1</t>
  </si>
  <si>
    <t>8.1.2</t>
  </si>
  <si>
    <t>8.1.3</t>
  </si>
  <si>
    <t>8.1.4</t>
  </si>
  <si>
    <t>8.1.5</t>
  </si>
  <si>
    <t>8.1.6</t>
  </si>
  <si>
    <t>8.1.7</t>
  </si>
  <si>
    <t>8.1.8</t>
  </si>
  <si>
    <t>8.1.9</t>
  </si>
  <si>
    <t>8.1.10</t>
  </si>
  <si>
    <t>8.1.11</t>
  </si>
  <si>
    <t>8.1.12</t>
  </si>
  <si>
    <t>8.1.13</t>
  </si>
  <si>
    <t>8.1.14</t>
  </si>
  <si>
    <t>8.1.15</t>
  </si>
  <si>
    <t>8.2.1</t>
  </si>
  <si>
    <t>8.2.2</t>
  </si>
  <si>
    <t>8.2.3</t>
  </si>
  <si>
    <t>8.2.4</t>
  </si>
  <si>
    <t>8.2.5</t>
  </si>
  <si>
    <t>8.2.6</t>
  </si>
  <si>
    <t>8.3.1</t>
  </si>
  <si>
    <t>8.3.2</t>
  </si>
  <si>
    <t>8.3.3</t>
  </si>
  <si>
    <t>8.3.4</t>
  </si>
  <si>
    <t>8.3.5</t>
  </si>
  <si>
    <t>8.3.6</t>
  </si>
  <si>
    <t>9.8</t>
  </si>
  <si>
    <t>9.9</t>
  </si>
  <si>
    <t>9.10</t>
  </si>
  <si>
    <t>9.11</t>
  </si>
  <si>
    <t>9.12</t>
  </si>
  <si>
    <t>9.13</t>
  </si>
  <si>
    <t>9.14</t>
  </si>
  <si>
    <t>9.15</t>
  </si>
  <si>
    <t>9.16</t>
  </si>
  <si>
    <t>9.17</t>
  </si>
  <si>
    <t>9.18</t>
  </si>
  <si>
    <t>9.19</t>
  </si>
  <si>
    <t>9.20</t>
  </si>
  <si>
    <t>9.21</t>
  </si>
  <si>
    <t>9.22</t>
  </si>
  <si>
    <t>9.23</t>
  </si>
  <si>
    <t>9.24</t>
  </si>
  <si>
    <t>9.25</t>
  </si>
  <si>
    <t>11.10</t>
  </si>
  <si>
    <t>11.12</t>
  </si>
  <si>
    <t>11.13</t>
  </si>
  <si>
    <t>11.14</t>
  </si>
  <si>
    <t>11.15</t>
  </si>
  <si>
    <t>12.7</t>
  </si>
  <si>
    <t>12.8</t>
  </si>
  <si>
    <t>12.9</t>
  </si>
  <si>
    <t>16.3</t>
  </si>
  <si>
    <t>16.4</t>
  </si>
  <si>
    <t>16.5</t>
  </si>
  <si>
    <t>16.6</t>
  </si>
  <si>
    <t>16.7</t>
  </si>
  <si>
    <t>17.0</t>
  </si>
  <si>
    <t>17.1</t>
  </si>
  <si>
    <t>16.8</t>
  </si>
  <si>
    <t>E02</t>
  </si>
  <si>
    <t>17.2</t>
  </si>
  <si>
    <t>17.3</t>
  </si>
  <si>
    <t>17.4</t>
  </si>
  <si>
    <t>17.5</t>
  </si>
  <si>
    <t>17.6</t>
  </si>
  <si>
    <t>17.7</t>
  </si>
  <si>
    <t>17.8</t>
  </si>
  <si>
    <t>Pilar PG1</t>
  </si>
  <si>
    <t>Pilar PG2</t>
  </si>
  <si>
    <t>Pilar PG3</t>
  </si>
  <si>
    <t>Pilar PG4</t>
  </si>
  <si>
    <t>Pilar PG5</t>
  </si>
  <si>
    <t>Pilar PG6</t>
  </si>
  <si>
    <t>PILARES DA GARAGEM</t>
  </si>
  <si>
    <t>17.9</t>
  </si>
  <si>
    <t>17.11</t>
  </si>
  <si>
    <t>09.02.066</t>
  </si>
  <si>
    <t>Conjunto 3 cabos p/ entrada de energia, secção 50 mm² c/ eletrodutos</t>
  </si>
  <si>
    <t>18.0</t>
  </si>
  <si>
    <t>18.1</t>
  </si>
  <si>
    <t>18.2</t>
  </si>
  <si>
    <t>18.3</t>
  </si>
  <si>
    <t>18.4</t>
  </si>
  <si>
    <t>18.5</t>
  </si>
  <si>
    <t>ALVENARIA DOS CANTEIROS</t>
  </si>
  <si>
    <t>Canteiro C1</t>
  </si>
  <si>
    <t>Canteiro C3</t>
  </si>
  <si>
    <t>Canteiro C4</t>
  </si>
  <si>
    <t>Canteiro C6</t>
  </si>
  <si>
    <t>Canteiro C8</t>
  </si>
  <si>
    <t>GUIA DE CONCRETO DOS CANTEIROS</t>
  </si>
  <si>
    <t>Guia 1</t>
  </si>
  <si>
    <t>Guia 2</t>
  </si>
  <si>
    <t>Guia 3</t>
  </si>
  <si>
    <t>Guia 4</t>
  </si>
  <si>
    <t>16.02.027</t>
  </si>
  <si>
    <t xml:space="preserve">GA-01 Guia leve ou sepador de pisos </t>
  </si>
  <si>
    <t>un.mês</t>
  </si>
  <si>
    <t>cm³</t>
  </si>
  <si>
    <t/>
  </si>
  <si>
    <t>1.5</t>
  </si>
  <si>
    <t>CONTRAPISO</t>
  </si>
  <si>
    <t>Blocos</t>
  </si>
  <si>
    <t>Vigas</t>
  </si>
  <si>
    <t>Estacas</t>
  </si>
  <si>
    <t>Peso Esp. [kg/m²]</t>
  </si>
  <si>
    <t>3.5</t>
  </si>
  <si>
    <t>VIGAS EM CONCRETO ARMADO</t>
  </si>
  <si>
    <t>LÃ DE VIDRO/FORRO DE MADEIRA</t>
  </si>
  <si>
    <t>8.3.7</t>
  </si>
  <si>
    <t>8.3.8</t>
  </si>
  <si>
    <t>Torneira de Bancada Arejador [un]</t>
  </si>
  <si>
    <t>8.3.9</t>
  </si>
  <si>
    <t>Dispositivos e metais</t>
  </si>
  <si>
    <t>Sifão Universal 1` [un]</t>
  </si>
  <si>
    <t>--</t>
  </si>
  <si>
    <t>Acumulado</t>
  </si>
  <si>
    <t>Celso</t>
  </si>
  <si>
    <t>Adriano 1º</t>
  </si>
  <si>
    <t>Adriano 2º</t>
  </si>
  <si>
    <t>Alimentos</t>
  </si>
  <si>
    <t>Jan</t>
  </si>
  <si>
    <t>fev</t>
  </si>
  <si>
    <t>Mar</t>
  </si>
  <si>
    <t>Abr</t>
  </si>
  <si>
    <t>Mai</t>
  </si>
  <si>
    <t>Jun</t>
  </si>
  <si>
    <t>jul</t>
  </si>
  <si>
    <t>Ago</t>
  </si>
  <si>
    <t>Set</t>
  </si>
  <si>
    <t>Out</t>
  </si>
  <si>
    <t>Nov</t>
  </si>
  <si>
    <t>Dez</t>
  </si>
  <si>
    <t>INFLAÇÃO ALIMENTOS (TRADING ECONOMICS)</t>
  </si>
  <si>
    <t>PV140</t>
  </si>
  <si>
    <t>8.3.10</t>
  </si>
  <si>
    <t>8.3.11</t>
  </si>
  <si>
    <t>8.3.12</t>
  </si>
  <si>
    <t>8.3.13</t>
  </si>
  <si>
    <t>8.3.14</t>
  </si>
  <si>
    <t>09.06.025</t>
  </si>
  <si>
    <t xml:space="preserve">Caixa de passagem em alvenaria 0,40x0,40x0,40 m </t>
  </si>
  <si>
    <t>8.3.15</t>
  </si>
  <si>
    <t>PDG90</t>
  </si>
  <si>
    <t>De Correr/Abrir</t>
  </si>
  <si>
    <t>Ver Tabela 11</t>
  </si>
  <si>
    <t>14.4</t>
  </si>
  <si>
    <t>15.8</t>
  </si>
  <si>
    <t>15.9</t>
  </si>
  <si>
    <t>7º MÊS</t>
  </si>
  <si>
    <t>8º MÊS</t>
  </si>
  <si>
    <t>9º MÊS</t>
  </si>
  <si>
    <t>10º MÊS</t>
  </si>
  <si>
    <t>11º ao 12º MÊS</t>
  </si>
  <si>
    <t>Local da Obra: RUA BRIGADEIRO AGUIAR, S/Nº , CENTRO - SANTA BRANCA - SP</t>
  </si>
  <si>
    <t>Obra: CONSTRUÇÃO DO BATALHÃO DA POLÍCIA MILITAR DE SANTA BRANCA/SP</t>
  </si>
  <si>
    <t>LOCAL DA OBRA: RUA BRIGADEIRO AGUIAR, S/Nº, CENTRO - SANTA BRANCA - SP</t>
  </si>
  <si>
    <t>Bitola mm [m]</t>
  </si>
  <si>
    <t>Quant. Un. [m]</t>
  </si>
  <si>
    <t>Peso Unit. [kg/m]</t>
  </si>
  <si>
    <t>PAREDE PAR 1</t>
  </si>
  <si>
    <t>Posição</t>
  </si>
  <si>
    <t>N1</t>
  </si>
  <si>
    <t>Comp. Unitário [m]</t>
  </si>
  <si>
    <t>CA-50</t>
  </si>
  <si>
    <t>TABELA QUANTITATIVOS DE AÇO</t>
  </si>
  <si>
    <t>N2</t>
  </si>
  <si>
    <t>N3</t>
  </si>
  <si>
    <t>N4</t>
  </si>
  <si>
    <t>N5</t>
  </si>
  <si>
    <t>PAREDE PAR 2</t>
  </si>
  <si>
    <t>PAREDE PAR 3</t>
  </si>
  <si>
    <t>PAREDE PAR 4</t>
  </si>
  <si>
    <t>N6</t>
  </si>
  <si>
    <t>N7</t>
  </si>
  <si>
    <t>N8</t>
  </si>
  <si>
    <t>PAREDE PAR 5</t>
  </si>
  <si>
    <t>PAREDE PAR 6</t>
  </si>
  <si>
    <t>PAREDE PAR 7 E PAR 107</t>
  </si>
  <si>
    <t>N9</t>
  </si>
  <si>
    <t>N10</t>
  </si>
  <si>
    <t>PAREDE PAR 8 E PAR 108</t>
  </si>
  <si>
    <t>N11</t>
  </si>
  <si>
    <t>N12</t>
  </si>
  <si>
    <t>PAREDE PAR 9 E PAR 109</t>
  </si>
  <si>
    <t>PAREDE PAR 10</t>
  </si>
  <si>
    <t>PAREDE PAR 11 E PAR 111</t>
  </si>
  <si>
    <t>PAREDE PAR 12 = PAR 14     (x2)</t>
  </si>
  <si>
    <t>N13</t>
  </si>
  <si>
    <t>N14</t>
  </si>
  <si>
    <t>PAREDE PAR 13 E PAR 113</t>
  </si>
  <si>
    <t>PAREDE PAR 15</t>
  </si>
  <si>
    <t>PAREDE PAR 16</t>
  </si>
  <si>
    <t>N15</t>
  </si>
  <si>
    <t>PAREDE PAR 17 E PAR 117</t>
  </si>
  <si>
    <t>PAREDE PAR 18</t>
  </si>
  <si>
    <t>N16</t>
  </si>
  <si>
    <t>N17</t>
  </si>
  <si>
    <t>N18</t>
  </si>
  <si>
    <t>N19</t>
  </si>
  <si>
    <t>N20</t>
  </si>
  <si>
    <t>N21</t>
  </si>
  <si>
    <t>PAREDE PAR 19 E PAR 119</t>
  </si>
  <si>
    <t>PAREDE PAR 20</t>
  </si>
  <si>
    <t>PAREDE PAR 21 E PAR 121</t>
  </si>
  <si>
    <t>Comp. Total [m]</t>
  </si>
  <si>
    <r>
      <t xml:space="preserve">SUBTOTAL </t>
    </r>
    <r>
      <rPr>
        <b/>
        <sz val="12"/>
        <rFont val="Calibri"/>
        <family val="2"/>
      </rPr>
      <t xml:space="preserve"> ø10 mm</t>
    </r>
  </si>
  <si>
    <r>
      <t xml:space="preserve">SUBTOTAL </t>
    </r>
    <r>
      <rPr>
        <b/>
        <sz val="12"/>
        <rFont val="Calibri"/>
        <family val="2"/>
      </rPr>
      <t xml:space="preserve"> ø12,50 mm</t>
    </r>
  </si>
  <si>
    <t>TABELA RESUMO DE QUANTITATIVOS DE AÇO CA-50</t>
  </si>
  <si>
    <t>SUBTOTAL  ø10 mm [kg]</t>
  </si>
  <si>
    <t>SUBTOTAL  ø12,50 mm [kg]</t>
  </si>
  <si>
    <t>TOTAL [kg]</t>
  </si>
  <si>
    <t>Versão 200</t>
  </si>
  <si>
    <t>NOV/25</t>
  </si>
  <si>
    <t>02.03.280</t>
  </si>
  <si>
    <t>Tapume metálico com telha metálica tipo trapezoidal 40, sem pintura, espessura 0,43mm, colunas, bases e parafusos</t>
  </si>
  <si>
    <t>02.03.290</t>
  </si>
  <si>
    <t>Portão metálico com 2 folhas, pivotante, para tapume</t>
  </si>
  <si>
    <t>Caixa com suportes para tomada de energia/RJ e tampa basculante com rebaixo de 2 x (25 x 70 mm)</t>
  </si>
  <si>
    <t>Caixa com suportes para tomada de energia/RJ e tampa basculante com rebaixo de 3 x (25 x 70 mm)</t>
  </si>
  <si>
    <t>Caixa com suportes para tomada de energia/RJ e tampa basculante com rebaixo de 4 x (25 x 70 mm)</t>
  </si>
  <si>
    <t>49.12.060</t>
  </si>
  <si>
    <t>Boca de leão dupla tipo PMSP com grelha</t>
  </si>
  <si>
    <t>m³.km</t>
  </si>
  <si>
    <t>Varanda Lateral (Forro do teto)</t>
  </si>
  <si>
    <t>Item da Planilha</t>
  </si>
  <si>
    <t>Descrição dos serviços</t>
  </si>
  <si>
    <t>Qtd.</t>
  </si>
  <si>
    <t>Acervo Exigido</t>
  </si>
  <si>
    <t>BASE: CDHU 200 NÃO DESONERADA / FDE JAN/2026</t>
  </si>
  <si>
    <t>Quantitativo Planilhado.</t>
  </si>
  <si>
    <t>Acervo Exig. (50% Qtd.)</t>
  </si>
  <si>
    <t xml:space="preserve">TABELA DE ACERVO </t>
  </si>
  <si>
    <t>09.09.030</t>
  </si>
  <si>
    <t>734,54</t>
  </si>
  <si>
    <t>Santa Branca, 20 de março de 2026.</t>
  </si>
  <si>
    <t>Barras de aço CA-50/CA-60</t>
  </si>
  <si>
    <t>4.1 e 4.2</t>
  </si>
  <si>
    <t>Forma em madeira comum</t>
  </si>
  <si>
    <t>9.9, 9.10, 9.11, 9.12 e 9.13</t>
  </si>
  <si>
    <t xml:space="preserve">m </t>
  </si>
  <si>
    <t>Fio de cobre, bitolas variadas, isolação PVC 70º C ou HEPR 90º C</t>
  </si>
  <si>
    <t>Revestimento em porcelanto</t>
  </si>
  <si>
    <t>13.2 e 13.3</t>
  </si>
  <si>
    <t>Pintura látex/acrílica em massa</t>
  </si>
  <si>
    <t>2.5, 5.1.1, 5.2.1 e 17.3</t>
  </si>
  <si>
    <t>2.8, 3.2, 4.4, 5.1.4, 5.2.4, 17.6 e 17.10</t>
  </si>
  <si>
    <t>Alvenaria em bloco estrutural, classe B, famílias M15 e M20</t>
  </si>
  <si>
    <t>Estrutura de madeira tesourada para telhados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</si>
</sst>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 &quot;#,##0.00"/>
    <numFmt numFmtId="166" formatCode="_-&quot;R$&quot;\ * #,##0.000_-;\-&quot;R$&quot;\ * #,##0.000_-;_-&quot;R$&quot;\ * &quot;-&quot;??_-;_-@_-"/>
    <numFmt numFmtId="167" formatCode="0\ &quot;W&quot;"/>
    <numFmt numFmtId="168" formatCode="0.0000"/>
    <numFmt numFmtId="169" formatCode="#,##0.0"/>
    <numFmt numFmtId="170" formatCode="0.0"/>
    <numFmt numFmtId="171" formatCode="0.00000"/>
    <numFmt numFmtId="172" formatCode="&quot;R$&quot;\ #,##0.00"/>
    <numFmt numFmtId="173" formatCode="#,##0.0000"/>
    <numFmt numFmtId="174" formatCode="#,##0_ ;\-#,##0\ "/>
  </numFmts>
  <fonts count="9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  <family val="2"/>
    </font>
    <font>
      <sz val="8"/>
      <name val="Arial"/>
      <family val="2"/>
    </font>
    <font>
      <b/>
      <sz val="10"/>
      <color indexed="8"/>
      <name val="MS Sans Serif"/>
      <family val="2"/>
    </font>
    <font>
      <sz val="10"/>
      <color indexed="8"/>
      <name val="MS Sans Serif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9.85"/>
      <color indexed="8"/>
      <name val="Times New Roman"/>
      <family val="1"/>
    </font>
    <font>
      <b/>
      <sz val="10"/>
      <name val="Arial"/>
      <family val="2"/>
    </font>
    <font>
      <b/>
      <sz val="9.85"/>
      <color indexed="8"/>
      <name val="Times New Roman"/>
      <family val="1"/>
    </font>
    <font>
      <sz val="10"/>
      <name val="MS Sans Serif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Arial"/>
      <family val="2"/>
    </font>
    <font>
      <sz val="10"/>
      <color rgb="FFFF0000"/>
      <name val="Arial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sz val="10"/>
      <name val="Arial"/>
      <family val="2"/>
    </font>
    <font>
      <b/>
      <sz val="20"/>
      <color indexed="8"/>
      <name val="Calibri"/>
      <family val="2"/>
      <scheme val="minor"/>
    </font>
    <font>
      <sz val="14"/>
      <color indexed="8"/>
      <name val="Calibri"/>
      <family val="2"/>
      <scheme val="minor"/>
    </font>
    <font>
      <b/>
      <sz val="14"/>
      <name val="Calibri"/>
      <family val="2"/>
      <scheme val="minor"/>
    </font>
    <font>
      <b/>
      <sz val="9"/>
      <color indexed="8"/>
      <name val="Times New Roman"/>
      <family val="1"/>
    </font>
    <font>
      <sz val="11"/>
      <color indexed="8"/>
      <name val="Calibri"/>
      <family val="2"/>
      <scheme val="minor"/>
    </font>
    <font>
      <sz val="12"/>
      <color rgb="FFFF0000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b/>
      <sz val="11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b/>
      <sz val="13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3"/>
      <color indexed="10"/>
      <name val="Arial"/>
      <family val="2"/>
    </font>
    <font>
      <b/>
      <sz val="8"/>
      <name val="Arial"/>
      <family val="2"/>
    </font>
    <font>
      <b/>
      <sz val="14"/>
      <color indexed="10"/>
      <name val="Arial"/>
      <family val="2"/>
    </font>
    <font>
      <b/>
      <sz val="9"/>
      <color indexed="10"/>
      <name val="Arial"/>
      <family val="2"/>
    </font>
    <font>
      <b/>
      <sz val="11"/>
      <color indexed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i/>
      <sz val="10"/>
      <name val="Arial"/>
      <family val="2"/>
    </font>
    <font>
      <b/>
      <sz val="9.85"/>
      <color indexed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3"/>
      <color theme="4"/>
      <name val="Arial"/>
      <family val="2"/>
    </font>
    <font>
      <b/>
      <u/>
      <sz val="12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1"/>
      <color indexed="8"/>
      <name val="Arial"/>
      <family val="2"/>
    </font>
    <font>
      <b/>
      <sz val="16"/>
      <name val="Calibri"/>
      <family val="2"/>
      <scheme val="minor"/>
    </font>
    <font>
      <sz val="10"/>
      <color theme="0"/>
      <name val="Calibri"/>
      <family val="2"/>
      <scheme val="minor"/>
    </font>
    <font>
      <sz val="8.5"/>
      <color rgb="FF000000"/>
      <name val="Calibri"/>
      <family val="2"/>
    </font>
    <font>
      <sz val="8.5"/>
      <name val="Calibri"/>
      <family val="2"/>
    </font>
    <font>
      <b/>
      <i/>
      <sz val="8"/>
      <name val="Arial"/>
      <family val="2"/>
    </font>
    <font>
      <sz val="8.5"/>
      <name val="Calibri"/>
      <family val="2"/>
    </font>
    <font>
      <b/>
      <sz val="12"/>
      <color theme="0"/>
      <name val="Arial"/>
      <family val="2"/>
    </font>
    <font>
      <b/>
      <sz val="12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Arial"/>
      <family val="2"/>
    </font>
    <font>
      <sz val="8"/>
      <name val="Arial"/>
      <family val="2"/>
    </font>
    <font>
      <sz val="8"/>
      <name val="Arial"/>
      <family val="2"/>
    </font>
    <font>
      <sz val="10"/>
      <color indexed="8"/>
      <name val="MS Sans Serif"/>
    </font>
    <font>
      <b/>
      <sz val="10"/>
      <color rgb="FFFF0000"/>
      <name val="MS Sans Serif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FF0000"/>
      <name val="Arial"/>
      <family val="2"/>
    </font>
    <font>
      <b/>
      <sz val="12"/>
      <name val="Calibri"/>
      <family val="2"/>
      <scheme val="minor"/>
    </font>
    <font>
      <b/>
      <sz val="10"/>
      <color rgb="FFFF0000"/>
      <name val="MS Sans Serif"/>
      <family val="2"/>
    </font>
    <font>
      <b/>
      <sz val="10"/>
      <color indexed="8"/>
      <name val="MS Sans Serif"/>
    </font>
  </fonts>
  <fills count="12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  <fill>
      <patternFill patternType="solid">
        <fgColor rgb="FFD8D8D8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9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BD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</patternFill>
    </fill>
    <fill>
      <patternFill patternType="solid">
        <fgColor rgb="FFFFD58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76E3FF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FAFEF8"/>
        <bgColor indexed="64"/>
      </patternFill>
    </fill>
    <fill>
      <patternFill patternType="solid">
        <fgColor rgb="FFD5F8C3"/>
        <bgColor indexed="64"/>
      </patternFill>
    </fill>
    <fill>
      <patternFill patternType="solid">
        <fgColor rgb="FFEDFCE5"/>
        <bgColor indexed="64"/>
      </patternFill>
    </fill>
    <fill>
      <patternFill patternType="solid">
        <fgColor rgb="FFF1FDEB"/>
        <bgColor indexed="64"/>
      </patternFill>
    </fill>
    <fill>
      <patternFill patternType="solid">
        <fgColor rgb="FFF7FEF3"/>
        <bgColor indexed="64"/>
      </patternFill>
    </fill>
    <fill>
      <patternFill patternType="solid">
        <fgColor rgb="FFF7FEF4"/>
        <bgColor indexed="64"/>
      </patternFill>
    </fill>
    <fill>
      <patternFill patternType="solid">
        <fgColor rgb="FFFFEAEA"/>
        <bgColor indexed="64"/>
      </patternFill>
    </fill>
    <fill>
      <patternFill patternType="solid">
        <fgColor rgb="FFF0FDE9"/>
        <bgColor indexed="64"/>
      </patternFill>
    </fill>
    <fill>
      <patternFill patternType="solid">
        <fgColor rgb="FFFCFFF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2FDEC"/>
        <bgColor indexed="64"/>
      </patternFill>
    </fill>
    <fill>
      <patternFill patternType="solid">
        <fgColor rgb="FFE4FBD9"/>
        <bgColor indexed="64"/>
      </patternFill>
    </fill>
    <fill>
      <patternFill patternType="solid">
        <fgColor rgb="FFF3FDEE"/>
        <bgColor indexed="64"/>
      </patternFill>
    </fill>
    <fill>
      <patternFill patternType="solid">
        <fgColor rgb="FFF0FDEA"/>
        <bgColor indexed="64"/>
      </patternFill>
    </fill>
    <fill>
      <patternFill patternType="solid">
        <fgColor rgb="FFF8FEF5"/>
        <bgColor indexed="64"/>
      </patternFill>
    </fill>
    <fill>
      <patternFill patternType="solid">
        <fgColor rgb="FFF2FDED"/>
        <bgColor indexed="64"/>
      </patternFill>
    </fill>
    <fill>
      <patternFill patternType="solid">
        <fgColor rgb="FFEEFCE7"/>
        <bgColor indexed="64"/>
      </patternFill>
    </fill>
    <fill>
      <patternFill patternType="solid">
        <fgColor rgb="FFE8FBDF"/>
        <bgColor indexed="64"/>
      </patternFill>
    </fill>
    <fill>
      <patternFill patternType="solid">
        <fgColor rgb="FFEBFCE3"/>
        <bgColor indexed="64"/>
      </patternFill>
    </fill>
    <fill>
      <patternFill patternType="solid">
        <fgColor rgb="FFFFF1F1"/>
        <bgColor indexed="64"/>
      </patternFill>
    </fill>
    <fill>
      <patternFill patternType="solid">
        <fgColor rgb="FFFBFEFA"/>
        <bgColor indexed="64"/>
      </patternFill>
    </fill>
    <fill>
      <patternFill patternType="solid">
        <fgColor rgb="FFF6FEF2"/>
        <bgColor indexed="64"/>
      </patternFill>
    </fill>
    <fill>
      <patternFill patternType="solid">
        <fgColor rgb="FFEEFCE6"/>
        <bgColor indexed="64"/>
      </patternFill>
    </fill>
    <fill>
      <patternFill patternType="solid">
        <fgColor rgb="FFDFFAD1"/>
        <bgColor indexed="64"/>
      </patternFill>
    </fill>
    <fill>
      <patternFill patternType="solid">
        <fgColor rgb="FFCBF7B5"/>
        <bgColor indexed="64"/>
      </patternFill>
    </fill>
    <fill>
      <patternFill patternType="solid">
        <fgColor rgb="FFDDFACF"/>
        <bgColor indexed="64"/>
      </patternFill>
    </fill>
    <fill>
      <patternFill patternType="solid">
        <fgColor rgb="FFEAFCE0"/>
        <bgColor indexed="64"/>
      </patternFill>
    </fill>
    <fill>
      <patternFill patternType="solid">
        <fgColor rgb="FFFF6666"/>
        <bgColor indexed="64"/>
      </patternFill>
    </fill>
    <fill>
      <patternFill patternType="solid">
        <fgColor rgb="FFFFB0B0"/>
        <bgColor indexed="64"/>
      </patternFill>
    </fill>
    <fill>
      <patternFill patternType="solid">
        <fgColor rgb="FFFFC0C0"/>
        <bgColor indexed="64"/>
      </patternFill>
    </fill>
    <fill>
      <patternFill patternType="solid">
        <fgColor rgb="FFECFCE4"/>
        <bgColor indexed="64"/>
      </patternFill>
    </fill>
    <fill>
      <patternFill patternType="solid">
        <fgColor rgb="FFE3FBD8"/>
        <bgColor indexed="64"/>
      </patternFill>
    </fill>
    <fill>
      <patternFill patternType="solid">
        <fgColor rgb="FFE1FAD5"/>
        <bgColor indexed="64"/>
      </patternFill>
    </fill>
    <fill>
      <patternFill patternType="solid">
        <fgColor rgb="FFF5FDF1"/>
        <bgColor indexed="64"/>
      </patternFill>
    </fill>
    <fill>
      <patternFill patternType="solid">
        <fgColor rgb="FFE0FAD3"/>
        <bgColor indexed="64"/>
      </patternFill>
    </fill>
    <fill>
      <patternFill patternType="solid">
        <fgColor rgb="FFE3FBD7"/>
        <bgColor indexed="64"/>
      </patternFill>
    </fill>
    <fill>
      <patternFill patternType="solid">
        <fgColor rgb="FFDAF9CA"/>
        <bgColor indexed="64"/>
      </patternFill>
    </fill>
    <fill>
      <patternFill patternType="solid">
        <fgColor rgb="FFD7F9C6"/>
        <bgColor indexed="64"/>
      </patternFill>
    </fill>
    <fill>
      <patternFill patternType="solid">
        <fgColor rgb="FFE1FAD4"/>
        <bgColor indexed="64"/>
      </patternFill>
    </fill>
    <fill>
      <patternFill patternType="solid">
        <fgColor rgb="FFE8FBDE"/>
        <bgColor indexed="64"/>
      </patternFill>
    </fill>
    <fill>
      <patternFill patternType="solid">
        <fgColor rgb="FFFDFFFC"/>
        <bgColor indexed="64"/>
      </patternFill>
    </fill>
    <fill>
      <patternFill patternType="solid">
        <fgColor rgb="FFFFBCBC"/>
        <bgColor indexed="64"/>
      </patternFill>
    </fill>
    <fill>
      <patternFill patternType="solid">
        <fgColor rgb="FFFFACAC"/>
        <bgColor indexed="64"/>
      </patternFill>
    </fill>
    <fill>
      <patternFill patternType="solid">
        <fgColor rgb="FFF3FDEF"/>
        <bgColor indexed="64"/>
      </patternFill>
    </fill>
    <fill>
      <patternFill patternType="solid">
        <fgColor rgb="FFEAFCE2"/>
        <bgColor indexed="64"/>
      </patternFill>
    </fill>
    <fill>
      <patternFill patternType="solid">
        <fgColor rgb="FFE2FAD6"/>
        <bgColor indexed="64"/>
      </patternFill>
    </fill>
    <fill>
      <patternFill patternType="solid">
        <fgColor rgb="FFD4F8C1"/>
        <bgColor indexed="64"/>
      </patternFill>
    </fill>
    <fill>
      <patternFill patternType="solid">
        <fgColor rgb="FFF5FDF0"/>
        <bgColor indexed="64"/>
      </patternFill>
    </fill>
    <fill>
      <patternFill patternType="solid">
        <fgColor rgb="FFE7FBDD"/>
        <bgColor indexed="64"/>
      </patternFill>
    </fill>
    <fill>
      <patternFill patternType="solid">
        <fgColor rgb="FFFBFEF9"/>
        <bgColor indexed="64"/>
      </patternFill>
    </fill>
    <fill>
      <patternFill patternType="solid">
        <fgColor rgb="FFF9FEF6"/>
        <bgColor indexed="64"/>
      </patternFill>
    </fill>
    <fill>
      <patternFill patternType="solid">
        <fgColor rgb="FFFFFAFA"/>
        <bgColor indexed="64"/>
      </patternFill>
    </fill>
    <fill>
      <patternFill patternType="solid">
        <fgColor rgb="FFFCFEFA"/>
        <bgColor indexed="64"/>
      </patternFill>
    </fill>
    <fill>
      <patternFill patternType="solid">
        <fgColor rgb="FFEFFCE8"/>
        <bgColor indexed="64"/>
      </patternFill>
    </fill>
    <fill>
      <patternFill patternType="solid">
        <fgColor rgb="FFDAF9CB"/>
        <bgColor indexed="64"/>
      </patternFill>
    </fill>
    <fill>
      <patternFill patternType="solid">
        <fgColor rgb="FFF4FDF0"/>
        <bgColor indexed="64"/>
      </patternFill>
    </fill>
    <fill>
      <patternFill patternType="solid">
        <fgColor rgb="FFFFEFEF"/>
        <bgColor indexed="64"/>
      </patternFill>
    </fill>
    <fill>
      <patternFill patternType="solid">
        <fgColor rgb="FFF1FDEA"/>
        <bgColor indexed="64"/>
      </patternFill>
    </fill>
    <fill>
      <patternFill patternType="solid">
        <fgColor rgb="FFFFD3D3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CECE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</fills>
  <borders count="6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rgb="FFDDDDDD"/>
      </bottom>
      <diagonal/>
    </border>
  </borders>
  <cellStyleXfs count="77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7" fillId="4" borderId="0" applyNumberFormat="0" applyBorder="0" applyAlignment="0" applyProtection="0"/>
    <xf numFmtId="0" fontId="18" fillId="16" borderId="1" applyNumberFormat="0" applyAlignment="0" applyProtection="0"/>
    <xf numFmtId="0" fontId="19" fillId="17" borderId="2" applyNumberFormat="0" applyAlignment="0" applyProtection="0"/>
    <xf numFmtId="0" fontId="20" fillId="0" borderId="3" applyNumberFormat="0" applyFill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21" borderId="0" applyNumberFormat="0" applyBorder="0" applyAlignment="0" applyProtection="0"/>
    <xf numFmtId="0" fontId="21" fillId="7" borderId="1" applyNumberFormat="0" applyAlignment="0" applyProtection="0"/>
    <xf numFmtId="0" fontId="22" fillId="3" borderId="0" applyNumberFormat="0" applyBorder="0" applyAlignment="0" applyProtection="0"/>
    <xf numFmtId="0" fontId="11" fillId="0" borderId="0" applyNumberFormat="0" applyFill="0" applyBorder="0" applyProtection="0">
      <alignment vertical="center"/>
    </xf>
    <xf numFmtId="0" fontId="9" fillId="0" borderId="0" applyNumberFormat="0" applyFill="0" applyBorder="0" applyProtection="0">
      <alignment vertical="center"/>
    </xf>
    <xf numFmtId="0" fontId="9" fillId="0" borderId="0" applyNumberFormat="0" applyFill="0" applyBorder="0" applyProtection="0">
      <alignment vertical="center"/>
    </xf>
    <xf numFmtId="0" fontId="23" fillId="22" borderId="0" applyNumberFormat="0" applyBorder="0" applyAlignment="0" applyProtection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4" fillId="0" borderId="0">
      <alignment vertical="top"/>
    </xf>
    <xf numFmtId="0" fontId="13" fillId="23" borderId="4" applyNumberFormat="0" applyFont="0" applyAlignment="0" applyProtection="0"/>
    <xf numFmtId="0" fontId="24" fillId="16" borderId="5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8" fillId="0" borderId="6" applyNumberFormat="0" applyFill="0" applyAlignment="0" applyProtection="0"/>
    <xf numFmtId="0" fontId="29" fillId="0" borderId="7" applyNumberFormat="0" applyFill="0" applyAlignment="0" applyProtection="0"/>
    <xf numFmtId="0" fontId="30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1" fillId="0" borderId="9" applyNumberFormat="0" applyFill="0" applyAlignment="0" applyProtection="0"/>
    <xf numFmtId="164" fontId="2" fillId="0" borderId="0" applyFont="0" applyFill="0" applyBorder="0" applyAlignment="0" applyProtection="0"/>
    <xf numFmtId="164" fontId="14" fillId="0" borderId="0" applyFont="0" applyFill="0" applyBorder="0" applyAlignment="0" applyProtection="0">
      <alignment vertical="top"/>
    </xf>
    <xf numFmtId="164" fontId="32" fillId="0" borderId="0" applyFont="0" applyFill="0" applyBorder="0" applyAlignment="0" applyProtection="0"/>
    <xf numFmtId="0" fontId="8" fillId="0" borderId="0">
      <alignment vertical="top"/>
    </xf>
    <xf numFmtId="164" fontId="8" fillId="0" borderId="0" applyFont="0" applyFill="0" applyBorder="0" applyAlignment="0" applyProtection="0">
      <alignment vertical="top"/>
    </xf>
    <xf numFmtId="164" fontId="13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2" fillId="0" borderId="0"/>
    <xf numFmtId="0" fontId="42" fillId="0" borderId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" fillId="0" borderId="0"/>
    <xf numFmtId="0" fontId="2" fillId="23" borderId="4" applyNumberFormat="0" applyFont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42" fillId="0" borderId="0" applyFont="0" applyFill="0" applyBorder="0" applyAlignment="0" applyProtection="0"/>
    <xf numFmtId="0" fontId="1" fillId="0" borderId="0"/>
  </cellStyleXfs>
  <cellXfs count="837">
    <xf numFmtId="0" fontId="0" fillId="0" borderId="0" xfId="0"/>
    <xf numFmtId="0" fontId="6" fillId="0" borderId="0" xfId="35"/>
    <xf numFmtId="0" fontId="6" fillId="0" borderId="0" xfId="35" applyAlignment="1">
      <alignment vertical="center"/>
    </xf>
    <xf numFmtId="0" fontId="5" fillId="0" borderId="0" xfId="35" applyFont="1"/>
    <xf numFmtId="49" fontId="6" fillId="0" borderId="0" xfId="35" applyNumberFormat="1" applyAlignment="1">
      <alignment horizontal="center"/>
    </xf>
    <xf numFmtId="4" fontId="6" fillId="0" borderId="0" xfId="35" applyNumberFormat="1"/>
    <xf numFmtId="0" fontId="6" fillId="0" borderId="0" xfId="35" applyAlignment="1">
      <alignment horizontal="left" wrapText="1"/>
    </xf>
    <xf numFmtId="4" fontId="6" fillId="0" borderId="0" xfId="52" applyNumberFormat="1" applyFont="1" applyAlignment="1">
      <alignment horizontal="right" vertical="center"/>
    </xf>
    <xf numFmtId="0" fontId="41" fillId="0" borderId="0" xfId="0" applyFont="1" applyAlignment="1">
      <alignment vertical="center" wrapText="1" readingOrder="1"/>
    </xf>
    <xf numFmtId="0" fontId="42" fillId="0" borderId="0" xfId="0" applyFont="1" applyAlignment="1">
      <alignment vertical="center" wrapText="1" readingOrder="1"/>
    </xf>
    <xf numFmtId="0" fontId="6" fillId="0" borderId="0" xfId="35" applyAlignment="1">
      <alignment horizontal="center" vertical="center"/>
    </xf>
    <xf numFmtId="0" fontId="34" fillId="0" borderId="0" xfId="0" applyFont="1"/>
    <xf numFmtId="4" fontId="6" fillId="0" borderId="0" xfId="35" applyNumberFormat="1" applyAlignment="1">
      <alignment horizontal="center"/>
    </xf>
    <xf numFmtId="4" fontId="3" fillId="0" borderId="0" xfId="35" applyNumberFormat="1" applyFont="1" applyAlignment="1">
      <alignment horizontal="right" vertical="center"/>
    </xf>
    <xf numFmtId="49" fontId="10" fillId="0" borderId="0" xfId="0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0" fillId="0" borderId="0" xfId="0" applyNumberFormat="1"/>
    <xf numFmtId="0" fontId="50" fillId="0" borderId="0" xfId="0" applyFont="1" applyAlignment="1">
      <alignment horizontal="center" wrapText="1"/>
    </xf>
    <xf numFmtId="4" fontId="0" fillId="0" borderId="13" xfId="0" applyNumberFormat="1" applyBorder="1"/>
    <xf numFmtId="0" fontId="53" fillId="0" borderId="0" xfId="0" applyFont="1"/>
    <xf numFmtId="4" fontId="0" fillId="0" borderId="0" xfId="0" applyNumberFormat="1"/>
    <xf numFmtId="4" fontId="10" fillId="0" borderId="0" xfId="0" applyNumberFormat="1" applyFont="1" applyAlignment="1">
      <alignment vertical="center"/>
    </xf>
    <xf numFmtId="4" fontId="54" fillId="0" borderId="0" xfId="0" applyNumberFormat="1" applyFont="1" applyAlignment="1">
      <alignment horizontal="center" vertical="center" wrapText="1"/>
    </xf>
    <xf numFmtId="0" fontId="5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4" fontId="49" fillId="0" borderId="0" xfId="0" applyNumberFormat="1" applyFont="1" applyAlignment="1">
      <alignment vertical="center"/>
    </xf>
    <xf numFmtId="10" fontId="56" fillId="0" borderId="0" xfId="0" applyNumberFormat="1" applyFont="1" applyAlignment="1">
      <alignment horizontal="center" vertical="center" wrapText="1"/>
    </xf>
    <xf numFmtId="4" fontId="10" fillId="0" borderId="0" xfId="0" applyNumberFormat="1" applyFont="1"/>
    <xf numFmtId="0" fontId="10" fillId="0" borderId="0" xfId="0" applyFont="1"/>
    <xf numFmtId="4" fontId="10" fillId="0" borderId="34" xfId="0" applyNumberFormat="1" applyFont="1" applyBorder="1"/>
    <xf numFmtId="4" fontId="2" fillId="0" borderId="34" xfId="0" applyNumberFormat="1" applyFont="1" applyBorder="1"/>
    <xf numFmtId="4" fontId="52" fillId="0" borderId="34" xfId="0" applyNumberFormat="1" applyFont="1" applyBorder="1" applyAlignment="1">
      <alignment vertical="center"/>
    </xf>
    <xf numFmtId="0" fontId="10" fillId="0" borderId="0" xfId="0" applyFont="1" applyAlignment="1">
      <alignment horizontal="right"/>
    </xf>
    <xf numFmtId="0" fontId="2" fillId="0" borderId="0" xfId="0" applyFont="1"/>
    <xf numFmtId="4" fontId="2" fillId="25" borderId="13" xfId="0" applyNumberFormat="1" applyFont="1" applyFill="1" applyBorder="1" applyProtection="1">
      <protection locked="0"/>
    </xf>
    <xf numFmtId="4" fontId="0" fillId="25" borderId="13" xfId="0" applyNumberFormat="1" applyFill="1" applyBorder="1" applyProtection="1">
      <protection locked="0"/>
    </xf>
    <xf numFmtId="10" fontId="10" fillId="25" borderId="13" xfId="0" applyNumberFormat="1" applyFont="1" applyFill="1" applyBorder="1" applyAlignment="1" applyProtection="1">
      <alignment horizontal="center"/>
      <protection locked="0"/>
    </xf>
    <xf numFmtId="0" fontId="58" fillId="0" borderId="25" xfId="37" applyFont="1" applyBorder="1" applyAlignment="1">
      <alignment horizontal="center" vertical="center"/>
    </xf>
    <xf numFmtId="0" fontId="58" fillId="0" borderId="13" xfId="37" applyFont="1" applyBorder="1" applyAlignment="1">
      <alignment horizontal="left" vertical="center" wrapText="1"/>
    </xf>
    <xf numFmtId="0" fontId="58" fillId="0" borderId="13" xfId="37" applyFont="1" applyBorder="1" applyAlignment="1">
      <alignment horizontal="center" vertical="center" wrapText="1"/>
    </xf>
    <xf numFmtId="49" fontId="58" fillId="0" borderId="13" xfId="37" applyNumberFormat="1" applyFont="1" applyBorder="1" applyAlignment="1">
      <alignment horizontal="center" vertical="center"/>
    </xf>
    <xf numFmtId="44" fontId="60" fillId="0" borderId="13" xfId="52" applyNumberFormat="1" applyFont="1" applyBorder="1" applyAlignment="1">
      <alignment horizontal="right" vertical="center" wrapText="1"/>
    </xf>
    <xf numFmtId="44" fontId="58" fillId="0" borderId="16" xfId="52" applyNumberFormat="1" applyFont="1" applyBorder="1" applyAlignment="1">
      <alignment horizontal="right" vertical="center" wrapText="1"/>
    </xf>
    <xf numFmtId="44" fontId="58" fillId="0" borderId="18" xfId="52" applyNumberFormat="1" applyFont="1" applyBorder="1" applyAlignment="1">
      <alignment horizontal="right" vertical="center"/>
    </xf>
    <xf numFmtId="0" fontId="60" fillId="0" borderId="50" xfId="35" applyFont="1" applyBorder="1" applyAlignment="1">
      <alignment horizontal="center" vertical="center"/>
    </xf>
    <xf numFmtId="0" fontId="3" fillId="0" borderId="0" xfId="35" applyFont="1"/>
    <xf numFmtId="49" fontId="58" fillId="24" borderId="13" xfId="37" applyNumberFormat="1" applyFont="1" applyFill="1" applyBorder="1" applyAlignment="1">
      <alignment horizontal="center" vertical="center"/>
    </xf>
    <xf numFmtId="0" fontId="0" fillId="29" borderId="55" xfId="0" applyFill="1" applyBorder="1" applyAlignment="1">
      <alignment horizontal="left" wrapText="1"/>
    </xf>
    <xf numFmtId="0" fontId="0" fillId="29" borderId="55" xfId="0" applyFill="1" applyBorder="1" applyAlignment="1">
      <alignment horizontal="left" vertical="center" wrapText="1"/>
    </xf>
    <xf numFmtId="1" fontId="72" fillId="29" borderId="55" xfId="0" applyNumberFormat="1" applyFont="1" applyFill="1" applyBorder="1" applyAlignment="1">
      <alignment horizontal="left" vertical="top" shrinkToFit="1"/>
    </xf>
    <xf numFmtId="2" fontId="72" fillId="29" borderId="55" xfId="0" applyNumberFormat="1" applyFont="1" applyFill="1" applyBorder="1" applyAlignment="1">
      <alignment horizontal="left" vertical="top" shrinkToFit="1"/>
    </xf>
    <xf numFmtId="0" fontId="0" fillId="29" borderId="55" xfId="0" applyFill="1" applyBorder="1" applyAlignment="1">
      <alignment horizontal="left" vertical="top" wrapText="1"/>
    </xf>
    <xf numFmtId="0" fontId="0" fillId="0" borderId="0" xfId="0" applyAlignment="1">
      <alignment horizontal="center" vertical="center"/>
    </xf>
    <xf numFmtId="44" fontId="6" fillId="0" borderId="0" xfId="35" applyNumberFormat="1"/>
    <xf numFmtId="0" fontId="0" fillId="0" borderId="0" xfId="0" applyAlignment="1">
      <alignment horizontal="center"/>
    </xf>
    <xf numFmtId="4" fontId="47" fillId="0" borderId="13" xfId="0" applyNumberFormat="1" applyFont="1" applyBorder="1"/>
    <xf numFmtId="4" fontId="47" fillId="25" borderId="13" xfId="0" applyNumberFormat="1" applyFont="1" applyFill="1" applyBorder="1" applyProtection="1">
      <protection locked="0"/>
    </xf>
    <xf numFmtId="0" fontId="47" fillId="0" borderId="0" xfId="0" applyFont="1"/>
    <xf numFmtId="10" fontId="46" fillId="25" borderId="13" xfId="0" applyNumberFormat="1" applyFont="1" applyFill="1" applyBorder="1" applyAlignment="1" applyProtection="1">
      <alignment horizontal="center"/>
      <protection locked="0"/>
    </xf>
    <xf numFmtId="0" fontId="47" fillId="0" borderId="0" xfId="0" applyFont="1" applyAlignment="1">
      <alignment horizontal="right" vertical="center"/>
    </xf>
    <xf numFmtId="0" fontId="74" fillId="0" borderId="55" xfId="0" applyFont="1" applyBorder="1" applyAlignment="1">
      <alignment horizontal="left" vertical="top" wrapText="1"/>
    </xf>
    <xf numFmtId="0" fontId="74" fillId="0" borderId="55" xfId="0" applyFont="1" applyBorder="1" applyAlignment="1">
      <alignment horizontal="center" vertical="top" wrapText="1"/>
    </xf>
    <xf numFmtId="0" fontId="74" fillId="0" borderId="55" xfId="0" applyFont="1" applyBorder="1" applyAlignment="1">
      <alignment horizontal="left" vertical="top" wrapText="1" indent="1"/>
    </xf>
    <xf numFmtId="0" fontId="74" fillId="0" borderId="55" xfId="0" applyFont="1" applyBorder="1" applyAlignment="1">
      <alignment horizontal="right" vertical="top" wrapText="1"/>
    </xf>
    <xf numFmtId="0" fontId="75" fillId="29" borderId="55" xfId="0" applyFont="1" applyFill="1" applyBorder="1" applyAlignment="1">
      <alignment horizontal="left" vertical="top" wrapText="1"/>
    </xf>
    <xf numFmtId="0" fontId="75" fillId="0" borderId="55" xfId="0" applyFont="1" applyBorder="1" applyAlignment="1">
      <alignment horizontal="left" vertical="top" wrapText="1"/>
    </xf>
    <xf numFmtId="0" fontId="0" fillId="0" borderId="55" xfId="0" applyBorder="1" applyAlignment="1">
      <alignment horizontal="left" vertical="top" wrapText="1"/>
    </xf>
    <xf numFmtId="0" fontId="75" fillId="0" borderId="55" xfId="0" applyFont="1" applyBorder="1" applyAlignment="1">
      <alignment horizontal="center" vertical="top" wrapText="1"/>
    </xf>
    <xf numFmtId="0" fontId="0" fillId="0" borderId="55" xfId="0" applyBorder="1" applyAlignment="1">
      <alignment horizontal="left" vertical="center" wrapText="1"/>
    </xf>
    <xf numFmtId="0" fontId="75" fillId="0" borderId="55" xfId="0" applyFont="1" applyBorder="1" applyAlignment="1">
      <alignment horizontal="right" vertical="top" wrapText="1"/>
    </xf>
    <xf numFmtId="0" fontId="75" fillId="0" borderId="55" xfId="0" applyFont="1" applyBorder="1" applyAlignment="1">
      <alignment horizontal="left" vertical="center" wrapText="1"/>
    </xf>
    <xf numFmtId="0" fontId="75" fillId="0" borderId="55" xfId="0" applyFont="1" applyBorder="1" applyAlignment="1">
      <alignment horizontal="center" vertical="center" wrapText="1"/>
    </xf>
    <xf numFmtId="0" fontId="75" fillId="0" borderId="55" xfId="0" applyFont="1" applyBorder="1" applyAlignment="1">
      <alignment horizontal="right" vertical="center" wrapText="1"/>
    </xf>
    <xf numFmtId="0" fontId="0" fillId="0" borderId="55" xfId="0" applyBorder="1" applyAlignment="1">
      <alignment horizontal="left" wrapText="1"/>
    </xf>
    <xf numFmtId="0" fontId="75" fillId="0" borderId="55" xfId="0" applyFont="1" applyBorder="1" applyAlignment="1">
      <alignment horizontal="right" vertical="top" wrapText="1" indent="2"/>
    </xf>
    <xf numFmtId="0" fontId="75" fillId="0" borderId="55" xfId="0" applyFont="1" applyBorder="1" applyAlignment="1">
      <alignment horizontal="right" vertical="center" wrapText="1" indent="2"/>
    </xf>
    <xf numFmtId="0" fontId="75" fillId="0" borderId="55" xfId="0" applyFont="1" applyBorder="1" applyAlignment="1">
      <alignment horizontal="left" vertical="top" wrapText="1" indent="2"/>
    </xf>
    <xf numFmtId="0" fontId="75" fillId="0" borderId="55" xfId="0" applyFont="1" applyBorder="1" applyAlignment="1">
      <alignment horizontal="left" vertical="top" wrapText="1" indent="1"/>
    </xf>
    <xf numFmtId="0" fontId="75" fillId="0" borderId="55" xfId="0" applyFont="1" applyBorder="1" applyAlignment="1">
      <alignment horizontal="right" vertical="top" wrapText="1" indent="1"/>
    </xf>
    <xf numFmtId="0" fontId="75" fillId="0" borderId="55" xfId="0" applyFont="1" applyBorder="1" applyAlignment="1">
      <alignment horizontal="left" vertical="center" wrapText="1" indent="2"/>
    </xf>
    <xf numFmtId="49" fontId="64" fillId="31" borderId="49" xfId="35" applyNumberFormat="1" applyFont="1" applyFill="1" applyBorder="1" applyAlignment="1">
      <alignment horizontal="center" vertical="top"/>
    </xf>
    <xf numFmtId="49" fontId="64" fillId="31" borderId="32" xfId="35" applyNumberFormat="1" applyFont="1" applyFill="1" applyBorder="1" applyAlignment="1">
      <alignment horizontal="center" vertical="top"/>
    </xf>
    <xf numFmtId="49" fontId="64" fillId="31" borderId="11" xfId="35" applyNumberFormat="1" applyFont="1" applyFill="1" applyBorder="1" applyAlignment="1">
      <alignment horizontal="center" vertical="top"/>
    </xf>
    <xf numFmtId="0" fontId="64" fillId="31" borderId="11" xfId="35" applyFont="1" applyFill="1" applyBorder="1" applyAlignment="1">
      <alignment horizontal="center" vertical="top" wrapText="1"/>
    </xf>
    <xf numFmtId="0" fontId="64" fillId="31" borderId="11" xfId="35" applyFont="1" applyFill="1" applyBorder="1" applyAlignment="1">
      <alignment horizontal="center" vertical="top"/>
    </xf>
    <xf numFmtId="4" fontId="64" fillId="31" borderId="11" xfId="52" applyNumberFormat="1" applyFont="1" applyFill="1" applyBorder="1" applyAlignment="1">
      <alignment horizontal="center" vertical="top"/>
    </xf>
    <xf numFmtId="4" fontId="64" fillId="31" borderId="11" xfId="52" applyNumberFormat="1" applyFont="1" applyFill="1" applyBorder="1" applyAlignment="1">
      <alignment horizontal="center" vertical="top" wrapText="1"/>
    </xf>
    <xf numFmtId="4" fontId="64" fillId="31" borderId="19" xfId="52" applyNumberFormat="1" applyFont="1" applyFill="1" applyBorder="1" applyAlignment="1">
      <alignment horizontal="center" vertical="top" wrapText="1"/>
    </xf>
    <xf numFmtId="4" fontId="64" fillId="31" borderId="12" xfId="52" applyNumberFormat="1" applyFont="1" applyFill="1" applyBorder="1" applyAlignment="1">
      <alignment horizontal="center" vertical="top"/>
    </xf>
    <xf numFmtId="0" fontId="64" fillId="31" borderId="18" xfId="37" applyFont="1" applyFill="1" applyBorder="1" applyAlignment="1">
      <alignment horizontal="center" vertical="center" wrapText="1"/>
    </xf>
    <xf numFmtId="49" fontId="61" fillId="34" borderId="50" xfId="37" applyNumberFormat="1" applyFont="1" applyFill="1" applyBorder="1" applyAlignment="1">
      <alignment horizontal="center" vertical="center"/>
    </xf>
    <xf numFmtId="0" fontId="61" fillId="34" borderId="25" xfId="37" applyFont="1" applyFill="1" applyBorder="1" applyAlignment="1">
      <alignment horizontal="center"/>
    </xf>
    <xf numFmtId="49" fontId="61" fillId="34" borderId="13" xfId="37" applyNumberFormat="1" applyFont="1" applyFill="1" applyBorder="1" applyAlignment="1">
      <alignment horizontal="center"/>
    </xf>
    <xf numFmtId="0" fontId="61" fillId="34" borderId="13" xfId="37" applyFont="1" applyFill="1" applyBorder="1" applyAlignment="1">
      <alignment wrapText="1"/>
    </xf>
    <xf numFmtId="0" fontId="61" fillId="34" borderId="13" xfId="37" applyFont="1" applyFill="1" applyBorder="1" applyAlignment="1">
      <alignment horizontal="center"/>
    </xf>
    <xf numFmtId="4" fontId="61" fillId="34" borderId="13" xfId="37" applyNumberFormat="1" applyFont="1" applyFill="1" applyBorder="1" applyAlignment="1">
      <alignment horizontal="center"/>
    </xf>
    <xf numFmtId="44" fontId="60" fillId="34" borderId="13" xfId="52" applyNumberFormat="1" applyFont="1" applyFill="1" applyBorder="1" applyAlignment="1">
      <alignment horizontal="right" vertical="center"/>
    </xf>
    <xf numFmtId="44" fontId="60" fillId="34" borderId="16" xfId="52" applyNumberFormat="1" applyFont="1" applyFill="1" applyBorder="1" applyAlignment="1">
      <alignment horizontal="right" vertical="center"/>
    </xf>
    <xf numFmtId="44" fontId="61" fillId="34" borderId="18" xfId="52" applyNumberFormat="1" applyFont="1" applyFill="1" applyBorder="1" applyAlignment="1">
      <alignment horizontal="right" vertical="center"/>
    </xf>
    <xf numFmtId="10" fontId="63" fillId="34" borderId="22" xfId="0" applyNumberFormat="1" applyFont="1" applyFill="1" applyBorder="1" applyAlignment="1">
      <alignment horizontal="center" vertical="center"/>
    </xf>
    <xf numFmtId="49" fontId="59" fillId="34" borderId="50" xfId="37" applyNumberFormat="1" applyFont="1" applyFill="1" applyBorder="1" applyAlignment="1">
      <alignment horizontal="center" vertical="center"/>
    </xf>
    <xf numFmtId="0" fontId="58" fillId="34" borderId="25" xfId="37" applyFont="1" applyFill="1" applyBorder="1" applyAlignment="1">
      <alignment horizontal="center" vertical="center"/>
    </xf>
    <xf numFmtId="49" fontId="59" fillId="34" borderId="13" xfId="37" applyNumberFormat="1" applyFont="1" applyFill="1" applyBorder="1" applyAlignment="1">
      <alignment horizontal="center"/>
    </xf>
    <xf numFmtId="0" fontId="59" fillId="34" borderId="13" xfId="37" applyFont="1" applyFill="1" applyBorder="1" applyAlignment="1">
      <alignment wrapText="1"/>
    </xf>
    <xf numFmtId="0" fontId="59" fillId="34" borderId="13" xfId="37" applyFont="1" applyFill="1" applyBorder="1" applyAlignment="1">
      <alignment horizontal="center"/>
    </xf>
    <xf numFmtId="44" fontId="58" fillId="34" borderId="13" xfId="52" applyNumberFormat="1" applyFont="1" applyFill="1" applyBorder="1" applyAlignment="1">
      <alignment horizontal="right" vertical="center"/>
    </xf>
    <xf numFmtId="44" fontId="58" fillId="34" borderId="16" xfId="52" applyNumberFormat="1" applyFont="1" applyFill="1" applyBorder="1" applyAlignment="1">
      <alignment horizontal="right" vertical="center" wrapText="1"/>
    </xf>
    <xf numFmtId="44" fontId="59" fillId="34" borderId="18" xfId="52" applyNumberFormat="1" applyFont="1" applyFill="1" applyBorder="1" applyAlignment="1">
      <alignment horizontal="right" vertical="center"/>
    </xf>
    <xf numFmtId="0" fontId="46" fillId="34" borderId="13" xfId="0" applyFont="1" applyFill="1" applyBorder="1"/>
    <xf numFmtId="0" fontId="46" fillId="34" borderId="13" xfId="0" applyFont="1" applyFill="1" applyBorder="1" applyAlignment="1">
      <alignment horizontal="center"/>
    </xf>
    <xf numFmtId="0" fontId="47" fillId="34" borderId="13" xfId="0" applyFont="1" applyFill="1" applyBorder="1"/>
    <xf numFmtId="4" fontId="47" fillId="34" borderId="13" xfId="0" applyNumberFormat="1" applyFont="1" applyFill="1" applyBorder="1"/>
    <xf numFmtId="4" fontId="46" fillId="34" borderId="13" xfId="0" applyNumberFormat="1" applyFont="1" applyFill="1" applyBorder="1" applyAlignment="1">
      <alignment horizontal="center"/>
    </xf>
    <xf numFmtId="4" fontId="46" fillId="34" borderId="33" xfId="0" applyNumberFormat="1" applyFont="1" applyFill="1" applyBorder="1" applyAlignment="1">
      <alignment horizontal="right"/>
    </xf>
    <xf numFmtId="0" fontId="46" fillId="34" borderId="16" xfId="0" applyFont="1" applyFill="1" applyBorder="1" applyAlignment="1">
      <alignment horizontal="right"/>
    </xf>
    <xf numFmtId="4" fontId="46" fillId="34" borderId="23" xfId="0" applyNumberFormat="1" applyFont="1" applyFill="1" applyBorder="1"/>
    <xf numFmtId="4" fontId="52" fillId="34" borderId="23" xfId="0" applyNumberFormat="1" applyFont="1" applyFill="1" applyBorder="1" applyAlignment="1">
      <alignment horizontal="center" vertical="center"/>
    </xf>
    <xf numFmtId="4" fontId="52" fillId="34" borderId="23" xfId="0" applyNumberFormat="1" applyFont="1" applyFill="1" applyBorder="1" applyAlignment="1">
      <alignment horizontal="center" vertical="center" wrapText="1"/>
    </xf>
    <xf numFmtId="0" fontId="46" fillId="33" borderId="16" xfId="0" applyFont="1" applyFill="1" applyBorder="1" applyAlignment="1">
      <alignment horizontal="center" vertical="center"/>
    </xf>
    <xf numFmtId="4" fontId="46" fillId="33" borderId="13" xfId="0" applyNumberFormat="1" applyFont="1" applyFill="1" applyBorder="1" applyAlignment="1">
      <alignment horizontal="center" vertical="center" wrapText="1"/>
    </xf>
    <xf numFmtId="4" fontId="10" fillId="33" borderId="24" xfId="0" applyNumberFormat="1" applyFont="1" applyFill="1" applyBorder="1" applyAlignment="1">
      <alignment vertical="center"/>
    </xf>
    <xf numFmtId="4" fontId="46" fillId="33" borderId="24" xfId="0" applyNumberFormat="1" applyFont="1" applyFill="1" applyBorder="1" applyAlignment="1">
      <alignment horizontal="center" vertical="center" wrapText="1"/>
    </xf>
    <xf numFmtId="0" fontId="57" fillId="33" borderId="24" xfId="0" applyFont="1" applyFill="1" applyBorder="1" applyAlignment="1">
      <alignment vertical="center"/>
    </xf>
    <xf numFmtId="0" fontId="47" fillId="33" borderId="24" xfId="0" applyFont="1" applyFill="1" applyBorder="1"/>
    <xf numFmtId="0" fontId="47" fillId="33" borderId="25" xfId="0" applyFont="1" applyFill="1" applyBorder="1"/>
    <xf numFmtId="0" fontId="10" fillId="32" borderId="13" xfId="0" applyFont="1" applyFill="1" applyBorder="1"/>
    <xf numFmtId="4" fontId="10" fillId="32" borderId="13" xfId="0" applyNumberFormat="1" applyFont="1" applyFill="1" applyBorder="1" applyAlignment="1">
      <alignment horizontal="center"/>
    </xf>
    <xf numFmtId="0" fontId="0" fillId="32" borderId="13" xfId="0" applyFill="1" applyBorder="1"/>
    <xf numFmtId="4" fontId="0" fillId="32" borderId="13" xfId="0" applyNumberFormat="1" applyFill="1" applyBorder="1"/>
    <xf numFmtId="4" fontId="10" fillId="32" borderId="33" xfId="0" applyNumberFormat="1" applyFont="1" applyFill="1" applyBorder="1" applyAlignment="1">
      <alignment horizontal="right"/>
    </xf>
    <xf numFmtId="0" fontId="10" fillId="32" borderId="16" xfId="0" applyFont="1" applyFill="1" applyBorder="1" applyAlignment="1">
      <alignment horizontal="right"/>
    </xf>
    <xf numFmtId="4" fontId="10" fillId="32" borderId="13" xfId="0" applyNumberFormat="1" applyFont="1" applyFill="1" applyBorder="1"/>
    <xf numFmtId="0" fontId="10" fillId="30" borderId="13" xfId="0" applyFont="1" applyFill="1" applyBorder="1"/>
    <xf numFmtId="0" fontId="10" fillId="30" borderId="13" xfId="0" applyFont="1" applyFill="1" applyBorder="1" applyAlignment="1">
      <alignment horizontal="center"/>
    </xf>
    <xf numFmtId="4" fontId="0" fillId="30" borderId="13" xfId="0" applyNumberFormat="1" applyFill="1" applyBorder="1"/>
    <xf numFmtId="4" fontId="52" fillId="30" borderId="23" xfId="0" applyNumberFormat="1" applyFont="1" applyFill="1" applyBorder="1" applyAlignment="1">
      <alignment horizontal="center" vertical="center"/>
    </xf>
    <xf numFmtId="4" fontId="52" fillId="30" borderId="23" xfId="0" applyNumberFormat="1" applyFont="1" applyFill="1" applyBorder="1" applyAlignment="1">
      <alignment horizontal="center" vertical="center" wrapText="1"/>
    </xf>
    <xf numFmtId="0" fontId="46" fillId="35" borderId="0" xfId="0" applyFont="1" applyFill="1" applyAlignment="1">
      <alignment horizontal="center" vertical="center"/>
    </xf>
    <xf numFmtId="4" fontId="46" fillId="35" borderId="13" xfId="0" applyNumberFormat="1" applyFont="1" applyFill="1" applyBorder="1" applyAlignment="1">
      <alignment horizontal="center" vertical="center" wrapText="1"/>
    </xf>
    <xf numFmtId="4" fontId="10" fillId="35" borderId="0" xfId="0" applyNumberFormat="1" applyFont="1" applyFill="1" applyAlignment="1">
      <alignment vertical="center"/>
    </xf>
    <xf numFmtId="4" fontId="46" fillId="35" borderId="0" xfId="0" applyNumberFormat="1" applyFont="1" applyFill="1" applyAlignment="1">
      <alignment horizontal="center" vertical="center" wrapText="1"/>
    </xf>
    <xf numFmtId="0" fontId="57" fillId="35" borderId="0" xfId="0" applyFont="1" applyFill="1" applyAlignment="1">
      <alignment vertical="center"/>
    </xf>
    <xf numFmtId="0" fontId="47" fillId="35" borderId="0" xfId="0" applyFont="1" applyFill="1"/>
    <xf numFmtId="0" fontId="2" fillId="36" borderId="0" xfId="0" applyFont="1" applyFill="1"/>
    <xf numFmtId="0" fontId="60" fillId="0" borderId="0" xfId="35" applyFont="1" applyAlignment="1">
      <alignment horizontal="center" vertical="center"/>
    </xf>
    <xf numFmtId="0" fontId="60" fillId="0" borderId="0" xfId="35" applyFont="1"/>
    <xf numFmtId="49" fontId="60" fillId="0" borderId="0" xfId="35" applyNumberFormat="1" applyFont="1" applyAlignment="1">
      <alignment horizontal="center"/>
    </xf>
    <xf numFmtId="0" fontId="60" fillId="0" borderId="0" xfId="35" applyFont="1" applyAlignment="1">
      <alignment horizontal="left" wrapText="1"/>
    </xf>
    <xf numFmtId="4" fontId="61" fillId="0" borderId="30" xfId="0" applyNumberFormat="1" applyFont="1" applyBorder="1" applyAlignment="1">
      <alignment horizontal="center" vertical="center"/>
    </xf>
    <xf numFmtId="10" fontId="58" fillId="0" borderId="30" xfId="58" applyNumberFormat="1" applyFont="1" applyFill="1" applyBorder="1" applyAlignment="1">
      <alignment horizontal="center" vertical="center"/>
    </xf>
    <xf numFmtId="4" fontId="61" fillId="0" borderId="51" xfId="0" applyNumberFormat="1" applyFont="1" applyBorder="1" applyAlignment="1">
      <alignment horizontal="center" vertical="center"/>
    </xf>
    <xf numFmtId="10" fontId="58" fillId="0" borderId="51" xfId="58" applyNumberFormat="1" applyFont="1" applyFill="1" applyBorder="1" applyAlignment="1">
      <alignment horizontal="center" vertical="center"/>
    </xf>
    <xf numFmtId="165" fontId="58" fillId="0" borderId="51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4" fontId="58" fillId="0" borderId="13" xfId="37" applyNumberFormat="1" applyFont="1" applyBorder="1" applyAlignment="1">
      <alignment horizontal="right" vertical="center"/>
    </xf>
    <xf numFmtId="0" fontId="71" fillId="0" borderId="0" xfId="35" applyFont="1" applyAlignment="1">
      <alignment horizontal="center"/>
    </xf>
    <xf numFmtId="0" fontId="64" fillId="0" borderId="0" xfId="37" applyFont="1" applyAlignment="1">
      <alignment horizontal="left" wrapText="1"/>
    </xf>
    <xf numFmtId="44" fontId="64" fillId="0" borderId="0" xfId="52" applyNumberFormat="1" applyFont="1" applyFill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2" fontId="10" fillId="32" borderId="13" xfId="0" applyNumberFormat="1" applyFont="1" applyFill="1" applyBorder="1" applyAlignment="1">
      <alignment horizontal="center" vertical="center"/>
    </xf>
    <xf numFmtId="166" fontId="6" fillId="0" borderId="0" xfId="35" applyNumberFormat="1"/>
    <xf numFmtId="0" fontId="10" fillId="30" borderId="13" xfId="0" applyFont="1" applyFill="1" applyBorder="1" applyAlignment="1">
      <alignment horizontal="center" vertical="top"/>
    </xf>
    <xf numFmtId="0" fontId="10" fillId="30" borderId="13" xfId="0" applyFont="1" applyFill="1" applyBorder="1" applyAlignment="1">
      <alignment horizontal="center" vertical="top" wrapText="1"/>
    </xf>
    <xf numFmtId="0" fontId="10" fillId="0" borderId="13" xfId="0" applyFont="1" applyBorder="1"/>
    <xf numFmtId="2" fontId="2" fillId="0" borderId="13" xfId="0" applyNumberFormat="1" applyFont="1" applyBorder="1" applyAlignment="1">
      <alignment horizontal="center" vertical="center"/>
    </xf>
    <xf numFmtId="0" fontId="10" fillId="30" borderId="13" xfId="0" applyFont="1" applyFill="1" applyBorder="1" applyAlignment="1">
      <alignment horizontal="center" vertical="center"/>
    </xf>
    <xf numFmtId="2" fontId="10" fillId="30" borderId="13" xfId="0" applyNumberFormat="1" applyFont="1" applyFill="1" applyBorder="1" applyAlignment="1">
      <alignment horizontal="center" vertical="center"/>
    </xf>
    <xf numFmtId="4" fontId="10" fillId="30" borderId="13" xfId="0" applyNumberFormat="1" applyFont="1" applyFill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/>
    <xf numFmtId="3" fontId="10" fillId="30" borderId="13" xfId="0" applyNumberFormat="1" applyFont="1" applyFill="1" applyBorder="1" applyAlignment="1">
      <alignment horizontal="center" vertical="center"/>
    </xf>
    <xf numFmtId="168" fontId="6" fillId="0" borderId="0" xfId="35" applyNumberFormat="1"/>
    <xf numFmtId="0" fontId="2" fillId="0" borderId="13" xfId="0" applyFont="1" applyBorder="1" applyAlignment="1">
      <alignment horizontal="center"/>
    </xf>
    <xf numFmtId="4" fontId="10" fillId="32" borderId="13" xfId="0" applyNumberFormat="1" applyFont="1" applyFill="1" applyBorder="1" applyAlignment="1">
      <alignment horizontal="center" vertical="center"/>
    </xf>
    <xf numFmtId="2" fontId="80" fillId="32" borderId="13" xfId="0" applyNumberFormat="1" applyFont="1" applyFill="1" applyBorder="1" applyAlignment="1">
      <alignment horizontal="center" vertical="center"/>
    </xf>
    <xf numFmtId="167" fontId="2" fillId="0" borderId="13" xfId="0" applyNumberFormat="1" applyFont="1" applyBorder="1" applyAlignment="1">
      <alignment horizontal="center" vertical="center"/>
    </xf>
    <xf numFmtId="1" fontId="2" fillId="0" borderId="13" xfId="0" applyNumberFormat="1" applyFont="1" applyBorder="1" applyAlignment="1">
      <alignment horizontal="center" vertical="center"/>
    </xf>
    <xf numFmtId="170" fontId="2" fillId="0" borderId="0" xfId="0" applyNumberFormat="1" applyFont="1" applyAlignment="1">
      <alignment horizontal="center" vertical="center"/>
    </xf>
    <xf numFmtId="44" fontId="64" fillId="38" borderId="23" xfId="52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0" fillId="32" borderId="13" xfId="0" applyFont="1" applyFill="1" applyBorder="1" applyAlignment="1">
      <alignment horizontal="center" vertical="top"/>
    </xf>
    <xf numFmtId="0" fontId="10" fillId="32" borderId="13" xfId="0" applyFont="1" applyFill="1" applyBorder="1" applyAlignment="1">
      <alignment horizontal="center" vertical="top" wrapText="1"/>
    </xf>
    <xf numFmtId="0" fontId="10" fillId="32" borderId="13" xfId="0" applyFont="1" applyFill="1" applyBorder="1" applyAlignment="1">
      <alignment horizontal="center"/>
    </xf>
    <xf numFmtId="0" fontId="10" fillId="32" borderId="13" xfId="0" applyFont="1" applyFill="1" applyBorder="1" applyAlignment="1">
      <alignment horizontal="center" vertical="center"/>
    </xf>
    <xf numFmtId="0" fontId="10" fillId="39" borderId="13" xfId="0" applyFont="1" applyFill="1" applyBorder="1" applyAlignment="1">
      <alignment horizontal="center" vertical="top" wrapText="1"/>
    </xf>
    <xf numFmtId="0" fontId="79" fillId="38" borderId="14" xfId="0" applyFont="1" applyFill="1" applyBorder="1" applyAlignment="1">
      <alignment horizontal="center" vertical="center" wrapText="1" readingOrder="1"/>
    </xf>
    <xf numFmtId="0" fontId="79" fillId="38" borderId="23" xfId="0" applyFont="1" applyFill="1" applyBorder="1" applyAlignment="1">
      <alignment horizontal="center" vertical="center" wrapText="1" readingOrder="1"/>
    </xf>
    <xf numFmtId="0" fontId="79" fillId="38" borderId="26" xfId="0" applyFont="1" applyFill="1" applyBorder="1" applyAlignment="1">
      <alignment horizontal="center" vertical="center" wrapText="1" readingOrder="1"/>
    </xf>
    <xf numFmtId="0" fontId="79" fillId="38" borderId="17" xfId="0" applyFont="1" applyFill="1" applyBorder="1" applyAlignment="1">
      <alignment horizontal="center" vertical="center" wrapText="1" readingOrder="1"/>
    </xf>
    <xf numFmtId="49" fontId="79" fillId="38" borderId="14" xfId="0" applyNumberFormat="1" applyFont="1" applyFill="1" applyBorder="1" applyAlignment="1">
      <alignment horizontal="centerContinuous" vertical="center"/>
    </xf>
    <xf numFmtId="165" fontId="58" fillId="38" borderId="51" xfId="0" applyNumberFormat="1" applyFont="1" applyFill="1" applyBorder="1" applyAlignment="1">
      <alignment horizontal="center" vertical="center"/>
    </xf>
    <xf numFmtId="4" fontId="61" fillId="39" borderId="31" xfId="0" applyNumberFormat="1" applyFont="1" applyFill="1" applyBorder="1" applyAlignment="1">
      <alignment horizontal="center" vertical="center"/>
    </xf>
    <xf numFmtId="44" fontId="59" fillId="39" borderId="31" xfId="0" applyNumberFormat="1" applyFont="1" applyFill="1" applyBorder="1" applyAlignment="1">
      <alignment horizontal="center" vertical="center"/>
    </xf>
    <xf numFmtId="44" fontId="79" fillId="40" borderId="30" xfId="0" applyNumberFormat="1" applyFont="1" applyFill="1" applyBorder="1" applyAlignment="1">
      <alignment horizontal="center" vertical="center"/>
    </xf>
    <xf numFmtId="44" fontId="79" fillId="40" borderId="53" xfId="0" applyNumberFormat="1" applyFont="1" applyFill="1" applyBorder="1" applyAlignment="1">
      <alignment horizontal="center" vertical="center"/>
    </xf>
    <xf numFmtId="10" fontId="79" fillId="40" borderId="51" xfId="58" applyNumberFormat="1" applyFont="1" applyFill="1" applyBorder="1" applyAlignment="1">
      <alignment horizontal="center" vertical="center"/>
    </xf>
    <xf numFmtId="10" fontId="79" fillId="40" borderId="24" xfId="58" applyNumberFormat="1" applyFont="1" applyFill="1" applyBorder="1" applyAlignment="1">
      <alignment horizontal="center" vertical="center"/>
    </xf>
    <xf numFmtId="43" fontId="79" fillId="38" borderId="51" xfId="0" applyNumberFormat="1" applyFont="1" applyFill="1" applyBorder="1" applyAlignment="1">
      <alignment horizontal="center" vertical="center"/>
    </xf>
    <xf numFmtId="43" fontId="79" fillId="38" borderId="24" xfId="0" applyNumberFormat="1" applyFont="1" applyFill="1" applyBorder="1" applyAlignment="1">
      <alignment horizontal="center" vertical="center"/>
    </xf>
    <xf numFmtId="44" fontId="79" fillId="38" borderId="51" xfId="0" applyNumberFormat="1" applyFont="1" applyFill="1" applyBorder="1" applyAlignment="1">
      <alignment horizontal="center" vertical="center"/>
    </xf>
    <xf numFmtId="44" fontId="79" fillId="38" borderId="24" xfId="0" applyNumberFormat="1" applyFont="1" applyFill="1" applyBorder="1" applyAlignment="1">
      <alignment horizontal="center" vertical="center"/>
    </xf>
    <xf numFmtId="10" fontId="79" fillId="40" borderId="29" xfId="0" applyNumberFormat="1" applyFont="1" applyFill="1" applyBorder="1" applyAlignment="1">
      <alignment horizontal="center" vertical="center"/>
    </xf>
    <xf numFmtId="49" fontId="79" fillId="40" borderId="10" xfId="0" applyNumberFormat="1" applyFont="1" applyFill="1" applyBorder="1" applyAlignment="1">
      <alignment horizontal="center" vertical="center"/>
    </xf>
    <xf numFmtId="10" fontId="79" fillId="40" borderId="29" xfId="58" applyNumberFormat="1" applyFont="1" applyFill="1" applyBorder="1" applyAlignment="1">
      <alignment horizontal="center" vertical="center"/>
    </xf>
    <xf numFmtId="10" fontId="79" fillId="40" borderId="10" xfId="58" applyNumberFormat="1" applyFont="1" applyFill="1" applyBorder="1" applyAlignment="1">
      <alignment horizontal="center" vertical="center"/>
    </xf>
    <xf numFmtId="44" fontId="34" fillId="0" borderId="0" xfId="0" applyNumberFormat="1" applyFont="1"/>
    <xf numFmtId="44" fontId="59" fillId="39" borderId="29" xfId="0" applyNumberFormat="1" applyFont="1" applyFill="1" applyBorder="1" applyAlignment="1">
      <alignment horizontal="center" vertical="center"/>
    </xf>
    <xf numFmtId="0" fontId="48" fillId="0" borderId="0" xfId="0" applyFont="1" applyAlignment="1">
      <alignment vertical="center"/>
    </xf>
    <xf numFmtId="10" fontId="6" fillId="0" borderId="0" xfId="58" applyNumberFormat="1" applyFont="1"/>
    <xf numFmtId="172" fontId="6" fillId="0" borderId="0" xfId="35" applyNumberFormat="1"/>
    <xf numFmtId="172" fontId="83" fillId="0" borderId="0" xfId="35" applyNumberFormat="1" applyFont="1"/>
    <xf numFmtId="0" fontId="83" fillId="0" borderId="0" xfId="35" applyFont="1"/>
    <xf numFmtId="0" fontId="68" fillId="32" borderId="13" xfId="0" applyFont="1" applyFill="1" applyBorder="1" applyAlignment="1">
      <alignment horizontal="center" vertical="top"/>
    </xf>
    <xf numFmtId="0" fontId="68" fillId="32" borderId="13" xfId="0" applyFont="1" applyFill="1" applyBorder="1" applyAlignment="1">
      <alignment horizontal="center" vertical="top" wrapText="1"/>
    </xf>
    <xf numFmtId="2" fontId="2" fillId="0" borderId="13" xfId="0" applyNumberFormat="1" applyFont="1" applyBorder="1" applyAlignment="1">
      <alignment horizontal="center"/>
    </xf>
    <xf numFmtId="168" fontId="2" fillId="0" borderId="13" xfId="0" applyNumberFormat="1" applyFont="1" applyBorder="1" applyAlignment="1">
      <alignment horizontal="center" vertical="center"/>
    </xf>
    <xf numFmtId="169" fontId="2" fillId="0" borderId="13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80" fillId="32" borderId="13" xfId="0" applyFont="1" applyFill="1" applyBorder="1" applyAlignment="1">
      <alignment horizontal="center" vertical="top"/>
    </xf>
    <xf numFmtId="0" fontId="80" fillId="32" borderId="13" xfId="0" applyFont="1" applyFill="1" applyBorder="1" applyAlignment="1">
      <alignment horizontal="center" vertical="top" wrapText="1"/>
    </xf>
    <xf numFmtId="2" fontId="2" fillId="0" borderId="24" xfId="0" applyNumberFormat="1" applyFont="1" applyBorder="1" applyAlignment="1">
      <alignment horizontal="center" vertical="center"/>
    </xf>
    <xf numFmtId="4" fontId="2" fillId="0" borderId="13" xfId="0" applyNumberFormat="1" applyFont="1" applyBorder="1" applyAlignment="1">
      <alignment horizontal="center"/>
    </xf>
    <xf numFmtId="171" fontId="2" fillId="0" borderId="13" xfId="0" applyNumberFormat="1" applyFont="1" applyBorder="1" applyAlignment="1">
      <alignment horizontal="center"/>
    </xf>
    <xf numFmtId="10" fontId="2" fillId="0" borderId="0" xfId="58" applyNumberFormat="1" applyFont="1"/>
    <xf numFmtId="44" fontId="84" fillId="32" borderId="13" xfId="35" applyNumberFormat="1" applyFont="1" applyFill="1" applyBorder="1"/>
    <xf numFmtId="0" fontId="84" fillId="32" borderId="13" xfId="35" applyFont="1" applyFill="1" applyBorder="1" applyAlignment="1">
      <alignment horizontal="center" vertical="center"/>
    </xf>
    <xf numFmtId="0" fontId="2" fillId="32" borderId="0" xfId="0" applyFont="1" applyFill="1"/>
    <xf numFmtId="0" fontId="52" fillId="0" borderId="0" xfId="0" applyFont="1"/>
    <xf numFmtId="49" fontId="64" fillId="43" borderId="49" xfId="35" applyNumberFormat="1" applyFont="1" applyFill="1" applyBorder="1" applyAlignment="1">
      <alignment horizontal="center" vertical="top"/>
    </xf>
    <xf numFmtId="49" fontId="64" fillId="43" borderId="32" xfId="35" applyNumberFormat="1" applyFont="1" applyFill="1" applyBorder="1" applyAlignment="1">
      <alignment horizontal="center" vertical="top"/>
    </xf>
    <xf numFmtId="49" fontId="64" fillId="43" borderId="11" xfId="35" applyNumberFormat="1" applyFont="1" applyFill="1" applyBorder="1" applyAlignment="1">
      <alignment horizontal="center" vertical="top"/>
    </xf>
    <xf numFmtId="0" fontId="64" fillId="43" borderId="11" xfId="35" applyFont="1" applyFill="1" applyBorder="1" applyAlignment="1">
      <alignment horizontal="center" vertical="top" wrapText="1"/>
    </xf>
    <xf numFmtId="0" fontId="64" fillId="43" borderId="11" xfId="35" applyFont="1" applyFill="1" applyBorder="1" applyAlignment="1">
      <alignment horizontal="center" vertical="top"/>
    </xf>
    <xf numFmtId="4" fontId="64" fillId="43" borderId="11" xfId="52" applyNumberFormat="1" applyFont="1" applyFill="1" applyBorder="1" applyAlignment="1">
      <alignment horizontal="center" vertical="top"/>
    </xf>
    <xf numFmtId="4" fontId="64" fillId="43" borderId="11" xfId="52" applyNumberFormat="1" applyFont="1" applyFill="1" applyBorder="1" applyAlignment="1">
      <alignment horizontal="center" vertical="top" wrapText="1"/>
    </xf>
    <xf numFmtId="4" fontId="64" fillId="43" borderId="19" xfId="52" applyNumberFormat="1" applyFont="1" applyFill="1" applyBorder="1" applyAlignment="1">
      <alignment horizontal="center" vertical="top" wrapText="1"/>
    </xf>
    <xf numFmtId="4" fontId="64" fillId="43" borderId="60" xfId="52" applyNumberFormat="1" applyFont="1" applyFill="1" applyBorder="1" applyAlignment="1">
      <alignment horizontal="center" vertical="top"/>
    </xf>
    <xf numFmtId="49" fontId="61" fillId="42" borderId="50" xfId="37" applyNumberFormat="1" applyFont="1" applyFill="1" applyBorder="1" applyAlignment="1">
      <alignment horizontal="center" vertical="center"/>
    </xf>
    <xf numFmtId="0" fontId="61" fillId="42" borderId="25" xfId="37" applyFont="1" applyFill="1" applyBorder="1" applyAlignment="1">
      <alignment horizontal="center"/>
    </xf>
    <xf numFmtId="49" fontId="61" fillId="42" borderId="13" xfId="37" applyNumberFormat="1" applyFont="1" applyFill="1" applyBorder="1" applyAlignment="1">
      <alignment horizontal="center"/>
    </xf>
    <xf numFmtId="0" fontId="61" fillId="42" borderId="13" xfId="37" applyFont="1" applyFill="1" applyBorder="1" applyAlignment="1">
      <alignment wrapText="1"/>
    </xf>
    <xf numFmtId="0" fontId="61" fillId="42" borderId="13" xfId="37" applyFont="1" applyFill="1" applyBorder="1" applyAlignment="1">
      <alignment horizontal="center"/>
    </xf>
    <xf numFmtId="4" fontId="61" fillId="42" borderId="13" xfId="37" applyNumberFormat="1" applyFont="1" applyFill="1" applyBorder="1" applyAlignment="1">
      <alignment horizontal="center"/>
    </xf>
    <xf numFmtId="44" fontId="60" fillId="42" borderId="13" xfId="52" applyNumberFormat="1" applyFont="1" applyFill="1" applyBorder="1" applyAlignment="1">
      <alignment horizontal="right" vertical="center"/>
    </xf>
    <xf numFmtId="44" fontId="60" fillId="42" borderId="16" xfId="52" applyNumberFormat="1" applyFont="1" applyFill="1" applyBorder="1" applyAlignment="1">
      <alignment horizontal="right" vertical="center"/>
    </xf>
    <xf numFmtId="44" fontId="61" fillId="42" borderId="18" xfId="52" applyNumberFormat="1" applyFont="1" applyFill="1" applyBorder="1" applyAlignment="1">
      <alignment horizontal="right" vertical="center"/>
    </xf>
    <xf numFmtId="10" fontId="63" fillId="42" borderId="31" xfId="0" applyNumberFormat="1" applyFont="1" applyFill="1" applyBorder="1" applyAlignment="1">
      <alignment horizontal="center" vertical="center"/>
    </xf>
    <xf numFmtId="0" fontId="64" fillId="43" borderId="30" xfId="37" applyFont="1" applyFill="1" applyBorder="1" applyAlignment="1">
      <alignment horizontal="center" vertical="center" wrapText="1"/>
    </xf>
    <xf numFmtId="0" fontId="10" fillId="33" borderId="13" xfId="0" applyFont="1" applyFill="1" applyBorder="1"/>
    <xf numFmtId="0" fontId="10" fillId="33" borderId="33" xfId="0" applyFont="1" applyFill="1" applyBorder="1"/>
    <xf numFmtId="0" fontId="10" fillId="42" borderId="13" xfId="0" applyFont="1" applyFill="1" applyBorder="1"/>
    <xf numFmtId="0" fontId="10" fillId="42" borderId="33" xfId="0" applyFont="1" applyFill="1" applyBorder="1"/>
    <xf numFmtId="167" fontId="2" fillId="35" borderId="13" xfId="0" applyNumberFormat="1" applyFont="1" applyFill="1" applyBorder="1" applyAlignment="1">
      <alignment horizontal="center" vertical="center"/>
    </xf>
    <xf numFmtId="3" fontId="2" fillId="35" borderId="13" xfId="0" applyNumberFormat="1" applyFont="1" applyFill="1" applyBorder="1" applyAlignment="1">
      <alignment horizontal="center" vertical="center"/>
    </xf>
    <xf numFmtId="1" fontId="2" fillId="35" borderId="13" xfId="0" applyNumberFormat="1" applyFont="1" applyFill="1" applyBorder="1" applyAlignment="1">
      <alignment horizontal="center" vertical="center"/>
    </xf>
    <xf numFmtId="2" fontId="2" fillId="35" borderId="13" xfId="0" applyNumberFormat="1" applyFont="1" applyFill="1" applyBorder="1" applyAlignment="1">
      <alignment horizontal="center" vertical="center"/>
    </xf>
    <xf numFmtId="0" fontId="2" fillId="35" borderId="13" xfId="0" applyFont="1" applyFill="1" applyBorder="1"/>
    <xf numFmtId="167" fontId="2" fillId="44" borderId="13" xfId="0" applyNumberFormat="1" applyFont="1" applyFill="1" applyBorder="1" applyAlignment="1">
      <alignment horizontal="center" vertical="center"/>
    </xf>
    <xf numFmtId="3" fontId="2" fillId="44" borderId="13" xfId="0" applyNumberFormat="1" applyFont="1" applyFill="1" applyBorder="1" applyAlignment="1">
      <alignment horizontal="center" vertical="center"/>
    </xf>
    <xf numFmtId="1" fontId="2" fillId="44" borderId="13" xfId="0" applyNumberFormat="1" applyFont="1" applyFill="1" applyBorder="1" applyAlignment="1">
      <alignment horizontal="center" vertical="center"/>
    </xf>
    <xf numFmtId="2" fontId="2" fillId="44" borderId="13" xfId="0" applyNumberFormat="1" applyFont="1" applyFill="1" applyBorder="1" applyAlignment="1">
      <alignment horizontal="center" vertical="center"/>
    </xf>
    <xf numFmtId="0" fontId="2" fillId="44" borderId="13" xfId="0" applyFont="1" applyFill="1" applyBorder="1"/>
    <xf numFmtId="167" fontId="2" fillId="33" borderId="13" xfId="0" applyNumberFormat="1" applyFont="1" applyFill="1" applyBorder="1" applyAlignment="1">
      <alignment horizontal="center" vertical="center"/>
    </xf>
    <xf numFmtId="3" fontId="2" fillId="33" borderId="13" xfId="0" applyNumberFormat="1" applyFont="1" applyFill="1" applyBorder="1" applyAlignment="1">
      <alignment horizontal="center" vertical="center"/>
    </xf>
    <xf numFmtId="1" fontId="2" fillId="33" borderId="13" xfId="0" applyNumberFormat="1" applyFont="1" applyFill="1" applyBorder="1" applyAlignment="1">
      <alignment horizontal="center" vertical="center"/>
    </xf>
    <xf numFmtId="2" fontId="2" fillId="33" borderId="13" xfId="0" applyNumberFormat="1" applyFont="1" applyFill="1" applyBorder="1" applyAlignment="1">
      <alignment horizontal="center" vertical="center"/>
    </xf>
    <xf numFmtId="0" fontId="2" fillId="33" borderId="13" xfId="0" applyFont="1" applyFill="1" applyBorder="1"/>
    <xf numFmtId="167" fontId="2" fillId="41" borderId="13" xfId="0" applyNumberFormat="1" applyFont="1" applyFill="1" applyBorder="1" applyAlignment="1">
      <alignment horizontal="center" vertical="center"/>
    </xf>
    <xf numFmtId="3" fontId="2" fillId="41" borderId="13" xfId="0" applyNumberFormat="1" applyFont="1" applyFill="1" applyBorder="1" applyAlignment="1">
      <alignment horizontal="center" vertical="center"/>
    </xf>
    <xf numFmtId="1" fontId="2" fillId="41" borderId="33" xfId="0" applyNumberFormat="1" applyFont="1" applyFill="1" applyBorder="1" applyAlignment="1">
      <alignment horizontal="center" vertical="center"/>
    </xf>
    <xf numFmtId="2" fontId="2" fillId="41" borderId="13" xfId="0" applyNumberFormat="1" applyFont="1" applyFill="1" applyBorder="1" applyAlignment="1">
      <alignment horizontal="center" vertical="center"/>
    </xf>
    <xf numFmtId="0" fontId="2" fillId="41" borderId="13" xfId="0" applyFont="1" applyFill="1" applyBorder="1"/>
    <xf numFmtId="1" fontId="2" fillId="41" borderId="13" xfId="0" applyNumberFormat="1" applyFont="1" applyFill="1" applyBorder="1" applyAlignment="1">
      <alignment horizontal="center" vertical="center"/>
    </xf>
    <xf numFmtId="167" fontId="2" fillId="25" borderId="13" xfId="0" applyNumberFormat="1" applyFont="1" applyFill="1" applyBorder="1" applyAlignment="1">
      <alignment horizontal="center" vertical="center"/>
    </xf>
    <xf numFmtId="3" fontId="2" fillId="25" borderId="13" xfId="0" applyNumberFormat="1" applyFont="1" applyFill="1" applyBorder="1" applyAlignment="1">
      <alignment horizontal="center" vertical="center"/>
    </xf>
    <xf numFmtId="1" fontId="2" fillId="25" borderId="13" xfId="0" applyNumberFormat="1" applyFont="1" applyFill="1" applyBorder="1" applyAlignment="1">
      <alignment horizontal="center" vertical="center"/>
    </xf>
    <xf numFmtId="2" fontId="2" fillId="25" borderId="13" xfId="0" applyNumberFormat="1" applyFont="1" applyFill="1" applyBorder="1" applyAlignment="1">
      <alignment horizontal="center" vertical="center"/>
    </xf>
    <xf numFmtId="0" fontId="2" fillId="25" borderId="13" xfId="0" applyFont="1" applyFill="1" applyBorder="1"/>
    <xf numFmtId="167" fontId="2" fillId="32" borderId="13" xfId="0" applyNumberFormat="1" applyFont="1" applyFill="1" applyBorder="1" applyAlignment="1">
      <alignment horizontal="center" vertical="center"/>
    </xf>
    <xf numFmtId="3" fontId="2" fillId="32" borderId="13" xfId="0" applyNumberFormat="1" applyFont="1" applyFill="1" applyBorder="1" applyAlignment="1">
      <alignment horizontal="center" vertical="center"/>
    </xf>
    <xf numFmtId="1" fontId="2" fillId="32" borderId="13" xfId="0" applyNumberFormat="1" applyFont="1" applyFill="1" applyBorder="1" applyAlignment="1">
      <alignment horizontal="center" vertical="center"/>
    </xf>
    <xf numFmtId="2" fontId="2" fillId="32" borderId="13" xfId="0" applyNumberFormat="1" applyFont="1" applyFill="1" applyBorder="1" applyAlignment="1">
      <alignment horizontal="center" vertical="center"/>
    </xf>
    <xf numFmtId="0" fontId="2" fillId="32" borderId="13" xfId="0" applyFont="1" applyFill="1" applyBorder="1"/>
    <xf numFmtId="167" fontId="2" fillId="45" borderId="13" xfId="0" applyNumberFormat="1" applyFont="1" applyFill="1" applyBorder="1" applyAlignment="1">
      <alignment horizontal="center" vertical="center"/>
    </xf>
    <xf numFmtId="3" fontId="2" fillId="45" borderId="13" xfId="0" applyNumberFormat="1" applyFont="1" applyFill="1" applyBorder="1" applyAlignment="1">
      <alignment horizontal="center" vertical="center"/>
    </xf>
    <xf numFmtId="1" fontId="2" fillId="45" borderId="13" xfId="0" applyNumberFormat="1" applyFont="1" applyFill="1" applyBorder="1" applyAlignment="1">
      <alignment horizontal="center" vertical="center"/>
    </xf>
    <xf numFmtId="2" fontId="2" fillId="45" borderId="13" xfId="0" applyNumberFormat="1" applyFont="1" applyFill="1" applyBorder="1" applyAlignment="1">
      <alignment horizontal="center" vertical="center"/>
    </xf>
    <xf numFmtId="0" fontId="2" fillId="45" borderId="13" xfId="0" applyFont="1" applyFill="1" applyBorder="1"/>
    <xf numFmtId="167" fontId="2" fillId="46" borderId="13" xfId="0" applyNumberFormat="1" applyFont="1" applyFill="1" applyBorder="1" applyAlignment="1">
      <alignment horizontal="center" vertical="center"/>
    </xf>
    <xf numFmtId="3" fontId="2" fillId="46" borderId="13" xfId="0" applyNumberFormat="1" applyFont="1" applyFill="1" applyBorder="1" applyAlignment="1">
      <alignment horizontal="center" vertical="center"/>
    </xf>
    <xf numFmtId="1" fontId="2" fillId="46" borderId="13" xfId="0" applyNumberFormat="1" applyFont="1" applyFill="1" applyBorder="1" applyAlignment="1">
      <alignment horizontal="center" vertical="center"/>
    </xf>
    <xf numFmtId="2" fontId="2" fillId="46" borderId="13" xfId="0" applyNumberFormat="1" applyFont="1" applyFill="1" applyBorder="1" applyAlignment="1">
      <alignment horizontal="center" vertical="center"/>
    </xf>
    <xf numFmtId="0" fontId="2" fillId="46" borderId="13" xfId="0" applyFont="1" applyFill="1" applyBorder="1"/>
    <xf numFmtId="167" fontId="2" fillId="47" borderId="13" xfId="0" applyNumberFormat="1" applyFont="1" applyFill="1" applyBorder="1" applyAlignment="1">
      <alignment horizontal="center" vertical="center"/>
    </xf>
    <xf numFmtId="3" fontId="2" fillId="47" borderId="13" xfId="0" applyNumberFormat="1" applyFont="1" applyFill="1" applyBorder="1" applyAlignment="1">
      <alignment horizontal="center" vertical="center"/>
    </xf>
    <xf numFmtId="1" fontId="2" fillId="47" borderId="13" xfId="0" applyNumberFormat="1" applyFont="1" applyFill="1" applyBorder="1" applyAlignment="1">
      <alignment horizontal="center" vertical="center"/>
    </xf>
    <xf numFmtId="2" fontId="2" fillId="47" borderId="13" xfId="0" applyNumberFormat="1" applyFont="1" applyFill="1" applyBorder="1" applyAlignment="1">
      <alignment horizontal="center" vertical="center"/>
    </xf>
    <xf numFmtId="0" fontId="2" fillId="47" borderId="13" xfId="0" applyFont="1" applyFill="1" applyBorder="1"/>
    <xf numFmtId="49" fontId="2" fillId="33" borderId="13" xfId="0" applyNumberFormat="1" applyFont="1" applyFill="1" applyBorder="1" applyAlignment="1">
      <alignment horizontal="center" vertical="center"/>
    </xf>
    <xf numFmtId="49" fontId="2" fillId="42" borderId="13" xfId="0" applyNumberFormat="1" applyFont="1" applyFill="1" applyBorder="1" applyAlignment="1">
      <alignment horizontal="center" vertical="center"/>
    </xf>
    <xf numFmtId="167" fontId="2" fillId="48" borderId="13" xfId="0" applyNumberFormat="1" applyFont="1" applyFill="1" applyBorder="1" applyAlignment="1">
      <alignment horizontal="center" vertical="center"/>
    </xf>
    <xf numFmtId="3" fontId="2" fillId="48" borderId="13" xfId="0" applyNumberFormat="1" applyFont="1" applyFill="1" applyBorder="1" applyAlignment="1">
      <alignment horizontal="center" vertical="center"/>
    </xf>
    <xf numFmtId="1" fontId="2" fillId="48" borderId="13" xfId="0" applyNumberFormat="1" applyFont="1" applyFill="1" applyBorder="1" applyAlignment="1">
      <alignment horizontal="center" vertical="center"/>
    </xf>
    <xf numFmtId="2" fontId="2" fillId="48" borderId="13" xfId="0" applyNumberFormat="1" applyFont="1" applyFill="1" applyBorder="1" applyAlignment="1">
      <alignment horizontal="center" vertical="center"/>
    </xf>
    <xf numFmtId="0" fontId="2" fillId="48" borderId="13" xfId="0" applyFont="1" applyFill="1" applyBorder="1"/>
    <xf numFmtId="2" fontId="2" fillId="42" borderId="13" xfId="0" applyNumberFormat="1" applyFont="1" applyFill="1" applyBorder="1" applyAlignment="1">
      <alignment horizontal="center" vertical="center"/>
    </xf>
    <xf numFmtId="0" fontId="58" fillId="0" borderId="0" xfId="0" applyFont="1"/>
    <xf numFmtId="0" fontId="58" fillId="0" borderId="13" xfId="0" applyFont="1" applyBorder="1" applyAlignment="1">
      <alignment horizontal="center" vertical="center"/>
    </xf>
    <xf numFmtId="4" fontId="58" fillId="0" borderId="13" xfId="0" applyNumberFormat="1" applyFont="1" applyBorder="1" applyAlignment="1">
      <alignment horizontal="center" vertical="center"/>
    </xf>
    <xf numFmtId="0" fontId="58" fillId="0" borderId="0" xfId="0" applyFont="1" applyAlignment="1">
      <alignment horizontal="center" vertical="center"/>
    </xf>
    <xf numFmtId="44" fontId="59" fillId="49" borderId="0" xfId="0" applyNumberFormat="1" applyFont="1" applyFill="1"/>
    <xf numFmtId="44" fontId="58" fillId="0" borderId="13" xfId="0" applyNumberFormat="1" applyFont="1" applyBorder="1" applyAlignment="1">
      <alignment horizontal="center" vertical="center"/>
    </xf>
    <xf numFmtId="0" fontId="58" fillId="0" borderId="13" xfId="0" applyFont="1" applyBorder="1" applyAlignment="1">
      <alignment horizontal="center" vertical="center" wrapText="1"/>
    </xf>
    <xf numFmtId="0" fontId="86" fillId="34" borderId="13" xfId="0" applyFont="1" applyFill="1" applyBorder="1" applyAlignment="1">
      <alignment horizontal="center" vertical="center"/>
    </xf>
    <xf numFmtId="0" fontId="87" fillId="0" borderId="0" xfId="0" applyFont="1"/>
    <xf numFmtId="0" fontId="87" fillId="0" borderId="0" xfId="0" applyFont="1" applyAlignment="1">
      <alignment horizontal="center" vertical="center"/>
    </xf>
    <xf numFmtId="0" fontId="86" fillId="34" borderId="13" xfId="0" applyFont="1" applyFill="1" applyBorder="1" applyAlignment="1">
      <alignment horizontal="center" vertical="top"/>
    </xf>
    <xf numFmtId="0" fontId="86" fillId="34" borderId="13" xfId="0" applyFont="1" applyFill="1" applyBorder="1" applyAlignment="1">
      <alignment horizontal="center" vertical="top" wrapText="1"/>
    </xf>
    <xf numFmtId="0" fontId="86" fillId="0" borderId="13" xfId="0" applyFont="1" applyBorder="1" applyAlignment="1">
      <alignment horizontal="center" vertical="center"/>
    </xf>
    <xf numFmtId="0" fontId="87" fillId="0" borderId="13" xfId="0" applyFont="1" applyBorder="1" applyAlignment="1">
      <alignment horizontal="center" vertical="center"/>
    </xf>
    <xf numFmtId="0" fontId="87" fillId="0" borderId="13" xfId="0" applyFont="1" applyBorder="1" applyAlignment="1">
      <alignment horizontal="center"/>
    </xf>
    <xf numFmtId="2" fontId="87" fillId="0" borderId="13" xfId="0" applyNumberFormat="1" applyFont="1" applyBorder="1" applyAlignment="1">
      <alignment horizontal="center"/>
    </xf>
    <xf numFmtId="2" fontId="87" fillId="0" borderId="13" xfId="0" applyNumberFormat="1" applyFont="1" applyBorder="1" applyAlignment="1">
      <alignment horizontal="center" vertical="center"/>
    </xf>
    <xf numFmtId="0" fontId="86" fillId="34" borderId="16" xfId="0" applyFont="1" applyFill="1" applyBorder="1"/>
    <xf numFmtId="0" fontId="86" fillId="34" borderId="24" xfId="0" applyFont="1" applyFill="1" applyBorder="1"/>
    <xf numFmtId="2" fontId="86" fillId="34" borderId="16" xfId="0" applyNumberFormat="1" applyFont="1" applyFill="1" applyBorder="1" applyAlignment="1">
      <alignment horizontal="center" vertical="center"/>
    </xf>
    <xf numFmtId="0" fontId="86" fillId="34" borderId="13" xfId="0" applyFont="1" applyFill="1" applyBorder="1"/>
    <xf numFmtId="2" fontId="86" fillId="34" borderId="24" xfId="0" applyNumberFormat="1" applyFont="1" applyFill="1" applyBorder="1" applyAlignment="1">
      <alignment horizontal="center" vertical="center"/>
    </xf>
    <xf numFmtId="2" fontId="86" fillId="34" borderId="13" xfId="0" applyNumberFormat="1" applyFont="1" applyFill="1" applyBorder="1" applyAlignment="1">
      <alignment horizontal="center" vertical="center"/>
    </xf>
    <xf numFmtId="0" fontId="86" fillId="25" borderId="13" xfId="0" applyFont="1" applyFill="1" applyBorder="1" applyAlignment="1">
      <alignment horizontal="center" vertical="top" wrapText="1"/>
    </xf>
    <xf numFmtId="170" fontId="87" fillId="0" borderId="13" xfId="0" applyNumberFormat="1" applyFont="1" applyBorder="1" applyAlignment="1">
      <alignment horizontal="center" vertical="center"/>
    </xf>
    <xf numFmtId="2" fontId="86" fillId="34" borderId="16" xfId="0" applyNumberFormat="1" applyFont="1" applyFill="1" applyBorder="1" applyAlignment="1">
      <alignment horizontal="center"/>
    </xf>
    <xf numFmtId="0" fontId="90" fillId="0" borderId="13" xfId="0" applyFont="1" applyBorder="1" applyAlignment="1">
      <alignment horizontal="center" vertical="center"/>
    </xf>
    <xf numFmtId="44" fontId="87" fillId="0" borderId="0" xfId="0" applyNumberFormat="1" applyFont="1" applyAlignment="1">
      <alignment horizontal="center" vertical="center"/>
    </xf>
    <xf numFmtId="0" fontId="86" fillId="0" borderId="33" xfId="0" applyFont="1" applyBorder="1" applyAlignment="1">
      <alignment horizontal="center" vertical="center"/>
    </xf>
    <xf numFmtId="0" fontId="87" fillId="0" borderId="33" xfId="0" applyFont="1" applyBorder="1" applyAlignment="1">
      <alignment horizontal="center" vertical="center"/>
    </xf>
    <xf numFmtId="170" fontId="87" fillId="0" borderId="33" xfId="0" applyNumberFormat="1" applyFont="1" applyBorder="1" applyAlignment="1">
      <alignment horizontal="center" vertical="center"/>
    </xf>
    <xf numFmtId="2" fontId="87" fillId="0" borderId="33" xfId="0" applyNumberFormat="1" applyFont="1" applyBorder="1" applyAlignment="1">
      <alignment horizontal="center" vertical="center"/>
    </xf>
    <xf numFmtId="0" fontId="86" fillId="34" borderId="13" xfId="0" applyFont="1" applyFill="1" applyBorder="1" applyAlignment="1">
      <alignment horizontal="center"/>
    </xf>
    <xf numFmtId="0" fontId="86" fillId="34" borderId="61" xfId="0" applyFont="1" applyFill="1" applyBorder="1" applyAlignment="1">
      <alignment horizontal="center" vertical="top"/>
    </xf>
    <xf numFmtId="0" fontId="86" fillId="34" borderId="61" xfId="0" applyFont="1" applyFill="1" applyBorder="1" applyAlignment="1">
      <alignment horizontal="center" vertical="top" wrapText="1"/>
    </xf>
    <xf numFmtId="0" fontId="87" fillId="0" borderId="13" xfId="0" applyFont="1" applyBorder="1"/>
    <xf numFmtId="2" fontId="86" fillId="33" borderId="13" xfId="0" applyNumberFormat="1" applyFont="1" applyFill="1" applyBorder="1" applyAlignment="1">
      <alignment horizontal="center" vertical="center"/>
    </xf>
    <xf numFmtId="0" fontId="86" fillId="34" borderId="25" xfId="0" applyFont="1" applyFill="1" applyBorder="1" applyAlignment="1">
      <alignment horizontal="center" vertical="center"/>
    </xf>
    <xf numFmtId="2" fontId="85" fillId="0" borderId="13" xfId="0" applyNumberFormat="1" applyFont="1" applyBorder="1" applyAlignment="1">
      <alignment horizontal="center" vertical="center"/>
    </xf>
    <xf numFmtId="2" fontId="86" fillId="34" borderId="25" xfId="0" applyNumberFormat="1" applyFont="1" applyFill="1" applyBorder="1" applyAlignment="1">
      <alignment horizontal="center" vertical="center"/>
    </xf>
    <xf numFmtId="0" fontId="87" fillId="37" borderId="13" xfId="0" applyFont="1" applyFill="1" applyBorder="1"/>
    <xf numFmtId="0" fontId="87" fillId="37" borderId="13" xfId="0" applyFont="1" applyFill="1" applyBorder="1" applyAlignment="1">
      <alignment horizontal="center" vertical="center"/>
    </xf>
    <xf numFmtId="0" fontId="87" fillId="37" borderId="13" xfId="0" applyFont="1" applyFill="1" applyBorder="1" applyAlignment="1">
      <alignment horizontal="center"/>
    </xf>
    <xf numFmtId="2" fontId="87" fillId="37" borderId="13" xfId="0" applyNumberFormat="1" applyFont="1" applyFill="1" applyBorder="1" applyAlignment="1">
      <alignment horizontal="center" vertical="center"/>
    </xf>
    <xf numFmtId="0" fontId="87" fillId="50" borderId="13" xfId="0" applyFont="1" applyFill="1" applyBorder="1"/>
    <xf numFmtId="0" fontId="87" fillId="50" borderId="13" xfId="0" applyFont="1" applyFill="1" applyBorder="1" applyAlignment="1">
      <alignment horizontal="center" vertical="center"/>
    </xf>
    <xf numFmtId="0" fontId="87" fillId="50" borderId="13" xfId="0" applyFont="1" applyFill="1" applyBorder="1" applyAlignment="1">
      <alignment horizontal="center"/>
    </xf>
    <xf numFmtId="2" fontId="87" fillId="50" borderId="13" xfId="0" applyNumberFormat="1" applyFont="1" applyFill="1" applyBorder="1" applyAlignment="1">
      <alignment horizontal="center" vertical="center"/>
    </xf>
    <xf numFmtId="0" fontId="87" fillId="26" borderId="13" xfId="0" applyFont="1" applyFill="1" applyBorder="1"/>
    <xf numFmtId="0" fontId="87" fillId="26" borderId="13" xfId="0" applyFont="1" applyFill="1" applyBorder="1" applyAlignment="1">
      <alignment horizontal="center" vertical="center"/>
    </xf>
    <xf numFmtId="0" fontId="87" fillId="26" borderId="13" xfId="0" applyFont="1" applyFill="1" applyBorder="1" applyAlignment="1">
      <alignment horizontal="center"/>
    </xf>
    <xf numFmtId="2" fontId="87" fillId="26" borderId="13" xfId="0" applyNumberFormat="1" applyFont="1" applyFill="1" applyBorder="1" applyAlignment="1">
      <alignment horizontal="center" vertical="center"/>
    </xf>
    <xf numFmtId="2" fontId="87" fillId="51" borderId="13" xfId="0" applyNumberFormat="1" applyFont="1" applyFill="1" applyBorder="1" applyAlignment="1">
      <alignment horizontal="center" vertical="center"/>
    </xf>
    <xf numFmtId="2" fontId="87" fillId="34" borderId="13" xfId="0" applyNumberFormat="1" applyFont="1" applyFill="1" applyBorder="1" applyAlignment="1">
      <alignment horizontal="center" vertical="center"/>
    </xf>
    <xf numFmtId="0" fontId="86" fillId="33" borderId="13" xfId="0" applyFont="1" applyFill="1" applyBorder="1" applyAlignment="1">
      <alignment horizontal="center" vertical="center"/>
    </xf>
    <xf numFmtId="0" fontId="86" fillId="33" borderId="61" xfId="0" applyFont="1" applyFill="1" applyBorder="1" applyAlignment="1">
      <alignment horizontal="center" vertical="top"/>
    </xf>
    <xf numFmtId="0" fontId="86" fillId="33" borderId="61" xfId="0" applyFont="1" applyFill="1" applyBorder="1" applyAlignment="1">
      <alignment horizontal="center" vertical="top" wrapText="1"/>
    </xf>
    <xf numFmtId="4" fontId="87" fillId="0" borderId="13" xfId="0" applyNumberFormat="1" applyFont="1" applyBorder="1" applyAlignment="1">
      <alignment horizontal="center" vertical="center"/>
    </xf>
    <xf numFmtId="173" fontId="87" fillId="0" borderId="13" xfId="0" applyNumberFormat="1" applyFont="1" applyBorder="1" applyAlignment="1">
      <alignment horizontal="center" vertical="center"/>
    </xf>
    <xf numFmtId="173" fontId="87" fillId="0" borderId="0" xfId="0" applyNumberFormat="1" applyFont="1" applyAlignment="1">
      <alignment horizontal="center" vertical="center"/>
    </xf>
    <xf numFmtId="2" fontId="87" fillId="0" borderId="0" xfId="0" applyNumberFormat="1" applyFont="1" applyAlignment="1">
      <alignment horizontal="center" vertical="center"/>
    </xf>
    <xf numFmtId="0" fontId="86" fillId="0" borderId="13" xfId="0" applyFont="1" applyBorder="1"/>
    <xf numFmtId="0" fontId="87" fillId="34" borderId="13" xfId="0" applyFont="1" applyFill="1" applyBorder="1"/>
    <xf numFmtId="4" fontId="86" fillId="34" borderId="13" xfId="0" applyNumberFormat="1" applyFont="1" applyFill="1" applyBorder="1" applyAlignment="1">
      <alignment horizontal="center" vertical="center"/>
    </xf>
    <xf numFmtId="0" fontId="86" fillId="33" borderId="13" xfId="0" applyFont="1" applyFill="1" applyBorder="1"/>
    <xf numFmtId="2" fontId="87" fillId="33" borderId="13" xfId="0" applyNumberFormat="1" applyFont="1" applyFill="1" applyBorder="1" applyAlignment="1">
      <alignment horizontal="center" vertical="center"/>
    </xf>
    <xf numFmtId="0" fontId="86" fillId="34" borderId="0" xfId="0" applyFont="1" applyFill="1" applyAlignment="1">
      <alignment horizontal="center"/>
    </xf>
    <xf numFmtId="0" fontId="86" fillId="34" borderId="0" xfId="0" applyFont="1" applyFill="1" applyAlignment="1">
      <alignment horizontal="center" vertical="top" wrapText="1"/>
    </xf>
    <xf numFmtId="4" fontId="87" fillId="0" borderId="0" xfId="0" applyNumberFormat="1" applyFont="1" applyAlignment="1">
      <alignment horizontal="center" vertical="center"/>
    </xf>
    <xf numFmtId="2" fontId="86" fillId="34" borderId="0" xfId="0" applyNumberFormat="1" applyFont="1" applyFill="1" applyAlignment="1">
      <alignment horizontal="center" vertical="center"/>
    </xf>
    <xf numFmtId="4" fontId="58" fillId="42" borderId="13" xfId="37" applyNumberFormat="1" applyFont="1" applyFill="1" applyBorder="1" applyAlignment="1">
      <alignment horizontal="right" vertical="center"/>
    </xf>
    <xf numFmtId="49" fontId="61" fillId="37" borderId="50" xfId="37" applyNumberFormat="1" applyFont="1" applyFill="1" applyBorder="1" applyAlignment="1">
      <alignment horizontal="center" vertical="center"/>
    </xf>
    <xf numFmtId="0" fontId="61" fillId="37" borderId="25" xfId="37" applyFont="1" applyFill="1" applyBorder="1" applyAlignment="1">
      <alignment horizontal="center"/>
    </xf>
    <xf numFmtId="49" fontId="61" fillId="37" borderId="13" xfId="37" applyNumberFormat="1" applyFont="1" applyFill="1" applyBorder="1" applyAlignment="1">
      <alignment horizontal="center"/>
    </xf>
    <xf numFmtId="0" fontId="61" fillId="37" borderId="13" xfId="37" applyFont="1" applyFill="1" applyBorder="1" applyAlignment="1">
      <alignment wrapText="1"/>
    </xf>
    <xf numFmtId="0" fontId="61" fillId="37" borderId="13" xfId="37" applyFont="1" applyFill="1" applyBorder="1" applyAlignment="1">
      <alignment horizontal="center"/>
    </xf>
    <xf numFmtId="4" fontId="61" fillId="37" borderId="13" xfId="37" applyNumberFormat="1" applyFont="1" applyFill="1" applyBorder="1" applyAlignment="1">
      <alignment horizontal="center"/>
    </xf>
    <xf numFmtId="44" fontId="60" fillId="37" borderId="13" xfId="52" applyNumberFormat="1" applyFont="1" applyFill="1" applyBorder="1" applyAlignment="1">
      <alignment horizontal="right" vertical="center"/>
    </xf>
    <xf numFmtId="44" fontId="60" fillId="37" borderId="16" xfId="52" applyNumberFormat="1" applyFont="1" applyFill="1" applyBorder="1" applyAlignment="1">
      <alignment horizontal="right" vertical="center"/>
    </xf>
    <xf numFmtId="44" fontId="61" fillId="37" borderId="18" xfId="52" applyNumberFormat="1" applyFont="1" applyFill="1" applyBorder="1" applyAlignment="1">
      <alignment horizontal="right" vertical="center"/>
    </xf>
    <xf numFmtId="1" fontId="87" fillId="0" borderId="13" xfId="0" applyNumberFormat="1" applyFont="1" applyBorder="1" applyAlignment="1">
      <alignment horizontal="center" vertical="center"/>
    </xf>
    <xf numFmtId="0" fontId="58" fillId="52" borderId="13" xfId="59" applyFont="1" applyFill="1" applyBorder="1" applyAlignment="1">
      <alignment horizontal="center" vertical="center" wrapText="1"/>
    </xf>
    <xf numFmtId="49" fontId="58" fillId="24" borderId="0" xfId="37" applyNumberFormat="1" applyFont="1" applyFill="1" applyAlignment="1">
      <alignment horizontal="center" vertical="center"/>
    </xf>
    <xf numFmtId="2" fontId="87" fillId="0" borderId="0" xfId="0" applyNumberFormat="1" applyFont="1" applyAlignment="1">
      <alignment horizontal="center"/>
    </xf>
    <xf numFmtId="49" fontId="58" fillId="0" borderId="54" xfId="0" applyNumberFormat="1" applyFont="1" applyBorder="1" applyAlignment="1">
      <alignment horizontal="center" vertical="center"/>
    </xf>
    <xf numFmtId="49" fontId="58" fillId="0" borderId="0" xfId="37" applyNumberFormat="1" applyFont="1" applyAlignment="1">
      <alignment horizontal="center" vertical="center"/>
    </xf>
    <xf numFmtId="0" fontId="87" fillId="0" borderId="13" xfId="0" applyFont="1" applyBorder="1" applyAlignment="1">
      <alignment vertical="center"/>
    </xf>
    <xf numFmtId="44" fontId="3" fillId="0" borderId="0" xfId="35" applyNumberFormat="1" applyFont="1"/>
    <xf numFmtId="2" fontId="6" fillId="0" borderId="0" xfId="35" applyNumberFormat="1"/>
    <xf numFmtId="168" fontId="3" fillId="0" borderId="0" xfId="35" applyNumberFormat="1" applyFont="1"/>
    <xf numFmtId="2" fontId="10" fillId="34" borderId="13" xfId="0" applyNumberFormat="1" applyFont="1" applyFill="1" applyBorder="1" applyAlignment="1">
      <alignment horizontal="center" vertical="center"/>
    </xf>
    <xf numFmtId="0" fontId="10" fillId="30" borderId="0" xfId="0" applyFont="1" applyFill="1" applyAlignment="1">
      <alignment horizontal="center"/>
    </xf>
    <xf numFmtId="0" fontId="10" fillId="30" borderId="0" xfId="0" applyFont="1" applyFill="1" applyAlignment="1">
      <alignment horizontal="center" vertical="top" wrapText="1"/>
    </xf>
    <xf numFmtId="2" fontId="2" fillId="0" borderId="0" xfId="0" applyNumberFormat="1" applyFont="1" applyAlignment="1">
      <alignment horizontal="center"/>
    </xf>
    <xf numFmtId="0" fontId="10" fillId="32" borderId="0" xfId="0" applyFont="1" applyFill="1" applyAlignment="1">
      <alignment horizontal="center"/>
    </xf>
    <xf numFmtId="0" fontId="10" fillId="32" borderId="0" xfId="0" applyFont="1" applyFill="1" applyAlignment="1">
      <alignment horizontal="center" vertical="top" wrapText="1"/>
    </xf>
    <xf numFmtId="167" fontId="2" fillId="53" borderId="13" xfId="0" applyNumberFormat="1" applyFont="1" applyFill="1" applyBorder="1" applyAlignment="1">
      <alignment horizontal="center" vertical="center"/>
    </xf>
    <xf numFmtId="3" fontId="2" fillId="53" borderId="13" xfId="0" applyNumberFormat="1" applyFont="1" applyFill="1" applyBorder="1" applyAlignment="1">
      <alignment horizontal="center" vertical="center"/>
    </xf>
    <xf numFmtId="1" fontId="2" fillId="53" borderId="33" xfId="0" applyNumberFormat="1" applyFont="1" applyFill="1" applyBorder="1" applyAlignment="1">
      <alignment horizontal="center" vertical="center"/>
    </xf>
    <xf numFmtId="2" fontId="2" fillId="53" borderId="13" xfId="0" applyNumberFormat="1" applyFont="1" applyFill="1" applyBorder="1" applyAlignment="1">
      <alignment horizontal="center" vertical="center"/>
    </xf>
    <xf numFmtId="0" fontId="2" fillId="53" borderId="13" xfId="0" applyFont="1" applyFill="1" applyBorder="1"/>
    <xf numFmtId="1" fontId="2" fillId="53" borderId="13" xfId="0" applyNumberFormat="1" applyFont="1" applyFill="1" applyBorder="1" applyAlignment="1">
      <alignment horizontal="center" vertical="center"/>
    </xf>
    <xf numFmtId="167" fontId="2" fillId="42" borderId="13" xfId="0" applyNumberFormat="1" applyFont="1" applyFill="1" applyBorder="1" applyAlignment="1">
      <alignment horizontal="center" vertical="center"/>
    </xf>
    <xf numFmtId="3" fontId="2" fillId="42" borderId="13" xfId="0" applyNumberFormat="1" applyFont="1" applyFill="1" applyBorder="1" applyAlignment="1">
      <alignment horizontal="center" vertical="center"/>
    </xf>
    <xf numFmtId="1" fontId="2" fillId="42" borderId="13" xfId="0" applyNumberFormat="1" applyFont="1" applyFill="1" applyBorder="1" applyAlignment="1">
      <alignment horizontal="center" vertical="center"/>
    </xf>
    <xf numFmtId="0" fontId="2" fillId="42" borderId="13" xfId="0" applyFont="1" applyFill="1" applyBorder="1"/>
    <xf numFmtId="0" fontId="10" fillId="0" borderId="33" xfId="0" applyFont="1" applyBorder="1"/>
    <xf numFmtId="169" fontId="10" fillId="30" borderId="13" xfId="0" applyNumberFormat="1" applyFont="1" applyFill="1" applyBorder="1" applyAlignment="1">
      <alignment horizontal="center" vertical="center"/>
    </xf>
    <xf numFmtId="169" fontId="2" fillId="48" borderId="13" xfId="0" applyNumberFormat="1" applyFont="1" applyFill="1" applyBorder="1" applyAlignment="1">
      <alignment horizontal="center" vertical="center"/>
    </xf>
    <xf numFmtId="169" fontId="2" fillId="33" borderId="13" xfId="0" applyNumberFormat="1" applyFont="1" applyFill="1" applyBorder="1" applyAlignment="1">
      <alignment horizontal="center" vertical="center"/>
    </xf>
    <xf numFmtId="169" fontId="2" fillId="41" borderId="13" xfId="0" applyNumberFormat="1" applyFont="1" applyFill="1" applyBorder="1" applyAlignment="1">
      <alignment horizontal="center" vertical="center"/>
    </xf>
    <xf numFmtId="169" fontId="2" fillId="53" borderId="13" xfId="0" applyNumberFormat="1" applyFont="1" applyFill="1" applyBorder="1" applyAlignment="1">
      <alignment horizontal="center" vertical="center"/>
    </xf>
    <xf numFmtId="169" fontId="2" fillId="46" borderId="13" xfId="0" applyNumberFormat="1" applyFont="1" applyFill="1" applyBorder="1" applyAlignment="1">
      <alignment horizontal="center" vertical="center"/>
    </xf>
    <xf numFmtId="169" fontId="2" fillId="45" borderId="13" xfId="0" applyNumberFormat="1" applyFont="1" applyFill="1" applyBorder="1" applyAlignment="1">
      <alignment horizontal="center" vertical="center"/>
    </xf>
    <xf numFmtId="169" fontId="2" fillId="47" borderId="13" xfId="0" applyNumberFormat="1" applyFont="1" applyFill="1" applyBorder="1" applyAlignment="1">
      <alignment horizontal="center" vertical="center"/>
    </xf>
    <xf numFmtId="169" fontId="2" fillId="35" borderId="13" xfId="0" applyNumberFormat="1" applyFont="1" applyFill="1" applyBorder="1" applyAlignment="1">
      <alignment horizontal="center" vertical="center"/>
    </xf>
    <xf numFmtId="169" fontId="2" fillId="32" borderId="13" xfId="0" applyNumberFormat="1" applyFont="1" applyFill="1" applyBorder="1" applyAlignment="1">
      <alignment horizontal="center" vertical="center"/>
    </xf>
    <xf numFmtId="169" fontId="2" fillId="42" borderId="13" xfId="0" applyNumberFormat="1" applyFont="1" applyFill="1" applyBorder="1" applyAlignment="1">
      <alignment horizontal="center" vertical="center"/>
    </xf>
    <xf numFmtId="169" fontId="2" fillId="44" borderId="13" xfId="0" applyNumberFormat="1" applyFont="1" applyFill="1" applyBorder="1" applyAlignment="1">
      <alignment horizontal="center" vertical="center"/>
    </xf>
    <xf numFmtId="169" fontId="2" fillId="25" borderId="13" xfId="0" applyNumberFormat="1" applyFont="1" applyFill="1" applyBorder="1" applyAlignment="1">
      <alignment horizontal="center" vertical="center"/>
    </xf>
    <xf numFmtId="49" fontId="10" fillId="0" borderId="13" xfId="0" applyNumberFormat="1" applyFont="1" applyBorder="1" applyAlignment="1">
      <alignment horizontal="left" vertical="center"/>
    </xf>
    <xf numFmtId="167" fontId="2" fillId="54" borderId="13" xfId="0" applyNumberFormat="1" applyFont="1" applyFill="1" applyBorder="1" applyAlignment="1">
      <alignment horizontal="center" vertical="center"/>
    </xf>
    <xf numFmtId="3" fontId="2" fillId="54" borderId="13" xfId="0" applyNumberFormat="1" applyFont="1" applyFill="1" applyBorder="1" applyAlignment="1">
      <alignment horizontal="center" vertical="center"/>
    </xf>
    <xf numFmtId="1" fontId="2" fillId="54" borderId="33" xfId="0" applyNumberFormat="1" applyFont="1" applyFill="1" applyBorder="1" applyAlignment="1">
      <alignment horizontal="center" vertical="center"/>
    </xf>
    <xf numFmtId="2" fontId="2" fillId="54" borderId="13" xfId="0" applyNumberFormat="1" applyFont="1" applyFill="1" applyBorder="1" applyAlignment="1">
      <alignment horizontal="center" vertical="center"/>
    </xf>
    <xf numFmtId="169" fontId="2" fillId="54" borderId="13" xfId="0" applyNumberFormat="1" applyFont="1" applyFill="1" applyBorder="1" applyAlignment="1">
      <alignment horizontal="center" vertical="center"/>
    </xf>
    <xf numFmtId="0" fontId="2" fillId="54" borderId="13" xfId="0" applyFont="1" applyFill="1" applyBorder="1"/>
    <xf numFmtId="49" fontId="10" fillId="35" borderId="13" xfId="0" applyNumberFormat="1" applyFont="1" applyFill="1" applyBorder="1" applyAlignment="1">
      <alignment horizontal="left" vertical="center"/>
    </xf>
    <xf numFmtId="2" fontId="10" fillId="0" borderId="13" xfId="0" applyNumberFormat="1" applyFont="1" applyBorder="1" applyAlignment="1">
      <alignment horizontal="center" vertical="center"/>
    </xf>
    <xf numFmtId="4" fontId="2" fillId="35" borderId="13" xfId="0" applyNumberFormat="1" applyFont="1" applyFill="1" applyBorder="1" applyAlignment="1">
      <alignment horizontal="center" vertical="center"/>
    </xf>
    <xf numFmtId="49" fontId="10" fillId="55" borderId="13" xfId="0" applyNumberFormat="1" applyFont="1" applyFill="1" applyBorder="1" applyAlignment="1">
      <alignment horizontal="left" vertical="center"/>
    </xf>
    <xf numFmtId="0" fontId="2" fillId="55" borderId="0" xfId="0" applyFont="1" applyFill="1"/>
    <xf numFmtId="4" fontId="2" fillId="55" borderId="13" xfId="0" applyNumberFormat="1" applyFont="1" applyFill="1" applyBorder="1" applyAlignment="1">
      <alignment horizontal="center" vertical="center"/>
    </xf>
    <xf numFmtId="172" fontId="58" fillId="0" borderId="0" xfId="37" applyNumberFormat="1" applyFont="1" applyAlignment="1">
      <alignment horizontal="center" vertical="center"/>
    </xf>
    <xf numFmtId="0" fontId="86" fillId="0" borderId="33" xfId="0" applyFont="1" applyBorder="1"/>
    <xf numFmtId="0" fontId="10" fillId="34" borderId="13" xfId="0" applyFont="1" applyFill="1" applyBorder="1"/>
    <xf numFmtId="0" fontId="10" fillId="34" borderId="13" xfId="0" applyFont="1" applyFill="1" applyBorder="1" applyAlignment="1">
      <alignment horizontal="center" vertical="center"/>
    </xf>
    <xf numFmtId="4" fontId="61" fillId="33" borderId="13" xfId="37" applyNumberFormat="1" applyFont="1" applyFill="1" applyBorder="1" applyAlignment="1">
      <alignment horizontal="center"/>
    </xf>
    <xf numFmtId="4" fontId="59" fillId="34" borderId="13" xfId="37" applyNumberFormat="1" applyFont="1" applyFill="1" applyBorder="1" applyAlignment="1">
      <alignment horizontal="right" vertical="center"/>
    </xf>
    <xf numFmtId="49" fontId="61" fillId="33" borderId="50" xfId="37" applyNumberFormat="1" applyFont="1" applyFill="1" applyBorder="1" applyAlignment="1">
      <alignment horizontal="center" vertical="center"/>
    </xf>
    <xf numFmtId="0" fontId="61" fillId="33" borderId="25" xfId="37" applyFont="1" applyFill="1" applyBorder="1" applyAlignment="1">
      <alignment horizontal="center"/>
    </xf>
    <xf numFmtId="49" fontId="61" fillId="33" borderId="13" xfId="37" applyNumberFormat="1" applyFont="1" applyFill="1" applyBorder="1" applyAlignment="1">
      <alignment horizontal="center"/>
    </xf>
    <xf numFmtId="0" fontId="61" fillId="33" borderId="13" xfId="37" applyFont="1" applyFill="1" applyBorder="1" applyAlignment="1">
      <alignment wrapText="1"/>
    </xf>
    <xf numFmtId="0" fontId="61" fillId="33" borderId="13" xfId="37" applyFont="1" applyFill="1" applyBorder="1" applyAlignment="1">
      <alignment horizontal="center"/>
    </xf>
    <xf numFmtId="44" fontId="60" fillId="33" borderId="13" xfId="52" applyNumberFormat="1" applyFont="1" applyFill="1" applyBorder="1" applyAlignment="1">
      <alignment horizontal="right" vertical="center"/>
    </xf>
    <xf numFmtId="44" fontId="60" fillId="33" borderId="16" xfId="52" applyNumberFormat="1" applyFont="1" applyFill="1" applyBorder="1" applyAlignment="1">
      <alignment horizontal="right" vertical="center"/>
    </xf>
    <xf numFmtId="44" fontId="61" fillId="33" borderId="18" xfId="52" applyNumberFormat="1" applyFont="1" applyFill="1" applyBorder="1" applyAlignment="1">
      <alignment horizontal="right" vertical="center"/>
    </xf>
    <xf numFmtId="44" fontId="64" fillId="56" borderId="23" xfId="52" applyNumberFormat="1" applyFont="1" applyFill="1" applyBorder="1" applyAlignment="1">
      <alignment horizontal="center"/>
    </xf>
    <xf numFmtId="4" fontId="87" fillId="0" borderId="0" xfId="0" applyNumberFormat="1" applyFont="1"/>
    <xf numFmtId="0" fontId="87" fillId="33" borderId="13" xfId="0" applyFont="1" applyFill="1" applyBorder="1" applyAlignment="1">
      <alignment horizontal="center" vertical="center"/>
    </xf>
    <xf numFmtId="0" fontId="10" fillId="34" borderId="13" xfId="0" applyFont="1" applyFill="1" applyBorder="1" applyAlignment="1">
      <alignment horizontal="center" vertical="top" wrapText="1"/>
    </xf>
    <xf numFmtId="0" fontId="92" fillId="0" borderId="62" xfId="0" applyFont="1" applyBorder="1" applyAlignment="1">
      <alignment vertical="center" wrapText="1"/>
    </xf>
    <xf numFmtId="10" fontId="91" fillId="57" borderId="62" xfId="0" applyNumberFormat="1" applyFont="1" applyFill="1" applyBorder="1" applyAlignment="1">
      <alignment horizontal="right" vertical="center" wrapText="1"/>
    </xf>
    <xf numFmtId="10" fontId="91" fillId="60" borderId="62" xfId="0" applyNumberFormat="1" applyFont="1" applyFill="1" applyBorder="1" applyAlignment="1">
      <alignment horizontal="right" vertical="center" wrapText="1"/>
    </xf>
    <xf numFmtId="10" fontId="91" fillId="62" borderId="62" xfId="0" applyNumberFormat="1" applyFont="1" applyFill="1" applyBorder="1" applyAlignment="1">
      <alignment horizontal="right" vertical="center" wrapText="1"/>
    </xf>
    <xf numFmtId="10" fontId="91" fillId="66" borderId="62" xfId="0" applyNumberFormat="1" applyFont="1" applyFill="1" applyBorder="1" applyAlignment="1">
      <alignment horizontal="right" vertical="center" wrapText="1"/>
    </xf>
    <xf numFmtId="10" fontId="91" fillId="67" borderId="62" xfId="0" applyNumberFormat="1" applyFont="1" applyFill="1" applyBorder="1" applyAlignment="1">
      <alignment horizontal="right" vertical="center" wrapText="1"/>
    </xf>
    <xf numFmtId="10" fontId="91" fillId="69" borderId="62" xfId="0" applyNumberFormat="1" applyFont="1" applyFill="1" applyBorder="1" applyAlignment="1">
      <alignment horizontal="right" vertical="center" wrapText="1"/>
    </xf>
    <xf numFmtId="10" fontId="91" fillId="78" borderId="62" xfId="0" applyNumberFormat="1" applyFont="1" applyFill="1" applyBorder="1" applyAlignment="1">
      <alignment horizontal="right" vertical="center" wrapText="1"/>
    </xf>
    <xf numFmtId="10" fontId="91" fillId="90" borderId="62" xfId="0" applyNumberFormat="1" applyFont="1" applyFill="1" applyBorder="1" applyAlignment="1">
      <alignment horizontal="right" vertical="center" wrapText="1"/>
    </xf>
    <xf numFmtId="10" fontId="91" fillId="106" borderId="62" xfId="0" applyNumberFormat="1" applyFont="1" applyFill="1" applyBorder="1" applyAlignment="1">
      <alignment horizontal="right" vertical="center" wrapText="1"/>
    </xf>
    <xf numFmtId="10" fontId="91" fillId="107" borderId="62" xfId="0" applyNumberFormat="1" applyFont="1" applyFill="1" applyBorder="1" applyAlignment="1">
      <alignment horizontal="right" vertical="center" wrapText="1"/>
    </xf>
    <xf numFmtId="10" fontId="91" fillId="112" borderId="62" xfId="0" applyNumberFormat="1" applyFont="1" applyFill="1" applyBorder="1" applyAlignment="1">
      <alignment horizontal="right" vertical="center" wrapText="1"/>
    </xf>
    <xf numFmtId="10" fontId="91" fillId="117" borderId="62" xfId="0" applyNumberFormat="1" applyFont="1" applyFill="1" applyBorder="1" applyAlignment="1">
      <alignment horizontal="right" vertical="center" wrapText="1"/>
    </xf>
    <xf numFmtId="10" fontId="91" fillId="57" borderId="13" xfId="0" applyNumberFormat="1" applyFont="1" applyFill="1" applyBorder="1" applyAlignment="1">
      <alignment horizontal="right" vertical="center" wrapText="1"/>
    </xf>
    <xf numFmtId="10" fontId="91" fillId="58" borderId="13" xfId="0" applyNumberFormat="1" applyFont="1" applyFill="1" applyBorder="1" applyAlignment="1">
      <alignment horizontal="right" vertical="center" wrapText="1"/>
    </xf>
    <xf numFmtId="10" fontId="91" fillId="59" borderId="13" xfId="0" applyNumberFormat="1" applyFont="1" applyFill="1" applyBorder="1" applyAlignment="1">
      <alignment horizontal="right" vertical="center" wrapText="1"/>
    </xf>
    <xf numFmtId="10" fontId="91" fillId="60" borderId="13" xfId="0" applyNumberFormat="1" applyFont="1" applyFill="1" applyBorder="1" applyAlignment="1">
      <alignment horizontal="right" vertical="center" wrapText="1"/>
    </xf>
    <xf numFmtId="10" fontId="91" fillId="61" borderId="13" xfId="0" applyNumberFormat="1" applyFont="1" applyFill="1" applyBorder="1" applyAlignment="1">
      <alignment horizontal="right" vertical="center" wrapText="1"/>
    </xf>
    <xf numFmtId="10" fontId="91" fillId="62" borderId="13" xfId="0" applyNumberFormat="1" applyFont="1" applyFill="1" applyBorder="1" applyAlignment="1">
      <alignment horizontal="right" vertical="center" wrapText="1"/>
    </xf>
    <xf numFmtId="10" fontId="91" fillId="63" borderId="13" xfId="0" applyNumberFormat="1" applyFont="1" applyFill="1" applyBorder="1" applyAlignment="1">
      <alignment horizontal="right" vertical="center" wrapText="1"/>
    </xf>
    <xf numFmtId="10" fontId="91" fillId="64" borderId="13" xfId="0" applyNumberFormat="1" applyFont="1" applyFill="1" applyBorder="1" applyAlignment="1">
      <alignment horizontal="right" vertical="center" wrapText="1"/>
    </xf>
    <xf numFmtId="10" fontId="91" fillId="65" borderId="13" xfId="0" applyNumberFormat="1" applyFont="1" applyFill="1" applyBorder="1" applyAlignment="1">
      <alignment horizontal="right" vertical="center" wrapText="1"/>
    </xf>
    <xf numFmtId="0" fontId="91" fillId="0" borderId="13" xfId="0" applyFont="1" applyBorder="1" applyAlignment="1">
      <alignment horizontal="right" vertical="center" wrapText="1"/>
    </xf>
    <xf numFmtId="10" fontId="2" fillId="0" borderId="13" xfId="58" applyNumberFormat="1" applyFont="1" applyBorder="1"/>
    <xf numFmtId="10" fontId="91" fillId="67" borderId="13" xfId="0" applyNumberFormat="1" applyFont="1" applyFill="1" applyBorder="1" applyAlignment="1">
      <alignment horizontal="right" vertical="center" wrapText="1"/>
    </xf>
    <xf numFmtId="10" fontId="91" fillId="68" borderId="13" xfId="0" applyNumberFormat="1" applyFont="1" applyFill="1" applyBorder="1" applyAlignment="1">
      <alignment horizontal="right" vertical="center" wrapText="1"/>
    </xf>
    <xf numFmtId="10" fontId="91" fillId="69" borderId="13" xfId="0" applyNumberFormat="1" applyFont="1" applyFill="1" applyBorder="1" applyAlignment="1">
      <alignment horizontal="right" vertical="center" wrapText="1"/>
    </xf>
    <xf numFmtId="10" fontId="91" fillId="70" borderId="13" xfId="0" applyNumberFormat="1" applyFont="1" applyFill="1" applyBorder="1" applyAlignment="1">
      <alignment horizontal="right" vertical="center" wrapText="1"/>
    </xf>
    <xf numFmtId="10" fontId="91" fillId="71" borderId="13" xfId="0" applyNumberFormat="1" applyFont="1" applyFill="1" applyBorder="1" applyAlignment="1">
      <alignment horizontal="right" vertical="center" wrapText="1"/>
    </xf>
    <xf numFmtId="10" fontId="91" fillId="27" borderId="13" xfId="0" applyNumberFormat="1" applyFont="1" applyFill="1" applyBorder="1" applyAlignment="1">
      <alignment horizontal="right" vertical="center" wrapText="1"/>
    </xf>
    <xf numFmtId="10" fontId="91" fillId="72" borderId="13" xfId="0" applyNumberFormat="1" applyFont="1" applyFill="1" applyBorder="1" applyAlignment="1">
      <alignment horizontal="right" vertical="center" wrapText="1"/>
    </xf>
    <xf numFmtId="10" fontId="91" fillId="73" borderId="13" xfId="0" applyNumberFormat="1" applyFont="1" applyFill="1" applyBorder="1" applyAlignment="1">
      <alignment horizontal="right" vertical="center" wrapText="1"/>
    </xf>
    <xf numFmtId="10" fontId="91" fillId="74" borderId="13" xfId="0" applyNumberFormat="1" applyFont="1" applyFill="1" applyBorder="1" applyAlignment="1">
      <alignment horizontal="right" vertical="center" wrapText="1"/>
    </xf>
    <xf numFmtId="10" fontId="91" fillId="75" borderId="13" xfId="0" applyNumberFormat="1" applyFont="1" applyFill="1" applyBorder="1" applyAlignment="1">
      <alignment horizontal="right" vertical="center" wrapText="1"/>
    </xf>
    <xf numFmtId="10" fontId="91" fillId="76" borderId="13" xfId="0" applyNumberFormat="1" applyFont="1" applyFill="1" applyBorder="1" applyAlignment="1">
      <alignment horizontal="right" vertical="center" wrapText="1"/>
    </xf>
    <xf numFmtId="10" fontId="91" fillId="77" borderId="13" xfId="0" applyNumberFormat="1" applyFont="1" applyFill="1" applyBorder="1" applyAlignment="1">
      <alignment horizontal="right" vertical="center" wrapText="1"/>
    </xf>
    <xf numFmtId="10" fontId="91" fillId="78" borderId="13" xfId="0" applyNumberFormat="1" applyFont="1" applyFill="1" applyBorder="1" applyAlignment="1">
      <alignment horizontal="right" vertical="center" wrapText="1"/>
    </xf>
    <xf numFmtId="10" fontId="91" fillId="79" borderId="13" xfId="0" applyNumberFormat="1" applyFont="1" applyFill="1" applyBorder="1" applyAlignment="1">
      <alignment horizontal="right" vertical="center" wrapText="1"/>
    </xf>
    <xf numFmtId="10" fontId="91" fillId="80" borderId="13" xfId="0" applyNumberFormat="1" applyFont="1" applyFill="1" applyBorder="1" applyAlignment="1">
      <alignment horizontal="right" vertical="center" wrapText="1"/>
    </xf>
    <xf numFmtId="10" fontId="91" fillId="81" borderId="13" xfId="0" applyNumberFormat="1" applyFont="1" applyFill="1" applyBorder="1" applyAlignment="1">
      <alignment horizontal="right" vertical="center" wrapText="1"/>
    </xf>
    <xf numFmtId="10" fontId="91" fillId="82" borderId="13" xfId="0" applyNumberFormat="1" applyFont="1" applyFill="1" applyBorder="1" applyAlignment="1">
      <alignment horizontal="right" vertical="center" wrapText="1"/>
    </xf>
    <xf numFmtId="10" fontId="91" fillId="83" borderId="13" xfId="0" applyNumberFormat="1" applyFont="1" applyFill="1" applyBorder="1" applyAlignment="1">
      <alignment horizontal="right" vertical="center" wrapText="1"/>
    </xf>
    <xf numFmtId="10" fontId="91" fillId="84" borderId="13" xfId="0" applyNumberFormat="1" applyFont="1" applyFill="1" applyBorder="1" applyAlignment="1">
      <alignment horizontal="right" vertical="center" wrapText="1"/>
    </xf>
    <xf numFmtId="10" fontId="91" fillId="85" borderId="13" xfId="0" applyNumberFormat="1" applyFont="1" applyFill="1" applyBorder="1" applyAlignment="1">
      <alignment horizontal="right" vertical="center" wrapText="1"/>
    </xf>
    <xf numFmtId="10" fontId="91" fillId="86" borderId="13" xfId="0" applyNumberFormat="1" applyFont="1" applyFill="1" applyBorder="1" applyAlignment="1">
      <alignment horizontal="right" vertical="center" wrapText="1"/>
    </xf>
    <xf numFmtId="10" fontId="91" fillId="87" borderId="13" xfId="0" applyNumberFormat="1" applyFont="1" applyFill="1" applyBorder="1" applyAlignment="1">
      <alignment horizontal="right" vertical="center" wrapText="1"/>
    </xf>
    <xf numFmtId="10" fontId="91" fillId="88" borderId="13" xfId="0" applyNumberFormat="1" applyFont="1" applyFill="1" applyBorder="1" applyAlignment="1">
      <alignment horizontal="right" vertical="center" wrapText="1"/>
    </xf>
    <xf numFmtId="10" fontId="91" fillId="89" borderId="13" xfId="0" applyNumberFormat="1" applyFont="1" applyFill="1" applyBorder="1" applyAlignment="1">
      <alignment horizontal="right" vertical="center" wrapText="1"/>
    </xf>
    <xf numFmtId="10" fontId="91" fillId="90" borderId="13" xfId="0" applyNumberFormat="1" applyFont="1" applyFill="1" applyBorder="1" applyAlignment="1">
      <alignment horizontal="right" vertical="center" wrapText="1"/>
    </xf>
    <xf numFmtId="10" fontId="91" fillId="91" borderId="13" xfId="0" applyNumberFormat="1" applyFont="1" applyFill="1" applyBorder="1" applyAlignment="1">
      <alignment horizontal="right" vertical="center" wrapText="1"/>
    </xf>
    <xf numFmtId="10" fontId="91" fillId="92" borderId="13" xfId="0" applyNumberFormat="1" applyFont="1" applyFill="1" applyBorder="1" applyAlignment="1">
      <alignment horizontal="right" vertical="center" wrapText="1"/>
    </xf>
    <xf numFmtId="10" fontId="91" fillId="93" borderId="13" xfId="0" applyNumberFormat="1" applyFont="1" applyFill="1" applyBorder="1" applyAlignment="1">
      <alignment horizontal="right" vertical="center" wrapText="1"/>
    </xf>
    <xf numFmtId="10" fontId="91" fillId="94" borderId="13" xfId="0" applyNumberFormat="1" applyFont="1" applyFill="1" applyBorder="1" applyAlignment="1">
      <alignment horizontal="right" vertical="center" wrapText="1"/>
    </xf>
    <xf numFmtId="10" fontId="91" fillId="95" borderId="13" xfId="0" applyNumberFormat="1" applyFont="1" applyFill="1" applyBorder="1" applyAlignment="1">
      <alignment horizontal="right" vertical="center" wrapText="1"/>
    </xf>
    <xf numFmtId="10" fontId="91" fillId="96" borderId="13" xfId="0" applyNumberFormat="1" applyFont="1" applyFill="1" applyBorder="1" applyAlignment="1">
      <alignment horizontal="right" vertical="center" wrapText="1"/>
    </xf>
    <xf numFmtId="10" fontId="91" fillId="97" borderId="13" xfId="0" applyNumberFormat="1" applyFont="1" applyFill="1" applyBorder="1" applyAlignment="1">
      <alignment horizontal="right" vertical="center" wrapText="1"/>
    </xf>
    <xf numFmtId="10" fontId="91" fillId="98" borderId="13" xfId="0" applyNumberFormat="1" applyFont="1" applyFill="1" applyBorder="1" applyAlignment="1">
      <alignment horizontal="right" vertical="center" wrapText="1"/>
    </xf>
    <xf numFmtId="10" fontId="91" fillId="99" borderId="13" xfId="0" applyNumberFormat="1" applyFont="1" applyFill="1" applyBorder="1" applyAlignment="1">
      <alignment horizontal="right" vertical="center" wrapText="1"/>
    </xf>
    <xf numFmtId="10" fontId="91" fillId="100" borderId="13" xfId="0" applyNumberFormat="1" applyFont="1" applyFill="1" applyBorder="1" applyAlignment="1">
      <alignment horizontal="right" vertical="center" wrapText="1"/>
    </xf>
    <xf numFmtId="10" fontId="91" fillId="101" borderId="13" xfId="0" applyNumberFormat="1" applyFont="1" applyFill="1" applyBorder="1" applyAlignment="1">
      <alignment horizontal="right" vertical="center" wrapText="1"/>
    </xf>
    <xf numFmtId="10" fontId="91" fillId="102" borderId="13" xfId="0" applyNumberFormat="1" applyFont="1" applyFill="1" applyBorder="1" applyAlignment="1">
      <alignment horizontal="right" vertical="center" wrapText="1"/>
    </xf>
    <xf numFmtId="10" fontId="91" fillId="103" borderId="13" xfId="0" applyNumberFormat="1" applyFont="1" applyFill="1" applyBorder="1" applyAlignment="1">
      <alignment horizontal="right" vertical="center" wrapText="1"/>
    </xf>
    <xf numFmtId="10" fontId="91" fillId="104" borderId="13" xfId="0" applyNumberFormat="1" applyFont="1" applyFill="1" applyBorder="1" applyAlignment="1">
      <alignment horizontal="right" vertical="center" wrapText="1"/>
    </xf>
    <xf numFmtId="10" fontId="91" fillId="105" borderId="13" xfId="0" applyNumberFormat="1" applyFont="1" applyFill="1" applyBorder="1" applyAlignment="1">
      <alignment horizontal="right" vertical="center" wrapText="1"/>
    </xf>
    <xf numFmtId="10" fontId="91" fillId="106" borderId="13" xfId="0" applyNumberFormat="1" applyFont="1" applyFill="1" applyBorder="1" applyAlignment="1">
      <alignment horizontal="right" vertical="center" wrapText="1"/>
    </xf>
    <xf numFmtId="10" fontId="91" fillId="107" borderId="13" xfId="0" applyNumberFormat="1" applyFont="1" applyFill="1" applyBorder="1" applyAlignment="1">
      <alignment horizontal="right" vertical="center" wrapText="1"/>
    </xf>
    <xf numFmtId="10" fontId="91" fillId="108" borderId="13" xfId="0" applyNumberFormat="1" applyFont="1" applyFill="1" applyBorder="1" applyAlignment="1">
      <alignment horizontal="right" vertical="center" wrapText="1"/>
    </xf>
    <xf numFmtId="10" fontId="91" fillId="109" borderId="13" xfId="0" applyNumberFormat="1" applyFont="1" applyFill="1" applyBorder="1" applyAlignment="1">
      <alignment horizontal="right" vertical="center" wrapText="1"/>
    </xf>
    <xf numFmtId="10" fontId="91" fillId="110" borderId="13" xfId="0" applyNumberFormat="1" applyFont="1" applyFill="1" applyBorder="1" applyAlignment="1">
      <alignment horizontal="right" vertical="center" wrapText="1"/>
    </xf>
    <xf numFmtId="10" fontId="91" fillId="111" borderId="13" xfId="0" applyNumberFormat="1" applyFont="1" applyFill="1" applyBorder="1" applyAlignment="1">
      <alignment horizontal="right" vertical="center" wrapText="1"/>
    </xf>
    <xf numFmtId="10" fontId="91" fillId="112" borderId="13" xfId="0" applyNumberFormat="1" applyFont="1" applyFill="1" applyBorder="1" applyAlignment="1">
      <alignment horizontal="right" vertical="center" wrapText="1"/>
    </xf>
    <xf numFmtId="10" fontId="91" fillId="113" borderId="13" xfId="0" applyNumberFormat="1" applyFont="1" applyFill="1" applyBorder="1" applyAlignment="1">
      <alignment horizontal="right" vertical="center" wrapText="1"/>
    </xf>
    <xf numFmtId="10" fontId="91" fillId="114" borderId="13" xfId="0" applyNumberFormat="1" applyFont="1" applyFill="1" applyBorder="1" applyAlignment="1">
      <alignment horizontal="right" vertical="center" wrapText="1"/>
    </xf>
    <xf numFmtId="10" fontId="91" fillId="115" borderId="13" xfId="0" applyNumberFormat="1" applyFont="1" applyFill="1" applyBorder="1" applyAlignment="1">
      <alignment horizontal="right" vertical="center" wrapText="1"/>
    </xf>
    <xf numFmtId="10" fontId="93" fillId="66" borderId="13" xfId="0" applyNumberFormat="1" applyFont="1" applyFill="1" applyBorder="1" applyAlignment="1">
      <alignment horizontal="right" vertical="center" wrapText="1"/>
    </xf>
    <xf numFmtId="10" fontId="93" fillId="116" borderId="13" xfId="0" applyNumberFormat="1" applyFont="1" applyFill="1" applyBorder="1" applyAlignment="1">
      <alignment horizontal="right" vertical="center" wrapText="1"/>
    </xf>
    <xf numFmtId="44" fontId="10" fillId="0" borderId="13" xfId="0" applyNumberFormat="1" applyFont="1" applyBorder="1"/>
    <xf numFmtId="0" fontId="46" fillId="0" borderId="13" xfId="0" applyFont="1" applyBorder="1"/>
    <xf numFmtId="0" fontId="93" fillId="0" borderId="13" xfId="0" applyFont="1" applyBorder="1" applyAlignment="1">
      <alignment vertical="center" wrapText="1"/>
    </xf>
    <xf numFmtId="0" fontId="93" fillId="25" borderId="13" xfId="0" applyFont="1" applyFill="1" applyBorder="1" applyAlignment="1">
      <alignment vertical="center" wrapText="1"/>
    </xf>
    <xf numFmtId="173" fontId="2" fillId="0" borderId="13" xfId="0" applyNumberFormat="1" applyFont="1" applyBorder="1"/>
    <xf numFmtId="10" fontId="94" fillId="57" borderId="13" xfId="0" applyNumberFormat="1" applyFont="1" applyFill="1" applyBorder="1" applyAlignment="1">
      <alignment horizontal="right" vertical="center" wrapText="1"/>
    </xf>
    <xf numFmtId="168" fontId="2" fillId="0" borderId="13" xfId="0" applyNumberFormat="1" applyFont="1" applyBorder="1"/>
    <xf numFmtId="0" fontId="86" fillId="34" borderId="13" xfId="0" applyFont="1" applyFill="1" applyBorder="1" applyAlignment="1">
      <alignment horizontal="center" vertical="center" wrapText="1"/>
    </xf>
    <xf numFmtId="44" fontId="58" fillId="0" borderId="13" xfId="37" applyNumberFormat="1" applyFont="1" applyBorder="1" applyAlignment="1">
      <alignment horizontal="center" vertical="center"/>
    </xf>
    <xf numFmtId="2" fontId="2" fillId="55" borderId="13" xfId="0" applyNumberFormat="1" applyFont="1" applyFill="1" applyBorder="1" applyAlignment="1">
      <alignment horizontal="center" vertical="center"/>
    </xf>
    <xf numFmtId="2" fontId="86" fillId="34" borderId="13" xfId="0" applyNumberFormat="1" applyFont="1" applyFill="1" applyBorder="1" applyAlignment="1">
      <alignment horizontal="center"/>
    </xf>
    <xf numFmtId="0" fontId="86" fillId="118" borderId="13" xfId="0" applyFont="1" applyFill="1" applyBorder="1" applyAlignment="1">
      <alignment horizontal="center" vertical="center"/>
    </xf>
    <xf numFmtId="0" fontId="86" fillId="119" borderId="13" xfId="0" applyFont="1" applyFill="1" applyBorder="1" applyAlignment="1">
      <alignment horizontal="center" vertical="center"/>
    </xf>
    <xf numFmtId="0" fontId="87" fillId="119" borderId="13" xfId="0" applyFont="1" applyFill="1" applyBorder="1" applyAlignment="1">
      <alignment horizontal="center" vertical="center"/>
    </xf>
    <xf numFmtId="0" fontId="86" fillId="32" borderId="13" xfId="0" applyFont="1" applyFill="1" applyBorder="1" applyAlignment="1">
      <alignment horizontal="center" vertical="center"/>
    </xf>
    <xf numFmtId="0" fontId="87" fillId="32" borderId="13" xfId="0" applyFont="1" applyFill="1" applyBorder="1" applyAlignment="1">
      <alignment horizontal="center" vertical="center"/>
    </xf>
    <xf numFmtId="0" fontId="86" fillId="39" borderId="13" xfId="0" applyFont="1" applyFill="1" applyBorder="1" applyAlignment="1">
      <alignment horizontal="center" vertical="center"/>
    </xf>
    <xf numFmtId="0" fontId="87" fillId="39" borderId="13" xfId="0" applyFont="1" applyFill="1" applyBorder="1" applyAlignment="1">
      <alignment horizontal="center" vertical="center"/>
    </xf>
    <xf numFmtId="0" fontId="86" fillId="38" borderId="13" xfId="0" applyFont="1" applyFill="1" applyBorder="1" applyAlignment="1">
      <alignment horizontal="center" vertical="center"/>
    </xf>
    <xf numFmtId="0" fontId="87" fillId="38" borderId="13" xfId="0" applyFont="1" applyFill="1" applyBorder="1" applyAlignment="1">
      <alignment horizontal="center" vertical="center"/>
    </xf>
    <xf numFmtId="0" fontId="86" fillId="25" borderId="13" xfId="0" applyFont="1" applyFill="1" applyBorder="1" applyAlignment="1">
      <alignment horizontal="center" vertical="center"/>
    </xf>
    <xf numFmtId="0" fontId="87" fillId="25" borderId="13" xfId="0" applyFont="1" applyFill="1" applyBorder="1" applyAlignment="1">
      <alignment horizontal="center" vertical="center"/>
    </xf>
    <xf numFmtId="0" fontId="86" fillId="35" borderId="13" xfId="0" applyFont="1" applyFill="1" applyBorder="1" applyAlignment="1">
      <alignment horizontal="center" vertical="center"/>
    </xf>
    <xf numFmtId="0" fontId="87" fillId="35" borderId="13" xfId="0" applyFont="1" applyFill="1" applyBorder="1" applyAlignment="1">
      <alignment horizontal="center" vertical="center"/>
    </xf>
    <xf numFmtId="0" fontId="86" fillId="41" borderId="13" xfId="0" applyFont="1" applyFill="1" applyBorder="1" applyAlignment="1">
      <alignment horizontal="center" vertical="center"/>
    </xf>
    <xf numFmtId="0" fontId="87" fillId="41" borderId="13" xfId="0" applyFont="1" applyFill="1" applyBorder="1" applyAlignment="1">
      <alignment horizontal="center" vertical="center"/>
    </xf>
    <xf numFmtId="2" fontId="87" fillId="25" borderId="13" xfId="0" applyNumberFormat="1" applyFont="1" applyFill="1" applyBorder="1" applyAlignment="1">
      <alignment horizontal="center"/>
    </xf>
    <xf numFmtId="0" fontId="87" fillId="25" borderId="13" xfId="0" applyFont="1" applyFill="1" applyBorder="1" applyAlignment="1">
      <alignment horizontal="center"/>
    </xf>
    <xf numFmtId="0" fontId="52" fillId="0" borderId="0" xfId="0" applyFont="1" applyAlignment="1">
      <alignment horizontal="center"/>
    </xf>
    <xf numFmtId="0" fontId="47" fillId="0" borderId="0" xfId="0" applyFont="1" applyAlignment="1">
      <alignment horizontal="center"/>
    </xf>
    <xf numFmtId="10" fontId="70" fillId="0" borderId="28" xfId="58" applyNumberFormat="1" applyFont="1" applyFill="1" applyBorder="1" applyAlignment="1">
      <alignment horizontal="center" vertical="center" textRotation="90"/>
    </xf>
    <xf numFmtId="2" fontId="87" fillId="0" borderId="0" xfId="0" applyNumberFormat="1" applyFont="1"/>
    <xf numFmtId="174" fontId="6" fillId="0" borderId="0" xfId="35" applyNumberFormat="1"/>
    <xf numFmtId="49" fontId="60" fillId="0" borderId="50" xfId="37" applyNumberFormat="1" applyFont="1" applyBorder="1" applyAlignment="1">
      <alignment horizontal="center" vertical="center"/>
    </xf>
    <xf numFmtId="44" fontId="60" fillId="0" borderId="13" xfId="52" applyNumberFormat="1" applyFont="1" applyFill="1" applyBorder="1" applyAlignment="1">
      <alignment horizontal="right" vertical="center" wrapText="1"/>
    </xf>
    <xf numFmtId="0" fontId="58" fillId="39" borderId="25" xfId="37" applyFont="1" applyFill="1" applyBorder="1" applyAlignment="1">
      <alignment horizontal="center" vertical="center"/>
    </xf>
    <xf numFmtId="0" fontId="58" fillId="0" borderId="13" xfId="0" applyFont="1" applyBorder="1"/>
    <xf numFmtId="2" fontId="58" fillId="0" borderId="13" xfId="0" applyNumberFormat="1" applyFont="1" applyBorder="1" applyAlignment="1">
      <alignment horizontal="center" vertical="center"/>
    </xf>
    <xf numFmtId="0" fontId="59" fillId="34" borderId="13" xfId="0" applyFont="1" applyFill="1" applyBorder="1" applyAlignment="1">
      <alignment horizontal="center"/>
    </xf>
    <xf numFmtId="2" fontId="59" fillId="34" borderId="13" xfId="0" applyNumberFormat="1" applyFont="1" applyFill="1" applyBorder="1" applyAlignment="1">
      <alignment horizontal="center"/>
    </xf>
    <xf numFmtId="10" fontId="58" fillId="0" borderId="0" xfId="58" applyNumberFormat="1" applyFont="1"/>
    <xf numFmtId="4" fontId="59" fillId="42" borderId="13" xfId="37" applyNumberFormat="1" applyFont="1" applyFill="1" applyBorder="1" applyAlignment="1">
      <alignment horizontal="center"/>
    </xf>
    <xf numFmtId="4" fontId="58" fillId="0" borderId="0" xfId="0" applyNumberFormat="1" applyFont="1"/>
    <xf numFmtId="4" fontId="95" fillId="120" borderId="13" xfId="0" applyNumberFormat="1" applyFont="1" applyFill="1" applyBorder="1" applyAlignment="1">
      <alignment horizontal="center"/>
    </xf>
    <xf numFmtId="0" fontId="86" fillId="120" borderId="61" xfId="0" applyFont="1" applyFill="1" applyBorder="1" applyAlignment="1">
      <alignment horizontal="center" vertical="top"/>
    </xf>
    <xf numFmtId="0" fontId="86" fillId="120" borderId="61" xfId="0" applyFont="1" applyFill="1" applyBorder="1" applyAlignment="1">
      <alignment horizontal="center" vertical="top" wrapText="1"/>
    </xf>
    <xf numFmtId="4" fontId="86" fillId="42" borderId="13" xfId="0" applyNumberFormat="1" applyFont="1" applyFill="1" applyBorder="1"/>
    <xf numFmtId="0" fontId="1" fillId="0" borderId="0" xfId="76"/>
    <xf numFmtId="49" fontId="1" fillId="0" borderId="54" xfId="76" applyNumberFormat="1" applyBorder="1" applyAlignment="1">
      <alignment horizontal="left" vertical="center"/>
    </xf>
    <xf numFmtId="0" fontId="1" fillId="0" borderId="0" xfId="76" applyAlignment="1">
      <alignment vertical="center"/>
    </xf>
    <xf numFmtId="49" fontId="42" fillId="0" borderId="0" xfId="60" applyNumberFormat="1" applyAlignment="1">
      <alignment horizontal="left" vertical="center"/>
    </xf>
    <xf numFmtId="0" fontId="67" fillId="26" borderId="0" xfId="76" applyFont="1" applyFill="1" applyAlignment="1">
      <alignment vertical="center"/>
    </xf>
    <xf numFmtId="0" fontId="1" fillId="26" borderId="0" xfId="76" applyFill="1" applyAlignment="1">
      <alignment vertical="center"/>
    </xf>
    <xf numFmtId="0" fontId="68" fillId="27" borderId="0" xfId="76" applyFont="1" applyFill="1" applyAlignment="1">
      <alignment horizontal="right" vertical="center"/>
    </xf>
    <xf numFmtId="0" fontId="42" fillId="0" borderId="0" xfId="60" applyAlignment="1">
      <alignment vertical="center" wrapText="1"/>
    </xf>
    <xf numFmtId="0" fontId="33" fillId="0" borderId="0" xfId="60" applyFont="1" applyAlignment="1">
      <alignment horizontal="center" vertical="center"/>
    </xf>
    <xf numFmtId="0" fontId="68" fillId="26" borderId="0" xfId="76" applyFont="1" applyFill="1" applyAlignment="1">
      <alignment horizontal="right" vertical="center"/>
    </xf>
    <xf numFmtId="49" fontId="68" fillId="27" borderId="0" xfId="76" applyNumberFormat="1" applyFont="1" applyFill="1" applyAlignment="1">
      <alignment horizontal="center" vertical="center"/>
    </xf>
    <xf numFmtId="0" fontId="69" fillId="0" borderId="0" xfId="60" applyFont="1" applyAlignment="1">
      <alignment horizontal="right" vertical="center"/>
    </xf>
    <xf numFmtId="10" fontId="69" fillId="27" borderId="0" xfId="60" applyNumberFormat="1" applyFont="1" applyFill="1" applyAlignment="1">
      <alignment horizontal="center" vertical="center"/>
    </xf>
    <xf numFmtId="4" fontId="69" fillId="26" borderId="0" xfId="61" applyNumberFormat="1" applyFont="1" applyFill="1" applyAlignment="1">
      <alignment horizontal="right" vertical="center"/>
    </xf>
    <xf numFmtId="49" fontId="62" fillId="28" borderId="13" xfId="60" applyNumberFormat="1" applyFont="1" applyFill="1" applyBorder="1" applyAlignment="1">
      <alignment horizontal="center" vertical="center"/>
    </xf>
    <xf numFmtId="0" fontId="62" fillId="28" borderId="25" xfId="60" applyFont="1" applyFill="1" applyBorder="1" applyAlignment="1">
      <alignment horizontal="center" vertical="center" wrapText="1"/>
    </xf>
    <xf numFmtId="0" fontId="62" fillId="28" borderId="13" xfId="60" applyFont="1" applyFill="1" applyBorder="1" applyAlignment="1">
      <alignment horizontal="center" vertical="center"/>
    </xf>
    <xf numFmtId="4" fontId="62" fillId="28" borderId="13" xfId="60" applyNumberFormat="1" applyFont="1" applyFill="1" applyBorder="1" applyAlignment="1">
      <alignment horizontal="center" vertical="center"/>
    </xf>
    <xf numFmtId="0" fontId="1" fillId="0" borderId="0" xfId="76" applyAlignment="1">
      <alignment horizontal="center" vertical="center"/>
    </xf>
    <xf numFmtId="49" fontId="1" fillId="27" borderId="59" xfId="76" applyNumberFormat="1" applyFill="1" applyBorder="1" applyAlignment="1">
      <alignment horizontal="left" vertical="center"/>
    </xf>
    <xf numFmtId="0" fontId="1" fillId="0" borderId="59" xfId="76" applyBorder="1" applyAlignment="1">
      <alignment vertical="center" wrapText="1"/>
    </xf>
    <xf numFmtId="0" fontId="1" fillId="0" borderId="59" xfId="76" applyBorder="1" applyAlignment="1">
      <alignment horizontal="center" vertical="center"/>
    </xf>
    <xf numFmtId="4" fontId="1" fillId="0" borderId="59" xfId="76" applyNumberFormat="1" applyBorder="1" applyAlignment="1">
      <alignment vertical="center"/>
    </xf>
    <xf numFmtId="0" fontId="1" fillId="0" borderId="54" xfId="76" applyBorder="1" applyAlignment="1">
      <alignment vertical="center" wrapText="1"/>
    </xf>
    <xf numFmtId="0" fontId="1" fillId="0" borderId="54" xfId="76" applyBorder="1" applyAlignment="1">
      <alignment horizontal="center" vertical="center"/>
    </xf>
    <xf numFmtId="4" fontId="1" fillId="0" borderId="54" xfId="76" applyNumberFormat="1" applyBorder="1" applyAlignment="1">
      <alignment vertical="center"/>
    </xf>
    <xf numFmtId="49" fontId="1" fillId="0" borderId="0" xfId="76" applyNumberFormat="1" applyAlignment="1">
      <alignment horizontal="left" vertical="center"/>
    </xf>
    <xf numFmtId="0" fontId="86" fillId="34" borderId="16" xfId="0" applyFont="1" applyFill="1" applyBorder="1" applyAlignment="1">
      <alignment horizontal="center"/>
    </xf>
    <xf numFmtId="0" fontId="86" fillId="34" borderId="24" xfId="0" applyFont="1" applyFill="1" applyBorder="1" applyAlignment="1">
      <alignment horizontal="center"/>
    </xf>
    <xf numFmtId="0" fontId="86" fillId="34" borderId="25" xfId="0" applyFont="1" applyFill="1" applyBorder="1" applyAlignment="1">
      <alignment horizontal="center"/>
    </xf>
    <xf numFmtId="0" fontId="90" fillId="34" borderId="61" xfId="0" applyFont="1" applyFill="1" applyBorder="1" applyAlignment="1">
      <alignment horizontal="center" vertical="top"/>
    </xf>
    <xf numFmtId="0" fontId="90" fillId="34" borderId="61" xfId="0" applyFont="1" applyFill="1" applyBorder="1" applyAlignment="1">
      <alignment horizontal="center" vertical="top" wrapText="1"/>
    </xf>
    <xf numFmtId="10" fontId="5" fillId="0" borderId="0" xfId="58" applyNumberFormat="1" applyFont="1"/>
    <xf numFmtId="10" fontId="5" fillId="42" borderId="0" xfId="58" applyNumberFormat="1" applyFont="1" applyFill="1"/>
    <xf numFmtId="10" fontId="96" fillId="0" borderId="0" xfId="58" applyNumberFormat="1" applyFont="1"/>
    <xf numFmtId="10" fontId="6" fillId="0" borderId="0" xfId="35" applyNumberFormat="1"/>
    <xf numFmtId="10" fontId="5" fillId="37" borderId="0" xfId="58" applyNumberFormat="1" applyFont="1" applyFill="1"/>
    <xf numFmtId="0" fontId="97" fillId="0" borderId="13" xfId="35" applyFont="1" applyBorder="1" applyAlignment="1">
      <alignment horizontal="center" vertical="top"/>
    </xf>
    <xf numFmtId="0" fontId="97" fillId="0" borderId="13" xfId="35" applyFont="1" applyBorder="1" applyAlignment="1">
      <alignment horizontal="center" vertical="top" wrapText="1"/>
    </xf>
    <xf numFmtId="4" fontId="97" fillId="0" borderId="13" xfId="35" applyNumberFormat="1" applyFont="1" applyBorder="1" applyAlignment="1">
      <alignment horizontal="center" vertical="top"/>
    </xf>
    <xf numFmtId="4" fontId="97" fillId="0" borderId="13" xfId="52" applyNumberFormat="1" applyFont="1" applyBorder="1" applyAlignment="1">
      <alignment horizontal="center" vertical="top"/>
    </xf>
    <xf numFmtId="172" fontId="3" fillId="0" borderId="0" xfId="35" applyNumberFormat="1" applyFont="1"/>
    <xf numFmtId="172" fontId="58" fillId="24" borderId="0" xfId="37" applyNumberFormat="1" applyFont="1" applyFill="1" applyAlignment="1">
      <alignment horizontal="center" vertical="center"/>
    </xf>
    <xf numFmtId="4" fontId="58" fillId="121" borderId="13" xfId="37" applyNumberFormat="1" applyFont="1" applyFill="1" applyBorder="1" applyAlignment="1">
      <alignment horizontal="right" vertical="center"/>
    </xf>
    <xf numFmtId="0" fontId="59" fillId="0" borderId="13" xfId="0" applyFont="1" applyBorder="1" applyAlignment="1">
      <alignment horizontal="center" vertical="center"/>
    </xf>
    <xf numFmtId="10" fontId="0" fillId="0" borderId="0" xfId="58" applyNumberFormat="1" applyFont="1"/>
    <xf numFmtId="44" fontId="0" fillId="0" borderId="13" xfId="0" applyNumberFormat="1" applyBorder="1"/>
    <xf numFmtId="0" fontId="61" fillId="121" borderId="13" xfId="35" applyFont="1" applyFill="1" applyBorder="1" applyAlignment="1">
      <alignment horizontal="center" vertical="top" wrapText="1"/>
    </xf>
    <xf numFmtId="49" fontId="61" fillId="121" borderId="13" xfId="35" applyNumberFormat="1" applyFont="1" applyFill="1" applyBorder="1" applyAlignment="1">
      <alignment horizontal="center" vertical="top" wrapText="1"/>
    </xf>
    <xf numFmtId="4" fontId="61" fillId="121" borderId="13" xfId="35" applyNumberFormat="1" applyFont="1" applyFill="1" applyBorder="1" applyAlignment="1">
      <alignment horizontal="center" vertical="top" wrapText="1"/>
    </xf>
    <xf numFmtId="4" fontId="61" fillId="121" borderId="13" xfId="52" applyNumberFormat="1" applyFont="1" applyFill="1" applyBorder="1" applyAlignment="1">
      <alignment horizontal="center" vertical="top" wrapText="1"/>
    </xf>
    <xf numFmtId="0" fontId="58" fillId="0" borderId="13" xfId="0" applyFont="1" applyBorder="1" applyAlignment="1">
      <alignment vertical="center"/>
    </xf>
    <xf numFmtId="0" fontId="58" fillId="0" borderId="13" xfId="0" applyFont="1" applyBorder="1" applyAlignment="1">
      <alignment wrapText="1"/>
    </xf>
    <xf numFmtId="0" fontId="60" fillId="121" borderId="50" xfId="35" applyFont="1" applyFill="1" applyBorder="1" applyAlignment="1">
      <alignment horizontal="center" vertical="center"/>
    </xf>
    <xf numFmtId="49" fontId="60" fillId="121" borderId="50" xfId="37" applyNumberFormat="1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44" fontId="2" fillId="0" borderId="13" xfId="0" applyNumberFormat="1" applyFont="1" applyBorder="1" applyAlignment="1">
      <alignment horizontal="center" vertical="center"/>
    </xf>
    <xf numFmtId="10" fontId="2" fillId="25" borderId="13" xfId="58" applyNumberFormat="1" applyFont="1" applyFill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 wrapText="1"/>
    </xf>
    <xf numFmtId="10" fontId="2" fillId="49" borderId="13" xfId="58" applyNumberFormat="1" applyFont="1" applyFill="1" applyBorder="1" applyAlignment="1">
      <alignment horizontal="center" vertical="center"/>
    </xf>
    <xf numFmtId="44" fontId="61" fillId="39" borderId="27" xfId="0" applyNumberFormat="1" applyFont="1" applyFill="1" applyBorder="1" applyAlignment="1">
      <alignment horizontal="center" vertical="center"/>
    </xf>
    <xf numFmtId="44" fontId="61" fillId="39" borderId="28" xfId="0" applyNumberFormat="1" applyFont="1" applyFill="1" applyBorder="1" applyAlignment="1">
      <alignment horizontal="center" vertical="center"/>
    </xf>
    <xf numFmtId="44" fontId="61" fillId="39" borderId="29" xfId="0" applyNumberFormat="1" applyFont="1" applyFill="1" applyBorder="1" applyAlignment="1">
      <alignment horizontal="center" vertical="center"/>
    </xf>
    <xf numFmtId="0" fontId="79" fillId="38" borderId="27" xfId="0" applyFont="1" applyFill="1" applyBorder="1" applyAlignment="1">
      <alignment horizontal="center" vertical="center"/>
    </xf>
    <xf numFmtId="0" fontId="79" fillId="38" borderId="28" xfId="0" applyFont="1" applyFill="1" applyBorder="1" applyAlignment="1">
      <alignment horizontal="center" vertical="center"/>
    </xf>
    <xf numFmtId="0" fontId="79" fillId="38" borderId="29" xfId="0" applyFont="1" applyFill="1" applyBorder="1" applyAlignment="1">
      <alignment horizontal="center" vertical="center"/>
    </xf>
    <xf numFmtId="0" fontId="61" fillId="39" borderId="27" xfId="0" applyFont="1" applyFill="1" applyBorder="1" applyAlignment="1">
      <alignment horizontal="left" vertical="center" wrapText="1"/>
    </xf>
    <xf numFmtId="0" fontId="61" fillId="39" borderId="28" xfId="0" applyFont="1" applyFill="1" applyBorder="1" applyAlignment="1">
      <alignment horizontal="left" vertical="center" wrapText="1"/>
    </xf>
    <xf numFmtId="0" fontId="61" fillId="39" borderId="29" xfId="0" applyFont="1" applyFill="1" applyBorder="1" applyAlignment="1">
      <alignment horizontal="left" vertical="center" wrapText="1"/>
    </xf>
    <xf numFmtId="44" fontId="61" fillId="39" borderId="27" xfId="0" applyNumberFormat="1" applyFont="1" applyFill="1" applyBorder="1" applyAlignment="1">
      <alignment horizontal="left" vertical="center" wrapText="1"/>
    </xf>
    <xf numFmtId="49" fontId="79" fillId="40" borderId="50" xfId="0" applyNumberFormat="1" applyFont="1" applyFill="1" applyBorder="1" applyAlignment="1">
      <alignment horizontal="center" vertical="center"/>
    </xf>
    <xf numFmtId="49" fontId="79" fillId="40" borderId="16" xfId="0" applyNumberFormat="1" applyFont="1" applyFill="1" applyBorder="1" applyAlignment="1">
      <alignment horizontal="center" vertical="center"/>
    </xf>
    <xf numFmtId="49" fontId="79" fillId="40" borderId="47" xfId="0" applyNumberFormat="1" applyFont="1" applyFill="1" applyBorder="1" applyAlignment="1">
      <alignment horizontal="center" vertical="center"/>
    </xf>
    <xf numFmtId="49" fontId="79" fillId="40" borderId="10" xfId="0" applyNumberFormat="1" applyFont="1" applyFill="1" applyBorder="1" applyAlignment="1">
      <alignment horizontal="center" vertical="center"/>
    </xf>
    <xf numFmtId="49" fontId="79" fillId="40" borderId="49" xfId="0" applyNumberFormat="1" applyFont="1" applyFill="1" applyBorder="1" applyAlignment="1">
      <alignment horizontal="center" vertical="center"/>
    </xf>
    <xf numFmtId="49" fontId="79" fillId="40" borderId="19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3" fillId="0" borderId="0" xfId="0" applyFont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44" fillId="0" borderId="0" xfId="0" applyFont="1" applyAlignment="1">
      <alignment horizontal="center" vertical="center" wrapText="1" readingOrder="1"/>
    </xf>
    <xf numFmtId="0" fontId="38" fillId="0" borderId="0" xfId="0" applyFont="1" applyAlignment="1">
      <alignment horizontal="center" wrapText="1"/>
    </xf>
    <xf numFmtId="0" fontId="39" fillId="0" borderId="0" xfId="0" applyFont="1" applyAlignment="1">
      <alignment horizontal="center" wrapText="1"/>
    </xf>
    <xf numFmtId="0" fontId="40" fillId="0" borderId="0" xfId="0" applyFont="1" applyAlignment="1">
      <alignment horizontal="center" vertical="center"/>
    </xf>
    <xf numFmtId="10" fontId="70" fillId="0" borderId="27" xfId="58" applyNumberFormat="1" applyFont="1" applyFill="1" applyBorder="1" applyAlignment="1">
      <alignment horizontal="center" vertical="center" textRotation="90"/>
    </xf>
    <xf numFmtId="10" fontId="70" fillId="0" borderId="28" xfId="58" applyNumberFormat="1" applyFont="1" applyFill="1" applyBorder="1" applyAlignment="1">
      <alignment horizontal="center" vertical="center" textRotation="90"/>
    </xf>
    <xf numFmtId="10" fontId="70" fillId="0" borderId="27" xfId="58" applyNumberFormat="1" applyFont="1" applyFill="1" applyBorder="1" applyAlignment="1">
      <alignment horizontal="center" vertical="center" textRotation="90" wrapText="1"/>
    </xf>
    <xf numFmtId="10" fontId="70" fillId="0" borderId="28" xfId="58" applyNumberFormat="1" applyFont="1" applyFill="1" applyBorder="1" applyAlignment="1">
      <alignment horizontal="center" vertical="center" textRotation="90" wrapText="1"/>
    </xf>
    <xf numFmtId="10" fontId="70" fillId="0" borderId="29" xfId="58" applyNumberFormat="1" applyFont="1" applyFill="1" applyBorder="1" applyAlignment="1">
      <alignment horizontal="center" vertical="center" textRotation="90" wrapText="1"/>
    </xf>
    <xf numFmtId="0" fontId="52" fillId="0" borderId="0" xfId="0" applyFont="1" applyAlignment="1">
      <alignment horizontal="center"/>
    </xf>
    <xf numFmtId="0" fontId="47" fillId="0" borderId="0" xfId="0" applyFont="1" applyAlignment="1">
      <alignment horizontal="center"/>
    </xf>
    <xf numFmtId="0" fontId="65" fillId="0" borderId="0" xfId="60" applyFont="1" applyAlignment="1">
      <alignment horizontal="center" vertical="center"/>
    </xf>
    <xf numFmtId="0" fontId="7" fillId="0" borderId="0" xfId="60" applyFont="1" applyAlignment="1">
      <alignment horizontal="center" vertical="center"/>
    </xf>
    <xf numFmtId="0" fontId="66" fillId="27" borderId="0" xfId="60" applyFont="1" applyFill="1" applyAlignment="1">
      <alignment horizontal="center" vertical="center"/>
    </xf>
    <xf numFmtId="0" fontId="47" fillId="0" borderId="16" xfId="0" applyFont="1" applyBorder="1" applyAlignment="1">
      <alignment horizontal="left"/>
    </xf>
    <xf numFmtId="0" fontId="47" fillId="0" borderId="24" xfId="0" applyFont="1" applyBorder="1" applyAlignment="1">
      <alignment horizontal="left"/>
    </xf>
    <xf numFmtId="0" fontId="47" fillId="0" borderId="25" xfId="0" applyFont="1" applyBorder="1" applyAlignment="1">
      <alignment horizontal="left"/>
    </xf>
    <xf numFmtId="0" fontId="0" fillId="0" borderId="0" xfId="0" applyAlignment="1">
      <alignment horizontal="center"/>
    </xf>
    <xf numFmtId="0" fontId="76" fillId="31" borderId="16" xfId="0" applyFont="1" applyFill="1" applyBorder="1" applyAlignment="1">
      <alignment horizontal="center" vertical="justify" wrapText="1"/>
    </xf>
    <xf numFmtId="0" fontId="76" fillId="31" borderId="24" xfId="0" applyFont="1" applyFill="1" applyBorder="1" applyAlignment="1">
      <alignment horizontal="center" vertical="justify" wrapText="1"/>
    </xf>
    <xf numFmtId="0" fontId="76" fillId="31" borderId="25" xfId="0" applyFont="1" applyFill="1" applyBorder="1" applyAlignment="1">
      <alignment horizontal="center" vertical="justify" wrapText="1"/>
    </xf>
    <xf numFmtId="0" fontId="47" fillId="0" borderId="0" xfId="0" applyFont="1" applyAlignment="1">
      <alignment horizontal="left" vertical="center"/>
    </xf>
    <xf numFmtId="0" fontId="47" fillId="0" borderId="0" xfId="0" applyFont="1" applyAlignment="1">
      <alignment horizontal="left" vertical="center" wrapText="1"/>
    </xf>
    <xf numFmtId="0" fontId="49" fillId="34" borderId="58" xfId="0" applyFont="1" applyFill="1" applyBorder="1" applyAlignment="1">
      <alignment horizontal="center" vertical="center" wrapText="1"/>
    </xf>
    <xf numFmtId="0" fontId="50" fillId="34" borderId="56" xfId="0" applyFont="1" applyFill="1" applyBorder="1" applyAlignment="1">
      <alignment horizontal="center" vertical="center" wrapText="1"/>
    </xf>
    <xf numFmtId="0" fontId="50" fillId="34" borderId="57" xfId="0" applyFont="1" applyFill="1" applyBorder="1" applyAlignment="1">
      <alignment horizontal="center" vertical="center" wrapText="1"/>
    </xf>
    <xf numFmtId="0" fontId="46" fillId="34" borderId="16" xfId="0" applyFont="1" applyFill="1" applyBorder="1" applyAlignment="1">
      <alignment horizontal="left"/>
    </xf>
    <xf numFmtId="0" fontId="46" fillId="34" borderId="24" xfId="0" applyFont="1" applyFill="1" applyBorder="1" applyAlignment="1">
      <alignment horizontal="left"/>
    </xf>
    <xf numFmtId="0" fontId="46" fillId="34" borderId="25" xfId="0" applyFont="1" applyFill="1" applyBorder="1" applyAlignment="1">
      <alignment horizontal="left"/>
    </xf>
    <xf numFmtId="4" fontId="47" fillId="34" borderId="16" xfId="0" applyNumberFormat="1" applyFont="1" applyFill="1" applyBorder="1" applyAlignment="1">
      <alignment horizontal="center"/>
    </xf>
    <xf numFmtId="4" fontId="47" fillId="34" borderId="25" xfId="0" applyNumberFormat="1" applyFont="1" applyFill="1" applyBorder="1" applyAlignment="1">
      <alignment horizontal="center"/>
    </xf>
    <xf numFmtId="0" fontId="47" fillId="34" borderId="16" xfId="0" applyFont="1" applyFill="1" applyBorder="1" applyAlignment="1">
      <alignment horizontal="left"/>
    </xf>
    <xf numFmtId="0" fontId="47" fillId="34" borderId="24" xfId="0" applyFont="1" applyFill="1" applyBorder="1" applyAlignment="1">
      <alignment horizontal="left"/>
    </xf>
    <xf numFmtId="0" fontId="47" fillId="34" borderId="25" xfId="0" applyFont="1" applyFill="1" applyBorder="1" applyAlignment="1">
      <alignment horizontal="left"/>
    </xf>
    <xf numFmtId="0" fontId="52" fillId="34" borderId="0" xfId="0" applyFont="1" applyFill="1" applyAlignment="1">
      <alignment horizontal="center"/>
    </xf>
    <xf numFmtId="49" fontId="0" fillId="33" borderId="35" xfId="0" applyNumberFormat="1" applyFill="1" applyBorder="1" applyAlignment="1">
      <alignment horizontal="left" vertical="center" wrapText="1"/>
    </xf>
    <xf numFmtId="49" fontId="0" fillId="33" borderId="36" xfId="0" applyNumberFormat="1" applyFill="1" applyBorder="1" applyAlignment="1">
      <alignment horizontal="left" vertical="center" wrapText="1"/>
    </xf>
    <xf numFmtId="49" fontId="0" fillId="33" borderId="37" xfId="0" applyNumberFormat="1" applyFill="1" applyBorder="1" applyAlignment="1">
      <alignment horizontal="left" vertical="center" wrapText="1"/>
    </xf>
    <xf numFmtId="49" fontId="0" fillId="33" borderId="38" xfId="0" applyNumberFormat="1" applyFill="1" applyBorder="1" applyAlignment="1">
      <alignment horizontal="left" vertical="center" wrapText="1"/>
    </xf>
    <xf numFmtId="49" fontId="0" fillId="33" borderId="0" xfId="0" applyNumberFormat="1" applyFill="1" applyAlignment="1">
      <alignment horizontal="left" vertical="center" wrapText="1"/>
    </xf>
    <xf numFmtId="49" fontId="0" fillId="33" borderId="39" xfId="0" applyNumberFormat="1" applyFill="1" applyBorder="1" applyAlignment="1">
      <alignment horizontal="left" vertical="center" wrapText="1"/>
    </xf>
    <xf numFmtId="49" fontId="0" fillId="33" borderId="40" xfId="0" applyNumberFormat="1" applyFill="1" applyBorder="1" applyAlignment="1">
      <alignment horizontal="left" vertical="center" wrapText="1"/>
    </xf>
    <xf numFmtId="49" fontId="0" fillId="33" borderId="41" xfId="0" applyNumberFormat="1" applyFill="1" applyBorder="1" applyAlignment="1">
      <alignment horizontal="left" vertical="center" wrapText="1"/>
    </xf>
    <xf numFmtId="49" fontId="0" fillId="33" borderId="42" xfId="0" applyNumberFormat="1" applyFill="1" applyBorder="1" applyAlignment="1">
      <alignment horizontal="left" vertical="center" wrapText="1"/>
    </xf>
    <xf numFmtId="0" fontId="53" fillId="33" borderId="52" xfId="0" applyFont="1" applyFill="1" applyBorder="1" applyAlignment="1">
      <alignment horizontal="center" vertical="center"/>
    </xf>
    <xf numFmtId="0" fontId="53" fillId="33" borderId="24" xfId="0" applyFont="1" applyFill="1" applyBorder="1" applyAlignment="1">
      <alignment horizontal="center" vertical="center"/>
    </xf>
    <xf numFmtId="0" fontId="53" fillId="33" borderId="25" xfId="0" applyFont="1" applyFill="1" applyBorder="1" applyAlignment="1">
      <alignment horizontal="center" vertical="center"/>
    </xf>
    <xf numFmtId="0" fontId="71" fillId="56" borderId="14" xfId="35" applyFont="1" applyFill="1" applyBorder="1" applyAlignment="1">
      <alignment horizontal="center"/>
    </xf>
    <xf numFmtId="0" fontId="71" fillId="56" borderId="17" xfId="35" applyFont="1" applyFill="1" applyBorder="1" applyAlignment="1">
      <alignment horizontal="center"/>
    </xf>
    <xf numFmtId="0" fontId="64" fillId="56" borderId="17" xfId="37" applyFont="1" applyFill="1" applyBorder="1" applyAlignment="1">
      <alignment horizontal="left" wrapText="1"/>
    </xf>
    <xf numFmtId="0" fontId="5" fillId="0" borderId="43" xfId="37" applyFont="1" applyBorder="1" applyAlignment="1">
      <alignment horizontal="center" vertical="center" wrapText="1"/>
    </xf>
    <xf numFmtId="0" fontId="5" fillId="0" borderId="44" xfId="37" applyFont="1" applyBorder="1" applyAlignment="1">
      <alignment horizontal="center" vertical="center" wrapText="1"/>
    </xf>
    <xf numFmtId="0" fontId="5" fillId="0" borderId="45" xfId="37" applyFont="1" applyBorder="1" applyAlignment="1">
      <alignment horizontal="center" vertical="center" wrapText="1"/>
    </xf>
    <xf numFmtId="0" fontId="5" fillId="0" borderId="46" xfId="37" applyFont="1" applyBorder="1" applyAlignment="1">
      <alignment horizontal="center" vertical="center" wrapText="1"/>
    </xf>
    <xf numFmtId="0" fontId="5" fillId="0" borderId="0" xfId="37" applyFont="1" applyAlignment="1">
      <alignment horizontal="center" vertical="center" wrapText="1"/>
    </xf>
    <xf numFmtId="0" fontId="5" fillId="0" borderId="15" xfId="37" applyFont="1" applyBorder="1" applyAlignment="1">
      <alignment horizontal="center" vertical="center" wrapText="1"/>
    </xf>
    <xf numFmtId="0" fontId="5" fillId="0" borderId="47" xfId="37" applyFont="1" applyBorder="1" applyAlignment="1">
      <alignment horizontal="center" vertical="center" wrapText="1"/>
    </xf>
    <xf numFmtId="0" fontId="5" fillId="0" borderId="10" xfId="37" applyFont="1" applyBorder="1" applyAlignment="1">
      <alignment horizontal="center" vertical="center" wrapText="1"/>
    </xf>
    <xf numFmtId="0" fontId="5" fillId="0" borderId="48" xfId="37" applyFont="1" applyBorder="1" applyAlignment="1">
      <alignment horizontal="center" vertical="center" wrapText="1"/>
    </xf>
    <xf numFmtId="0" fontId="35" fillId="0" borderId="43" xfId="37" applyFont="1" applyBorder="1" applyAlignment="1">
      <alignment horizontal="left" vertical="center" wrapText="1"/>
    </xf>
    <xf numFmtId="0" fontId="36" fillId="0" borderId="44" xfId="37" applyFont="1" applyBorder="1" applyAlignment="1">
      <alignment horizontal="left" vertical="center" wrapText="1"/>
    </xf>
    <xf numFmtId="0" fontId="36" fillId="0" borderId="45" xfId="37" applyFont="1" applyBorder="1" applyAlignment="1">
      <alignment horizontal="left" vertical="center" wrapText="1"/>
    </xf>
    <xf numFmtId="0" fontId="33" fillId="0" borderId="46" xfId="37" applyFont="1" applyBorder="1" applyAlignment="1">
      <alignment horizontal="left" vertical="center" wrapText="1"/>
    </xf>
    <xf numFmtId="0" fontId="33" fillId="0" borderId="0" xfId="37" applyFont="1" applyAlignment="1">
      <alignment horizontal="left" vertical="center" wrapText="1"/>
    </xf>
    <xf numFmtId="0" fontId="33" fillId="0" borderId="15" xfId="37" applyFont="1" applyBorder="1" applyAlignment="1">
      <alignment horizontal="left" vertical="center" wrapText="1"/>
    </xf>
    <xf numFmtId="0" fontId="10" fillId="0" borderId="46" xfId="37" applyFont="1" applyBorder="1" applyAlignment="1">
      <alignment horizontal="left" vertical="center" wrapText="1"/>
    </xf>
    <xf numFmtId="0" fontId="2" fillId="0" borderId="0" xfId="37" applyFont="1" applyAlignment="1">
      <alignment horizontal="left" vertical="center" wrapText="1"/>
    </xf>
    <xf numFmtId="0" fontId="2" fillId="0" borderId="15" xfId="37" applyFont="1" applyBorder="1" applyAlignment="1">
      <alignment horizontal="left" vertical="center" wrapText="1"/>
    </xf>
    <xf numFmtId="0" fontId="10" fillId="0" borderId="0" xfId="37" applyFont="1" applyAlignment="1">
      <alignment horizontal="left" vertical="center" wrapText="1"/>
    </xf>
    <xf numFmtId="0" fontId="10" fillId="0" borderId="20" xfId="37" applyFont="1" applyBorder="1" applyAlignment="1">
      <alignment horizontal="left" vertical="center" wrapText="1"/>
    </xf>
    <xf numFmtId="49" fontId="7" fillId="0" borderId="47" xfId="37" applyNumberFormat="1" applyFont="1" applyBorder="1" applyAlignment="1">
      <alignment horizontal="left" vertical="center" wrapText="1"/>
    </xf>
    <xf numFmtId="49" fontId="7" fillId="0" borderId="10" xfId="37" applyNumberFormat="1" applyFont="1" applyBorder="1" applyAlignment="1">
      <alignment horizontal="left" vertical="center" wrapText="1"/>
    </xf>
    <xf numFmtId="49" fontId="7" fillId="0" borderId="21" xfId="37" applyNumberFormat="1" applyFont="1" applyBorder="1" applyAlignment="1">
      <alignment horizontal="left" vertical="center" wrapText="1"/>
    </xf>
    <xf numFmtId="0" fontId="52" fillId="32" borderId="0" xfId="0" applyFont="1" applyFill="1" applyAlignment="1">
      <alignment horizontal="center"/>
    </xf>
    <xf numFmtId="49" fontId="0" fillId="35" borderId="35" xfId="0" applyNumberFormat="1" applyFill="1" applyBorder="1" applyAlignment="1">
      <alignment horizontal="left" vertical="center" wrapText="1"/>
    </xf>
    <xf numFmtId="49" fontId="0" fillId="35" borderId="36" xfId="0" applyNumberFormat="1" applyFill="1" applyBorder="1" applyAlignment="1">
      <alignment horizontal="left" vertical="center" wrapText="1"/>
    </xf>
    <xf numFmtId="49" fontId="0" fillId="35" borderId="37" xfId="0" applyNumberFormat="1" applyFill="1" applyBorder="1" applyAlignment="1">
      <alignment horizontal="left" vertical="center" wrapText="1"/>
    </xf>
    <xf numFmtId="49" fontId="0" fillId="35" borderId="38" xfId="0" applyNumberFormat="1" applyFill="1" applyBorder="1" applyAlignment="1">
      <alignment horizontal="left" vertical="center" wrapText="1"/>
    </xf>
    <xf numFmtId="49" fontId="0" fillId="35" borderId="0" xfId="0" applyNumberFormat="1" applyFill="1" applyAlignment="1">
      <alignment horizontal="left" vertical="center" wrapText="1"/>
    </xf>
    <xf numFmtId="49" fontId="0" fillId="35" borderId="39" xfId="0" applyNumberFormat="1" applyFill="1" applyBorder="1" applyAlignment="1">
      <alignment horizontal="left" vertical="center" wrapText="1"/>
    </xf>
    <xf numFmtId="49" fontId="0" fillId="35" borderId="40" xfId="0" applyNumberFormat="1" applyFill="1" applyBorder="1" applyAlignment="1">
      <alignment horizontal="left" vertical="center" wrapText="1"/>
    </xf>
    <xf numFmtId="49" fontId="0" fillId="35" borderId="41" xfId="0" applyNumberFormat="1" applyFill="1" applyBorder="1" applyAlignment="1">
      <alignment horizontal="left" vertical="center" wrapText="1"/>
    </xf>
    <xf numFmtId="49" fontId="0" fillId="35" borderId="42" xfId="0" applyNumberFormat="1" applyFill="1" applyBorder="1" applyAlignment="1">
      <alignment horizontal="left" vertical="center" wrapText="1"/>
    </xf>
    <xf numFmtId="0" fontId="10" fillId="30" borderId="16" xfId="0" applyFont="1" applyFill="1" applyBorder="1" applyAlignment="1">
      <alignment horizontal="left"/>
    </xf>
    <xf numFmtId="0" fontId="10" fillId="30" borderId="24" xfId="0" applyFont="1" applyFill="1" applyBorder="1" applyAlignment="1">
      <alignment horizontal="left"/>
    </xf>
    <xf numFmtId="0" fontId="10" fillId="30" borderId="25" xfId="0" applyFont="1" applyFill="1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left"/>
    </xf>
    <xf numFmtId="0" fontId="53" fillId="35" borderId="46" xfId="0" applyFont="1" applyFill="1" applyBorder="1" applyAlignment="1">
      <alignment horizontal="center" vertical="center"/>
    </xf>
    <xf numFmtId="0" fontId="53" fillId="35" borderId="0" xfId="0" applyFont="1" applyFill="1" applyAlignment="1">
      <alignment horizontal="center" vertical="center"/>
    </xf>
    <xf numFmtId="0" fontId="49" fillId="32" borderId="0" xfId="0" applyFont="1" applyFill="1" applyAlignment="1">
      <alignment horizontal="center" vertical="center" wrapText="1"/>
    </xf>
    <xf numFmtId="0" fontId="50" fillId="32" borderId="0" xfId="0" applyFont="1" applyFill="1" applyAlignment="1">
      <alignment horizontal="center" vertical="center" wrapText="1"/>
    </xf>
    <xf numFmtId="4" fontId="48" fillId="30" borderId="16" xfId="0" applyNumberFormat="1" applyFont="1" applyFill="1" applyBorder="1" applyAlignment="1">
      <alignment horizontal="center"/>
    </xf>
    <xf numFmtId="4" fontId="48" fillId="30" borderId="25" xfId="0" applyNumberFormat="1" applyFont="1" applyFill="1" applyBorder="1" applyAlignment="1">
      <alignment horizontal="center"/>
    </xf>
    <xf numFmtId="0" fontId="0" fillId="30" borderId="16" xfId="0" applyFill="1" applyBorder="1" applyAlignment="1">
      <alignment horizontal="left"/>
    </xf>
    <xf numFmtId="0" fontId="0" fillId="30" borderId="24" xfId="0" applyFill="1" applyBorder="1" applyAlignment="1">
      <alignment horizontal="left"/>
    </xf>
    <xf numFmtId="0" fontId="0" fillId="30" borderId="25" xfId="0" applyFill="1" applyBorder="1" applyAlignment="1">
      <alignment horizontal="left"/>
    </xf>
    <xf numFmtId="0" fontId="52" fillId="30" borderId="16" xfId="0" applyFont="1" applyFill="1" applyBorder="1" applyAlignment="1">
      <alignment horizontal="center" vertical="justify" wrapText="1"/>
    </xf>
    <xf numFmtId="0" fontId="52" fillId="30" borderId="24" xfId="0" applyFont="1" applyFill="1" applyBorder="1" applyAlignment="1">
      <alignment horizontal="center" vertical="justify" wrapText="1"/>
    </xf>
    <xf numFmtId="0" fontId="52" fillId="30" borderId="25" xfId="0" applyFont="1" applyFill="1" applyBorder="1" applyAlignment="1">
      <alignment horizontal="center" vertical="justify" wrapText="1"/>
    </xf>
    <xf numFmtId="49" fontId="97" fillId="0" borderId="13" xfId="35" applyNumberFormat="1" applyFont="1" applyBorder="1" applyAlignment="1">
      <alignment horizontal="center" vertical="top"/>
    </xf>
    <xf numFmtId="0" fontId="60" fillId="0" borderId="0" xfId="35" applyFont="1" applyAlignment="1">
      <alignment horizontal="center" vertical="center"/>
    </xf>
    <xf numFmtId="0" fontId="71" fillId="38" borderId="14" xfId="35" applyFont="1" applyFill="1" applyBorder="1" applyAlignment="1">
      <alignment horizontal="center"/>
    </xf>
    <xf numFmtId="0" fontId="71" fillId="38" borderId="17" xfId="35" applyFont="1" applyFill="1" applyBorder="1" applyAlignment="1">
      <alignment horizontal="center"/>
    </xf>
    <xf numFmtId="0" fontId="64" fillId="38" borderId="17" xfId="37" applyFont="1" applyFill="1" applyBorder="1" applyAlignment="1">
      <alignment horizontal="left" wrapText="1"/>
    </xf>
    <xf numFmtId="0" fontId="78" fillId="0" borderId="0" xfId="35" applyFont="1" applyAlignment="1">
      <alignment horizontal="center"/>
    </xf>
    <xf numFmtId="0" fontId="77" fillId="0" borderId="0" xfId="35" applyFont="1" applyAlignment="1">
      <alignment horizontal="center" vertical="center"/>
    </xf>
    <xf numFmtId="0" fontId="42" fillId="0" borderId="0" xfId="35" applyFont="1" applyAlignment="1">
      <alignment horizontal="center" vertical="center"/>
    </xf>
    <xf numFmtId="0" fontId="59" fillId="121" borderId="13" xfId="0" applyFont="1" applyFill="1" applyBorder="1" applyAlignment="1">
      <alignment horizontal="center"/>
    </xf>
    <xf numFmtId="0" fontId="86" fillId="34" borderId="13" xfId="0" applyFont="1" applyFill="1" applyBorder="1" applyAlignment="1">
      <alignment horizontal="center" vertical="center"/>
    </xf>
    <xf numFmtId="0" fontId="86" fillId="34" borderId="16" xfId="0" applyFont="1" applyFill="1" applyBorder="1" applyAlignment="1">
      <alignment horizontal="center" vertical="center"/>
    </xf>
    <xf numFmtId="0" fontId="86" fillId="34" borderId="24" xfId="0" applyFont="1" applyFill="1" applyBorder="1" applyAlignment="1">
      <alignment horizontal="center" vertical="center"/>
    </xf>
    <xf numFmtId="0" fontId="86" fillId="34" borderId="25" xfId="0" applyFont="1" applyFill="1" applyBorder="1" applyAlignment="1">
      <alignment horizontal="center" vertical="center"/>
    </xf>
    <xf numFmtId="0" fontId="86" fillId="34" borderId="16" xfId="0" applyFont="1" applyFill="1" applyBorder="1" applyAlignment="1">
      <alignment horizontal="center"/>
    </xf>
    <xf numFmtId="0" fontId="86" fillId="34" borderId="24" xfId="0" applyFont="1" applyFill="1" applyBorder="1" applyAlignment="1">
      <alignment horizontal="center"/>
    </xf>
    <xf numFmtId="0" fontId="86" fillId="34" borderId="25" xfId="0" applyFont="1" applyFill="1" applyBorder="1" applyAlignment="1">
      <alignment horizontal="center"/>
    </xf>
    <xf numFmtId="0" fontId="86" fillId="34" borderId="13" xfId="0" applyFont="1" applyFill="1" applyBorder="1" applyAlignment="1">
      <alignment horizontal="center"/>
    </xf>
    <xf numFmtId="0" fontId="10" fillId="34" borderId="13" xfId="0" applyFont="1" applyFill="1" applyBorder="1" applyAlignment="1">
      <alignment horizontal="center" vertical="center"/>
    </xf>
    <xf numFmtId="0" fontId="10" fillId="34" borderId="16" xfId="0" applyFont="1" applyFill="1" applyBorder="1" applyAlignment="1">
      <alignment horizontal="center" vertical="center"/>
    </xf>
    <xf numFmtId="0" fontId="10" fillId="34" borderId="24" xfId="0" applyFont="1" applyFill="1" applyBorder="1" applyAlignment="1">
      <alignment horizontal="center" vertical="center"/>
    </xf>
    <xf numFmtId="0" fontId="10" fillId="34" borderId="25" xfId="0" applyFont="1" applyFill="1" applyBorder="1" applyAlignment="1">
      <alignment horizontal="center" vertical="center"/>
    </xf>
    <xf numFmtId="0" fontId="10" fillId="34" borderId="16" xfId="0" applyFont="1" applyFill="1" applyBorder="1" applyAlignment="1">
      <alignment horizontal="center" vertical="center" wrapText="1"/>
    </xf>
    <xf numFmtId="0" fontId="10" fillId="34" borderId="25" xfId="0" applyFont="1" applyFill="1" applyBorder="1" applyAlignment="1">
      <alignment horizontal="center" vertical="center" wrapText="1"/>
    </xf>
    <xf numFmtId="0" fontId="86" fillId="33" borderId="16" xfId="0" applyFont="1" applyFill="1" applyBorder="1" applyAlignment="1">
      <alignment horizontal="center" vertical="center"/>
    </xf>
    <xf numFmtId="0" fontId="86" fillId="33" borderId="24" xfId="0" applyFont="1" applyFill="1" applyBorder="1" applyAlignment="1">
      <alignment horizontal="center" vertical="center"/>
    </xf>
    <xf numFmtId="0" fontId="86" fillId="33" borderId="25" xfId="0" applyFont="1" applyFill="1" applyBorder="1" applyAlignment="1">
      <alignment horizontal="center" vertical="center"/>
    </xf>
    <xf numFmtId="0" fontId="86" fillId="33" borderId="13" xfId="0" applyFont="1" applyFill="1" applyBorder="1" applyAlignment="1">
      <alignment horizontal="center" vertical="center"/>
    </xf>
    <xf numFmtId="0" fontId="86" fillId="33" borderId="16" xfId="0" applyFont="1" applyFill="1" applyBorder="1" applyAlignment="1">
      <alignment horizontal="center"/>
    </xf>
    <xf numFmtId="0" fontId="86" fillId="33" borderId="24" xfId="0" applyFont="1" applyFill="1" applyBorder="1" applyAlignment="1">
      <alignment horizontal="center"/>
    </xf>
    <xf numFmtId="0" fontId="86" fillId="33" borderId="25" xfId="0" applyFont="1" applyFill="1" applyBorder="1" applyAlignment="1">
      <alignment horizontal="center"/>
    </xf>
    <xf numFmtId="0" fontId="90" fillId="34" borderId="13" xfId="0" applyFont="1" applyFill="1" applyBorder="1" applyAlignment="1">
      <alignment horizontal="center"/>
    </xf>
    <xf numFmtId="0" fontId="85" fillId="0" borderId="13" xfId="0" applyFont="1" applyBorder="1" applyAlignment="1">
      <alignment horizontal="center" vertical="center"/>
    </xf>
    <xf numFmtId="0" fontId="86" fillId="25" borderId="16" xfId="0" applyFont="1" applyFill="1" applyBorder="1" applyAlignment="1">
      <alignment horizontal="center" vertical="center"/>
    </xf>
    <xf numFmtId="0" fontId="86" fillId="25" borderId="24" xfId="0" applyFont="1" applyFill="1" applyBorder="1" applyAlignment="1">
      <alignment horizontal="center" vertical="center"/>
    </xf>
    <xf numFmtId="0" fontId="86" fillId="25" borderId="25" xfId="0" applyFont="1" applyFill="1" applyBorder="1" applyAlignment="1">
      <alignment horizontal="center" vertical="center"/>
    </xf>
    <xf numFmtId="0" fontId="10" fillId="30" borderId="13" xfId="0" applyFont="1" applyFill="1" applyBorder="1" applyAlignment="1">
      <alignment horizontal="center"/>
    </xf>
    <xf numFmtId="0" fontId="10" fillId="30" borderId="16" xfId="0" applyFont="1" applyFill="1" applyBorder="1" applyAlignment="1">
      <alignment horizontal="center" vertical="center"/>
    </xf>
    <xf numFmtId="0" fontId="10" fillId="30" borderId="24" xfId="0" applyFont="1" applyFill="1" applyBorder="1" applyAlignment="1">
      <alignment horizontal="center" vertical="center"/>
    </xf>
    <xf numFmtId="0" fontId="10" fillId="30" borderId="25" xfId="0" applyFont="1" applyFill="1" applyBorder="1" applyAlignment="1">
      <alignment horizontal="center" vertical="center"/>
    </xf>
    <xf numFmtId="0" fontId="10" fillId="30" borderId="13" xfId="0" applyFont="1" applyFill="1" applyBorder="1" applyAlignment="1">
      <alignment horizontal="center" vertical="center"/>
    </xf>
    <xf numFmtId="0" fontId="10" fillId="32" borderId="13" xfId="0" applyFont="1" applyFill="1" applyBorder="1" applyAlignment="1">
      <alignment horizontal="center"/>
    </xf>
    <xf numFmtId="0" fontId="10" fillId="32" borderId="16" xfId="0" applyFont="1" applyFill="1" applyBorder="1" applyAlignment="1">
      <alignment horizontal="center" vertical="center"/>
    </xf>
    <xf numFmtId="0" fontId="10" fillId="32" borderId="24" xfId="0" applyFont="1" applyFill="1" applyBorder="1" applyAlignment="1">
      <alignment horizontal="center" vertical="center"/>
    </xf>
    <xf numFmtId="0" fontId="10" fillId="32" borderId="25" xfId="0" applyFont="1" applyFill="1" applyBorder="1" applyAlignment="1">
      <alignment horizontal="center" vertical="center"/>
    </xf>
    <xf numFmtId="0" fontId="10" fillId="39" borderId="13" xfId="0" applyFont="1" applyFill="1" applyBorder="1" applyAlignment="1">
      <alignment horizontal="center"/>
    </xf>
    <xf numFmtId="0" fontId="2" fillId="25" borderId="13" xfId="0" applyFont="1" applyFill="1" applyBorder="1" applyAlignment="1">
      <alignment horizontal="center"/>
    </xf>
    <xf numFmtId="0" fontId="10" fillId="32" borderId="16" xfId="0" applyFont="1" applyFill="1" applyBorder="1" applyAlignment="1">
      <alignment horizontal="center"/>
    </xf>
    <xf numFmtId="0" fontId="10" fillId="32" borderId="24" xfId="0" applyFont="1" applyFill="1" applyBorder="1" applyAlignment="1">
      <alignment horizontal="center"/>
    </xf>
    <xf numFmtId="0" fontId="10" fillId="32" borderId="25" xfId="0" applyFont="1" applyFill="1" applyBorder="1" applyAlignment="1">
      <alignment horizontal="center"/>
    </xf>
    <xf numFmtId="0" fontId="86" fillId="34" borderId="13" xfId="0" applyFont="1" applyFill="1" applyBorder="1" applyAlignment="1">
      <alignment horizontal="center" vertical="top"/>
    </xf>
    <xf numFmtId="0" fontId="10" fillId="34" borderId="13" xfId="0" applyFont="1" applyFill="1" applyBorder="1" applyAlignment="1">
      <alignment horizontal="center"/>
    </xf>
    <xf numFmtId="0" fontId="10" fillId="32" borderId="13" xfId="0" applyFont="1" applyFill="1" applyBorder="1" applyAlignment="1">
      <alignment horizontal="center" vertical="center"/>
    </xf>
    <xf numFmtId="0" fontId="10" fillId="32" borderId="16" xfId="0" applyFont="1" applyFill="1" applyBorder="1" applyAlignment="1">
      <alignment horizontal="left" vertical="top"/>
    </xf>
    <xf numFmtId="0" fontId="10" fillId="32" borderId="24" xfId="0" applyFont="1" applyFill="1" applyBorder="1" applyAlignment="1">
      <alignment horizontal="left" vertical="top"/>
    </xf>
    <xf numFmtId="0" fontId="10" fillId="32" borderId="25" xfId="0" applyFont="1" applyFill="1" applyBorder="1" applyAlignment="1">
      <alignment horizontal="left" vertical="top"/>
    </xf>
    <xf numFmtId="0" fontId="10" fillId="32" borderId="13" xfId="0" applyFont="1" applyFill="1" applyBorder="1" applyAlignment="1">
      <alignment horizontal="center" vertical="top"/>
    </xf>
    <xf numFmtId="0" fontId="10" fillId="32" borderId="13" xfId="0" applyFont="1" applyFill="1" applyBorder="1" applyAlignment="1">
      <alignment horizontal="center" vertical="top" wrapText="1"/>
    </xf>
    <xf numFmtId="0" fontId="95" fillId="120" borderId="16" xfId="0" applyFont="1" applyFill="1" applyBorder="1" applyAlignment="1">
      <alignment horizontal="left" vertical="center"/>
    </xf>
    <xf numFmtId="0" fontId="95" fillId="120" borderId="24" xfId="0" applyFont="1" applyFill="1" applyBorder="1" applyAlignment="1">
      <alignment horizontal="left" vertical="center"/>
    </xf>
    <xf numFmtId="0" fontId="95" fillId="120" borderId="25" xfId="0" applyFont="1" applyFill="1" applyBorder="1" applyAlignment="1">
      <alignment horizontal="left" vertical="center"/>
    </xf>
    <xf numFmtId="0" fontId="59" fillId="34" borderId="16" xfId="0" applyFont="1" applyFill="1" applyBorder="1" applyAlignment="1">
      <alignment horizontal="left"/>
    </xf>
    <xf numFmtId="0" fontId="59" fillId="34" borderId="24" xfId="0" applyFont="1" applyFill="1" applyBorder="1" applyAlignment="1">
      <alignment horizontal="left"/>
    </xf>
    <xf numFmtId="0" fontId="59" fillId="34" borderId="25" xfId="0" applyFont="1" applyFill="1" applyBorder="1" applyAlignment="1">
      <alignment horizontal="left"/>
    </xf>
    <xf numFmtId="0" fontId="95" fillId="120" borderId="13" xfId="0" applyFont="1" applyFill="1" applyBorder="1" applyAlignment="1">
      <alignment horizontal="center" vertical="center"/>
    </xf>
    <xf numFmtId="0" fontId="86" fillId="42" borderId="13" xfId="0" applyFont="1" applyFill="1" applyBorder="1" applyAlignment="1">
      <alignment horizontal="left"/>
    </xf>
    <xf numFmtId="0" fontId="95" fillId="42" borderId="16" xfId="0" applyFont="1" applyFill="1" applyBorder="1" applyAlignment="1">
      <alignment horizontal="center"/>
    </xf>
    <xf numFmtId="0" fontId="95" fillId="42" borderId="24" xfId="0" applyFont="1" applyFill="1" applyBorder="1" applyAlignment="1">
      <alignment horizontal="center"/>
    </xf>
    <xf numFmtId="0" fontId="95" fillId="42" borderId="25" xfId="0" applyFont="1" applyFill="1" applyBorder="1" applyAlignment="1">
      <alignment horizontal="center"/>
    </xf>
    <xf numFmtId="0" fontId="95" fillId="120" borderId="16" xfId="0" applyFont="1" applyFill="1" applyBorder="1" applyAlignment="1">
      <alignment horizontal="left"/>
    </xf>
    <xf numFmtId="0" fontId="95" fillId="120" borderId="24" xfId="0" applyFont="1" applyFill="1" applyBorder="1" applyAlignment="1">
      <alignment horizontal="left"/>
    </xf>
    <xf numFmtId="0" fontId="95" fillId="120" borderId="25" xfId="0" applyFont="1" applyFill="1" applyBorder="1" applyAlignment="1">
      <alignment horizontal="left"/>
    </xf>
    <xf numFmtId="2" fontId="10" fillId="32" borderId="16" xfId="0" applyNumberFormat="1" applyFont="1" applyFill="1" applyBorder="1" applyAlignment="1">
      <alignment horizontal="center" vertical="center"/>
    </xf>
    <xf numFmtId="2" fontId="10" fillId="32" borderId="24" xfId="0" applyNumberFormat="1" applyFont="1" applyFill="1" applyBorder="1" applyAlignment="1">
      <alignment horizontal="center" vertical="center"/>
    </xf>
    <xf numFmtId="2" fontId="10" fillId="32" borderId="25" xfId="0" applyNumberFormat="1" applyFont="1" applyFill="1" applyBorder="1" applyAlignment="1">
      <alignment horizontal="center" vertical="center"/>
    </xf>
    <xf numFmtId="2" fontId="10" fillId="32" borderId="13" xfId="0" applyNumberFormat="1" applyFont="1" applyFill="1" applyBorder="1" applyAlignment="1">
      <alignment horizontal="center" vertical="center"/>
    </xf>
  </cellXfs>
  <cellStyles count="77">
    <cellStyle name="20% - Ênfase1 2" xfId="1" xr:uid="{00000000-0005-0000-0000-000000000000}"/>
    <cellStyle name="20% - Ênfase2 2" xfId="2" xr:uid="{00000000-0005-0000-0000-000001000000}"/>
    <cellStyle name="20% - Ênfase3 2" xfId="3" xr:uid="{00000000-0005-0000-0000-000002000000}"/>
    <cellStyle name="20% - Ênfase4 2" xfId="4" xr:uid="{00000000-0005-0000-0000-000003000000}"/>
    <cellStyle name="20% - Ênfase5 2" xfId="5" xr:uid="{00000000-0005-0000-0000-000004000000}"/>
    <cellStyle name="20% - Ênfase6 2" xfId="6" xr:uid="{00000000-0005-0000-0000-000005000000}"/>
    <cellStyle name="40% - Ênfase1 2" xfId="7" xr:uid="{00000000-0005-0000-0000-000006000000}"/>
    <cellStyle name="40% - Ênfase2 2" xfId="8" xr:uid="{00000000-0005-0000-0000-000007000000}"/>
    <cellStyle name="40% - Ênfase3 2" xfId="9" xr:uid="{00000000-0005-0000-0000-000008000000}"/>
    <cellStyle name="40% - Ênfase4 2" xfId="10" xr:uid="{00000000-0005-0000-0000-000009000000}"/>
    <cellStyle name="40% - Ênfase5 2" xfId="11" xr:uid="{00000000-0005-0000-0000-00000A000000}"/>
    <cellStyle name="40% - Ênfase6 2" xfId="12" xr:uid="{00000000-0005-0000-0000-00000B000000}"/>
    <cellStyle name="60% - Ênfase1 2" xfId="13" xr:uid="{00000000-0005-0000-0000-00000C000000}"/>
    <cellStyle name="60% - Ênfase2 2" xfId="14" xr:uid="{00000000-0005-0000-0000-00000D000000}"/>
    <cellStyle name="60% - Ênfase3 2" xfId="15" xr:uid="{00000000-0005-0000-0000-00000E000000}"/>
    <cellStyle name="60% - Ênfase4 2" xfId="16" xr:uid="{00000000-0005-0000-0000-00000F000000}"/>
    <cellStyle name="60% - Ênfase5 2" xfId="17" xr:uid="{00000000-0005-0000-0000-000010000000}"/>
    <cellStyle name="60% - Ênfase6 2" xfId="18" xr:uid="{00000000-0005-0000-0000-000011000000}"/>
    <cellStyle name="Bom 2" xfId="19" xr:uid="{00000000-0005-0000-0000-000012000000}"/>
    <cellStyle name="Cálculo 2" xfId="20" xr:uid="{00000000-0005-0000-0000-000013000000}"/>
    <cellStyle name="Célula de Verificação 2" xfId="21" xr:uid="{00000000-0005-0000-0000-000014000000}"/>
    <cellStyle name="Célula Vinculada 2" xfId="22" xr:uid="{00000000-0005-0000-0000-000015000000}"/>
    <cellStyle name="Ênfase1 2" xfId="23" xr:uid="{00000000-0005-0000-0000-000016000000}"/>
    <cellStyle name="Ênfase2 2" xfId="24" xr:uid="{00000000-0005-0000-0000-000017000000}"/>
    <cellStyle name="Ênfase3 2" xfId="25" xr:uid="{00000000-0005-0000-0000-000018000000}"/>
    <cellStyle name="Ênfase4 2" xfId="26" xr:uid="{00000000-0005-0000-0000-000019000000}"/>
    <cellStyle name="Ênfase5 2" xfId="27" xr:uid="{00000000-0005-0000-0000-00001A000000}"/>
    <cellStyle name="Ênfase6 2" xfId="28" xr:uid="{00000000-0005-0000-0000-00001B000000}"/>
    <cellStyle name="Entrada 2" xfId="29" xr:uid="{00000000-0005-0000-0000-00001C000000}"/>
    <cellStyle name="Incorreto 2" xfId="30" xr:uid="{00000000-0005-0000-0000-00001D000000}"/>
    <cellStyle name="Moeda 2" xfId="31" xr:uid="{00000000-0005-0000-0000-00001E000000}"/>
    <cellStyle name="Moeda 2 2" xfId="32" xr:uid="{00000000-0005-0000-0000-00001F000000}"/>
    <cellStyle name="Moeda 2_3_-_PLANILHA_MODELO_e_Boletim_CPOS_157" xfId="33" xr:uid="{00000000-0005-0000-0000-000020000000}"/>
    <cellStyle name="Neutra 2" xfId="34" xr:uid="{00000000-0005-0000-0000-000021000000}"/>
    <cellStyle name="Normal" xfId="0" builtinId="0"/>
    <cellStyle name="Normal 10" xfId="76" xr:uid="{00000000-0005-0000-0000-000023000000}"/>
    <cellStyle name="Normal 2" xfId="35" xr:uid="{00000000-0005-0000-0000-000024000000}"/>
    <cellStyle name="Normal 2 2" xfId="36" xr:uid="{00000000-0005-0000-0000-000025000000}"/>
    <cellStyle name="Normal 2 2 2" xfId="37" xr:uid="{00000000-0005-0000-0000-000026000000}"/>
    <cellStyle name="Normal 2 3" xfId="38" xr:uid="{00000000-0005-0000-0000-000027000000}"/>
    <cellStyle name="Normal 2 4" xfId="60" xr:uid="{00000000-0005-0000-0000-000028000000}"/>
    <cellStyle name="Normal 2_3_-_PLANILHA_MODELO_e_Boletim_CPOS_157" xfId="39" xr:uid="{00000000-0005-0000-0000-000029000000}"/>
    <cellStyle name="Normal 3" xfId="40" xr:uid="{00000000-0005-0000-0000-00002A000000}"/>
    <cellStyle name="Normal 4" xfId="41" xr:uid="{00000000-0005-0000-0000-00002B000000}"/>
    <cellStyle name="Normal 4 2" xfId="55" xr:uid="{00000000-0005-0000-0000-00002C000000}"/>
    <cellStyle name="Normal 5" xfId="59" xr:uid="{00000000-0005-0000-0000-00002D000000}"/>
    <cellStyle name="Normal 6" xfId="64" xr:uid="{00000000-0005-0000-0000-00002E000000}"/>
    <cellStyle name="Normal 7" xfId="72" xr:uid="{00000000-0005-0000-0000-00002F000000}"/>
    <cellStyle name="Normal 8" xfId="73" xr:uid="{00000000-0005-0000-0000-000030000000}"/>
    <cellStyle name="Normal 9" xfId="74" xr:uid="{00000000-0005-0000-0000-000031000000}"/>
    <cellStyle name="Nota 2" xfId="42" xr:uid="{00000000-0005-0000-0000-000032000000}"/>
    <cellStyle name="Nota 2 2" xfId="65" xr:uid="{00000000-0005-0000-0000-000033000000}"/>
    <cellStyle name="Porcentagem" xfId="58" builtinId="5"/>
    <cellStyle name="Porcentagem 2" xfId="71" xr:uid="{00000000-0005-0000-0000-000035000000}"/>
    <cellStyle name="Saída 2" xfId="43" xr:uid="{00000000-0005-0000-0000-000036000000}"/>
    <cellStyle name="Texto de Aviso 2" xfId="44" xr:uid="{00000000-0005-0000-0000-000037000000}"/>
    <cellStyle name="Texto Explicativo 2" xfId="45" xr:uid="{00000000-0005-0000-0000-000038000000}"/>
    <cellStyle name="Título 1 2" xfId="46" xr:uid="{00000000-0005-0000-0000-000039000000}"/>
    <cellStyle name="Título 2 2" xfId="47" xr:uid="{00000000-0005-0000-0000-00003A000000}"/>
    <cellStyle name="Título 3 2" xfId="48" xr:uid="{00000000-0005-0000-0000-00003B000000}"/>
    <cellStyle name="Título 4 2" xfId="49" xr:uid="{00000000-0005-0000-0000-00003C000000}"/>
    <cellStyle name="Título 5" xfId="50" xr:uid="{00000000-0005-0000-0000-00003D000000}"/>
    <cellStyle name="Total 2" xfId="51" xr:uid="{00000000-0005-0000-0000-00003E000000}"/>
    <cellStyle name="Vírgula" xfId="52" builtinId="3"/>
    <cellStyle name="Vírgula 2" xfId="53" xr:uid="{00000000-0005-0000-0000-000040000000}"/>
    <cellStyle name="Vírgula 2 2" xfId="56" xr:uid="{00000000-0005-0000-0000-000041000000}"/>
    <cellStyle name="Vírgula 2 2 2" xfId="69" xr:uid="{00000000-0005-0000-0000-000042000000}"/>
    <cellStyle name="Vírgula 2 3" xfId="61" xr:uid="{00000000-0005-0000-0000-000043000000}"/>
    <cellStyle name="Vírgula 2 3 2" xfId="75" xr:uid="{00000000-0005-0000-0000-000044000000}"/>
    <cellStyle name="Vírgula 2 4" xfId="62" xr:uid="{00000000-0005-0000-0000-000045000000}"/>
    <cellStyle name="Vírgula 2 5" xfId="67" xr:uid="{00000000-0005-0000-0000-000046000000}"/>
    <cellStyle name="Vírgula 3" xfId="54" xr:uid="{00000000-0005-0000-0000-000047000000}"/>
    <cellStyle name="Vírgula 3 2" xfId="57" xr:uid="{00000000-0005-0000-0000-000048000000}"/>
    <cellStyle name="Vírgula 3 2 2" xfId="70" xr:uid="{00000000-0005-0000-0000-000049000000}"/>
    <cellStyle name="Vírgula 3 3" xfId="68" xr:uid="{00000000-0005-0000-0000-00004A000000}"/>
    <cellStyle name="Vírgula 4" xfId="63" xr:uid="{00000000-0005-0000-0000-00004B000000}"/>
    <cellStyle name="Vírgula 5" xfId="66" xr:uid="{00000000-0005-0000-0000-00004C000000}"/>
  </cellStyles>
  <dxfs count="17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9"/>
      </font>
    </dxf>
    <dxf>
      <fill>
        <patternFill>
          <bgColor indexed="10"/>
        </patternFill>
      </fill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colors>
    <mruColors>
      <color rgb="FFFFBDFF"/>
      <color rgb="FFFFD581"/>
      <color rgb="FFFF99FF"/>
      <color rgb="FFFFCC66"/>
      <color rgb="FF00D7D2"/>
      <color rgb="FF006666"/>
      <color rgb="FF008080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105104</xdr:colOff>
      <xdr:row>1</xdr:row>
      <xdr:rowOff>52553</xdr:rowOff>
    </xdr:from>
    <xdr:to>
      <xdr:col>1</xdr:col>
      <xdr:colOff>429793</xdr:colOff>
      <xdr:row>3</xdr:row>
      <xdr:rowOff>59121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9F00033-F71C-4E6B-B11B-413DBE416D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104" y="262760"/>
          <a:ext cx="1106396" cy="40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17</xdr:row>
      <xdr:rowOff>9525</xdr:rowOff>
    </xdr:from>
    <xdr:to>
      <xdr:col>4</xdr:col>
      <xdr:colOff>171450</xdr:colOff>
      <xdr:row>23</xdr:row>
      <xdr:rowOff>95250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2133600" y="4000500"/>
          <a:ext cx="742950" cy="1238250"/>
        </a:xfrm>
        <a:prstGeom prst="line">
          <a:avLst/>
        </a:prstGeom>
        <a:noFill/>
        <a:ln w="9525">
          <a:solidFill>
            <a:srgbClr val="969696"/>
          </a:solidFill>
          <a:prstDash val="lgDash"/>
          <a:round/>
          <a:headEnd/>
          <a:tailEnd type="triangle" w="med" len="med"/>
        </a:ln>
      </xdr:spPr>
    </xdr:sp>
    <xdr:clientData/>
  </xdr:twoCellAnchor>
  <xdr:twoCellAnchor editAs="oneCell">
    <xdr:from>
      <xdr:col>4</xdr:col>
      <xdr:colOff>467170</xdr:colOff>
      <xdr:row>0</xdr:row>
      <xdr:rowOff>19051</xdr:rowOff>
    </xdr:from>
    <xdr:to>
      <xdr:col>5</xdr:col>
      <xdr:colOff>685800</xdr:colOff>
      <xdr:row>0</xdr:row>
      <xdr:rowOff>819609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0870" y="19051"/>
          <a:ext cx="961580" cy="79330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47626</xdr:rowOff>
    </xdr:from>
    <xdr:to>
      <xdr:col>2</xdr:col>
      <xdr:colOff>323398</xdr:colOff>
      <xdr:row>4</xdr:row>
      <xdr:rowOff>38100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47626"/>
          <a:ext cx="866775" cy="8191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568064</xdr:colOff>
      <xdr:row>2</xdr:row>
      <xdr:rowOff>81577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F9F00033-F71C-4E6B-B11B-413DBE416D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46629" cy="4957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18</xdr:row>
      <xdr:rowOff>9525</xdr:rowOff>
    </xdr:from>
    <xdr:to>
      <xdr:col>4</xdr:col>
      <xdr:colOff>171450</xdr:colOff>
      <xdr:row>32</xdr:row>
      <xdr:rowOff>95250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 flipV="1">
          <a:off x="2009775" y="3362325"/>
          <a:ext cx="733425" cy="2714625"/>
        </a:xfrm>
        <a:prstGeom prst="line">
          <a:avLst/>
        </a:prstGeom>
        <a:noFill/>
        <a:ln w="9525">
          <a:solidFill>
            <a:srgbClr val="969696"/>
          </a:solidFill>
          <a:prstDash val="lgDash"/>
          <a:round/>
          <a:headEnd/>
          <a:tailEnd type="triangle" w="med" len="med"/>
        </a:ln>
      </xdr:spPr>
    </xdr:sp>
    <xdr:clientData/>
  </xdr:twoCellAnchor>
  <xdr:twoCellAnchor editAs="oneCell">
    <xdr:from>
      <xdr:col>4</xdr:col>
      <xdr:colOff>467170</xdr:colOff>
      <xdr:row>0</xdr:row>
      <xdr:rowOff>88901</xdr:rowOff>
    </xdr:from>
    <xdr:to>
      <xdr:col>6</xdr:col>
      <xdr:colOff>209550</xdr:colOff>
      <xdr:row>0</xdr:row>
      <xdr:rowOff>882203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1320" y="88901"/>
          <a:ext cx="961580" cy="79330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155575</xdr:colOff>
      <xdr:row>0</xdr:row>
      <xdr:rowOff>79375</xdr:rowOff>
    </xdr:from>
    <xdr:to>
      <xdr:col>2</xdr:col>
      <xdr:colOff>480013</xdr:colOff>
      <xdr:row>4</xdr:row>
      <xdr:rowOff>129992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575" y="79375"/>
          <a:ext cx="1235028" cy="98833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376920</xdr:colOff>
      <xdr:row>0</xdr:row>
      <xdr:rowOff>109282</xdr:rowOff>
    </xdr:from>
    <xdr:to>
      <xdr:col>8</xdr:col>
      <xdr:colOff>154126</xdr:colOff>
      <xdr:row>4</xdr:row>
      <xdr:rowOff>94709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7770" y="109282"/>
          <a:ext cx="846364" cy="6358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_eng-pc\Documents%20and%20Settings\000458_Sergio\Meus%20documentos\teste\3_-_PLANILHA_MODELO_e_Boletim_CPOS_155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LETIM 161"/>
      <sheetName val="Planilha Modelo-sugestão"/>
      <sheetName val="ASFÁLTO-sugestão"/>
      <sheetName val="Cronograma Modelo-SPDR"/>
      <sheetName val="BOLETIM 157"/>
      <sheetName val="Planilha Modelo"/>
      <sheetName val="Cronograma Modelo"/>
      <sheetName val="Composições"/>
      <sheetName val="BOLETIM 155"/>
      <sheetName val="Planilha Modelo - SEP"/>
      <sheetName val="Cronograma Modelo - SEP"/>
      <sheetName val="Planilha- Por_Via"/>
      <sheetName val="BOLETIM 160"/>
      <sheetName val="Orçamento"/>
    </sheetNames>
    <sheetDataSet>
      <sheetData sheetId="0" refreshError="1">
        <row r="7">
          <cell r="A7" t="str">
            <v>010211</v>
          </cell>
          <cell r="B7" t="str">
            <v>Parecer técnico de fundações, contenções e recomendações gerais para empreendimentos com área construída acima 10.001 m²</v>
          </cell>
          <cell r="C7" t="str">
            <v>un</v>
          </cell>
          <cell r="D7">
            <v>14584.99</v>
          </cell>
          <cell r="E7">
            <v>0</v>
          </cell>
          <cell r="F7">
            <v>14584.99</v>
          </cell>
        </row>
        <row r="8">
          <cell r="A8" t="str">
            <v>010602</v>
          </cell>
          <cell r="B8" t="str">
            <v>Elaboração de projeto de adequação de entrada de energia elétrica junto a concessionária, com medição em baixa tensão e demanda até 75 kVA</v>
          </cell>
          <cell r="C8" t="str">
            <v>gl</v>
          </cell>
          <cell r="D8">
            <v>13696.12</v>
          </cell>
          <cell r="E8">
            <v>0</v>
          </cell>
          <cell r="F8">
            <v>13696.12</v>
          </cell>
        </row>
        <row r="9">
          <cell r="A9" t="str">
            <v>010603</v>
          </cell>
          <cell r="B9" t="str">
            <v>Elaboração de projeto de adequação de entrada de energia elétrica junto a concessionária, com medição em média tensão e demanda até 300 kVA</v>
          </cell>
          <cell r="C9" t="str">
            <v>gl</v>
          </cell>
          <cell r="D9">
            <v>23968.21</v>
          </cell>
          <cell r="E9">
            <v>0</v>
          </cell>
          <cell r="F9">
            <v>23968.21</v>
          </cell>
        </row>
        <row r="10">
          <cell r="A10" t="str">
            <v>010604</v>
          </cell>
          <cell r="B10" t="str">
            <v>Elaboração de projeto de adequação de entrada de energia elétrica junto a concessionária, com medição em média tensão e demanda acima de 300 kVA</v>
          </cell>
          <cell r="C10" t="str">
            <v>gl</v>
          </cell>
          <cell r="D10">
            <v>34240.300000000003</v>
          </cell>
          <cell r="E10">
            <v>0</v>
          </cell>
          <cell r="F10">
            <v>34240.300000000003</v>
          </cell>
        </row>
        <row r="11">
          <cell r="A11" t="str">
            <v>011703</v>
          </cell>
          <cell r="B11" t="str">
            <v>Projeto executivo de arquitetura em formato A1</v>
          </cell>
          <cell r="C11" t="str">
            <v>un</v>
          </cell>
          <cell r="D11">
            <v>3006.7000000000003</v>
          </cell>
          <cell r="E11">
            <v>0</v>
          </cell>
          <cell r="F11">
            <v>3006.7000000000003</v>
          </cell>
        </row>
        <row r="12">
          <cell r="A12" t="str">
            <v>011704</v>
          </cell>
          <cell r="B12" t="str">
            <v>Projeto executivo de arquitetura em formato A0</v>
          </cell>
          <cell r="C12" t="str">
            <v>un</v>
          </cell>
          <cell r="D12">
            <v>4149.51</v>
          </cell>
          <cell r="E12">
            <v>0</v>
          </cell>
          <cell r="F12">
            <v>4149.51</v>
          </cell>
        </row>
        <row r="13">
          <cell r="A13" t="str">
            <v>011705</v>
          </cell>
          <cell r="B13" t="str">
            <v>Projeto executivo de estrutura em formato A1</v>
          </cell>
          <cell r="C13" t="str">
            <v>un</v>
          </cell>
          <cell r="D13">
            <v>2101.5700000000002</v>
          </cell>
          <cell r="E13">
            <v>0</v>
          </cell>
          <cell r="F13">
            <v>2101.5700000000002</v>
          </cell>
        </row>
        <row r="14">
          <cell r="A14" t="str">
            <v>011706</v>
          </cell>
          <cell r="B14" t="str">
            <v>Projeto executivo de estrutura em formato A0</v>
          </cell>
          <cell r="C14" t="str">
            <v>un</v>
          </cell>
          <cell r="D14">
            <v>2916.52</v>
          </cell>
          <cell r="E14">
            <v>0</v>
          </cell>
          <cell r="F14">
            <v>2916.52</v>
          </cell>
        </row>
        <row r="15">
          <cell r="A15" t="str">
            <v>011707</v>
          </cell>
          <cell r="B15" t="str">
            <v>Projeto executivo de instalações hidráulicas em formato A1</v>
          </cell>
          <cell r="C15" t="str">
            <v>un</v>
          </cell>
          <cell r="D15">
            <v>905.13</v>
          </cell>
          <cell r="E15">
            <v>0</v>
          </cell>
          <cell r="F15">
            <v>905.13</v>
          </cell>
        </row>
        <row r="16">
          <cell r="A16" t="str">
            <v>011708</v>
          </cell>
          <cell r="B16" t="str">
            <v>Projeto executivo de instalações hidráulicas em formato A0</v>
          </cell>
          <cell r="C16" t="str">
            <v>un</v>
          </cell>
          <cell r="D16">
            <v>1215.74</v>
          </cell>
          <cell r="E16">
            <v>0</v>
          </cell>
          <cell r="F16">
            <v>1215.74</v>
          </cell>
        </row>
        <row r="17">
          <cell r="A17" t="str">
            <v>011709</v>
          </cell>
          <cell r="B17" t="str">
            <v>Projeto executivo de instalações elétricas em formato A1</v>
          </cell>
          <cell r="C17" t="str">
            <v>un</v>
          </cell>
          <cell r="D17">
            <v>995.03</v>
          </cell>
          <cell r="E17">
            <v>0</v>
          </cell>
          <cell r="F17">
            <v>995.03</v>
          </cell>
        </row>
        <row r="18">
          <cell r="A18" t="str">
            <v>011710</v>
          </cell>
          <cell r="B18" t="str">
            <v>Projeto executivo de instalações elétricas em formato A0</v>
          </cell>
          <cell r="C18" t="str">
            <v>un</v>
          </cell>
          <cell r="D18">
            <v>1398.59</v>
          </cell>
          <cell r="E18">
            <v>0</v>
          </cell>
          <cell r="F18">
            <v>1398.59</v>
          </cell>
        </row>
        <row r="19">
          <cell r="A19" t="str">
            <v>012001</v>
          </cell>
          <cell r="B19" t="str">
            <v>Instalação e transporte de equipamento topográfico</v>
          </cell>
          <cell r="C19" t="str">
            <v>tx</v>
          </cell>
          <cell r="D19">
            <v>616.52</v>
          </cell>
          <cell r="E19">
            <v>0</v>
          </cell>
          <cell r="F19">
            <v>616.52</v>
          </cell>
        </row>
        <row r="20">
          <cell r="A20" t="str">
            <v>012020</v>
          </cell>
          <cell r="B20" t="str">
            <v>Levantamento planialtimétrico e cadastral de área urbana e suburbana até 2 alqueires</v>
          </cell>
          <cell r="C20" t="str">
            <v>m²</v>
          </cell>
          <cell r="D20">
            <v>0.44</v>
          </cell>
          <cell r="E20">
            <v>0</v>
          </cell>
          <cell r="F20">
            <v>0.44</v>
          </cell>
        </row>
        <row r="21">
          <cell r="A21" t="str">
            <v>012021</v>
          </cell>
          <cell r="B21" t="str">
            <v>Levantamento planialtimétrico e cadastral de área urbana e suburbana de 2 a 5 alqueires</v>
          </cell>
          <cell r="C21" t="str">
            <v>m²</v>
          </cell>
          <cell r="D21">
            <v>0.36</v>
          </cell>
          <cell r="E21">
            <v>0</v>
          </cell>
          <cell r="F21">
            <v>0.36</v>
          </cell>
        </row>
        <row r="22">
          <cell r="A22" t="str">
            <v>012022</v>
          </cell>
          <cell r="B22" t="str">
            <v>Levantamento planialtimétrico e cadastral de área urbana e suburbana de 5 a 10 alqueires</v>
          </cell>
          <cell r="C22" t="str">
            <v>m²</v>
          </cell>
          <cell r="D22">
            <v>0.31</v>
          </cell>
          <cell r="E22">
            <v>0</v>
          </cell>
          <cell r="F22">
            <v>0.31</v>
          </cell>
        </row>
        <row r="23">
          <cell r="A23" t="str">
            <v>012023</v>
          </cell>
          <cell r="B23" t="str">
            <v>Levantamento planialtimétrico e cadastral de área urbana e suburbana acima de 10 alqueires</v>
          </cell>
          <cell r="C23" t="str">
            <v>m²</v>
          </cell>
          <cell r="D23">
            <v>0.28000000000000003</v>
          </cell>
          <cell r="E23">
            <v>0</v>
          </cell>
          <cell r="F23">
            <v>0.28000000000000003</v>
          </cell>
        </row>
        <row r="24">
          <cell r="A24" t="str">
            <v>012024</v>
          </cell>
          <cell r="B24" t="str">
            <v>Levantamento planialtimétrico e cadastral de área rural até 2 alqueires</v>
          </cell>
          <cell r="C24" t="str">
            <v>m²</v>
          </cell>
          <cell r="D24">
            <v>0.28000000000000003</v>
          </cell>
          <cell r="E24">
            <v>0</v>
          </cell>
          <cell r="F24">
            <v>0.28000000000000003</v>
          </cell>
        </row>
        <row r="25">
          <cell r="A25" t="str">
            <v>012025</v>
          </cell>
          <cell r="B25" t="str">
            <v>Levantamento planialtimétrico e cadastral de área rural de 2 a 5 alqueires</v>
          </cell>
          <cell r="C25" t="str">
            <v>m²</v>
          </cell>
          <cell r="D25">
            <v>0.24</v>
          </cell>
          <cell r="E25">
            <v>0</v>
          </cell>
          <cell r="F25">
            <v>0.24</v>
          </cell>
        </row>
        <row r="26">
          <cell r="A26" t="str">
            <v>012026</v>
          </cell>
          <cell r="B26" t="str">
            <v>Levantamento planialtimétrico e cadastral de área rural de 5 a 10 alqueires</v>
          </cell>
          <cell r="C26" t="str">
            <v>m²</v>
          </cell>
          <cell r="D26">
            <v>0.21</v>
          </cell>
          <cell r="E26">
            <v>0</v>
          </cell>
          <cell r="F26">
            <v>0.21</v>
          </cell>
        </row>
        <row r="27">
          <cell r="A27" t="str">
            <v>012027</v>
          </cell>
          <cell r="B27" t="str">
            <v>Levantamento planialtimétrico e cadastral de área rural acima de 10 alqueires</v>
          </cell>
          <cell r="C27" t="str">
            <v>m²</v>
          </cell>
          <cell r="D27">
            <v>0.19</v>
          </cell>
          <cell r="E27">
            <v>0</v>
          </cell>
          <cell r="F27">
            <v>0.19</v>
          </cell>
        </row>
        <row r="28">
          <cell r="A28" t="str">
            <v>012101</v>
          </cell>
          <cell r="B28" t="str">
            <v>Instalação e transporte de equipamento de sondagem</v>
          </cell>
          <cell r="C28" t="str">
            <v>tx</v>
          </cell>
          <cell r="D28">
            <v>713.04</v>
          </cell>
          <cell r="E28">
            <v>0</v>
          </cell>
          <cell r="F28">
            <v>713.04</v>
          </cell>
        </row>
        <row r="29">
          <cell r="A29" t="str">
            <v>012109</v>
          </cell>
          <cell r="B29" t="str">
            <v>Instalação e transporte de equipamentos de sondagem rotativa</v>
          </cell>
          <cell r="C29" t="str">
            <v>tx</v>
          </cell>
          <cell r="D29">
            <v>3600</v>
          </cell>
          <cell r="E29">
            <v>0</v>
          </cell>
          <cell r="F29">
            <v>3600</v>
          </cell>
        </row>
        <row r="30">
          <cell r="A30" t="str">
            <v>012110</v>
          </cell>
          <cell r="B30" t="str">
            <v>Sondagem do terreno a trado</v>
          </cell>
          <cell r="C30" t="str">
            <v>m</v>
          </cell>
          <cell r="D30">
            <v>55.52</v>
          </cell>
          <cell r="E30">
            <v>0</v>
          </cell>
          <cell r="F30">
            <v>55.52</v>
          </cell>
        </row>
        <row r="31">
          <cell r="A31" t="str">
            <v>012111</v>
          </cell>
          <cell r="B31" t="str">
            <v>Sondagem do terreno à percussão (mínimo de 30 m)</v>
          </cell>
          <cell r="C31" t="str">
            <v>m</v>
          </cell>
          <cell r="D31">
            <v>82.570000000000007</v>
          </cell>
          <cell r="E31">
            <v>0</v>
          </cell>
          <cell r="F31">
            <v>82.570000000000007</v>
          </cell>
        </row>
        <row r="32">
          <cell r="A32" t="str">
            <v>012112</v>
          </cell>
          <cell r="B32" t="str">
            <v>Sondagem do terreno rotativa em solo</v>
          </cell>
          <cell r="C32" t="str">
            <v>m</v>
          </cell>
          <cell r="D32">
            <v>228.8</v>
          </cell>
          <cell r="E32">
            <v>0</v>
          </cell>
          <cell r="F32">
            <v>228.8</v>
          </cell>
        </row>
        <row r="33">
          <cell r="A33" t="str">
            <v>012113</v>
          </cell>
          <cell r="B33" t="str">
            <v>Sondagem do terreno rotativa em rocha</v>
          </cell>
          <cell r="C33" t="str">
            <v>m</v>
          </cell>
          <cell r="D33">
            <v>636.34</v>
          </cell>
          <cell r="E33">
            <v>0</v>
          </cell>
          <cell r="F33">
            <v>636.34</v>
          </cell>
        </row>
        <row r="34">
          <cell r="A34" t="str">
            <v>012114</v>
          </cell>
          <cell r="B34" t="str">
            <v>Sondagem do terreno à percussão com a utilização de torquímetro (mínimo de 30 m)</v>
          </cell>
          <cell r="C34" t="str">
            <v>m</v>
          </cell>
          <cell r="D34">
            <v>93.210000000000008</v>
          </cell>
          <cell r="E34">
            <v>0</v>
          </cell>
          <cell r="F34">
            <v>93.210000000000008</v>
          </cell>
        </row>
        <row r="35">
          <cell r="A35" t="str">
            <v>012203</v>
          </cell>
          <cell r="B35" t="str">
            <v>Pré-filtro tipo pirambóia</v>
          </cell>
          <cell r="C35" t="str">
            <v>m³</v>
          </cell>
          <cell r="D35">
            <v>869</v>
          </cell>
          <cell r="E35">
            <v>0</v>
          </cell>
          <cell r="F35">
            <v>869</v>
          </cell>
        </row>
        <row r="36">
          <cell r="A36" t="str">
            <v>012209</v>
          </cell>
          <cell r="B36" t="str">
            <v>Análise físico-química e bacteriológica da água para poço profundo</v>
          </cell>
          <cell r="C36" t="str">
            <v>cj</v>
          </cell>
          <cell r="D36">
            <v>2598.15</v>
          </cell>
          <cell r="E36">
            <v>0</v>
          </cell>
          <cell r="F36">
            <v>2598.15</v>
          </cell>
        </row>
        <row r="37">
          <cell r="A37" t="str">
            <v>012210</v>
          </cell>
          <cell r="B37" t="str">
            <v>Cimentação de boca do poço profundo, entre perfuração de maior diâmetro</v>
          </cell>
          <cell r="C37" t="str">
            <v>m³</v>
          </cell>
          <cell r="D37">
            <v>1897.25</v>
          </cell>
          <cell r="E37">
            <v>0</v>
          </cell>
          <cell r="F37">
            <v>1897.25</v>
          </cell>
        </row>
        <row r="38">
          <cell r="A38" t="str">
            <v>012212</v>
          </cell>
          <cell r="B38" t="str">
            <v>Desinfecção de poço profundo</v>
          </cell>
          <cell r="C38" t="str">
            <v>un</v>
          </cell>
          <cell r="D38">
            <v>446.67</v>
          </cell>
          <cell r="E38">
            <v>0</v>
          </cell>
          <cell r="F38">
            <v>446.67</v>
          </cell>
        </row>
        <row r="39">
          <cell r="A39" t="str">
            <v>012213</v>
          </cell>
          <cell r="B39" t="str">
            <v>Filtro PVC geomecânico nervurado tipo reforçado para poço profundo, diâmetro 8´ (200 mm)</v>
          </cell>
          <cell r="C39" t="str">
            <v>m</v>
          </cell>
          <cell r="D39">
            <v>636.89</v>
          </cell>
          <cell r="E39">
            <v>0</v>
          </cell>
          <cell r="F39">
            <v>636.89</v>
          </cell>
        </row>
        <row r="40">
          <cell r="A40" t="str">
            <v>012215</v>
          </cell>
          <cell r="B40" t="str">
            <v>Filtro espiralado galvanizado super reforçado para poço profundo, diâmetro 6´ (150 mm)</v>
          </cell>
          <cell r="C40" t="str">
            <v>m</v>
          </cell>
          <cell r="D40">
            <v>1136.6099999999999</v>
          </cell>
          <cell r="E40">
            <v>0</v>
          </cell>
          <cell r="F40">
            <v>1136.6099999999999</v>
          </cell>
        </row>
        <row r="41">
          <cell r="A41" t="str">
            <v>012216</v>
          </cell>
          <cell r="B41" t="str">
            <v>Filtro galvanizado tipo NOLD para poço profundo, diâmetro 6´ (150 mm)</v>
          </cell>
          <cell r="C41" t="str">
            <v>m</v>
          </cell>
          <cell r="D41">
            <v>500.67</v>
          </cell>
          <cell r="E41">
            <v>0</v>
          </cell>
          <cell r="F41">
            <v>500.67</v>
          </cell>
        </row>
        <row r="42">
          <cell r="A42" t="str">
            <v>012217</v>
          </cell>
          <cell r="B42" t="str">
            <v>Filtro PVC geomecânico nervurado tipo standard para poço profundo, diâmetro 6´ (150 mm)</v>
          </cell>
          <cell r="C42" t="str">
            <v>m</v>
          </cell>
          <cell r="D42">
            <v>261.33</v>
          </cell>
          <cell r="E42">
            <v>0</v>
          </cell>
          <cell r="F42">
            <v>261.33</v>
          </cell>
        </row>
        <row r="43">
          <cell r="A43" t="str">
            <v>012219</v>
          </cell>
          <cell r="B43" t="str">
            <v>Revestimento interno de poço profundo tubo PVC geomecânico nervurado standard, diâmetro 6´ (150 mm)</v>
          </cell>
          <cell r="C43" t="str">
            <v>m</v>
          </cell>
          <cell r="D43">
            <v>173.78</v>
          </cell>
          <cell r="E43">
            <v>0</v>
          </cell>
          <cell r="F43">
            <v>173.78</v>
          </cell>
        </row>
        <row r="44">
          <cell r="A44" t="str">
            <v>012220</v>
          </cell>
          <cell r="B44" t="str">
            <v>Laje de proteção com 2,00 x 2,00 m para poço profundo</v>
          </cell>
          <cell r="C44" t="str">
            <v>un</v>
          </cell>
          <cell r="D44">
            <v>96.02</v>
          </cell>
          <cell r="E44">
            <v>90.36</v>
          </cell>
          <cell r="F44">
            <v>186.38</v>
          </cell>
        </row>
        <row r="45">
          <cell r="A45" t="str">
            <v>012221</v>
          </cell>
          <cell r="B45" t="str">
            <v>Revestimento interno de poço profundo tubo PVC geomecânico nervurado reforçado, diâmetro 8´ (200 mm)</v>
          </cell>
          <cell r="C45" t="str">
            <v>m</v>
          </cell>
          <cell r="D45">
            <v>497.86</v>
          </cell>
          <cell r="E45">
            <v>0</v>
          </cell>
          <cell r="F45">
            <v>497.86</v>
          </cell>
        </row>
        <row r="46">
          <cell r="A46" t="str">
            <v>012222</v>
          </cell>
          <cell r="B46" t="str">
            <v>Limpeza e desenvolvimento do poço</v>
          </cell>
          <cell r="C46" t="str">
            <v>h</v>
          </cell>
          <cell r="D46">
            <v>340.65000000000003</v>
          </cell>
          <cell r="E46">
            <v>0</v>
          </cell>
          <cell r="F46">
            <v>340.65000000000003</v>
          </cell>
        </row>
        <row r="47">
          <cell r="A47" t="str">
            <v>012224</v>
          </cell>
          <cell r="B47" t="str">
            <v>Perfuração rotativa para poço profundo em aluvião, arenito, ou solos sedimentados em geral, diâmetro de 10´ (250 mm)</v>
          </cell>
          <cell r="C47" t="str">
            <v>m</v>
          </cell>
          <cell r="D47">
            <v>264.39</v>
          </cell>
          <cell r="E47">
            <v>0</v>
          </cell>
          <cell r="F47">
            <v>264.39</v>
          </cell>
        </row>
        <row r="48">
          <cell r="A48" t="str">
            <v>012226</v>
          </cell>
          <cell r="B48" t="str">
            <v>Perfuração rotativa para poço profundo em aluvião, arenito, ou solos sedimentados em geral, diâmetro de 12´ (300 mm)</v>
          </cell>
          <cell r="C48" t="str">
            <v>m</v>
          </cell>
          <cell r="D48">
            <v>371.88</v>
          </cell>
          <cell r="E48">
            <v>0</v>
          </cell>
          <cell r="F48">
            <v>371.88</v>
          </cell>
        </row>
        <row r="49">
          <cell r="A49" t="str">
            <v>012227</v>
          </cell>
          <cell r="B49" t="str">
            <v>Perfuração rotativa para poço profundo em rocha sã (basalto), diâmetro de 14´ (350 mm)</v>
          </cell>
          <cell r="C49" t="str">
            <v>m</v>
          </cell>
          <cell r="D49">
            <v>2535.89</v>
          </cell>
          <cell r="E49">
            <v>0</v>
          </cell>
          <cell r="F49">
            <v>2535.89</v>
          </cell>
        </row>
        <row r="50">
          <cell r="A50" t="str">
            <v>012228</v>
          </cell>
          <cell r="B50" t="str">
            <v>Perfuração rotativa para poço profundo em aluvião, arenito, ou solos sedimentados em geral, diâmetro de 14´ (350 mm)</v>
          </cell>
          <cell r="C50" t="str">
            <v>m</v>
          </cell>
          <cell r="D50">
            <v>383.38</v>
          </cell>
          <cell r="E50">
            <v>0</v>
          </cell>
          <cell r="F50">
            <v>383.38</v>
          </cell>
        </row>
        <row r="51">
          <cell r="A51" t="str">
            <v>012229</v>
          </cell>
          <cell r="B51" t="str">
            <v>Perfuração rotativa para poço profundo em aluvião, arenito, ou solos sedimentados em geral, diâmetro de 22´ (550 mm)</v>
          </cell>
          <cell r="C51" t="str">
            <v>m</v>
          </cell>
          <cell r="D51">
            <v>748.4</v>
          </cell>
          <cell r="E51">
            <v>0</v>
          </cell>
          <cell r="F51">
            <v>748.4</v>
          </cell>
        </row>
        <row r="52">
          <cell r="A52" t="str">
            <v>012230</v>
          </cell>
          <cell r="B52" t="str">
            <v>Perfuração rotativa para poço profundo em aluvião, arenito, ou solos sedimentados em geral, diâmetro de 16´ (400 mm)</v>
          </cell>
          <cell r="C52" t="str">
            <v>m</v>
          </cell>
          <cell r="D52">
            <v>431.82</v>
          </cell>
          <cell r="E52">
            <v>0</v>
          </cell>
          <cell r="F52">
            <v>431.82</v>
          </cell>
        </row>
        <row r="53">
          <cell r="A53" t="str">
            <v>012231</v>
          </cell>
          <cell r="B53" t="str">
            <v>Perfuração rotativa para poço profundo em aluvião, arenito, ou solos sedimentados em geral, diâmetro de 20´ (500 mm)</v>
          </cell>
          <cell r="C53" t="str">
            <v>m</v>
          </cell>
          <cell r="D53">
            <v>620.08000000000004</v>
          </cell>
          <cell r="E53">
            <v>0</v>
          </cell>
          <cell r="F53">
            <v>620.08000000000004</v>
          </cell>
        </row>
        <row r="54">
          <cell r="A54" t="str">
            <v>012232</v>
          </cell>
          <cell r="B54" t="str">
            <v>Perfuração rotativa para poço profundo em aluvião, arenito, ou solos sedimentados em geral, diâmetro de 18´ (450 mm)</v>
          </cell>
          <cell r="C54" t="str">
            <v>m</v>
          </cell>
          <cell r="D54">
            <v>491.46000000000004</v>
          </cell>
          <cell r="E54">
            <v>0</v>
          </cell>
          <cell r="F54">
            <v>491.46000000000004</v>
          </cell>
        </row>
        <row r="55">
          <cell r="A55" t="str">
            <v>012233</v>
          </cell>
          <cell r="B55" t="str">
            <v>Perfuração rotativa para poço profundo em aluvião, arenito, ou solos sedimentados em geral, diâmetro de 26´ (650 mm)</v>
          </cell>
          <cell r="C55" t="str">
            <v>m</v>
          </cell>
          <cell r="D55">
            <v>982.6</v>
          </cell>
          <cell r="E55">
            <v>0</v>
          </cell>
          <cell r="F55">
            <v>982.6</v>
          </cell>
        </row>
        <row r="56">
          <cell r="A56" t="str">
            <v>012234</v>
          </cell>
          <cell r="B56" t="str">
            <v>Perfuração rotativa para poço profundo em rocha alterada (basalto alterado), diâmetro de 8´ (200 mm)</v>
          </cell>
          <cell r="C56" t="str">
            <v>m</v>
          </cell>
          <cell r="D56">
            <v>187.96</v>
          </cell>
          <cell r="E56">
            <v>0</v>
          </cell>
          <cell r="F56">
            <v>187.96</v>
          </cell>
        </row>
        <row r="57">
          <cell r="A57" t="str">
            <v>012236</v>
          </cell>
          <cell r="B57" t="str">
            <v>Perfuração rotativa para poço profundo em rocha alterada (basalto alterado), diâmetro de 10´ (250 mm)</v>
          </cell>
          <cell r="C57" t="str">
            <v>m</v>
          </cell>
          <cell r="D57">
            <v>263.18</v>
          </cell>
          <cell r="E57">
            <v>0</v>
          </cell>
          <cell r="F57">
            <v>263.18</v>
          </cell>
        </row>
        <row r="58">
          <cell r="A58" t="str">
            <v>012238</v>
          </cell>
          <cell r="B58" t="str">
            <v>Perfuração rotativa para poço profundo em rocha alterada (basalto alterado), diâmetro de 12´ (300 mm)</v>
          </cell>
          <cell r="C58" t="str">
            <v>m</v>
          </cell>
          <cell r="D58">
            <v>374</v>
          </cell>
          <cell r="E58">
            <v>0</v>
          </cell>
          <cell r="F58">
            <v>374</v>
          </cell>
        </row>
        <row r="59">
          <cell r="A59" t="str">
            <v>012240</v>
          </cell>
          <cell r="B59" t="str">
            <v>Perfuração roto-pneumática para poço profundo em rocha sã (basalto), diâmetro de 6´ (150 mm)</v>
          </cell>
          <cell r="C59" t="str">
            <v>m</v>
          </cell>
          <cell r="D59">
            <v>173.71</v>
          </cell>
          <cell r="E59">
            <v>0</v>
          </cell>
          <cell r="F59">
            <v>173.71</v>
          </cell>
        </row>
        <row r="60">
          <cell r="A60" t="str">
            <v>012241</v>
          </cell>
          <cell r="B60" t="str">
            <v>Perfuração roto-pneumática para poço profundo em rocha sã (basalto), diâmetro de 14´ (350 mm)</v>
          </cell>
          <cell r="C60" t="str">
            <v>m</v>
          </cell>
          <cell r="D60">
            <v>1612.3400000000001</v>
          </cell>
          <cell r="E60">
            <v>0</v>
          </cell>
          <cell r="F60">
            <v>1612.3400000000001</v>
          </cell>
        </row>
        <row r="61">
          <cell r="A61" t="str">
            <v>012242</v>
          </cell>
          <cell r="B61" t="str">
            <v>Perfuração roto-pneumática para poço profundo em rocha sã (basalto), diâmetro de 8´ (200 mm)</v>
          </cell>
          <cell r="C61" t="str">
            <v>m</v>
          </cell>
          <cell r="D61">
            <v>271.2</v>
          </cell>
          <cell r="E61">
            <v>0</v>
          </cell>
          <cell r="F61">
            <v>271.2</v>
          </cell>
        </row>
        <row r="62">
          <cell r="A62" t="str">
            <v>012243</v>
          </cell>
          <cell r="B62" t="str">
            <v>Perfuração roto-pneumática para poço profundo em rocha sã (basalto), diâmetro de 12´ (300 mm)</v>
          </cell>
          <cell r="C62" t="str">
            <v>m</v>
          </cell>
          <cell r="D62">
            <v>1140.81</v>
          </cell>
          <cell r="E62">
            <v>0</v>
          </cell>
          <cell r="F62">
            <v>1140.81</v>
          </cell>
        </row>
        <row r="63">
          <cell r="A63" t="str">
            <v>012244</v>
          </cell>
          <cell r="B63" t="str">
            <v>Perfuração roto-pneumática para poço profundo em rocha sã (basalto), diâmetro de 10´ (250 mm)</v>
          </cell>
          <cell r="C63" t="str">
            <v>m</v>
          </cell>
          <cell r="D63">
            <v>412.65000000000003</v>
          </cell>
          <cell r="E63">
            <v>0</v>
          </cell>
          <cell r="F63">
            <v>412.65000000000003</v>
          </cell>
        </row>
        <row r="64">
          <cell r="A64" t="str">
            <v>012245</v>
          </cell>
          <cell r="B64" t="str">
            <v>Perfuração roto-pneumática para poço profundo em rocha sã (basalto), diâmetro de 18´ (450 mm)</v>
          </cell>
          <cell r="C64" t="str">
            <v>m</v>
          </cell>
          <cell r="D64">
            <v>2428.4499999999998</v>
          </cell>
          <cell r="E64">
            <v>0</v>
          </cell>
          <cell r="F64">
            <v>2428.4499999999998</v>
          </cell>
        </row>
        <row r="65">
          <cell r="A65" t="str">
            <v>012247</v>
          </cell>
          <cell r="B65" t="str">
            <v>Pré-filtro tipo pérola</v>
          </cell>
          <cell r="C65" t="str">
            <v>m³</v>
          </cell>
          <cell r="D65">
            <v>1146.08</v>
          </cell>
          <cell r="E65">
            <v>0</v>
          </cell>
          <cell r="F65">
            <v>1146.08</v>
          </cell>
        </row>
        <row r="66">
          <cell r="A66" t="str">
            <v>012248</v>
          </cell>
          <cell r="B66" t="str">
            <v>Revestimento da boca de poço profundo tubo chapa 3/16´, diâmetro 12´</v>
          </cell>
          <cell r="C66" t="str">
            <v>m</v>
          </cell>
          <cell r="D66">
            <v>570</v>
          </cell>
          <cell r="E66">
            <v>0</v>
          </cell>
          <cell r="F66">
            <v>570</v>
          </cell>
        </row>
        <row r="67">
          <cell r="A67" t="str">
            <v>012249</v>
          </cell>
          <cell r="B67" t="str">
            <v>Pré-filtro tipo Jacareí</v>
          </cell>
          <cell r="C67" t="str">
            <v>m³</v>
          </cell>
          <cell r="D67">
            <v>902.25</v>
          </cell>
          <cell r="E67">
            <v>0</v>
          </cell>
          <cell r="F67">
            <v>902.25</v>
          </cell>
        </row>
        <row r="68">
          <cell r="A68" t="str">
            <v>012250</v>
          </cell>
          <cell r="B68" t="str">
            <v>Revestimento da boca de poço profundo tubo chapa 3/16´, diâmetro 14´</v>
          </cell>
          <cell r="C68" t="str">
            <v>m</v>
          </cell>
          <cell r="D68">
            <v>605</v>
          </cell>
          <cell r="E68">
            <v>0</v>
          </cell>
          <cell r="F68">
            <v>605</v>
          </cell>
        </row>
        <row r="69">
          <cell r="A69" t="str">
            <v>012252</v>
          </cell>
          <cell r="B69" t="str">
            <v>Revestimento da boca de poço profundo tubo chapa 3/16´, diâmetro 16´</v>
          </cell>
          <cell r="C69" t="str">
            <v>m</v>
          </cell>
          <cell r="D69">
            <v>748.33</v>
          </cell>
          <cell r="E69">
            <v>0</v>
          </cell>
          <cell r="F69">
            <v>748.33</v>
          </cell>
        </row>
        <row r="70">
          <cell r="A70" t="str">
            <v>012253</v>
          </cell>
          <cell r="B70" t="str">
            <v>Revestimento interno de poço profundo tubo aço schedule 40, diâmetro 10´ (250 mm)</v>
          </cell>
          <cell r="C70" t="str">
            <v>m</v>
          </cell>
          <cell r="D70">
            <v>1507.17</v>
          </cell>
          <cell r="E70">
            <v>0</v>
          </cell>
          <cell r="F70">
            <v>1507.17</v>
          </cell>
        </row>
        <row r="71">
          <cell r="A71" t="str">
            <v>012254</v>
          </cell>
          <cell r="B71" t="str">
            <v>Revestimento interno de poço profundo tubo preto DIN 2440, diâmetro 6´ (150 mm)</v>
          </cell>
          <cell r="C71" t="str">
            <v>m</v>
          </cell>
          <cell r="D71">
            <v>313.79000000000002</v>
          </cell>
          <cell r="E71">
            <v>0</v>
          </cell>
          <cell r="F71">
            <v>313.79000000000002</v>
          </cell>
        </row>
        <row r="72">
          <cell r="A72" t="str">
            <v>012255</v>
          </cell>
          <cell r="B72" t="str">
            <v>Revestimento interno de poço profundo tubo aço schedule 40, diâmetro 6´ (150 mm)</v>
          </cell>
          <cell r="C72" t="str">
            <v>m</v>
          </cell>
          <cell r="D72">
            <v>535.66999999999996</v>
          </cell>
          <cell r="E72">
            <v>0</v>
          </cell>
          <cell r="F72">
            <v>535.66999999999996</v>
          </cell>
        </row>
        <row r="73">
          <cell r="A73" t="str">
            <v>012256</v>
          </cell>
          <cell r="B73" t="str">
            <v>Revestimento interno de poço profundo tubo preto DIN 2440, diâmetro 8´ (200 mm)</v>
          </cell>
          <cell r="C73" t="str">
            <v>m</v>
          </cell>
          <cell r="D73">
            <v>534.54</v>
          </cell>
          <cell r="E73">
            <v>0</v>
          </cell>
          <cell r="F73">
            <v>534.54</v>
          </cell>
        </row>
        <row r="74">
          <cell r="A74" t="str">
            <v>012257</v>
          </cell>
          <cell r="B74" t="str">
            <v>Instalação e transporte de equipamento de perfuração para poço profundo com profundidade até 200 m</v>
          </cell>
          <cell r="C74" t="str">
            <v>tx</v>
          </cell>
          <cell r="D74">
            <v>5028.57</v>
          </cell>
          <cell r="E74">
            <v>0</v>
          </cell>
          <cell r="F74">
            <v>5028.57</v>
          </cell>
        </row>
        <row r="75">
          <cell r="A75" t="str">
            <v>012261</v>
          </cell>
          <cell r="B75" t="str">
            <v>Instalação e transporte de equipamento para bombeamento, limpeza, desenvolvimento e teste de vazão</v>
          </cell>
          <cell r="C75" t="str">
            <v>tx</v>
          </cell>
          <cell r="D75">
            <v>1648.16</v>
          </cell>
          <cell r="E75">
            <v>0</v>
          </cell>
          <cell r="F75">
            <v>1648.16</v>
          </cell>
        </row>
        <row r="76">
          <cell r="A76" t="str">
            <v>012266</v>
          </cell>
          <cell r="B76" t="str">
            <v>Teste de vazão de poço profundo com bomba submersa</v>
          </cell>
          <cell r="C76" t="str">
            <v>h</v>
          </cell>
          <cell r="D76">
            <v>152.83000000000001</v>
          </cell>
          <cell r="E76">
            <v>0</v>
          </cell>
          <cell r="F76">
            <v>152.83000000000001</v>
          </cell>
        </row>
        <row r="77">
          <cell r="A77" t="str">
            <v>012268</v>
          </cell>
          <cell r="B77" t="str">
            <v>Teste de vazão de poço profundo com compressor de ar</v>
          </cell>
          <cell r="C77" t="str">
            <v>h</v>
          </cell>
          <cell r="D77">
            <v>188.3</v>
          </cell>
          <cell r="E77">
            <v>0</v>
          </cell>
          <cell r="F77">
            <v>188.3</v>
          </cell>
        </row>
        <row r="78">
          <cell r="A78" t="str">
            <v>012269</v>
          </cell>
          <cell r="B78" t="str">
            <v>Perfilagem ótica</v>
          </cell>
          <cell r="C78" t="str">
            <v>m</v>
          </cell>
          <cell r="D78">
            <v>55.120000000000005</v>
          </cell>
          <cell r="E78">
            <v>0</v>
          </cell>
          <cell r="F78">
            <v>55.120000000000005</v>
          </cell>
        </row>
        <row r="79">
          <cell r="A79" t="str">
            <v>012270</v>
          </cell>
          <cell r="B79" t="str">
            <v>Perfilagem elétrica</v>
          </cell>
          <cell r="C79" t="str">
            <v>m</v>
          </cell>
          <cell r="D79">
            <v>103.63</v>
          </cell>
          <cell r="E79">
            <v>0</v>
          </cell>
          <cell r="F79">
            <v>103.63</v>
          </cell>
        </row>
        <row r="80">
          <cell r="A80" t="str">
            <v>012271</v>
          </cell>
          <cell r="B80" t="str">
            <v>Perfuração rotativa para poço profundo em solos e/ou rocha metassedimentar alterada em geral, diâmetro de 20´ (508 mm)</v>
          </cell>
          <cell r="C80" t="str">
            <v>m</v>
          </cell>
          <cell r="D80">
            <v>456.67</v>
          </cell>
          <cell r="E80">
            <v>0</v>
          </cell>
          <cell r="F80">
            <v>456.67</v>
          </cell>
        </row>
        <row r="81">
          <cell r="A81" t="str">
            <v>012272</v>
          </cell>
          <cell r="B81" t="str">
            <v>Perfuração roto-pneumática para poço profundo em rocha metassedimentar em geral, diâmetro de 12,25´ (311,15 mm)</v>
          </cell>
          <cell r="C81" t="str">
            <v>m</v>
          </cell>
          <cell r="D81">
            <v>950</v>
          </cell>
          <cell r="E81">
            <v>0</v>
          </cell>
          <cell r="F81">
            <v>950</v>
          </cell>
        </row>
        <row r="82">
          <cell r="A82" t="str">
            <v>012273</v>
          </cell>
          <cell r="B82" t="str">
            <v>Revestimento interno de poço profundo tubo de aço preto liso calandrado, diâmetro 16´ (406,40 mm)</v>
          </cell>
          <cell r="C82" t="str">
            <v>m</v>
          </cell>
          <cell r="D82">
            <v>903.33</v>
          </cell>
          <cell r="E82">
            <v>0</v>
          </cell>
          <cell r="F82">
            <v>903.33</v>
          </cell>
        </row>
        <row r="83">
          <cell r="A83" t="str">
            <v>012274</v>
          </cell>
          <cell r="B83" t="str">
            <v>Revestimento interno de poço profundo tubo aço schedule 40, diâmetro 14´ (355,60 mm)</v>
          </cell>
          <cell r="C83" t="str">
            <v>m</v>
          </cell>
          <cell r="D83">
            <v>843.33</v>
          </cell>
          <cell r="E83">
            <v>0</v>
          </cell>
          <cell r="F83">
            <v>843.33</v>
          </cell>
        </row>
        <row r="84">
          <cell r="A84" t="str">
            <v>012275</v>
          </cell>
          <cell r="B84" t="str">
            <v>Instalação e transporte de equipamento de perfuração para poço profundo com profundidade acima de 200 m e até 300 m</v>
          </cell>
          <cell r="C84" t="str">
            <v>tx</v>
          </cell>
          <cell r="D84">
            <v>7874</v>
          </cell>
          <cell r="E84">
            <v>0</v>
          </cell>
          <cell r="F84">
            <v>7874</v>
          </cell>
        </row>
        <row r="85">
          <cell r="A85" t="str">
            <v>012276</v>
          </cell>
          <cell r="B85" t="str">
            <v>Instalação e transporte de equipamento de perfuração para poço profundo com profundidade acima de 300 m</v>
          </cell>
          <cell r="C85" t="str">
            <v>tx</v>
          </cell>
          <cell r="D85">
            <v>14138.79</v>
          </cell>
          <cell r="E85">
            <v>0</v>
          </cell>
          <cell r="F85">
            <v>14138.79</v>
          </cell>
        </row>
        <row r="86">
          <cell r="A86" t="str">
            <v>012280</v>
          </cell>
          <cell r="B86" t="str">
            <v>Revestimento da boca de poço profundo tubo chapa 3/16´, diâmetro 20´</v>
          </cell>
          <cell r="C86" t="str">
            <v>m</v>
          </cell>
          <cell r="D86">
            <v>890</v>
          </cell>
          <cell r="E86">
            <v>0</v>
          </cell>
          <cell r="F86">
            <v>890</v>
          </cell>
        </row>
        <row r="87">
          <cell r="A87" t="str">
            <v>012296</v>
          </cell>
          <cell r="B87" t="str">
            <v>Filtro espiralado galvanizado standard para poço profundo, diâmetro 6´ (152,40 mm)</v>
          </cell>
          <cell r="C87" t="str">
            <v>m</v>
          </cell>
          <cell r="D87">
            <v>809</v>
          </cell>
          <cell r="E87">
            <v>0</v>
          </cell>
          <cell r="F87">
            <v>809</v>
          </cell>
        </row>
        <row r="88">
          <cell r="A88" t="str">
            <v>012297</v>
          </cell>
          <cell r="B88" t="str">
            <v>Revestimento interno de poço profundo tubo de aço preto NBR5590, diâmetro 6´ (152,40mm)</v>
          </cell>
          <cell r="C88" t="str">
            <v>m</v>
          </cell>
          <cell r="D88">
            <v>553.33000000000004</v>
          </cell>
          <cell r="E88">
            <v>0</v>
          </cell>
          <cell r="F88">
            <v>553.33000000000004</v>
          </cell>
        </row>
        <row r="89">
          <cell r="A89" t="str">
            <v>012298</v>
          </cell>
          <cell r="B89" t="str">
            <v>Licença de perfuração e procedimentos para obtenção da outorga de poço profundo</v>
          </cell>
          <cell r="C89" t="str">
            <v>un</v>
          </cell>
          <cell r="D89">
            <v>4275</v>
          </cell>
          <cell r="E89">
            <v>0</v>
          </cell>
          <cell r="F89">
            <v>4275</v>
          </cell>
        </row>
        <row r="90">
          <cell r="A90" t="str">
            <v>012301</v>
          </cell>
          <cell r="B90" t="str">
            <v>Taxa de mobilização de equipamentos para corte em concreto armado</v>
          </cell>
          <cell r="C90" t="str">
            <v>tx</v>
          </cell>
          <cell r="D90">
            <v>223.33</v>
          </cell>
          <cell r="E90">
            <v>0</v>
          </cell>
          <cell r="F90">
            <v>223.33</v>
          </cell>
        </row>
        <row r="91">
          <cell r="A91" t="str">
            <v>012302</v>
          </cell>
          <cell r="B91" t="str">
            <v>Limpeza de armadura com escova de aço</v>
          </cell>
          <cell r="C91" t="str">
            <v>m²</v>
          </cell>
          <cell r="D91">
            <v>0.95000000000000007</v>
          </cell>
          <cell r="E91">
            <v>2.91</v>
          </cell>
          <cell r="F91">
            <v>3.86</v>
          </cell>
        </row>
        <row r="92">
          <cell r="A92" t="str">
            <v>012303</v>
          </cell>
          <cell r="B92" t="str">
            <v>Preparo de ponte de aderência com adesivo a base de epóxi</v>
          </cell>
          <cell r="C92" t="str">
            <v>m²</v>
          </cell>
          <cell r="D92">
            <v>54.36</v>
          </cell>
          <cell r="E92">
            <v>21.47</v>
          </cell>
          <cell r="F92">
            <v>75.83</v>
          </cell>
        </row>
        <row r="93">
          <cell r="A93" t="str">
            <v>012304</v>
          </cell>
          <cell r="B93" t="str">
            <v>Tratamento de armadura com produto anticorrosivo a base de zinco</v>
          </cell>
          <cell r="C93" t="str">
            <v>m²</v>
          </cell>
          <cell r="D93">
            <v>9.76</v>
          </cell>
          <cell r="E93">
            <v>18.46</v>
          </cell>
          <cell r="F93">
            <v>28.22</v>
          </cell>
        </row>
        <row r="94">
          <cell r="A94" t="str">
            <v>012306</v>
          </cell>
          <cell r="B94" t="str">
            <v>Corte de concreto deteriorado inclusive remoção dos detritos</v>
          </cell>
          <cell r="C94" t="str">
            <v>m²</v>
          </cell>
          <cell r="D94">
            <v>0</v>
          </cell>
          <cell r="E94">
            <v>14.57</v>
          </cell>
          <cell r="F94">
            <v>14.57</v>
          </cell>
        </row>
        <row r="95">
          <cell r="A95" t="str">
            <v>012312</v>
          </cell>
          <cell r="B95" t="str">
            <v>Furação de 3 1/4´ em concreto armado</v>
          </cell>
          <cell r="C95" t="str">
            <v>m</v>
          </cell>
          <cell r="D95">
            <v>146.36000000000001</v>
          </cell>
          <cell r="E95">
            <v>0</v>
          </cell>
          <cell r="F95">
            <v>146.36000000000001</v>
          </cell>
        </row>
        <row r="96">
          <cell r="A96" t="str">
            <v>012313</v>
          </cell>
          <cell r="B96" t="str">
            <v>Furação de 6 1/4´ em concreto armado</v>
          </cell>
          <cell r="C96" t="str">
            <v>m</v>
          </cell>
          <cell r="D96">
            <v>239.45000000000002</v>
          </cell>
          <cell r="E96">
            <v>0</v>
          </cell>
          <cell r="F96">
            <v>239.45000000000002</v>
          </cell>
        </row>
        <row r="97">
          <cell r="A97" t="str">
            <v>012314</v>
          </cell>
          <cell r="B97" t="str">
            <v>Furação de 1 1/4´ em concreto armado</v>
          </cell>
          <cell r="C97" t="str">
            <v>m</v>
          </cell>
          <cell r="D97">
            <v>109.82000000000001</v>
          </cell>
          <cell r="E97">
            <v>0</v>
          </cell>
          <cell r="F97">
            <v>109.82000000000001</v>
          </cell>
        </row>
        <row r="98">
          <cell r="A98" t="str">
            <v>012315</v>
          </cell>
          <cell r="B98" t="str">
            <v>Furação de 1 1/2´ em concreto armado</v>
          </cell>
          <cell r="C98" t="str">
            <v>m</v>
          </cell>
          <cell r="D98">
            <v>113.21000000000001</v>
          </cell>
          <cell r="E98">
            <v>0</v>
          </cell>
          <cell r="F98">
            <v>113.21000000000001</v>
          </cell>
        </row>
        <row r="99">
          <cell r="A99" t="str">
            <v>012316</v>
          </cell>
          <cell r="B99" t="str">
            <v>Furação de 2 1/4´ em concreto armado</v>
          </cell>
          <cell r="C99" t="str">
            <v>m</v>
          </cell>
          <cell r="D99">
            <v>131.26</v>
          </cell>
          <cell r="E99">
            <v>0</v>
          </cell>
          <cell r="F99">
            <v>131.26</v>
          </cell>
        </row>
        <row r="100">
          <cell r="A100" t="str">
            <v>012319</v>
          </cell>
          <cell r="B100" t="str">
            <v>Furação de 2 1/2´ em concreto armado</v>
          </cell>
          <cell r="C100" t="str">
            <v>m</v>
          </cell>
          <cell r="D100">
            <v>135.77000000000001</v>
          </cell>
          <cell r="E100">
            <v>0</v>
          </cell>
          <cell r="F100">
            <v>135.77000000000001</v>
          </cell>
        </row>
        <row r="101">
          <cell r="A101" t="str">
            <v>012320</v>
          </cell>
          <cell r="B101" t="str">
            <v>Taxa de mobilização para execução de serviço de perfuração em concreto</v>
          </cell>
          <cell r="C101" t="str">
            <v>tx</v>
          </cell>
          <cell r="D101">
            <v>147.1</v>
          </cell>
          <cell r="E101">
            <v>0</v>
          </cell>
          <cell r="F101">
            <v>147.1</v>
          </cell>
        </row>
        <row r="102">
          <cell r="A102" t="str">
            <v>012321</v>
          </cell>
          <cell r="B102" t="str">
            <v>Furação de 12,5 x 200 mm em concreto armado, inclusive colagem da armadura</v>
          </cell>
          <cell r="C102" t="str">
            <v>un</v>
          </cell>
          <cell r="D102">
            <v>9.98</v>
          </cell>
          <cell r="E102">
            <v>0</v>
          </cell>
          <cell r="F102">
            <v>9.98</v>
          </cell>
        </row>
        <row r="103">
          <cell r="A103" t="str">
            <v>012322</v>
          </cell>
          <cell r="B103" t="str">
            <v>Furação de 16 x 150 mm em concreto armado, inclusive colagem da armadura</v>
          </cell>
          <cell r="C103" t="str">
            <v>un</v>
          </cell>
          <cell r="D103">
            <v>11.03</v>
          </cell>
          <cell r="E103">
            <v>0</v>
          </cell>
          <cell r="F103">
            <v>11.03</v>
          </cell>
        </row>
        <row r="104">
          <cell r="A104" t="str">
            <v>012324</v>
          </cell>
          <cell r="B104" t="str">
            <v>Furação de 20 x 150 mm em concreto armado, inclusive colagem da armadura</v>
          </cell>
          <cell r="C104" t="str">
            <v>un</v>
          </cell>
          <cell r="D104">
            <v>17.84</v>
          </cell>
          <cell r="E104">
            <v>0</v>
          </cell>
          <cell r="F104">
            <v>17.84</v>
          </cell>
        </row>
        <row r="105">
          <cell r="A105" t="str">
            <v>012326</v>
          </cell>
          <cell r="B105" t="str">
            <v>Furação de 2´ em concreto armado</v>
          </cell>
          <cell r="C105" t="str">
            <v>m</v>
          </cell>
          <cell r="D105">
            <v>146.94</v>
          </cell>
          <cell r="E105">
            <v>0</v>
          </cell>
          <cell r="F105">
            <v>146.94</v>
          </cell>
        </row>
        <row r="106">
          <cell r="A106" t="str">
            <v>012327</v>
          </cell>
          <cell r="B106" t="str">
            <v>Furação de 4´ em concreto armado</v>
          </cell>
          <cell r="C106" t="str">
            <v>m</v>
          </cell>
          <cell r="D106">
            <v>190.62</v>
          </cell>
          <cell r="E106">
            <v>0</v>
          </cell>
          <cell r="F106">
            <v>190.62</v>
          </cell>
        </row>
        <row r="107">
          <cell r="A107" t="str">
            <v>012328</v>
          </cell>
          <cell r="B107" t="str">
            <v>Furação de 6´ em concreto armado</v>
          </cell>
          <cell r="C107" t="str">
            <v>m</v>
          </cell>
          <cell r="D107">
            <v>263.06</v>
          </cell>
          <cell r="E107">
            <v>0</v>
          </cell>
          <cell r="F107">
            <v>263.06</v>
          </cell>
        </row>
        <row r="108">
          <cell r="A108" t="str">
            <v>012329</v>
          </cell>
          <cell r="B108" t="str">
            <v>Furação de 8´ em concreto armado</v>
          </cell>
          <cell r="C108" t="str">
            <v>m</v>
          </cell>
          <cell r="D108">
            <v>367</v>
          </cell>
          <cell r="E108">
            <v>0</v>
          </cell>
          <cell r="F108">
            <v>367</v>
          </cell>
        </row>
        <row r="109">
          <cell r="A109" t="str">
            <v>012346</v>
          </cell>
          <cell r="B109" t="str">
            <v>Furação de 1´ em concreto armado</v>
          </cell>
          <cell r="C109" t="str">
            <v>m</v>
          </cell>
          <cell r="D109">
            <v>117.95</v>
          </cell>
          <cell r="E109">
            <v>0</v>
          </cell>
          <cell r="F109">
            <v>117.95</v>
          </cell>
        </row>
        <row r="110">
          <cell r="A110" t="str">
            <v>012347</v>
          </cell>
          <cell r="B110" t="str">
            <v>Furação de 3´ em concreto armado</v>
          </cell>
          <cell r="C110" t="str">
            <v>m</v>
          </cell>
          <cell r="D110">
            <v>164.83</v>
          </cell>
          <cell r="E110">
            <v>0</v>
          </cell>
          <cell r="F110">
            <v>164.83</v>
          </cell>
        </row>
        <row r="111">
          <cell r="A111" t="str">
            <v>012348</v>
          </cell>
          <cell r="B111" t="str">
            <v>Furação de 5´ em concreto armado</v>
          </cell>
          <cell r="C111" t="str">
            <v>m</v>
          </cell>
          <cell r="D111">
            <v>222.27</v>
          </cell>
          <cell r="E111">
            <v>0</v>
          </cell>
          <cell r="F111">
            <v>222.27</v>
          </cell>
        </row>
        <row r="112">
          <cell r="A112" t="str">
            <v>012349</v>
          </cell>
          <cell r="B112" t="str">
            <v>Furação de 7´ em concreto armado</v>
          </cell>
          <cell r="C112" t="str">
            <v>m</v>
          </cell>
          <cell r="D112">
            <v>304.43</v>
          </cell>
          <cell r="E112">
            <v>0</v>
          </cell>
          <cell r="F112">
            <v>304.43</v>
          </cell>
        </row>
        <row r="113">
          <cell r="A113" t="str">
            <v>012351</v>
          </cell>
          <cell r="B113" t="str">
            <v>Corte vertical em concreto armado, espessura de 15 cm</v>
          </cell>
          <cell r="C113" t="str">
            <v>m</v>
          </cell>
          <cell r="D113">
            <v>177.64000000000001</v>
          </cell>
          <cell r="E113">
            <v>0</v>
          </cell>
          <cell r="F113">
            <v>177.64000000000001</v>
          </cell>
        </row>
        <row r="114">
          <cell r="A114" t="str">
            <v>012701</v>
          </cell>
          <cell r="B114" t="str">
            <v>Projeto e implementação de gerenciamento integrado de resíduos sólidos e gestão de perdas</v>
          </cell>
          <cell r="C114" t="str">
            <v>un</v>
          </cell>
          <cell r="D114">
            <v>7553.5</v>
          </cell>
          <cell r="E114">
            <v>0</v>
          </cell>
          <cell r="F114">
            <v>7553.5</v>
          </cell>
        </row>
        <row r="115">
          <cell r="A115" t="str">
            <v>012702</v>
          </cell>
          <cell r="B115" t="str">
            <v>Projeto e implementação de educação ambiental</v>
          </cell>
          <cell r="C115" t="str">
            <v>un</v>
          </cell>
          <cell r="D115">
            <v>10693.82</v>
          </cell>
          <cell r="E115">
            <v>0</v>
          </cell>
          <cell r="F115">
            <v>10693.82</v>
          </cell>
        </row>
        <row r="116">
          <cell r="A116" t="str">
            <v>012703</v>
          </cell>
          <cell r="B116" t="str">
            <v>Projeto e implementação de controle ambiental das obras</v>
          </cell>
          <cell r="C116" t="str">
            <v>un</v>
          </cell>
          <cell r="D116">
            <v>10729.800000000001</v>
          </cell>
          <cell r="E116">
            <v>0</v>
          </cell>
          <cell r="F116">
            <v>10729.800000000001</v>
          </cell>
        </row>
        <row r="117">
          <cell r="A117" t="str">
            <v>012704</v>
          </cell>
          <cell r="B117" t="str">
            <v>Laudo de caracterização de vegetação</v>
          </cell>
          <cell r="C117" t="str">
            <v>un</v>
          </cell>
          <cell r="D117">
            <v>20668.080000000002</v>
          </cell>
          <cell r="E117">
            <v>0</v>
          </cell>
          <cell r="F117">
            <v>20668.080000000002</v>
          </cell>
        </row>
        <row r="118">
          <cell r="A118" t="str">
            <v>012705</v>
          </cell>
          <cell r="B118" t="str">
            <v>Laudo de caracterização da fauna associada à flora</v>
          </cell>
          <cell r="C118" t="str">
            <v>un</v>
          </cell>
          <cell r="D118">
            <v>31721.040000000001</v>
          </cell>
          <cell r="E118">
            <v>0</v>
          </cell>
          <cell r="F118">
            <v>31721.040000000001</v>
          </cell>
        </row>
        <row r="119">
          <cell r="A119" t="str">
            <v>012706</v>
          </cell>
          <cell r="B119" t="str">
            <v>Projeto e implementação de monitoramento da fauna durante a obra</v>
          </cell>
          <cell r="C119" t="str">
            <v>un</v>
          </cell>
          <cell r="D119">
            <v>12834.7</v>
          </cell>
          <cell r="E119">
            <v>0</v>
          </cell>
          <cell r="F119">
            <v>12834.7</v>
          </cell>
        </row>
        <row r="120">
          <cell r="A120" t="str">
            <v>012707</v>
          </cell>
          <cell r="B120" t="str">
            <v>Laudo de autodepuração</v>
          </cell>
          <cell r="C120" t="str">
            <v>un</v>
          </cell>
          <cell r="D120">
            <v>15311.5</v>
          </cell>
          <cell r="E120">
            <v>0</v>
          </cell>
          <cell r="F120">
            <v>15311.5</v>
          </cell>
        </row>
        <row r="121">
          <cell r="A121" t="str">
            <v>020102</v>
          </cell>
          <cell r="B121" t="str">
            <v>Construção provisória em madeira - fornecimento e montagem</v>
          </cell>
          <cell r="C121" t="str">
            <v>m²</v>
          </cell>
          <cell r="D121">
            <v>158.21</v>
          </cell>
          <cell r="E121">
            <v>56.53</v>
          </cell>
          <cell r="F121">
            <v>214.74</v>
          </cell>
        </row>
        <row r="122">
          <cell r="A122" t="str">
            <v>020117</v>
          </cell>
          <cell r="B122" t="str">
            <v>Sanitário/vestiário em alvenaria</v>
          </cell>
          <cell r="C122" t="str">
            <v>m²</v>
          </cell>
          <cell r="D122">
            <v>247.03</v>
          </cell>
          <cell r="E122">
            <v>149.63999999999999</v>
          </cell>
          <cell r="F122">
            <v>396.67</v>
          </cell>
        </row>
        <row r="123">
          <cell r="A123" t="str">
            <v>020120</v>
          </cell>
          <cell r="B123" t="str">
            <v>Desmobilização de construção provisória</v>
          </cell>
          <cell r="C123" t="str">
            <v>m²</v>
          </cell>
          <cell r="D123">
            <v>6.82</v>
          </cell>
          <cell r="E123">
            <v>3.38</v>
          </cell>
          <cell r="F123">
            <v>10.199999999999999</v>
          </cell>
        </row>
        <row r="124">
          <cell r="A124" t="str">
            <v>020202</v>
          </cell>
          <cell r="B124" t="str">
            <v>Container alojamento - mínimo 9,20 m²</v>
          </cell>
          <cell r="C124" t="str">
            <v>unxmês</v>
          </cell>
          <cell r="D124">
            <v>253.33</v>
          </cell>
          <cell r="E124">
            <v>1.94</v>
          </cell>
          <cell r="F124">
            <v>255.27</v>
          </cell>
        </row>
        <row r="125">
          <cell r="A125" t="str">
            <v>020204</v>
          </cell>
          <cell r="B125" t="str">
            <v>Container sanitário - mínimo 2 duchas, 2 bacias, 1 lavatório e 1 mictório</v>
          </cell>
          <cell r="C125" t="str">
            <v>unxmês</v>
          </cell>
          <cell r="D125">
            <v>450</v>
          </cell>
          <cell r="E125">
            <v>1.94</v>
          </cell>
          <cell r="F125">
            <v>451.94</v>
          </cell>
        </row>
        <row r="126">
          <cell r="A126" t="str">
            <v>020206</v>
          </cell>
          <cell r="B126" t="str">
            <v>Container depósito - mínimo 9,20 m²</v>
          </cell>
          <cell r="C126" t="str">
            <v>unxmês</v>
          </cell>
          <cell r="D126">
            <v>253.33</v>
          </cell>
          <cell r="E126">
            <v>1.94</v>
          </cell>
          <cell r="F126">
            <v>255.27</v>
          </cell>
        </row>
        <row r="127">
          <cell r="A127" t="str">
            <v>020208</v>
          </cell>
          <cell r="B127" t="str">
            <v>Container escritório com 1 sanitário - mínimo 9,20 m²</v>
          </cell>
          <cell r="C127" t="str">
            <v>unxmês</v>
          </cell>
          <cell r="D127">
            <v>276.67</v>
          </cell>
          <cell r="E127">
            <v>1.94</v>
          </cell>
          <cell r="F127">
            <v>278.61</v>
          </cell>
        </row>
        <row r="128">
          <cell r="A128" t="str">
            <v>020210</v>
          </cell>
          <cell r="B128" t="str">
            <v>Container guarita simples - mínimo 1,0 m²</v>
          </cell>
          <cell r="C128" t="str">
            <v>unxmês</v>
          </cell>
          <cell r="D128">
            <v>176.67000000000002</v>
          </cell>
          <cell r="E128">
            <v>1.94</v>
          </cell>
          <cell r="F128">
            <v>178.61</v>
          </cell>
        </row>
        <row r="129">
          <cell r="A129" t="str">
            <v>020303</v>
          </cell>
          <cell r="B129" t="str">
            <v>Proteção de superfícies em geral com plástico bolha</v>
          </cell>
          <cell r="C129" t="str">
            <v>m²</v>
          </cell>
          <cell r="D129">
            <v>0.36</v>
          </cell>
          <cell r="E129">
            <v>0.97</v>
          </cell>
          <cell r="F129">
            <v>1.33</v>
          </cell>
        </row>
        <row r="130">
          <cell r="A130" t="str">
            <v>020306</v>
          </cell>
          <cell r="B130" t="str">
            <v>Proteção de fachada com tela de nylon</v>
          </cell>
          <cell r="C130" t="str">
            <v>m²</v>
          </cell>
          <cell r="D130">
            <v>2.2599999999999998</v>
          </cell>
          <cell r="E130">
            <v>9.2899999999999991</v>
          </cell>
          <cell r="F130">
            <v>11.55</v>
          </cell>
        </row>
        <row r="131">
          <cell r="A131" t="str">
            <v>020308</v>
          </cell>
          <cell r="B131" t="str">
            <v>Fechamento provisório de vãos em chapa de madeira compensada</v>
          </cell>
          <cell r="C131" t="str">
            <v>m²</v>
          </cell>
          <cell r="D131">
            <v>5.15</v>
          </cell>
          <cell r="E131">
            <v>6.99</v>
          </cell>
          <cell r="F131">
            <v>12.14</v>
          </cell>
        </row>
        <row r="132">
          <cell r="A132" t="str">
            <v>020309</v>
          </cell>
          <cell r="B132" t="str">
            <v>Fechamento definitivo de vãos em chapa de madeira compensada</v>
          </cell>
          <cell r="C132" t="str">
            <v>m²</v>
          </cell>
          <cell r="D132">
            <v>12.82</v>
          </cell>
          <cell r="E132">
            <v>6.99</v>
          </cell>
          <cell r="F132">
            <v>19.809999999999999</v>
          </cell>
        </row>
        <row r="133">
          <cell r="A133" t="str">
            <v>020311</v>
          </cell>
          <cell r="B133" t="str">
            <v>Tapume móvel para fechamento de áreas</v>
          </cell>
          <cell r="C133" t="str">
            <v>m²</v>
          </cell>
          <cell r="D133">
            <v>18.32</v>
          </cell>
          <cell r="E133">
            <v>18.329999999999998</v>
          </cell>
          <cell r="F133">
            <v>36.65</v>
          </cell>
        </row>
        <row r="134">
          <cell r="A134" t="str">
            <v>020312</v>
          </cell>
          <cell r="B134" t="str">
            <v>Tapume fixo para fechamento de áreas, com portão</v>
          </cell>
          <cell r="C134" t="str">
            <v>m²</v>
          </cell>
          <cell r="D134">
            <v>18.32</v>
          </cell>
          <cell r="E134">
            <v>18.05</v>
          </cell>
          <cell r="F134">
            <v>36.369999999999997</v>
          </cell>
        </row>
        <row r="135">
          <cell r="A135" t="str">
            <v>020320</v>
          </cell>
          <cell r="B135" t="str">
            <v>Locação de quadros metálicos para plataforma de proteção, inclusive o madeiramento</v>
          </cell>
          <cell r="C135" t="str">
            <v>m²xmês</v>
          </cell>
          <cell r="D135">
            <v>14.76</v>
          </cell>
          <cell r="E135">
            <v>0.47000000000000003</v>
          </cell>
          <cell r="F135">
            <v>15.23</v>
          </cell>
        </row>
        <row r="136">
          <cell r="A136" t="str">
            <v>020324</v>
          </cell>
          <cell r="B136" t="str">
            <v>Proteção de piso com tecido de aniagem e gesso</v>
          </cell>
          <cell r="C136" t="str">
            <v>m²</v>
          </cell>
          <cell r="D136">
            <v>5.6000000000000005</v>
          </cell>
          <cell r="E136">
            <v>1.94</v>
          </cell>
          <cell r="F136">
            <v>7.54</v>
          </cell>
        </row>
        <row r="137">
          <cell r="A137" t="str">
            <v>020325</v>
          </cell>
          <cell r="B137" t="str">
            <v>Tapume fixo em painel OSB - espessura 08 mm</v>
          </cell>
          <cell r="C137" t="str">
            <v>m²</v>
          </cell>
          <cell r="D137">
            <v>25.53</v>
          </cell>
          <cell r="E137">
            <v>18.14</v>
          </cell>
          <cell r="F137">
            <v>43.67</v>
          </cell>
        </row>
        <row r="138">
          <cell r="A138" t="str">
            <v>020326</v>
          </cell>
          <cell r="B138" t="str">
            <v>Tapume fixo em painel OSB - espessura 10 mm</v>
          </cell>
          <cell r="C138" t="str">
            <v>m²</v>
          </cell>
          <cell r="D138">
            <v>27.12</v>
          </cell>
          <cell r="E138">
            <v>18.14</v>
          </cell>
          <cell r="F138">
            <v>45.26</v>
          </cell>
        </row>
        <row r="139">
          <cell r="A139" t="str">
            <v>020327</v>
          </cell>
          <cell r="B139" t="str">
            <v>Tapume fixo em painel OSB - espessura 12 mm</v>
          </cell>
          <cell r="C139" t="str">
            <v>m²</v>
          </cell>
          <cell r="D139">
            <v>29.16</v>
          </cell>
          <cell r="E139">
            <v>18.14</v>
          </cell>
          <cell r="F139">
            <v>47.300000000000004</v>
          </cell>
        </row>
        <row r="140">
          <cell r="A140" t="str">
            <v>020350</v>
          </cell>
          <cell r="B140" t="str">
            <v>Proteção em madeira e lona plástica para equipamentos: mecânico/informática, para obras de reforma</v>
          </cell>
          <cell r="C140" t="str">
            <v>m³</v>
          </cell>
          <cell r="D140">
            <v>19.61</v>
          </cell>
          <cell r="E140">
            <v>20.830000000000002</v>
          </cell>
          <cell r="F140">
            <v>40.44</v>
          </cell>
        </row>
        <row r="141">
          <cell r="A141" t="str">
            <v>020503</v>
          </cell>
          <cell r="B141" t="str">
            <v>Andaime tubular fachadeiro</v>
          </cell>
          <cell r="C141" t="str">
            <v>m²xmês</v>
          </cell>
          <cell r="D141">
            <v>7.62</v>
          </cell>
          <cell r="E141">
            <v>0.97</v>
          </cell>
          <cell r="F141">
            <v>8.59</v>
          </cell>
        </row>
        <row r="142">
          <cell r="A142" t="str">
            <v>020506</v>
          </cell>
          <cell r="B142" t="str">
            <v>Montagem e desmontagem de andaime torre metálica com altura até 10 m</v>
          </cell>
          <cell r="C142" t="str">
            <v>m</v>
          </cell>
          <cell r="D142">
            <v>0</v>
          </cell>
          <cell r="E142">
            <v>5.93</v>
          </cell>
          <cell r="F142">
            <v>5.93</v>
          </cell>
        </row>
        <row r="143">
          <cell r="A143" t="str">
            <v>020508</v>
          </cell>
          <cell r="B143" t="str">
            <v>Montagem e desmontagem de andaime torre metálica com altura superior a 10 m</v>
          </cell>
          <cell r="C143" t="str">
            <v>m</v>
          </cell>
          <cell r="D143">
            <v>0</v>
          </cell>
          <cell r="E143">
            <v>14.96</v>
          </cell>
          <cell r="F143">
            <v>14.96</v>
          </cell>
        </row>
        <row r="144">
          <cell r="A144" t="str">
            <v>020509</v>
          </cell>
          <cell r="B144" t="str">
            <v>Montagem e desmontagem de andaime tubular fachadeiro com altura até 10 m</v>
          </cell>
          <cell r="C144" t="str">
            <v>m²</v>
          </cell>
          <cell r="D144">
            <v>0</v>
          </cell>
          <cell r="E144">
            <v>5.93</v>
          </cell>
          <cell r="F144">
            <v>5.93</v>
          </cell>
        </row>
        <row r="145">
          <cell r="A145" t="str">
            <v>020510</v>
          </cell>
          <cell r="B145" t="str">
            <v>Montagem e desmontagem de andaime tubular fachadeiro com altura superior a 10 m</v>
          </cell>
          <cell r="C145" t="str">
            <v>m²</v>
          </cell>
          <cell r="D145">
            <v>0</v>
          </cell>
          <cell r="E145">
            <v>14.96</v>
          </cell>
          <cell r="F145">
            <v>14.96</v>
          </cell>
        </row>
        <row r="146">
          <cell r="A146" t="str">
            <v>020511</v>
          </cell>
          <cell r="B146" t="str">
            <v>Balancim duplo</v>
          </cell>
          <cell r="C146" t="str">
            <v>unxmês</v>
          </cell>
          <cell r="D146">
            <v>83.100000000000009</v>
          </cell>
          <cell r="E146">
            <v>4.82</v>
          </cell>
          <cell r="F146">
            <v>87.92</v>
          </cell>
        </row>
        <row r="147">
          <cell r="A147" t="str">
            <v>020512</v>
          </cell>
          <cell r="B147" t="str">
            <v>Montagem e desmontagem de balancim duplo</v>
          </cell>
          <cell r="C147" t="str">
            <v>un</v>
          </cell>
          <cell r="D147">
            <v>8.0399999999999991</v>
          </cell>
          <cell r="E147">
            <v>21.85</v>
          </cell>
          <cell r="F147">
            <v>29.89</v>
          </cell>
        </row>
        <row r="148">
          <cell r="A148" t="str">
            <v>020515</v>
          </cell>
          <cell r="B148" t="str">
            <v>Andaime torre metálico de 1,5 x 1,5 m</v>
          </cell>
          <cell r="C148" t="str">
            <v>mxmês</v>
          </cell>
          <cell r="D148">
            <v>17.420000000000002</v>
          </cell>
          <cell r="E148">
            <v>1.94</v>
          </cell>
          <cell r="F148">
            <v>19.36</v>
          </cell>
        </row>
        <row r="149">
          <cell r="A149" t="str">
            <v>020802</v>
          </cell>
          <cell r="B149" t="str">
            <v>Placa de identificação para obra</v>
          </cell>
          <cell r="C149" t="str">
            <v>m²</v>
          </cell>
          <cell r="D149">
            <v>311.24</v>
          </cell>
          <cell r="E149">
            <v>43.25</v>
          </cell>
          <cell r="F149">
            <v>354.49</v>
          </cell>
        </row>
        <row r="150">
          <cell r="A150" t="str">
            <v>020803</v>
          </cell>
          <cell r="B150" t="str">
            <v>Manutenção de placa padronizada de identificação visual de programas e empreendimentos do governo do Estado de São Paulo</v>
          </cell>
          <cell r="C150" t="str">
            <v>m²xmês</v>
          </cell>
          <cell r="D150">
            <v>5.61</v>
          </cell>
          <cell r="E150">
            <v>1.73</v>
          </cell>
          <cell r="F150">
            <v>7.34</v>
          </cell>
        </row>
        <row r="151">
          <cell r="A151" t="str">
            <v>020903</v>
          </cell>
          <cell r="B151" t="str">
            <v>Limpeza manual do terreno, inclusive troncos até 5 cm de diâmetro, com caminhão à disposição, dentro da obra, até o raio de 1,0 km</v>
          </cell>
          <cell r="C151" t="str">
            <v>m²</v>
          </cell>
          <cell r="D151">
            <v>1</v>
          </cell>
          <cell r="E151">
            <v>2.4300000000000002</v>
          </cell>
          <cell r="F151">
            <v>3.43</v>
          </cell>
        </row>
        <row r="152">
          <cell r="A152" t="str">
            <v>020904</v>
          </cell>
          <cell r="B152" t="str">
            <v>Limpeza mecanizada do terreno, inclusive troncos até 15 cm de diâmetro, com caminhão à disposição, dentro e fora da obra, com transporte no raio de até 1,0 km</v>
          </cell>
          <cell r="C152" t="str">
            <v>m²</v>
          </cell>
          <cell r="D152">
            <v>1.97</v>
          </cell>
          <cell r="E152">
            <v>0.16</v>
          </cell>
          <cell r="F152">
            <v>2.13</v>
          </cell>
        </row>
        <row r="153">
          <cell r="A153" t="str">
            <v>020913</v>
          </cell>
          <cell r="B153" t="str">
            <v>Limpeza mecanizada do terreno, inclusive troncos com diâmetro acima de 15 cm até 50 cm, com caminhão à disposição dentro da obra, até o raio de 1,0 km</v>
          </cell>
          <cell r="C153" t="str">
            <v>m²</v>
          </cell>
          <cell r="D153">
            <v>2.1800000000000002</v>
          </cell>
          <cell r="E153">
            <v>0.16</v>
          </cell>
          <cell r="F153">
            <v>2.34</v>
          </cell>
        </row>
        <row r="154">
          <cell r="A154" t="str">
            <v>020916</v>
          </cell>
          <cell r="B154" t="str">
            <v>Corte e derrubada de eucalípto (1° corte) - idade acima de 4 anos</v>
          </cell>
          <cell r="C154" t="str">
            <v>m³</v>
          </cell>
          <cell r="D154">
            <v>33.340000000000003</v>
          </cell>
          <cell r="E154">
            <v>5.15</v>
          </cell>
          <cell r="F154">
            <v>38.49</v>
          </cell>
        </row>
        <row r="155">
          <cell r="A155" t="str">
            <v>021002</v>
          </cell>
          <cell r="B155" t="str">
            <v>Locação de obra de edificação</v>
          </cell>
          <cell r="C155" t="str">
            <v>m²</v>
          </cell>
          <cell r="D155">
            <v>3.73</v>
          </cell>
          <cell r="E155">
            <v>2.75</v>
          </cell>
          <cell r="F155">
            <v>6.48</v>
          </cell>
        </row>
        <row r="156">
          <cell r="A156" t="str">
            <v>021004</v>
          </cell>
          <cell r="B156" t="str">
            <v>Locação de rede de canalização</v>
          </cell>
          <cell r="C156" t="str">
            <v>m</v>
          </cell>
          <cell r="D156">
            <v>0.51</v>
          </cell>
          <cell r="E156">
            <v>0.2</v>
          </cell>
          <cell r="F156">
            <v>0.71</v>
          </cell>
        </row>
        <row r="157">
          <cell r="A157" t="str">
            <v>021005</v>
          </cell>
          <cell r="B157" t="str">
            <v>Locação para muros, cercas e alambrados</v>
          </cell>
          <cell r="C157" t="str">
            <v>m</v>
          </cell>
          <cell r="D157">
            <v>0.51</v>
          </cell>
          <cell r="E157">
            <v>0.2</v>
          </cell>
          <cell r="F157">
            <v>0.71</v>
          </cell>
        </row>
        <row r="158">
          <cell r="A158" t="str">
            <v>021006</v>
          </cell>
          <cell r="B158" t="str">
            <v>Locação de vias, calçadas, tanques e lagoas</v>
          </cell>
          <cell r="C158" t="str">
            <v>m²</v>
          </cell>
          <cell r="D158">
            <v>0.43</v>
          </cell>
          <cell r="E158">
            <v>0.39</v>
          </cell>
          <cell r="F158">
            <v>0.82000000000000006</v>
          </cell>
        </row>
        <row r="159">
          <cell r="A159" t="str">
            <v>030102</v>
          </cell>
          <cell r="B159" t="str">
            <v>Demolição manual de concreto simples</v>
          </cell>
          <cell r="C159" t="str">
            <v>m³</v>
          </cell>
          <cell r="D159">
            <v>0</v>
          </cell>
          <cell r="E159">
            <v>106.81</v>
          </cell>
          <cell r="F159">
            <v>106.81</v>
          </cell>
        </row>
        <row r="160">
          <cell r="A160" t="str">
            <v>030104</v>
          </cell>
          <cell r="B160" t="str">
            <v>Demolição manual de concreto armado</v>
          </cell>
          <cell r="C160" t="str">
            <v>m³</v>
          </cell>
          <cell r="D160">
            <v>0</v>
          </cell>
          <cell r="E160">
            <v>194.20000000000002</v>
          </cell>
          <cell r="F160">
            <v>194.20000000000002</v>
          </cell>
        </row>
        <row r="161">
          <cell r="A161" t="str">
            <v>030106</v>
          </cell>
          <cell r="B161" t="str">
            <v>Demolição manual de lajes pré-moldadas, incluindo revestimento</v>
          </cell>
          <cell r="C161" t="str">
            <v>m²</v>
          </cell>
          <cell r="D161">
            <v>0</v>
          </cell>
          <cell r="E161">
            <v>14.57</v>
          </cell>
          <cell r="F161">
            <v>14.57</v>
          </cell>
        </row>
        <row r="162">
          <cell r="A162" t="str">
            <v>030120</v>
          </cell>
          <cell r="B162" t="str">
            <v>Demolição mecanizada de concreto armado, inclusive fragmentação, carregamento, transporte até 1,0 quilômetro e descarregamento</v>
          </cell>
          <cell r="C162" t="str">
            <v>m³</v>
          </cell>
          <cell r="D162">
            <v>186.08</v>
          </cell>
          <cell r="E162">
            <v>58.26</v>
          </cell>
          <cell r="F162">
            <v>244.34</v>
          </cell>
        </row>
        <row r="163">
          <cell r="A163" t="str">
            <v>030121</v>
          </cell>
          <cell r="B163" t="str">
            <v>Demolição mecanizada de concreto armado, inclusive fragmentação e acomodação do material</v>
          </cell>
          <cell r="C163" t="str">
            <v>m³</v>
          </cell>
          <cell r="D163">
            <v>177.38</v>
          </cell>
          <cell r="E163">
            <v>58.26</v>
          </cell>
          <cell r="F163">
            <v>235.64000000000001</v>
          </cell>
        </row>
        <row r="164">
          <cell r="A164" t="str">
            <v>030122</v>
          </cell>
          <cell r="B164" t="str">
            <v>Demolição mecanizada de concreto simples, inclusive fragmentação, carregamento, transporte até 1,0 quilômetro e descarregamento</v>
          </cell>
          <cell r="C164" t="str">
            <v>m³</v>
          </cell>
          <cell r="D164">
            <v>97.39</v>
          </cell>
          <cell r="E164">
            <v>38.840000000000003</v>
          </cell>
          <cell r="F164">
            <v>136.22999999999999</v>
          </cell>
        </row>
        <row r="165">
          <cell r="A165" t="str">
            <v>030123</v>
          </cell>
          <cell r="B165" t="str">
            <v>Demolição mecanizada de concreto simples, inclusive fragmentação e acomodação do material</v>
          </cell>
          <cell r="C165" t="str">
            <v>m³</v>
          </cell>
          <cell r="D165">
            <v>88.69</v>
          </cell>
          <cell r="E165">
            <v>38.840000000000003</v>
          </cell>
          <cell r="F165">
            <v>127.53</v>
          </cell>
        </row>
        <row r="166">
          <cell r="A166" t="str">
            <v>030124</v>
          </cell>
          <cell r="B166" t="str">
            <v>Demolição mecanizada de pavimento ou piso em concreto, inclusive fragmentação, carregamento, transporte até 1,0 quilômetro e descarregamento</v>
          </cell>
          <cell r="C166" t="str">
            <v>m²</v>
          </cell>
          <cell r="D166">
            <v>9.57</v>
          </cell>
          <cell r="E166">
            <v>3.88</v>
          </cell>
          <cell r="F166">
            <v>13.450000000000001</v>
          </cell>
        </row>
        <row r="167">
          <cell r="A167" t="str">
            <v>030125</v>
          </cell>
          <cell r="B167" t="str">
            <v>Demolição mecanizada de pavimento ou piso em concreto, inclusive fragmentação e acomodação do material</v>
          </cell>
          <cell r="C167" t="str">
            <v>m²</v>
          </cell>
          <cell r="D167">
            <v>8.8699999999999992</v>
          </cell>
          <cell r="E167">
            <v>3.88</v>
          </cell>
          <cell r="F167">
            <v>12.75</v>
          </cell>
        </row>
        <row r="168">
          <cell r="A168" t="str">
            <v>030126</v>
          </cell>
          <cell r="B168" t="str">
            <v>Demolição mecanizada de sarjeta ou sarjetão, inclusive fragmentação, carregamento, transporte até 1,0 quilômetro e descarregamento</v>
          </cell>
          <cell r="C168" t="str">
            <v>m³</v>
          </cell>
          <cell r="D168">
            <v>95.69</v>
          </cell>
          <cell r="E168">
            <v>38.840000000000003</v>
          </cell>
          <cell r="F168">
            <v>134.53</v>
          </cell>
        </row>
        <row r="169">
          <cell r="A169" t="str">
            <v>030127</v>
          </cell>
          <cell r="B169" t="str">
            <v>Demolição mecanizada de sarjeta ou sarjetão, inclusive fragmentação e acomodação do material</v>
          </cell>
          <cell r="C169" t="str">
            <v>m³</v>
          </cell>
          <cell r="D169">
            <v>88.69</v>
          </cell>
          <cell r="E169">
            <v>38.840000000000003</v>
          </cell>
          <cell r="F169">
            <v>127.53</v>
          </cell>
        </row>
        <row r="170">
          <cell r="A170" t="str">
            <v>030202</v>
          </cell>
          <cell r="B170" t="str">
            <v>Demolição manual de alvenaria de fundação/embasamento</v>
          </cell>
          <cell r="C170" t="str">
            <v>m³</v>
          </cell>
          <cell r="D170">
            <v>0</v>
          </cell>
          <cell r="E170">
            <v>58.26</v>
          </cell>
          <cell r="F170">
            <v>58.26</v>
          </cell>
        </row>
        <row r="171">
          <cell r="A171" t="str">
            <v>030204</v>
          </cell>
          <cell r="B171" t="str">
            <v>Demolição manual de alvenaria de elevação ou elemento vazado, incluindo revestimento</v>
          </cell>
          <cell r="C171" t="str">
            <v>m³</v>
          </cell>
          <cell r="D171">
            <v>0</v>
          </cell>
          <cell r="E171">
            <v>38.840000000000003</v>
          </cell>
          <cell r="F171">
            <v>38.840000000000003</v>
          </cell>
        </row>
        <row r="172">
          <cell r="A172" t="str">
            <v>030302</v>
          </cell>
          <cell r="B172" t="str">
            <v>Apicoamento manual de piso, parede ou teto</v>
          </cell>
          <cell r="C172" t="str">
            <v>m²</v>
          </cell>
          <cell r="D172">
            <v>0</v>
          </cell>
          <cell r="E172">
            <v>1.46</v>
          </cell>
          <cell r="F172">
            <v>1.46</v>
          </cell>
        </row>
        <row r="173">
          <cell r="A173" t="str">
            <v>030304</v>
          </cell>
          <cell r="B173" t="str">
            <v>Demolição manual de revestimento em massa de parede ou teto</v>
          </cell>
          <cell r="C173" t="str">
            <v>m²</v>
          </cell>
          <cell r="D173">
            <v>0</v>
          </cell>
          <cell r="E173">
            <v>2.91</v>
          </cell>
          <cell r="F173">
            <v>2.91</v>
          </cell>
        </row>
        <row r="174">
          <cell r="A174" t="str">
            <v>030306</v>
          </cell>
          <cell r="B174" t="str">
            <v>Demolição manual de revestimento em massa de piso</v>
          </cell>
          <cell r="C174" t="str">
            <v>m²</v>
          </cell>
          <cell r="D174">
            <v>0</v>
          </cell>
          <cell r="E174">
            <v>4.8600000000000003</v>
          </cell>
          <cell r="F174">
            <v>4.8600000000000003</v>
          </cell>
        </row>
        <row r="175">
          <cell r="A175" t="str">
            <v>030402</v>
          </cell>
          <cell r="B175" t="str">
            <v>Demolição manual de revestimento cerâmico, incluindo a base</v>
          </cell>
          <cell r="C175" t="str">
            <v>m²</v>
          </cell>
          <cell r="D175">
            <v>0</v>
          </cell>
          <cell r="E175">
            <v>5.83</v>
          </cell>
          <cell r="F175">
            <v>5.83</v>
          </cell>
        </row>
        <row r="176">
          <cell r="A176" t="str">
            <v>030403</v>
          </cell>
          <cell r="B176" t="str">
            <v>Demolição manual de revestimento em ladrilho hidráulico, incluindo a base</v>
          </cell>
          <cell r="C176" t="str">
            <v>m²</v>
          </cell>
          <cell r="D176">
            <v>0</v>
          </cell>
          <cell r="E176">
            <v>4.8600000000000003</v>
          </cell>
          <cell r="F176">
            <v>4.8600000000000003</v>
          </cell>
        </row>
        <row r="177">
          <cell r="A177" t="str">
            <v>030404</v>
          </cell>
          <cell r="B177" t="str">
            <v>Demolição manual de rodapé, soleira ou peitoril, em material cerâmico e/ou ladrilho hidráilico, incluindo a base</v>
          </cell>
          <cell r="C177" t="str">
            <v>m</v>
          </cell>
          <cell r="D177">
            <v>0</v>
          </cell>
          <cell r="E177">
            <v>1.46</v>
          </cell>
          <cell r="F177">
            <v>1.46</v>
          </cell>
        </row>
        <row r="178">
          <cell r="A178" t="str">
            <v>030502</v>
          </cell>
          <cell r="B178" t="str">
            <v>Demolição manual de revestimento sintético, incluindo a base</v>
          </cell>
          <cell r="C178" t="str">
            <v>m²</v>
          </cell>
          <cell r="D178">
            <v>0</v>
          </cell>
          <cell r="E178">
            <v>3.88</v>
          </cell>
          <cell r="F178">
            <v>3.88</v>
          </cell>
        </row>
        <row r="179">
          <cell r="A179" t="str">
            <v>030605</v>
          </cell>
          <cell r="B179" t="str">
            <v>Desmonte (levantamento) mecanizado de pavimento em paralelepípedo ou lajota de concreto, inclusive carregamento, transporte até 1,0 quilômetro e descarregamento</v>
          </cell>
          <cell r="C179" t="str">
            <v>m²</v>
          </cell>
          <cell r="D179">
            <v>6.96</v>
          </cell>
          <cell r="E179">
            <v>4.8600000000000003</v>
          </cell>
          <cell r="F179">
            <v>11.82</v>
          </cell>
        </row>
        <row r="180">
          <cell r="A180" t="str">
            <v>030606</v>
          </cell>
          <cell r="B180" t="str">
            <v>Desmonte (levantamento) mecanizado de pavimento em paralelepípedo ou lajota de concreto, inclusive acomodação do material</v>
          </cell>
          <cell r="C180" t="str">
            <v>m²</v>
          </cell>
          <cell r="D180">
            <v>0.71</v>
          </cell>
          <cell r="E180">
            <v>4.8600000000000003</v>
          </cell>
          <cell r="F180">
            <v>5.57</v>
          </cell>
        </row>
        <row r="181">
          <cell r="A181" t="str">
            <v>030701</v>
          </cell>
          <cell r="B181" t="str">
            <v>Demolição (levantamento) mecanizada de pavimento asfáltico, inclusive carregamento, transporte até 1,0 quilômetro e descarregamento</v>
          </cell>
          <cell r="C181" t="str">
            <v>m²</v>
          </cell>
          <cell r="D181">
            <v>9.86</v>
          </cell>
          <cell r="E181">
            <v>1.94</v>
          </cell>
          <cell r="F181">
            <v>11.8</v>
          </cell>
        </row>
        <row r="182">
          <cell r="A182" t="str">
            <v>030703</v>
          </cell>
          <cell r="B182" t="str">
            <v>Demolição (levantamento) mecanizada de pavimento asfáltico, inclusive fragmentação e acomodação do material</v>
          </cell>
          <cell r="C182" t="str">
            <v>m²</v>
          </cell>
          <cell r="D182">
            <v>8.8699999999999992</v>
          </cell>
          <cell r="E182">
            <v>1.94</v>
          </cell>
          <cell r="F182">
            <v>10.81</v>
          </cell>
        </row>
        <row r="183">
          <cell r="A183" t="str">
            <v>030705</v>
          </cell>
          <cell r="B183" t="str">
            <v>Fresagem de pavimento asfáltico com espessura até 5 cm, inclusive carregamento, transporte até 1,0 quilômetro e descarregamento</v>
          </cell>
          <cell r="C183" t="str">
            <v>m²</v>
          </cell>
          <cell r="D183">
            <v>3.61</v>
          </cell>
          <cell r="E183">
            <v>0.68</v>
          </cell>
          <cell r="F183">
            <v>4.29</v>
          </cell>
        </row>
        <row r="184">
          <cell r="A184" t="str">
            <v>030707</v>
          </cell>
          <cell r="B184" t="str">
            <v>Fresagem de pavimento asfáltico com espessura até 5 cm, inclusive acomodação do material</v>
          </cell>
          <cell r="C184" t="str">
            <v>m²</v>
          </cell>
          <cell r="D184">
            <v>2.57</v>
          </cell>
          <cell r="E184">
            <v>0.68</v>
          </cell>
          <cell r="F184">
            <v>3.25</v>
          </cell>
        </row>
        <row r="185">
          <cell r="A185" t="str">
            <v>030708</v>
          </cell>
          <cell r="B185" t="str">
            <v>Fresagem de pavimeto asfáltico com espessura até 5 cm, inclusive remoção do material fresado até 10 km e varrição</v>
          </cell>
          <cell r="C185" t="str">
            <v>m²</v>
          </cell>
          <cell r="D185">
            <v>5.08</v>
          </cell>
          <cell r="E185">
            <v>0.28999999999999998</v>
          </cell>
          <cell r="F185">
            <v>5.37</v>
          </cell>
        </row>
        <row r="186">
          <cell r="A186" t="str">
            <v>030802</v>
          </cell>
          <cell r="B186" t="str">
            <v>Demolição manual de forro em estuque, inclusive sistema de fixação/tarugamento</v>
          </cell>
          <cell r="C186" t="str">
            <v>m²</v>
          </cell>
          <cell r="D186">
            <v>0</v>
          </cell>
          <cell r="E186">
            <v>5.05</v>
          </cell>
          <cell r="F186">
            <v>5.05</v>
          </cell>
        </row>
        <row r="187">
          <cell r="A187" t="str">
            <v>030804</v>
          </cell>
          <cell r="B187" t="str">
            <v>Demolição manual de forro qualquer, inclusive sistema de fixação/tarugamento</v>
          </cell>
          <cell r="C187" t="str">
            <v>m²</v>
          </cell>
          <cell r="D187">
            <v>0</v>
          </cell>
          <cell r="E187">
            <v>2.91</v>
          </cell>
          <cell r="F187">
            <v>2.91</v>
          </cell>
        </row>
        <row r="188">
          <cell r="A188" t="str">
            <v>030806</v>
          </cell>
          <cell r="B188" t="str">
            <v>Demolição manual de forro em gesso, inclusive sistema de fixação</v>
          </cell>
          <cell r="C188" t="str">
            <v>m²</v>
          </cell>
          <cell r="D188">
            <v>0</v>
          </cell>
          <cell r="E188">
            <v>2.91</v>
          </cell>
          <cell r="F188">
            <v>2.91</v>
          </cell>
        </row>
        <row r="189">
          <cell r="A189" t="str">
            <v>030902</v>
          </cell>
          <cell r="B189" t="str">
            <v>Demolição manual de camada impermeabilizante</v>
          </cell>
          <cell r="C189" t="str">
            <v>m²</v>
          </cell>
          <cell r="D189">
            <v>0</v>
          </cell>
          <cell r="E189">
            <v>7.8</v>
          </cell>
          <cell r="F189">
            <v>7.8</v>
          </cell>
        </row>
        <row r="190">
          <cell r="A190" t="str">
            <v>030904</v>
          </cell>
          <cell r="B190" t="str">
            <v>Demolição manual de argamassa regularizante, isolante ou protetora e papel kraft</v>
          </cell>
          <cell r="C190" t="str">
            <v>m²</v>
          </cell>
          <cell r="D190">
            <v>0</v>
          </cell>
          <cell r="E190">
            <v>9.36</v>
          </cell>
          <cell r="F190">
            <v>9.36</v>
          </cell>
        </row>
        <row r="191">
          <cell r="A191" t="str">
            <v>030906</v>
          </cell>
          <cell r="B191" t="str">
            <v>Remoção manual de junta de dilatação ou retração, inclusive apoio</v>
          </cell>
          <cell r="C191" t="str">
            <v>m</v>
          </cell>
          <cell r="D191">
            <v>0</v>
          </cell>
          <cell r="E191">
            <v>3.12</v>
          </cell>
          <cell r="F191">
            <v>3.12</v>
          </cell>
        </row>
        <row r="192">
          <cell r="A192" t="str">
            <v>031002</v>
          </cell>
          <cell r="B192" t="str">
            <v>Remoção de pintura em rodapé, baguete ou moldura com lixa</v>
          </cell>
          <cell r="C192" t="str">
            <v>m</v>
          </cell>
          <cell r="D192">
            <v>0.04</v>
          </cell>
          <cell r="E192">
            <v>0.61</v>
          </cell>
          <cell r="F192">
            <v>0.65</v>
          </cell>
        </row>
        <row r="193">
          <cell r="A193" t="str">
            <v>031004</v>
          </cell>
          <cell r="B193" t="str">
            <v>Remoção de pintura em rodapé, baguete ou moldura com produto químico</v>
          </cell>
          <cell r="C193" t="str">
            <v>m</v>
          </cell>
          <cell r="D193">
            <v>0.34</v>
          </cell>
          <cell r="E193">
            <v>0.61</v>
          </cell>
          <cell r="F193">
            <v>0.95000000000000007</v>
          </cell>
        </row>
        <row r="194">
          <cell r="A194" t="str">
            <v>031006</v>
          </cell>
          <cell r="B194" t="str">
            <v>Remoção de caiação ou tinta mineral impermeável</v>
          </cell>
          <cell r="C194" t="str">
            <v>m²</v>
          </cell>
          <cell r="D194">
            <v>0.21</v>
          </cell>
          <cell r="E194">
            <v>1.22</v>
          </cell>
          <cell r="F194">
            <v>1.43</v>
          </cell>
        </row>
        <row r="195">
          <cell r="A195" t="str">
            <v>031008</v>
          </cell>
          <cell r="B195" t="str">
            <v>Remoção de pintura em superfícies de madeira e/ou metálicas com produtos químicos</v>
          </cell>
          <cell r="C195" t="str">
            <v>m²</v>
          </cell>
          <cell r="D195">
            <v>1.72</v>
          </cell>
          <cell r="E195">
            <v>4.8600000000000003</v>
          </cell>
          <cell r="F195">
            <v>6.58</v>
          </cell>
        </row>
        <row r="196">
          <cell r="A196" t="str">
            <v>031010</v>
          </cell>
          <cell r="B196" t="str">
            <v>Remoção de pintura em superfícies de madeira e/ou metálicas com lixamento</v>
          </cell>
          <cell r="C196" t="str">
            <v>m²</v>
          </cell>
          <cell r="D196">
            <v>0.21</v>
          </cell>
          <cell r="E196">
            <v>3.65</v>
          </cell>
          <cell r="F196">
            <v>3.86</v>
          </cell>
        </row>
        <row r="197">
          <cell r="A197" t="str">
            <v>031012</v>
          </cell>
          <cell r="B197" t="str">
            <v>Remoção de pintura em massa com produtos químicos</v>
          </cell>
          <cell r="C197" t="str">
            <v>m²</v>
          </cell>
          <cell r="D197">
            <v>1.72</v>
          </cell>
          <cell r="E197">
            <v>3.65</v>
          </cell>
          <cell r="F197">
            <v>5.37</v>
          </cell>
        </row>
        <row r="198">
          <cell r="A198" t="str">
            <v>031014</v>
          </cell>
          <cell r="B198" t="str">
            <v>Remoção de pintura em massa com lixamento</v>
          </cell>
          <cell r="C198" t="str">
            <v>m²</v>
          </cell>
          <cell r="D198">
            <v>0.21</v>
          </cell>
          <cell r="E198">
            <v>2.4300000000000002</v>
          </cell>
          <cell r="F198">
            <v>2.64</v>
          </cell>
        </row>
        <row r="199">
          <cell r="A199" t="str">
            <v>040102</v>
          </cell>
          <cell r="B199" t="str">
            <v>Retirada de divisória em placa de madeira ou fibrocimento tarugada</v>
          </cell>
          <cell r="C199" t="str">
            <v>m²</v>
          </cell>
          <cell r="D199">
            <v>0</v>
          </cell>
          <cell r="E199">
            <v>17.21</v>
          </cell>
          <cell r="F199">
            <v>17.21</v>
          </cell>
        </row>
        <row r="200">
          <cell r="A200" t="str">
            <v>040104</v>
          </cell>
          <cell r="B200" t="str">
            <v>Retirada de divisória em placa de madeira ou fibrocimento com montantes metálicos</v>
          </cell>
          <cell r="C200" t="str">
            <v>m²</v>
          </cell>
          <cell r="D200">
            <v>0</v>
          </cell>
          <cell r="E200">
            <v>14.91</v>
          </cell>
          <cell r="F200">
            <v>14.91</v>
          </cell>
        </row>
        <row r="201">
          <cell r="A201" t="str">
            <v>040106</v>
          </cell>
          <cell r="B201" t="str">
            <v>Retirada de divisória em placa de concreto, granito, granilite ou mármore</v>
          </cell>
          <cell r="C201" t="str">
            <v>m²</v>
          </cell>
          <cell r="D201">
            <v>0</v>
          </cell>
          <cell r="E201">
            <v>9.41</v>
          </cell>
          <cell r="F201">
            <v>9.41</v>
          </cell>
        </row>
        <row r="202">
          <cell r="A202" t="str">
            <v>040108</v>
          </cell>
          <cell r="B202" t="str">
            <v>Retirada de fechamento em placas pré-moldadas, inclusive pilares</v>
          </cell>
          <cell r="C202" t="str">
            <v>m²</v>
          </cell>
          <cell r="D202">
            <v>1.21</v>
          </cell>
          <cell r="E202">
            <v>0.33</v>
          </cell>
          <cell r="F202">
            <v>1.54</v>
          </cell>
        </row>
        <row r="203">
          <cell r="A203" t="str">
            <v>040109</v>
          </cell>
          <cell r="B203" t="str">
            <v>Retirada de barreira de proteção com arame de alta segurança, simples ou duplo</v>
          </cell>
          <cell r="C203" t="str">
            <v>m</v>
          </cell>
          <cell r="D203">
            <v>0</v>
          </cell>
          <cell r="E203">
            <v>2.0499999999999998</v>
          </cell>
          <cell r="F203">
            <v>2.0499999999999998</v>
          </cell>
        </row>
        <row r="204">
          <cell r="A204" t="str">
            <v>040110</v>
          </cell>
          <cell r="B204" t="str">
            <v>Retirada de cerca</v>
          </cell>
          <cell r="C204" t="str">
            <v>m</v>
          </cell>
          <cell r="D204">
            <v>0</v>
          </cell>
          <cell r="E204">
            <v>6.0200000000000005</v>
          </cell>
          <cell r="F204">
            <v>6.0200000000000005</v>
          </cell>
        </row>
        <row r="205">
          <cell r="A205" t="str">
            <v>040202</v>
          </cell>
          <cell r="B205" t="str">
            <v>Retirada de peças lineares em madeira com seção até 60 cm²</v>
          </cell>
          <cell r="C205" t="str">
            <v>m</v>
          </cell>
          <cell r="D205">
            <v>0</v>
          </cell>
          <cell r="E205">
            <v>0.62</v>
          </cell>
          <cell r="F205">
            <v>0.62</v>
          </cell>
        </row>
        <row r="206">
          <cell r="A206" t="str">
            <v>040203</v>
          </cell>
          <cell r="B206" t="str">
            <v>Retirada de peças lineares em madeira com seção superior a 60 cm²</v>
          </cell>
          <cell r="C206" t="str">
            <v>m</v>
          </cell>
          <cell r="D206">
            <v>0</v>
          </cell>
          <cell r="E206">
            <v>2.09</v>
          </cell>
          <cell r="F206">
            <v>2.09</v>
          </cell>
        </row>
        <row r="207">
          <cell r="A207" t="str">
            <v>040205</v>
          </cell>
          <cell r="B207" t="str">
            <v>Retirada de estrutura em madeira tesoura - telhas de barro</v>
          </cell>
          <cell r="C207" t="str">
            <v>m²</v>
          </cell>
          <cell r="D207">
            <v>0</v>
          </cell>
          <cell r="E207">
            <v>11.48</v>
          </cell>
          <cell r="F207">
            <v>11.48</v>
          </cell>
        </row>
        <row r="208">
          <cell r="A208" t="str">
            <v>040207</v>
          </cell>
          <cell r="B208" t="str">
            <v>Retirada de estrutura em madeira tesoura - telhas perfil qualquer</v>
          </cell>
          <cell r="C208" t="str">
            <v>m²</v>
          </cell>
          <cell r="D208">
            <v>0</v>
          </cell>
          <cell r="E208">
            <v>9.39</v>
          </cell>
          <cell r="F208">
            <v>9.39</v>
          </cell>
        </row>
        <row r="209">
          <cell r="A209" t="str">
            <v>040209</v>
          </cell>
          <cell r="B209" t="str">
            <v>Retirada de estrutura em madeira pontaletada - telhas de barro</v>
          </cell>
          <cell r="C209" t="str">
            <v>m²</v>
          </cell>
          <cell r="D209">
            <v>0</v>
          </cell>
          <cell r="E209">
            <v>8.35</v>
          </cell>
          <cell r="F209">
            <v>8.35</v>
          </cell>
        </row>
        <row r="210">
          <cell r="A210" t="str">
            <v>040211</v>
          </cell>
          <cell r="B210" t="str">
            <v>Retirada de estrutura em madeira pontaletada - telhas perfil qualquer</v>
          </cell>
          <cell r="C210" t="str">
            <v>m²</v>
          </cell>
          <cell r="D210">
            <v>0</v>
          </cell>
          <cell r="E210">
            <v>6.26</v>
          </cell>
          <cell r="F210">
            <v>6.26</v>
          </cell>
        </row>
        <row r="211">
          <cell r="A211" t="str">
            <v>040214</v>
          </cell>
          <cell r="B211" t="str">
            <v>Retirada de estrutura metálica</v>
          </cell>
          <cell r="C211" t="str">
            <v>kg</v>
          </cell>
          <cell r="D211">
            <v>1.3</v>
          </cell>
          <cell r="E211">
            <v>0</v>
          </cell>
          <cell r="F211">
            <v>1.3</v>
          </cell>
        </row>
        <row r="212">
          <cell r="A212" t="str">
            <v>040302</v>
          </cell>
          <cell r="B212" t="str">
            <v>Retirada de telhamento em barro</v>
          </cell>
          <cell r="C212" t="str">
            <v>m²</v>
          </cell>
          <cell r="D212">
            <v>0</v>
          </cell>
          <cell r="E212">
            <v>7.44</v>
          </cell>
          <cell r="F212">
            <v>7.44</v>
          </cell>
        </row>
        <row r="213">
          <cell r="A213" t="str">
            <v>040304</v>
          </cell>
          <cell r="B213" t="str">
            <v>Retirada de telhamento perfil e material qualquer, exceto barro</v>
          </cell>
          <cell r="C213" t="str">
            <v>m²</v>
          </cell>
          <cell r="D213">
            <v>0</v>
          </cell>
          <cell r="E213">
            <v>3.72</v>
          </cell>
          <cell r="F213">
            <v>3.72</v>
          </cell>
        </row>
        <row r="214">
          <cell r="A214" t="str">
            <v>040306</v>
          </cell>
          <cell r="B214" t="str">
            <v>Retirada de cumeeira ou espigão em barro</v>
          </cell>
          <cell r="C214" t="str">
            <v>m</v>
          </cell>
          <cell r="D214">
            <v>0</v>
          </cell>
          <cell r="E214">
            <v>2.79</v>
          </cell>
          <cell r="F214">
            <v>2.79</v>
          </cell>
        </row>
        <row r="215">
          <cell r="A215" t="str">
            <v>040308</v>
          </cell>
          <cell r="B215" t="str">
            <v>Retirada de cumeeira, espigão ou rufo perfil qualquer</v>
          </cell>
          <cell r="C215" t="str">
            <v>m</v>
          </cell>
          <cell r="D215">
            <v>0</v>
          </cell>
          <cell r="E215">
            <v>4.6500000000000004</v>
          </cell>
          <cell r="F215">
            <v>4.6500000000000004</v>
          </cell>
        </row>
        <row r="216">
          <cell r="A216" t="str">
            <v>040309</v>
          </cell>
          <cell r="B216" t="str">
            <v>Retirada de domo de acrílico, inclusive perfis metálicos de fixação</v>
          </cell>
          <cell r="C216" t="str">
            <v>m²</v>
          </cell>
          <cell r="D216">
            <v>0</v>
          </cell>
          <cell r="E216">
            <v>5.88</v>
          </cell>
          <cell r="F216">
            <v>5.88</v>
          </cell>
        </row>
        <row r="217">
          <cell r="A217" t="str">
            <v>040401</v>
          </cell>
          <cell r="B217" t="str">
            <v>Retirada de revestimento em pedra, granito ou mármore, em parede ou fachada</v>
          </cell>
          <cell r="C217" t="str">
            <v>m²</v>
          </cell>
          <cell r="D217">
            <v>0</v>
          </cell>
          <cell r="E217">
            <v>20.740000000000002</v>
          </cell>
          <cell r="F217">
            <v>20.740000000000002</v>
          </cell>
        </row>
        <row r="218">
          <cell r="A218" t="str">
            <v>040402</v>
          </cell>
          <cell r="B218" t="str">
            <v>Retirada de piso em pedra, granito ou mármore</v>
          </cell>
          <cell r="C218" t="str">
            <v>m²</v>
          </cell>
          <cell r="D218">
            <v>0</v>
          </cell>
          <cell r="E218">
            <v>12.620000000000001</v>
          </cell>
          <cell r="F218">
            <v>12.620000000000001</v>
          </cell>
        </row>
        <row r="219">
          <cell r="A219" t="str">
            <v>040403</v>
          </cell>
          <cell r="B219" t="str">
            <v>Retirada de soleira ou peitoril em pedra, granito ou mármore</v>
          </cell>
          <cell r="C219" t="str">
            <v>m</v>
          </cell>
          <cell r="D219">
            <v>0</v>
          </cell>
          <cell r="E219">
            <v>8.74</v>
          </cell>
          <cell r="F219">
            <v>8.74</v>
          </cell>
        </row>
        <row r="220">
          <cell r="A220" t="str">
            <v>040404</v>
          </cell>
          <cell r="B220" t="str">
            <v>Retirada de degrau em pedra, granito ou mármore</v>
          </cell>
          <cell r="C220" t="str">
            <v>m</v>
          </cell>
          <cell r="D220">
            <v>0</v>
          </cell>
          <cell r="E220">
            <v>9.7100000000000009</v>
          </cell>
          <cell r="F220">
            <v>9.7100000000000009</v>
          </cell>
        </row>
        <row r="221">
          <cell r="A221" t="str">
            <v>040406</v>
          </cell>
          <cell r="B221" t="str">
            <v>Retirada de rodapé em pedra, granito ou mármore</v>
          </cell>
          <cell r="C221" t="str">
            <v>m</v>
          </cell>
          <cell r="D221">
            <v>0</v>
          </cell>
          <cell r="E221">
            <v>7.7700000000000005</v>
          </cell>
          <cell r="F221">
            <v>7.7700000000000005</v>
          </cell>
        </row>
        <row r="222">
          <cell r="A222" t="str">
            <v>040501</v>
          </cell>
          <cell r="B222" t="str">
            <v>Retirada de revestimento em lambris de madeira</v>
          </cell>
          <cell r="C222" t="str">
            <v>m²</v>
          </cell>
          <cell r="D222">
            <v>0</v>
          </cell>
          <cell r="E222">
            <v>27.02</v>
          </cell>
          <cell r="F222">
            <v>27.02</v>
          </cell>
        </row>
        <row r="223">
          <cell r="A223" t="str">
            <v>040502</v>
          </cell>
          <cell r="B223" t="str">
            <v>Retirada de piso em tacos de madeira</v>
          </cell>
          <cell r="C223" t="str">
            <v>m²</v>
          </cell>
          <cell r="D223">
            <v>0</v>
          </cell>
          <cell r="E223">
            <v>5.83</v>
          </cell>
          <cell r="F223">
            <v>5.83</v>
          </cell>
        </row>
        <row r="224">
          <cell r="A224" t="str">
            <v>040504</v>
          </cell>
          <cell r="B224" t="str">
            <v>Retirada de soalho somente o tablado</v>
          </cell>
          <cell r="C224" t="str">
            <v>m²</v>
          </cell>
          <cell r="D224">
            <v>0</v>
          </cell>
          <cell r="E224">
            <v>7.3</v>
          </cell>
          <cell r="F224">
            <v>7.3</v>
          </cell>
        </row>
        <row r="225">
          <cell r="A225" t="str">
            <v>040506</v>
          </cell>
          <cell r="B225" t="str">
            <v>Retirada de soalho inclusive vigamento</v>
          </cell>
          <cell r="C225" t="str">
            <v>m²</v>
          </cell>
          <cell r="D225">
            <v>0</v>
          </cell>
          <cell r="E225">
            <v>12.52</v>
          </cell>
          <cell r="F225">
            <v>12.52</v>
          </cell>
        </row>
        <row r="226">
          <cell r="A226" t="str">
            <v>040508</v>
          </cell>
          <cell r="B226" t="str">
            <v>Retirada de degrau em madeira</v>
          </cell>
          <cell r="C226" t="str">
            <v>m</v>
          </cell>
          <cell r="D226">
            <v>0</v>
          </cell>
          <cell r="E226">
            <v>6.26</v>
          </cell>
          <cell r="F226">
            <v>6.26</v>
          </cell>
        </row>
        <row r="227">
          <cell r="A227" t="str">
            <v>040510</v>
          </cell>
          <cell r="B227" t="str">
            <v>Retirada de rodapé inclusive cordão em madeira</v>
          </cell>
          <cell r="C227" t="str">
            <v>m</v>
          </cell>
          <cell r="D227">
            <v>0</v>
          </cell>
          <cell r="E227">
            <v>1.41</v>
          </cell>
          <cell r="F227">
            <v>1.41</v>
          </cell>
        </row>
        <row r="228">
          <cell r="A228" t="str">
            <v>040601</v>
          </cell>
          <cell r="B228" t="str">
            <v>Retirada de revestimento em lambris metálicos</v>
          </cell>
          <cell r="C228" t="str">
            <v>m²</v>
          </cell>
          <cell r="D228">
            <v>0</v>
          </cell>
          <cell r="E228">
            <v>27.02</v>
          </cell>
          <cell r="F228">
            <v>27.02</v>
          </cell>
        </row>
        <row r="229">
          <cell r="A229" t="str">
            <v>040602</v>
          </cell>
          <cell r="B229" t="str">
            <v>Retirada de piso em material sintético assentado a cola</v>
          </cell>
          <cell r="C229" t="str">
            <v>m²</v>
          </cell>
          <cell r="D229">
            <v>0</v>
          </cell>
          <cell r="E229">
            <v>2.15</v>
          </cell>
          <cell r="F229">
            <v>2.15</v>
          </cell>
        </row>
        <row r="230">
          <cell r="A230" t="str">
            <v>040604</v>
          </cell>
          <cell r="B230" t="str">
            <v>Retirada de degrau em material sintético assentado a cola</v>
          </cell>
          <cell r="C230" t="str">
            <v>m</v>
          </cell>
          <cell r="D230">
            <v>0</v>
          </cell>
          <cell r="E230">
            <v>1.99</v>
          </cell>
          <cell r="F230">
            <v>1.99</v>
          </cell>
        </row>
        <row r="231">
          <cell r="A231" t="str">
            <v>040606</v>
          </cell>
          <cell r="B231" t="str">
            <v>Retirada de rodapé inclusive cordão em material sintético</v>
          </cell>
          <cell r="C231" t="str">
            <v>m</v>
          </cell>
          <cell r="D231">
            <v>0</v>
          </cell>
          <cell r="E231">
            <v>0.49</v>
          </cell>
          <cell r="F231">
            <v>0.49</v>
          </cell>
        </row>
        <row r="232">
          <cell r="A232" t="str">
            <v>040610</v>
          </cell>
          <cell r="B232" t="str">
            <v>Retirada de piso elevado telescópico metálico, inclusive estrutura de sustentação</v>
          </cell>
          <cell r="C232" t="str">
            <v>m²</v>
          </cell>
          <cell r="D232">
            <v>0</v>
          </cell>
          <cell r="E232">
            <v>23.28</v>
          </cell>
          <cell r="F232">
            <v>23.28</v>
          </cell>
        </row>
        <row r="233">
          <cell r="A233" t="str">
            <v>040702</v>
          </cell>
          <cell r="B233" t="str">
            <v>Retirada de forro qualquer em placas ou tiras fixadas</v>
          </cell>
          <cell r="C233" t="str">
            <v>m²</v>
          </cell>
          <cell r="D233">
            <v>0</v>
          </cell>
          <cell r="E233">
            <v>5.84</v>
          </cell>
          <cell r="F233">
            <v>5.84</v>
          </cell>
        </row>
        <row r="234">
          <cell r="A234" t="str">
            <v>040704</v>
          </cell>
          <cell r="B234" t="str">
            <v>Retirada de forro qualquer em placas ou tiras apoiadas</v>
          </cell>
          <cell r="C234" t="str">
            <v>m²</v>
          </cell>
          <cell r="D234">
            <v>0</v>
          </cell>
          <cell r="E234">
            <v>3.13</v>
          </cell>
          <cell r="F234">
            <v>3.13</v>
          </cell>
        </row>
        <row r="235">
          <cell r="A235" t="str">
            <v>040706</v>
          </cell>
          <cell r="B235" t="str">
            <v>Retirada de sistema de fixação/tarugamento de forro</v>
          </cell>
          <cell r="C235" t="str">
            <v>m²</v>
          </cell>
          <cell r="D235">
            <v>0</v>
          </cell>
          <cell r="E235">
            <v>2.4300000000000002</v>
          </cell>
          <cell r="F235">
            <v>2.4300000000000002</v>
          </cell>
        </row>
        <row r="236">
          <cell r="A236" t="str">
            <v>040802</v>
          </cell>
          <cell r="B236" t="str">
            <v>Retirada de folha de esquadria em madeira</v>
          </cell>
          <cell r="C236" t="str">
            <v>un</v>
          </cell>
          <cell r="D236">
            <v>0</v>
          </cell>
          <cell r="E236">
            <v>10.44</v>
          </cell>
          <cell r="F236">
            <v>10.44</v>
          </cell>
        </row>
        <row r="237">
          <cell r="A237" t="str">
            <v>040804</v>
          </cell>
          <cell r="B237" t="str">
            <v>Retirada de guarnição, moldura e peças lineares em madeira, fixadas</v>
          </cell>
          <cell r="C237" t="str">
            <v>m</v>
          </cell>
          <cell r="D237">
            <v>0</v>
          </cell>
          <cell r="E237">
            <v>0.8</v>
          </cell>
          <cell r="F237">
            <v>0.8</v>
          </cell>
        </row>
        <row r="238">
          <cell r="A238" t="str">
            <v>040806</v>
          </cell>
          <cell r="B238" t="str">
            <v>Retirada de batente com guarnição e peças lineares em madeira, chumbados</v>
          </cell>
          <cell r="C238" t="str">
            <v>m</v>
          </cell>
          <cell r="D238">
            <v>0</v>
          </cell>
          <cell r="E238">
            <v>6.44</v>
          </cell>
          <cell r="F238">
            <v>6.44</v>
          </cell>
        </row>
        <row r="239">
          <cell r="A239" t="str">
            <v>040808</v>
          </cell>
          <cell r="B239" t="str">
            <v>Retirada de elemento em madeira e sistema de fixação tipo quadro, lousa etc.</v>
          </cell>
          <cell r="C239" t="str">
            <v>m²</v>
          </cell>
          <cell r="D239">
            <v>0</v>
          </cell>
          <cell r="E239">
            <v>2.91</v>
          </cell>
          <cell r="F239">
            <v>2.91</v>
          </cell>
        </row>
        <row r="240">
          <cell r="A240" t="str">
            <v>040902</v>
          </cell>
          <cell r="B240" t="str">
            <v>Retirada de esquadria metálica em geral</v>
          </cell>
          <cell r="C240" t="str">
            <v>m²</v>
          </cell>
          <cell r="D240">
            <v>0</v>
          </cell>
          <cell r="E240">
            <v>15.030000000000001</v>
          </cell>
          <cell r="F240">
            <v>15.030000000000001</v>
          </cell>
        </row>
        <row r="241">
          <cell r="A241" t="str">
            <v>040904</v>
          </cell>
          <cell r="B241" t="str">
            <v>Retirada de folha de esquadria metálica</v>
          </cell>
          <cell r="C241" t="str">
            <v>un</v>
          </cell>
          <cell r="D241">
            <v>0</v>
          </cell>
          <cell r="E241">
            <v>12.42</v>
          </cell>
          <cell r="F241">
            <v>12.42</v>
          </cell>
        </row>
        <row r="242">
          <cell r="A242" t="str">
            <v>040906</v>
          </cell>
          <cell r="B242" t="str">
            <v>Retirada de batente, corrimão ou peças lineares metálicas, chumbados</v>
          </cell>
          <cell r="C242" t="str">
            <v>m</v>
          </cell>
          <cell r="D242">
            <v>0</v>
          </cell>
          <cell r="E242">
            <v>5.15</v>
          </cell>
          <cell r="F242">
            <v>5.15</v>
          </cell>
        </row>
        <row r="243">
          <cell r="A243" t="str">
            <v>040908</v>
          </cell>
          <cell r="B243" t="str">
            <v>Retirada de batente, corrimão ou peças lineares metálicas, fixados</v>
          </cell>
          <cell r="C243" t="str">
            <v>m</v>
          </cell>
          <cell r="D243">
            <v>0</v>
          </cell>
          <cell r="E243">
            <v>3.5300000000000002</v>
          </cell>
          <cell r="F243">
            <v>3.5300000000000002</v>
          </cell>
        </row>
        <row r="244">
          <cell r="A244" t="str">
            <v>040910</v>
          </cell>
          <cell r="B244" t="str">
            <v>Retirada de guarda-corpo ou gradil em geral</v>
          </cell>
          <cell r="C244" t="str">
            <v>m²</v>
          </cell>
          <cell r="D244">
            <v>0</v>
          </cell>
          <cell r="E244">
            <v>15.030000000000001</v>
          </cell>
          <cell r="F244">
            <v>15.030000000000001</v>
          </cell>
        </row>
        <row r="245">
          <cell r="A245" t="str">
            <v>040912</v>
          </cell>
          <cell r="B245" t="str">
            <v>Retirada de escada de marinheiro com ou sem guarda-corpo</v>
          </cell>
          <cell r="C245" t="str">
            <v>m</v>
          </cell>
          <cell r="D245">
            <v>0</v>
          </cell>
          <cell r="E245">
            <v>17.18</v>
          </cell>
          <cell r="F245">
            <v>17.18</v>
          </cell>
        </row>
        <row r="246">
          <cell r="A246" t="str">
            <v>040914</v>
          </cell>
          <cell r="B246" t="str">
            <v>Retirada de poste ou sistema de sustentação para alambrado ou fechamento</v>
          </cell>
          <cell r="C246" t="str">
            <v>un</v>
          </cell>
          <cell r="D246">
            <v>0</v>
          </cell>
          <cell r="E246">
            <v>12.620000000000001</v>
          </cell>
          <cell r="F246">
            <v>12.620000000000001</v>
          </cell>
        </row>
        <row r="247">
          <cell r="A247" t="str">
            <v>040916</v>
          </cell>
          <cell r="B247" t="str">
            <v>Retirada de entelamento metálico em geral</v>
          </cell>
          <cell r="C247" t="str">
            <v>m²</v>
          </cell>
          <cell r="D247">
            <v>0</v>
          </cell>
          <cell r="E247">
            <v>2.0499999999999998</v>
          </cell>
          <cell r="F247">
            <v>2.0499999999999998</v>
          </cell>
        </row>
        <row r="248">
          <cell r="A248" t="str">
            <v>041002</v>
          </cell>
          <cell r="B248" t="str">
            <v>Retirada de fechadura ou fecho de embutir</v>
          </cell>
          <cell r="C248" t="str">
            <v>un</v>
          </cell>
          <cell r="D248">
            <v>0</v>
          </cell>
          <cell r="E248">
            <v>5.74</v>
          </cell>
          <cell r="F248">
            <v>5.74</v>
          </cell>
        </row>
        <row r="249">
          <cell r="A249" t="str">
            <v>041004</v>
          </cell>
          <cell r="B249" t="str">
            <v>Retirada de fechadura ou fecho de sobrepor</v>
          </cell>
          <cell r="C249" t="str">
            <v>un</v>
          </cell>
          <cell r="D249">
            <v>0</v>
          </cell>
          <cell r="E249">
            <v>2.29</v>
          </cell>
          <cell r="F249">
            <v>2.29</v>
          </cell>
        </row>
        <row r="250">
          <cell r="A250" t="str">
            <v>041006</v>
          </cell>
          <cell r="B250" t="str">
            <v>Retirada de dobradiça</v>
          </cell>
          <cell r="C250" t="str">
            <v>un</v>
          </cell>
          <cell r="D250">
            <v>0</v>
          </cell>
          <cell r="E250">
            <v>1.1499999999999999</v>
          </cell>
          <cell r="F250">
            <v>1.1499999999999999</v>
          </cell>
        </row>
        <row r="251">
          <cell r="A251" t="str">
            <v>041008</v>
          </cell>
          <cell r="B251" t="str">
            <v>Retirada de peça ou acessório complementar em geral de esquadria</v>
          </cell>
          <cell r="C251" t="str">
            <v>un</v>
          </cell>
          <cell r="D251">
            <v>0</v>
          </cell>
          <cell r="E251">
            <v>9.32</v>
          </cell>
          <cell r="F251">
            <v>9.32</v>
          </cell>
        </row>
        <row r="252">
          <cell r="A252" t="str">
            <v>041102</v>
          </cell>
          <cell r="B252" t="str">
            <v>Retirada de aparelho sanitário incluindo acessórios</v>
          </cell>
          <cell r="C252" t="str">
            <v>un</v>
          </cell>
          <cell r="D252">
            <v>0</v>
          </cell>
          <cell r="E252">
            <v>21.72</v>
          </cell>
          <cell r="F252">
            <v>21.72</v>
          </cell>
        </row>
        <row r="253">
          <cell r="A253" t="str">
            <v>041103</v>
          </cell>
          <cell r="B253" t="str">
            <v>Retirada de bancada incluindo pertences</v>
          </cell>
          <cell r="C253" t="str">
            <v>m²</v>
          </cell>
          <cell r="D253">
            <v>0</v>
          </cell>
          <cell r="E253">
            <v>30.05</v>
          </cell>
          <cell r="F253">
            <v>30.05</v>
          </cell>
        </row>
        <row r="254">
          <cell r="A254" t="str">
            <v>041104</v>
          </cell>
          <cell r="B254" t="str">
            <v>Retirada de complemento sanitário chumbado, papeleiras e etc.</v>
          </cell>
          <cell r="C254" t="str">
            <v>un</v>
          </cell>
          <cell r="D254">
            <v>0</v>
          </cell>
          <cell r="E254">
            <v>7.0600000000000005</v>
          </cell>
          <cell r="F254">
            <v>7.0600000000000005</v>
          </cell>
        </row>
        <row r="255">
          <cell r="A255" t="str">
            <v>041106</v>
          </cell>
          <cell r="B255" t="str">
            <v>Retirada de complemento sanitário fixado ou de sobrepor, porta-papel, etc.</v>
          </cell>
          <cell r="C255" t="str">
            <v>un</v>
          </cell>
          <cell r="D255">
            <v>0</v>
          </cell>
          <cell r="E255">
            <v>2.94</v>
          </cell>
          <cell r="F255">
            <v>2.94</v>
          </cell>
        </row>
        <row r="256">
          <cell r="A256" t="str">
            <v>041108</v>
          </cell>
          <cell r="B256" t="str">
            <v>Retirada de registro ou válvula embutidos</v>
          </cell>
          <cell r="C256" t="str">
            <v>un</v>
          </cell>
          <cell r="D256">
            <v>0</v>
          </cell>
          <cell r="E256">
            <v>27.6</v>
          </cell>
          <cell r="F256">
            <v>27.6</v>
          </cell>
        </row>
        <row r="257">
          <cell r="A257" t="str">
            <v>041110</v>
          </cell>
          <cell r="B257" t="str">
            <v>Retirada de registro ou válvula aparentes</v>
          </cell>
          <cell r="C257" t="str">
            <v>un</v>
          </cell>
          <cell r="D257">
            <v>0</v>
          </cell>
          <cell r="E257">
            <v>15.93</v>
          </cell>
          <cell r="F257">
            <v>15.93</v>
          </cell>
        </row>
        <row r="258">
          <cell r="A258" t="str">
            <v>041112</v>
          </cell>
          <cell r="B258" t="str">
            <v>Retirada de torneira ou chuveiro</v>
          </cell>
          <cell r="C258" t="str">
            <v>un</v>
          </cell>
          <cell r="D258">
            <v>0</v>
          </cell>
          <cell r="E258">
            <v>3.7600000000000002</v>
          </cell>
          <cell r="F258">
            <v>3.7600000000000002</v>
          </cell>
        </row>
        <row r="259">
          <cell r="A259" t="str">
            <v>041114</v>
          </cell>
          <cell r="B259" t="str">
            <v>Retirada de sifão ou metais sanitários diversos</v>
          </cell>
          <cell r="C259" t="str">
            <v>un</v>
          </cell>
          <cell r="D259">
            <v>0</v>
          </cell>
          <cell r="E259">
            <v>5.79</v>
          </cell>
          <cell r="F259">
            <v>5.79</v>
          </cell>
        </row>
        <row r="260">
          <cell r="A260" t="str">
            <v>041116</v>
          </cell>
          <cell r="B260" t="str">
            <v>Retirada de caixa de descarga de sobrepor ou acoplada</v>
          </cell>
          <cell r="C260" t="str">
            <v>un</v>
          </cell>
          <cell r="D260">
            <v>0</v>
          </cell>
          <cell r="E260">
            <v>11</v>
          </cell>
          <cell r="F260">
            <v>11</v>
          </cell>
        </row>
        <row r="261">
          <cell r="A261" t="str">
            <v>041202</v>
          </cell>
          <cell r="B261" t="str">
            <v>Retirada de conjunto motor-bomba</v>
          </cell>
          <cell r="C261" t="str">
            <v>un</v>
          </cell>
          <cell r="D261">
            <v>0</v>
          </cell>
          <cell r="E261">
            <v>43.89</v>
          </cell>
          <cell r="F261">
            <v>43.89</v>
          </cell>
        </row>
        <row r="262">
          <cell r="A262" t="str">
            <v>041204</v>
          </cell>
          <cell r="B262" t="str">
            <v>Retirada de motor de bomba de recalque</v>
          </cell>
          <cell r="C262" t="str">
            <v>un</v>
          </cell>
          <cell r="D262">
            <v>0</v>
          </cell>
          <cell r="E262">
            <v>34.11</v>
          </cell>
          <cell r="F262">
            <v>34.11</v>
          </cell>
        </row>
        <row r="263">
          <cell r="A263" t="str">
            <v>041302</v>
          </cell>
          <cell r="B263" t="str">
            <v>Retirada de isolamento térmico com material monolítico</v>
          </cell>
          <cell r="C263" t="str">
            <v>m²</v>
          </cell>
          <cell r="D263">
            <v>0</v>
          </cell>
          <cell r="E263">
            <v>2.91</v>
          </cell>
          <cell r="F263">
            <v>2.91</v>
          </cell>
        </row>
        <row r="264">
          <cell r="A264" t="str">
            <v>041306</v>
          </cell>
          <cell r="B264" t="str">
            <v>Retirada de isolamento térmico com material em panos</v>
          </cell>
          <cell r="C264" t="str">
            <v>m²</v>
          </cell>
          <cell r="D264">
            <v>0</v>
          </cell>
          <cell r="E264">
            <v>0.49</v>
          </cell>
          <cell r="F264">
            <v>0.49</v>
          </cell>
        </row>
        <row r="265">
          <cell r="A265" t="str">
            <v>041402</v>
          </cell>
          <cell r="B265" t="str">
            <v>Retirada de vidro ou espelho com raspagem da massa ou retirada de baguete</v>
          </cell>
          <cell r="C265" t="str">
            <v>m²</v>
          </cell>
          <cell r="D265">
            <v>0</v>
          </cell>
          <cell r="E265">
            <v>7.03</v>
          </cell>
          <cell r="F265">
            <v>7.03</v>
          </cell>
        </row>
        <row r="266">
          <cell r="A266" t="str">
            <v>041404</v>
          </cell>
          <cell r="B266" t="str">
            <v>Retirada de esquadria em vidro</v>
          </cell>
          <cell r="C266" t="str">
            <v>m²</v>
          </cell>
          <cell r="D266">
            <v>0</v>
          </cell>
          <cell r="E266">
            <v>21.47</v>
          </cell>
          <cell r="F266">
            <v>21.47</v>
          </cell>
        </row>
        <row r="267">
          <cell r="A267">
            <v>41555</v>
          </cell>
        </row>
        <row r="268">
          <cell r="A268" t="str">
            <v>041702</v>
          </cell>
          <cell r="B268" t="str">
            <v>Remoção de aparelho de iluminação ou projetor fixo em teto, piso ou parede</v>
          </cell>
          <cell r="C268" t="str">
            <v>un</v>
          </cell>
          <cell r="D268">
            <v>0</v>
          </cell>
          <cell r="E268">
            <v>9.1</v>
          </cell>
          <cell r="F268">
            <v>9.1</v>
          </cell>
        </row>
        <row r="269">
          <cell r="A269" t="str">
            <v>041704</v>
          </cell>
          <cell r="B269" t="str">
            <v>Remoção de aparelho de iluminação ou projetor fixo em poste ou braço</v>
          </cell>
          <cell r="C269" t="str">
            <v>un</v>
          </cell>
          <cell r="D269">
            <v>0</v>
          </cell>
          <cell r="E269">
            <v>34.11</v>
          </cell>
          <cell r="F269">
            <v>34.11</v>
          </cell>
        </row>
        <row r="270">
          <cell r="A270" t="str">
            <v>041706</v>
          </cell>
          <cell r="B270" t="str">
            <v>Remoção de suporte tipo braquet</v>
          </cell>
          <cell r="C270" t="str">
            <v>un</v>
          </cell>
          <cell r="D270">
            <v>0</v>
          </cell>
          <cell r="E270">
            <v>11.370000000000001</v>
          </cell>
          <cell r="F270">
            <v>11.370000000000001</v>
          </cell>
        </row>
        <row r="271">
          <cell r="A271" t="str">
            <v>041708</v>
          </cell>
          <cell r="B271" t="str">
            <v>Remoção de barramento de cobre</v>
          </cell>
          <cell r="C271" t="str">
            <v>m</v>
          </cell>
          <cell r="D271">
            <v>0</v>
          </cell>
          <cell r="E271">
            <v>9.1</v>
          </cell>
          <cell r="F271">
            <v>9.1</v>
          </cell>
        </row>
        <row r="272">
          <cell r="A272" t="str">
            <v>041710</v>
          </cell>
          <cell r="B272" t="str">
            <v>Remoção de base de disjuntor tipo QUIK-LAG</v>
          </cell>
          <cell r="C272" t="str">
            <v>un</v>
          </cell>
          <cell r="D272">
            <v>0</v>
          </cell>
          <cell r="E272">
            <v>3.41</v>
          </cell>
          <cell r="F272">
            <v>3.41</v>
          </cell>
        </row>
        <row r="273">
          <cell r="A273" t="str">
            <v>041712</v>
          </cell>
          <cell r="B273" t="str">
            <v>Remoção de base de fusível tipo DIAZED</v>
          </cell>
          <cell r="C273" t="str">
            <v>un</v>
          </cell>
          <cell r="D273">
            <v>0</v>
          </cell>
          <cell r="E273">
            <v>3.41</v>
          </cell>
          <cell r="F273">
            <v>3.41</v>
          </cell>
        </row>
        <row r="274">
          <cell r="A274" t="str">
            <v>041714</v>
          </cell>
          <cell r="B274" t="str">
            <v>Remoção de base e haste de pára-raios</v>
          </cell>
          <cell r="C274" t="str">
            <v>un</v>
          </cell>
          <cell r="D274">
            <v>0</v>
          </cell>
          <cell r="E274">
            <v>22.740000000000002</v>
          </cell>
          <cell r="F274">
            <v>22.740000000000002</v>
          </cell>
        </row>
        <row r="275">
          <cell r="A275" t="str">
            <v>041716</v>
          </cell>
          <cell r="B275" t="str">
            <v>Remoção de base ou chave para fusível NH tipo tripolar</v>
          </cell>
          <cell r="C275" t="str">
            <v>un</v>
          </cell>
          <cell r="D275">
            <v>0</v>
          </cell>
          <cell r="E275">
            <v>11.370000000000001</v>
          </cell>
          <cell r="F275">
            <v>11.370000000000001</v>
          </cell>
        </row>
        <row r="276">
          <cell r="A276" t="str">
            <v>041718</v>
          </cell>
          <cell r="B276" t="str">
            <v>Remoção de base ou chave para fusível NH tipo unipolar</v>
          </cell>
          <cell r="C276" t="str">
            <v>un</v>
          </cell>
          <cell r="D276">
            <v>0</v>
          </cell>
          <cell r="E276">
            <v>10.23</v>
          </cell>
          <cell r="F276">
            <v>10.23</v>
          </cell>
        </row>
        <row r="277">
          <cell r="A277" t="str">
            <v>041720</v>
          </cell>
          <cell r="B277" t="str">
            <v>Remoção de braçadeira para passagem de cordoalha</v>
          </cell>
          <cell r="C277" t="str">
            <v>un</v>
          </cell>
          <cell r="D277">
            <v>0</v>
          </cell>
          <cell r="E277">
            <v>9.1</v>
          </cell>
          <cell r="F277">
            <v>9.1</v>
          </cell>
        </row>
        <row r="278">
          <cell r="A278" t="str">
            <v>041722</v>
          </cell>
          <cell r="B278" t="str">
            <v>Remoção de bucha de passagem interna ou externa</v>
          </cell>
          <cell r="C278" t="str">
            <v>un</v>
          </cell>
          <cell r="D278">
            <v>0</v>
          </cell>
          <cell r="E278">
            <v>9.1</v>
          </cell>
          <cell r="F278">
            <v>9.1</v>
          </cell>
        </row>
        <row r="279">
          <cell r="A279" t="str">
            <v>041724</v>
          </cell>
          <cell r="B279" t="str">
            <v>Remoção de bucha de passagem para neutro</v>
          </cell>
          <cell r="C279" t="str">
            <v>un</v>
          </cell>
          <cell r="D279">
            <v>0</v>
          </cell>
          <cell r="E279">
            <v>6.82</v>
          </cell>
          <cell r="F279">
            <v>6.82</v>
          </cell>
        </row>
        <row r="280">
          <cell r="A280" t="str">
            <v>041802</v>
          </cell>
          <cell r="B280" t="str">
            <v>Remoção de cabeçote em rede de telefonia</v>
          </cell>
          <cell r="C280" t="str">
            <v>un</v>
          </cell>
          <cell r="D280">
            <v>0</v>
          </cell>
          <cell r="E280">
            <v>5.69</v>
          </cell>
          <cell r="F280">
            <v>5.69</v>
          </cell>
        </row>
        <row r="281">
          <cell r="A281" t="str">
            <v>041804</v>
          </cell>
          <cell r="B281" t="str">
            <v>Remoção de cabo de aço e esticadores de pára-raios</v>
          </cell>
          <cell r="C281" t="str">
            <v>m</v>
          </cell>
          <cell r="D281">
            <v>0</v>
          </cell>
          <cell r="E281">
            <v>7.96</v>
          </cell>
          <cell r="F281">
            <v>7.96</v>
          </cell>
        </row>
        <row r="282">
          <cell r="A282" t="str">
            <v>041806</v>
          </cell>
          <cell r="B282" t="str">
            <v>Remoção de caixa de entrada de energia padrão medição indireta completa</v>
          </cell>
          <cell r="C282" t="str">
            <v>un</v>
          </cell>
          <cell r="D282">
            <v>0</v>
          </cell>
          <cell r="E282">
            <v>113.7</v>
          </cell>
          <cell r="F282">
            <v>113.7</v>
          </cell>
        </row>
        <row r="283">
          <cell r="A283" t="str">
            <v>041807</v>
          </cell>
          <cell r="B283" t="str">
            <v>Remoção de caixa de entrada de energia padrão residencial completa</v>
          </cell>
          <cell r="C283" t="str">
            <v>un</v>
          </cell>
          <cell r="D283">
            <v>0</v>
          </cell>
          <cell r="E283">
            <v>90.960000000000008</v>
          </cell>
          <cell r="F283">
            <v>90.960000000000008</v>
          </cell>
        </row>
        <row r="284">
          <cell r="A284" t="str">
            <v>041808</v>
          </cell>
          <cell r="B284" t="str">
            <v>Remoção de caixa de entrada telefônica completa</v>
          </cell>
          <cell r="C284" t="str">
            <v>un</v>
          </cell>
          <cell r="D284">
            <v>0</v>
          </cell>
          <cell r="E284">
            <v>45.480000000000004</v>
          </cell>
          <cell r="F284">
            <v>45.480000000000004</v>
          </cell>
        </row>
        <row r="285">
          <cell r="A285" t="str">
            <v>041809</v>
          </cell>
          <cell r="B285" t="str">
            <v>Remoção de caixa de medição padrão completa</v>
          </cell>
          <cell r="C285" t="str">
            <v>un</v>
          </cell>
          <cell r="D285">
            <v>0</v>
          </cell>
          <cell r="E285">
            <v>25.47</v>
          </cell>
          <cell r="F285">
            <v>25.47</v>
          </cell>
        </row>
        <row r="286">
          <cell r="A286" t="str">
            <v>041812</v>
          </cell>
          <cell r="B286" t="str">
            <v>Remoção de caixa estampada</v>
          </cell>
          <cell r="C286" t="str">
            <v>un</v>
          </cell>
          <cell r="D286">
            <v>0</v>
          </cell>
          <cell r="E286">
            <v>3.34</v>
          </cell>
          <cell r="F286">
            <v>3.34</v>
          </cell>
        </row>
        <row r="287">
          <cell r="A287" t="str">
            <v>041813</v>
          </cell>
          <cell r="B287" t="str">
            <v>Remoção de caixa para fusível ou tomada instalada em perfilado</v>
          </cell>
          <cell r="C287" t="str">
            <v>un</v>
          </cell>
          <cell r="D287">
            <v>0</v>
          </cell>
          <cell r="E287">
            <v>4</v>
          </cell>
          <cell r="F287">
            <v>4</v>
          </cell>
        </row>
        <row r="288">
          <cell r="A288" t="str">
            <v>041814</v>
          </cell>
          <cell r="B288" t="str">
            <v>Remoção de caixa para transformador de corrente</v>
          </cell>
          <cell r="C288" t="str">
            <v>un</v>
          </cell>
          <cell r="D288">
            <v>0</v>
          </cell>
          <cell r="E288">
            <v>25.47</v>
          </cell>
          <cell r="F288">
            <v>25.47</v>
          </cell>
        </row>
        <row r="289">
          <cell r="A289" t="str">
            <v>041816</v>
          </cell>
          <cell r="B289" t="str">
            <v>Remoção de canopla para pendentes de luminárias</v>
          </cell>
          <cell r="C289" t="str">
            <v>un</v>
          </cell>
          <cell r="D289">
            <v>0</v>
          </cell>
          <cell r="E289">
            <v>9.1</v>
          </cell>
          <cell r="F289">
            <v>9.1</v>
          </cell>
        </row>
        <row r="290">
          <cell r="A290" t="str">
            <v>041818</v>
          </cell>
          <cell r="B290" t="str">
            <v>Remoção de cantoneira metálica</v>
          </cell>
          <cell r="C290" t="str">
            <v>m</v>
          </cell>
          <cell r="D290">
            <v>0</v>
          </cell>
          <cell r="E290">
            <v>5.69</v>
          </cell>
          <cell r="F290">
            <v>5.69</v>
          </cell>
        </row>
        <row r="291">
          <cell r="A291" t="str">
            <v>041820</v>
          </cell>
          <cell r="B291" t="str">
            <v>Remoção de captor de pára-raios tipo Franklin</v>
          </cell>
          <cell r="C291" t="str">
            <v>un</v>
          </cell>
          <cell r="D291">
            <v>0</v>
          </cell>
          <cell r="E291">
            <v>11.370000000000001</v>
          </cell>
          <cell r="F291">
            <v>11.370000000000001</v>
          </cell>
        </row>
        <row r="292">
          <cell r="A292" t="str">
            <v>041822</v>
          </cell>
          <cell r="B292" t="str">
            <v>Remoção de chapa de ferro para bucha de passagem</v>
          </cell>
          <cell r="C292" t="str">
            <v>un</v>
          </cell>
          <cell r="D292">
            <v>0</v>
          </cell>
          <cell r="E292">
            <v>9.1</v>
          </cell>
          <cell r="F292">
            <v>9.1</v>
          </cell>
        </row>
        <row r="293">
          <cell r="A293" t="str">
            <v>041824</v>
          </cell>
          <cell r="B293" t="str">
            <v>Remoção de chave automática da bóia</v>
          </cell>
          <cell r="C293" t="str">
            <v>un</v>
          </cell>
          <cell r="D293">
            <v>0</v>
          </cell>
          <cell r="E293">
            <v>13.64</v>
          </cell>
          <cell r="F293">
            <v>13.64</v>
          </cell>
        </row>
        <row r="294">
          <cell r="A294" t="str">
            <v>041825</v>
          </cell>
          <cell r="B294" t="str">
            <v>Remoção de chave base de mármore ou ardósia</v>
          </cell>
          <cell r="C294" t="str">
            <v>un</v>
          </cell>
          <cell r="D294">
            <v>0</v>
          </cell>
          <cell r="E294">
            <v>11.370000000000001</v>
          </cell>
          <cell r="F294">
            <v>11.370000000000001</v>
          </cell>
        </row>
        <row r="295">
          <cell r="A295" t="str">
            <v>041826</v>
          </cell>
          <cell r="B295" t="str">
            <v>Remoção de chave de ação rápida comando frontal montado em painel</v>
          </cell>
          <cell r="C295" t="str">
            <v>un</v>
          </cell>
          <cell r="D295">
            <v>0</v>
          </cell>
          <cell r="E295">
            <v>22.740000000000002</v>
          </cell>
          <cell r="F295">
            <v>22.740000000000002</v>
          </cell>
        </row>
        <row r="296">
          <cell r="A296" t="str">
            <v>041827</v>
          </cell>
          <cell r="B296" t="str">
            <v>Remoção de chave fusível indicadora tipo Matheus</v>
          </cell>
          <cell r="C296" t="str">
            <v>un</v>
          </cell>
          <cell r="D296">
            <v>0</v>
          </cell>
          <cell r="E296">
            <v>34.11</v>
          </cell>
          <cell r="F296">
            <v>34.11</v>
          </cell>
        </row>
        <row r="297">
          <cell r="A297" t="str">
            <v>041828</v>
          </cell>
          <cell r="B297" t="str">
            <v>Remoção de chave seccionadora tripolar seca mecanismo de manobra frontal</v>
          </cell>
          <cell r="C297" t="str">
            <v>un</v>
          </cell>
          <cell r="D297">
            <v>0</v>
          </cell>
          <cell r="E297">
            <v>64.28</v>
          </cell>
          <cell r="F297">
            <v>64.28</v>
          </cell>
        </row>
        <row r="298">
          <cell r="A298" t="str">
            <v>041829</v>
          </cell>
          <cell r="B298" t="str">
            <v>Remoção de chave tipo Pacco rotativo</v>
          </cell>
          <cell r="C298" t="str">
            <v>un</v>
          </cell>
          <cell r="D298">
            <v>0</v>
          </cell>
          <cell r="E298">
            <v>17.059999999999999</v>
          </cell>
          <cell r="F298">
            <v>17.059999999999999</v>
          </cell>
        </row>
        <row r="299">
          <cell r="A299" t="str">
            <v>041832</v>
          </cell>
          <cell r="B299" t="str">
            <v>Remoção de cinta de fixação de eletroduto ou sela para cruzeta em poste</v>
          </cell>
          <cell r="C299" t="str">
            <v>un</v>
          </cell>
          <cell r="D299">
            <v>0</v>
          </cell>
          <cell r="E299">
            <v>4.7</v>
          </cell>
          <cell r="F299">
            <v>4.7</v>
          </cell>
        </row>
        <row r="300">
          <cell r="A300" t="str">
            <v>041834</v>
          </cell>
          <cell r="B300" t="str">
            <v>Remoção de condulete</v>
          </cell>
          <cell r="C300" t="str">
            <v>un</v>
          </cell>
          <cell r="D300">
            <v>0</v>
          </cell>
          <cell r="E300">
            <v>9.02</v>
          </cell>
          <cell r="F300">
            <v>9.02</v>
          </cell>
        </row>
        <row r="301">
          <cell r="A301" t="str">
            <v>041836</v>
          </cell>
          <cell r="B301" t="str">
            <v>Remoção de condutor aparente diâmetro externo acima de 6,5 mm</v>
          </cell>
          <cell r="C301" t="str">
            <v>m</v>
          </cell>
          <cell r="D301">
            <v>0</v>
          </cell>
          <cell r="E301">
            <v>2.73</v>
          </cell>
          <cell r="F301">
            <v>2.73</v>
          </cell>
        </row>
        <row r="302">
          <cell r="A302" t="str">
            <v>041837</v>
          </cell>
          <cell r="B302" t="str">
            <v>Remoção de condutor aparente diâmetro externo até 6,5 mm</v>
          </cell>
          <cell r="C302" t="str">
            <v>m</v>
          </cell>
          <cell r="D302">
            <v>0</v>
          </cell>
          <cell r="E302">
            <v>1.36</v>
          </cell>
          <cell r="F302">
            <v>1.36</v>
          </cell>
        </row>
        <row r="303">
          <cell r="A303" t="str">
            <v>041838</v>
          </cell>
          <cell r="B303" t="str">
            <v>Remoção de condutor embutido diâmetro externo acima de 6,5 mm</v>
          </cell>
          <cell r="C303" t="str">
            <v>m</v>
          </cell>
          <cell r="D303">
            <v>0</v>
          </cell>
          <cell r="E303">
            <v>2.27</v>
          </cell>
          <cell r="F303">
            <v>2.27</v>
          </cell>
        </row>
        <row r="304">
          <cell r="A304" t="str">
            <v>041839</v>
          </cell>
          <cell r="B304" t="str">
            <v>Remoção de condutor embutido diâmetro externo até 6,5 mm</v>
          </cell>
          <cell r="C304" t="str">
            <v>m</v>
          </cell>
          <cell r="D304">
            <v>0</v>
          </cell>
          <cell r="E304">
            <v>1.1399999999999999</v>
          </cell>
          <cell r="F304">
            <v>1.1399999999999999</v>
          </cell>
        </row>
        <row r="305">
          <cell r="A305" t="str">
            <v>041840</v>
          </cell>
          <cell r="B305" t="str">
            <v>Remoção de condutor especial</v>
          </cell>
          <cell r="C305" t="str">
            <v>m</v>
          </cell>
          <cell r="D305">
            <v>0</v>
          </cell>
          <cell r="E305">
            <v>16.07</v>
          </cell>
          <cell r="F305">
            <v>16.07</v>
          </cell>
        </row>
        <row r="306">
          <cell r="A306" t="str">
            <v>041841</v>
          </cell>
          <cell r="B306" t="str">
            <v>Remoção de cordoalha ou cabo de cobre nu</v>
          </cell>
          <cell r="C306" t="str">
            <v>m</v>
          </cell>
          <cell r="D306">
            <v>0</v>
          </cell>
          <cell r="E306">
            <v>4.55</v>
          </cell>
          <cell r="F306">
            <v>4.55</v>
          </cell>
        </row>
        <row r="307">
          <cell r="A307" t="str">
            <v>041842</v>
          </cell>
          <cell r="B307" t="str">
            <v>Remoção de contator magnético para comando de bomba</v>
          </cell>
          <cell r="C307" t="str">
            <v>un</v>
          </cell>
          <cell r="D307">
            <v>0</v>
          </cell>
          <cell r="E307">
            <v>22.740000000000002</v>
          </cell>
          <cell r="F307">
            <v>22.740000000000002</v>
          </cell>
        </row>
        <row r="308">
          <cell r="A308" t="str">
            <v>041844</v>
          </cell>
          <cell r="B308" t="str">
            <v>Remoção de corrente para pendentes</v>
          </cell>
          <cell r="C308" t="str">
            <v>un</v>
          </cell>
          <cell r="D308">
            <v>0</v>
          </cell>
          <cell r="E308">
            <v>4.55</v>
          </cell>
          <cell r="F308">
            <v>4.55</v>
          </cell>
        </row>
        <row r="309">
          <cell r="A309" t="str">
            <v>041846</v>
          </cell>
          <cell r="B309" t="str">
            <v>Remoção de cruzeta de ferro para fixação de projetores</v>
          </cell>
          <cell r="C309" t="str">
            <v>un</v>
          </cell>
          <cell r="D309">
            <v>0</v>
          </cell>
          <cell r="E309">
            <v>34.11</v>
          </cell>
          <cell r="F309">
            <v>34.11</v>
          </cell>
        </row>
        <row r="310">
          <cell r="A310" t="str">
            <v>041847</v>
          </cell>
          <cell r="B310" t="str">
            <v>Remoção de cruzeta de madeira</v>
          </cell>
          <cell r="C310" t="str">
            <v>un</v>
          </cell>
          <cell r="D310">
            <v>0</v>
          </cell>
          <cell r="E310">
            <v>48.21</v>
          </cell>
          <cell r="F310">
            <v>48.21</v>
          </cell>
        </row>
        <row r="311">
          <cell r="A311" t="str">
            <v>041902</v>
          </cell>
          <cell r="B311" t="str">
            <v>Remoção de disjuntor de volume normal ou reduzido</v>
          </cell>
          <cell r="C311" t="str">
            <v>un</v>
          </cell>
          <cell r="D311">
            <v>0</v>
          </cell>
          <cell r="E311">
            <v>95.39</v>
          </cell>
          <cell r="F311">
            <v>95.39</v>
          </cell>
        </row>
        <row r="312">
          <cell r="A312" t="str">
            <v>041903</v>
          </cell>
          <cell r="B312" t="str">
            <v>Remoção de disjuntor a seco aberto tripolar, 600 V de 800 A</v>
          </cell>
          <cell r="C312" t="str">
            <v>un</v>
          </cell>
          <cell r="D312">
            <v>0</v>
          </cell>
          <cell r="E312">
            <v>22.740000000000002</v>
          </cell>
          <cell r="F312">
            <v>22.740000000000002</v>
          </cell>
        </row>
        <row r="313">
          <cell r="A313" t="str">
            <v>041904</v>
          </cell>
          <cell r="B313" t="str">
            <v>Remoção de disjuntor NO-FUSE</v>
          </cell>
          <cell r="C313" t="str">
            <v>un</v>
          </cell>
          <cell r="D313">
            <v>0</v>
          </cell>
          <cell r="E313">
            <v>11.370000000000001</v>
          </cell>
          <cell r="F313">
            <v>11.370000000000001</v>
          </cell>
        </row>
        <row r="314">
          <cell r="A314" t="str">
            <v>041906</v>
          </cell>
          <cell r="B314" t="str">
            <v>Remoção de disjuntor termo-magnético</v>
          </cell>
          <cell r="C314" t="str">
            <v>un</v>
          </cell>
          <cell r="D314">
            <v>0</v>
          </cell>
          <cell r="E314">
            <v>5.69</v>
          </cell>
          <cell r="F314">
            <v>5.69</v>
          </cell>
        </row>
        <row r="315">
          <cell r="A315" t="str">
            <v>041908</v>
          </cell>
          <cell r="B315" t="str">
            <v>Remoção de fundo de quadro de distribuição ou caixa de passagem</v>
          </cell>
          <cell r="C315" t="str">
            <v>m²</v>
          </cell>
          <cell r="D315">
            <v>0</v>
          </cell>
          <cell r="E315">
            <v>22.740000000000002</v>
          </cell>
          <cell r="F315">
            <v>22.740000000000002</v>
          </cell>
        </row>
        <row r="316">
          <cell r="A316" t="str">
            <v>041910</v>
          </cell>
          <cell r="B316" t="str">
            <v>Remoção de gancho de sustentação de luminária em perfilado</v>
          </cell>
          <cell r="C316" t="str">
            <v>un</v>
          </cell>
          <cell r="D316">
            <v>0</v>
          </cell>
          <cell r="E316">
            <v>4.55</v>
          </cell>
          <cell r="F316">
            <v>4.55</v>
          </cell>
        </row>
        <row r="317">
          <cell r="A317" t="str">
            <v>041912</v>
          </cell>
          <cell r="B317" t="str">
            <v>Remoção de interruptores, tomadas, botão de campainha ou cigarra</v>
          </cell>
          <cell r="C317" t="str">
            <v>un</v>
          </cell>
          <cell r="D317">
            <v>0</v>
          </cell>
          <cell r="E317">
            <v>9.1</v>
          </cell>
          <cell r="F317">
            <v>9.1</v>
          </cell>
        </row>
        <row r="318">
          <cell r="A318" t="str">
            <v>041914</v>
          </cell>
          <cell r="B318" t="str">
            <v>Remoção de isolador tipo castanha e gancho de sustentação</v>
          </cell>
          <cell r="C318" t="str">
            <v>un</v>
          </cell>
          <cell r="D318">
            <v>0</v>
          </cell>
          <cell r="E318">
            <v>2.27</v>
          </cell>
          <cell r="F318">
            <v>2.27</v>
          </cell>
        </row>
        <row r="319">
          <cell r="A319" t="str">
            <v>041916</v>
          </cell>
          <cell r="B319" t="str">
            <v>Remoção de isolador tipo disco completo e gancho de suspensão</v>
          </cell>
          <cell r="C319" t="str">
            <v>un</v>
          </cell>
          <cell r="D319">
            <v>0</v>
          </cell>
          <cell r="E319">
            <v>3.41</v>
          </cell>
          <cell r="F319">
            <v>3.41</v>
          </cell>
        </row>
        <row r="320">
          <cell r="A320" t="str">
            <v>041918</v>
          </cell>
          <cell r="B320" t="str">
            <v>Remoção de isolador tipo pino, inclusive o pino</v>
          </cell>
          <cell r="C320" t="str">
            <v>un</v>
          </cell>
          <cell r="D320">
            <v>0</v>
          </cell>
          <cell r="E320">
            <v>5.69</v>
          </cell>
          <cell r="F320">
            <v>5.69</v>
          </cell>
        </row>
        <row r="321">
          <cell r="A321" t="str">
            <v>042002</v>
          </cell>
          <cell r="B321" t="str">
            <v>Remoção de janela de ventilação, iluminação ou ventilação e iluminação padrão</v>
          </cell>
          <cell r="C321" t="str">
            <v>un</v>
          </cell>
          <cell r="D321">
            <v>0</v>
          </cell>
          <cell r="E321">
            <v>16.07</v>
          </cell>
          <cell r="F321">
            <v>16.07</v>
          </cell>
        </row>
        <row r="322">
          <cell r="A322" t="str">
            <v>042004</v>
          </cell>
          <cell r="B322" t="str">
            <v>Remoção de lâmpada</v>
          </cell>
          <cell r="C322" t="str">
            <v>un</v>
          </cell>
          <cell r="D322">
            <v>0</v>
          </cell>
          <cell r="E322">
            <v>1.8800000000000001</v>
          </cell>
          <cell r="F322">
            <v>1.8800000000000001</v>
          </cell>
        </row>
        <row r="323">
          <cell r="A323" t="str">
            <v>042006</v>
          </cell>
          <cell r="B323" t="str">
            <v>Remoção de luz de obstáculo</v>
          </cell>
          <cell r="C323" t="str">
            <v>un</v>
          </cell>
          <cell r="D323">
            <v>0</v>
          </cell>
          <cell r="E323">
            <v>22.740000000000002</v>
          </cell>
          <cell r="F323">
            <v>22.740000000000002</v>
          </cell>
        </row>
        <row r="324">
          <cell r="A324" t="str">
            <v>042008</v>
          </cell>
          <cell r="B324" t="str">
            <v>Remoção de manopla de comando de disjuntor</v>
          </cell>
          <cell r="C324" t="str">
            <v>un</v>
          </cell>
          <cell r="D324">
            <v>0</v>
          </cell>
          <cell r="E324">
            <v>11.370000000000001</v>
          </cell>
          <cell r="F324">
            <v>11.370000000000001</v>
          </cell>
        </row>
        <row r="325">
          <cell r="A325" t="str">
            <v>042010</v>
          </cell>
          <cell r="B325" t="str">
            <v>Remoção de mão francesa</v>
          </cell>
          <cell r="C325" t="str">
            <v>un</v>
          </cell>
          <cell r="D325">
            <v>0</v>
          </cell>
          <cell r="E325">
            <v>9.4</v>
          </cell>
          <cell r="F325">
            <v>9.4</v>
          </cell>
        </row>
        <row r="326">
          <cell r="A326" t="str">
            <v>042012</v>
          </cell>
          <cell r="B326" t="str">
            <v>Remoção de terminal modular (mufla) tripolar ou unipolar</v>
          </cell>
          <cell r="C326" t="str">
            <v>un</v>
          </cell>
          <cell r="D326">
            <v>0</v>
          </cell>
          <cell r="E326">
            <v>32.14</v>
          </cell>
          <cell r="F326">
            <v>32.14</v>
          </cell>
        </row>
        <row r="327">
          <cell r="A327" t="str">
            <v>042102</v>
          </cell>
          <cell r="B327" t="str">
            <v>Remoção de óleo de disjuntor ou transformador</v>
          </cell>
          <cell r="C327" t="str">
            <v>l</v>
          </cell>
          <cell r="D327">
            <v>0</v>
          </cell>
          <cell r="E327">
            <v>0.38</v>
          </cell>
          <cell r="F327">
            <v>0.38</v>
          </cell>
        </row>
        <row r="328">
          <cell r="A328" t="str">
            <v>042104</v>
          </cell>
          <cell r="B328" t="str">
            <v>Remoção de pára-raios tipo cristal-valve em cabine primária</v>
          </cell>
          <cell r="C328" t="str">
            <v>un</v>
          </cell>
          <cell r="D328">
            <v>0</v>
          </cell>
          <cell r="E328">
            <v>34.11</v>
          </cell>
          <cell r="F328">
            <v>34.11</v>
          </cell>
        </row>
        <row r="329">
          <cell r="A329" t="str">
            <v>042105</v>
          </cell>
          <cell r="B329" t="str">
            <v>Remoção de pára-raios tipo cristal-valve em poste singelo ou estaleiro</v>
          </cell>
          <cell r="C329" t="str">
            <v>un</v>
          </cell>
          <cell r="D329">
            <v>0</v>
          </cell>
          <cell r="E329">
            <v>45.480000000000004</v>
          </cell>
          <cell r="F329">
            <v>45.480000000000004</v>
          </cell>
        </row>
        <row r="330">
          <cell r="A330" t="str">
            <v>042106</v>
          </cell>
          <cell r="B330" t="str">
            <v>Remoção de perfilado</v>
          </cell>
          <cell r="C330" t="str">
            <v>m</v>
          </cell>
          <cell r="D330">
            <v>0</v>
          </cell>
          <cell r="E330">
            <v>9.1</v>
          </cell>
          <cell r="F330">
            <v>9.1</v>
          </cell>
        </row>
        <row r="331">
          <cell r="A331" t="str">
            <v>042110</v>
          </cell>
          <cell r="B331" t="str">
            <v>Remoção de porta de quadro ou painel</v>
          </cell>
          <cell r="C331" t="str">
            <v>m²</v>
          </cell>
          <cell r="D331">
            <v>0</v>
          </cell>
          <cell r="E331">
            <v>22.740000000000002</v>
          </cell>
          <cell r="F331">
            <v>22.740000000000002</v>
          </cell>
        </row>
        <row r="332">
          <cell r="A332" t="str">
            <v>042113</v>
          </cell>
          <cell r="B332" t="str">
            <v>Remoção de poste de concreto</v>
          </cell>
          <cell r="C332" t="str">
            <v>un</v>
          </cell>
          <cell r="D332">
            <v>52.45</v>
          </cell>
          <cell r="E332">
            <v>64.28</v>
          </cell>
          <cell r="F332">
            <v>116.73</v>
          </cell>
        </row>
        <row r="333">
          <cell r="A333" t="str">
            <v>042114</v>
          </cell>
          <cell r="B333" t="str">
            <v>Remoção de poste metálico</v>
          </cell>
          <cell r="C333" t="str">
            <v>un</v>
          </cell>
          <cell r="D333">
            <v>52.45</v>
          </cell>
          <cell r="E333">
            <v>64.28</v>
          </cell>
          <cell r="F333">
            <v>116.73</v>
          </cell>
        </row>
        <row r="334">
          <cell r="A334" t="str">
            <v>042115</v>
          </cell>
          <cell r="B334" t="str">
            <v>Remoção de poste de madeira</v>
          </cell>
          <cell r="C334" t="str">
            <v>un</v>
          </cell>
          <cell r="D334">
            <v>0</v>
          </cell>
          <cell r="E334">
            <v>71.89</v>
          </cell>
          <cell r="F334">
            <v>71.89</v>
          </cell>
        </row>
        <row r="335">
          <cell r="A335" t="str">
            <v>042116</v>
          </cell>
          <cell r="B335" t="str">
            <v>Remoção de quadro de distribuição, chamada ou caixa de passagem</v>
          </cell>
          <cell r="C335" t="str">
            <v>m²</v>
          </cell>
          <cell r="D335">
            <v>0</v>
          </cell>
          <cell r="E335">
            <v>45.480000000000004</v>
          </cell>
          <cell r="F335">
            <v>45.480000000000004</v>
          </cell>
        </row>
        <row r="336">
          <cell r="A336" t="str">
            <v>042120</v>
          </cell>
          <cell r="B336" t="str">
            <v>Remoção de reator para lâmpada</v>
          </cell>
          <cell r="C336" t="str">
            <v>un</v>
          </cell>
          <cell r="D336">
            <v>0</v>
          </cell>
          <cell r="E336">
            <v>8.0399999999999991</v>
          </cell>
          <cell r="F336">
            <v>8.0399999999999991</v>
          </cell>
        </row>
        <row r="337">
          <cell r="A337" t="str">
            <v>042121</v>
          </cell>
          <cell r="B337" t="str">
            <v>Remoção de reator para lâmpada fixo em poste</v>
          </cell>
          <cell r="C337" t="str">
            <v>un</v>
          </cell>
          <cell r="D337">
            <v>0</v>
          </cell>
          <cell r="E337">
            <v>45.480000000000004</v>
          </cell>
          <cell r="F337">
            <v>45.480000000000004</v>
          </cell>
        </row>
        <row r="338">
          <cell r="A338" t="str">
            <v>042124</v>
          </cell>
          <cell r="B338" t="str">
            <v>Remoção de relé</v>
          </cell>
          <cell r="C338" t="str">
            <v>un</v>
          </cell>
          <cell r="D338">
            <v>0</v>
          </cell>
          <cell r="E338">
            <v>10.67</v>
          </cell>
          <cell r="F338">
            <v>10.67</v>
          </cell>
        </row>
        <row r="339">
          <cell r="A339" t="str">
            <v>042126</v>
          </cell>
          <cell r="B339" t="str">
            <v>Remoção de roldana</v>
          </cell>
          <cell r="C339" t="str">
            <v>un</v>
          </cell>
          <cell r="D339">
            <v>0</v>
          </cell>
          <cell r="E339">
            <v>1.8800000000000001</v>
          </cell>
          <cell r="F339">
            <v>1.8800000000000001</v>
          </cell>
        </row>
        <row r="340">
          <cell r="A340" t="str">
            <v>042128</v>
          </cell>
          <cell r="B340" t="str">
            <v>Remoção de soquete</v>
          </cell>
          <cell r="C340" t="str">
            <v>un</v>
          </cell>
          <cell r="D340">
            <v>0</v>
          </cell>
          <cell r="E340">
            <v>1.8800000000000001</v>
          </cell>
          <cell r="F340">
            <v>1.8800000000000001</v>
          </cell>
        </row>
        <row r="341">
          <cell r="A341" t="str">
            <v>042130</v>
          </cell>
          <cell r="B341" t="str">
            <v>Remoção de suporte de transformador em poste singelo ou estaleiro</v>
          </cell>
          <cell r="C341" t="str">
            <v>un</v>
          </cell>
          <cell r="D341">
            <v>0</v>
          </cell>
          <cell r="E341">
            <v>15.040000000000001</v>
          </cell>
          <cell r="F341">
            <v>15.040000000000001</v>
          </cell>
        </row>
        <row r="342">
          <cell r="A342" t="str">
            <v>042202</v>
          </cell>
          <cell r="B342" t="str">
            <v>Remoção de terminal ou conector para cabos</v>
          </cell>
          <cell r="C342" t="str">
            <v>un</v>
          </cell>
          <cell r="D342">
            <v>0</v>
          </cell>
          <cell r="E342">
            <v>2.35</v>
          </cell>
          <cell r="F342">
            <v>2.35</v>
          </cell>
        </row>
        <row r="343">
          <cell r="A343" t="str">
            <v>042204</v>
          </cell>
          <cell r="B343" t="str">
            <v>Remoção de transformador de potência em cabine primária</v>
          </cell>
          <cell r="C343" t="str">
            <v>un</v>
          </cell>
          <cell r="D343">
            <v>0</v>
          </cell>
          <cell r="E343">
            <v>159.66999999999999</v>
          </cell>
          <cell r="F343">
            <v>159.66999999999999</v>
          </cell>
        </row>
        <row r="344">
          <cell r="A344" t="str">
            <v>042205</v>
          </cell>
          <cell r="B344" t="str">
            <v>Remoção de transformador de potencial completo (pequeno)</v>
          </cell>
          <cell r="C344" t="str">
            <v>un</v>
          </cell>
          <cell r="D344">
            <v>0</v>
          </cell>
          <cell r="E344">
            <v>14.780000000000001</v>
          </cell>
          <cell r="F344">
            <v>14.780000000000001</v>
          </cell>
        </row>
        <row r="345">
          <cell r="A345" t="str">
            <v>042206</v>
          </cell>
          <cell r="B345" t="str">
            <v>Remoção de transformador de potência trifásico até 225 kVA, a óleo, em poste singelo</v>
          </cell>
          <cell r="C345" t="str">
            <v>un</v>
          </cell>
          <cell r="D345">
            <v>104.89</v>
          </cell>
          <cell r="E345">
            <v>181.92000000000002</v>
          </cell>
          <cell r="F345">
            <v>286.81</v>
          </cell>
        </row>
        <row r="346">
          <cell r="A346" t="str">
            <v>042210</v>
          </cell>
          <cell r="B346" t="str">
            <v>Remoção de tubulação elétrica aparente com diâmetro externo acima de 50 mm</v>
          </cell>
          <cell r="C346" t="str">
            <v>m</v>
          </cell>
          <cell r="D346">
            <v>0</v>
          </cell>
          <cell r="E346">
            <v>11.370000000000001</v>
          </cell>
          <cell r="F346">
            <v>11.370000000000001</v>
          </cell>
        </row>
        <row r="347">
          <cell r="A347" t="str">
            <v>042211</v>
          </cell>
          <cell r="B347" t="str">
            <v>Remoção de tubulação elétrica aparente diâmetro externo até 50 mm</v>
          </cell>
          <cell r="C347" t="str">
            <v>m</v>
          </cell>
          <cell r="D347">
            <v>0</v>
          </cell>
          <cell r="E347">
            <v>5.69</v>
          </cell>
          <cell r="F347">
            <v>5.69</v>
          </cell>
        </row>
        <row r="348">
          <cell r="A348" t="str">
            <v>042212</v>
          </cell>
          <cell r="B348" t="str">
            <v>Remoção de tubulação elétrica embutida diâmetro externo acima de 50 mm</v>
          </cell>
          <cell r="C348" t="str">
            <v>m</v>
          </cell>
          <cell r="D348">
            <v>0</v>
          </cell>
          <cell r="E348">
            <v>22.740000000000002</v>
          </cell>
          <cell r="F348">
            <v>22.740000000000002</v>
          </cell>
        </row>
        <row r="349">
          <cell r="A349" t="str">
            <v>042213</v>
          </cell>
          <cell r="B349" t="str">
            <v>Remoção de tubulação elétrica embutida diâmetro externo até 50 mm</v>
          </cell>
          <cell r="C349" t="str">
            <v>m</v>
          </cell>
          <cell r="D349">
            <v>0</v>
          </cell>
          <cell r="E349">
            <v>11.370000000000001</v>
          </cell>
          <cell r="F349">
            <v>11.370000000000001</v>
          </cell>
        </row>
        <row r="350">
          <cell r="A350" t="str">
            <v>042220</v>
          </cell>
          <cell r="B350" t="str">
            <v>Remoção de vergalhão</v>
          </cell>
          <cell r="C350" t="str">
            <v>m</v>
          </cell>
          <cell r="D350">
            <v>0</v>
          </cell>
          <cell r="E350">
            <v>4.55</v>
          </cell>
          <cell r="F350">
            <v>4.55</v>
          </cell>
        </row>
        <row r="351">
          <cell r="A351" t="str">
            <v>043002</v>
          </cell>
          <cell r="B351" t="str">
            <v>Remoção de calha ou rufo</v>
          </cell>
          <cell r="C351" t="str">
            <v>m</v>
          </cell>
          <cell r="D351">
            <v>0</v>
          </cell>
          <cell r="E351">
            <v>2.23</v>
          </cell>
          <cell r="F351">
            <v>2.23</v>
          </cell>
        </row>
        <row r="352">
          <cell r="A352" t="str">
            <v>043004</v>
          </cell>
          <cell r="B352" t="str">
            <v>Remoção de condutor aparente</v>
          </cell>
          <cell r="C352" t="str">
            <v>m</v>
          </cell>
          <cell r="D352">
            <v>0</v>
          </cell>
          <cell r="E352">
            <v>1.46</v>
          </cell>
          <cell r="F352">
            <v>1.46</v>
          </cell>
        </row>
        <row r="353">
          <cell r="A353" t="str">
            <v>043006</v>
          </cell>
          <cell r="B353" t="str">
            <v>Remoção de tubulação hidráulica em geral, incluindo conexões, caixas e ralos</v>
          </cell>
          <cell r="C353" t="str">
            <v>m</v>
          </cell>
          <cell r="D353">
            <v>0</v>
          </cell>
          <cell r="E353">
            <v>3.88</v>
          </cell>
          <cell r="F353">
            <v>3.88</v>
          </cell>
        </row>
        <row r="354">
          <cell r="A354" t="str">
            <v>043008</v>
          </cell>
          <cell r="B354" t="str">
            <v>Remoção de hidrante de parede completo</v>
          </cell>
          <cell r="C354" t="str">
            <v>un</v>
          </cell>
          <cell r="D354">
            <v>0</v>
          </cell>
          <cell r="E354">
            <v>43.44</v>
          </cell>
          <cell r="F354">
            <v>43.44</v>
          </cell>
        </row>
        <row r="355">
          <cell r="A355" t="str">
            <v>043010</v>
          </cell>
          <cell r="B355" t="str">
            <v>Remoção de reservatório em fibrocimento até 1000 litros</v>
          </cell>
          <cell r="C355" t="str">
            <v>un</v>
          </cell>
          <cell r="D355">
            <v>0</v>
          </cell>
          <cell r="E355">
            <v>71.64</v>
          </cell>
          <cell r="F355">
            <v>71.64</v>
          </cell>
        </row>
        <row r="356">
          <cell r="A356" t="str">
            <v>043505</v>
          </cell>
          <cell r="B356" t="str">
            <v>Retirada de aparelho de ar condicionado portátil</v>
          </cell>
          <cell r="C356" t="str">
            <v>un</v>
          </cell>
          <cell r="D356">
            <v>0</v>
          </cell>
          <cell r="E356">
            <v>10.56</v>
          </cell>
          <cell r="F356">
            <v>10.56</v>
          </cell>
        </row>
        <row r="357">
          <cell r="A357" t="str">
            <v>044001</v>
          </cell>
          <cell r="B357" t="str">
            <v>Retirada manual de guia pré-moldada, inclusive limpeza, carregamento, transporte até 1,0 quilômetro e descarregamento</v>
          </cell>
          <cell r="C357" t="str">
            <v>m</v>
          </cell>
          <cell r="D357">
            <v>0.35000000000000003</v>
          </cell>
          <cell r="E357">
            <v>3.88</v>
          </cell>
          <cell r="F357">
            <v>4.2300000000000004</v>
          </cell>
        </row>
        <row r="358">
          <cell r="A358" t="str">
            <v>044002</v>
          </cell>
          <cell r="B358" t="str">
            <v>Retirada de soleira ou peitoril em geral</v>
          </cell>
          <cell r="C358" t="str">
            <v>m</v>
          </cell>
          <cell r="D358">
            <v>0</v>
          </cell>
          <cell r="E358">
            <v>1.94</v>
          </cell>
          <cell r="F358">
            <v>1.94</v>
          </cell>
        </row>
        <row r="359">
          <cell r="A359" t="str">
            <v>044003</v>
          </cell>
          <cell r="B359" t="str">
            <v>Retirada manual de guia pré-moldada, inclusive limpeza e empilhamento</v>
          </cell>
          <cell r="C359" t="str">
            <v>m</v>
          </cell>
          <cell r="D359">
            <v>0</v>
          </cell>
          <cell r="E359">
            <v>3.88</v>
          </cell>
          <cell r="F359">
            <v>3.88</v>
          </cell>
        </row>
        <row r="360">
          <cell r="A360" t="str">
            <v>044005</v>
          </cell>
          <cell r="B360" t="str">
            <v>Retirada manual de paralelepípedo ou lajota de concreto, inclusive limpeza, carregamento, transporte até 1,0 quilômetro e descarregamento</v>
          </cell>
          <cell r="C360" t="str">
            <v>m²</v>
          </cell>
          <cell r="D360">
            <v>2.84</v>
          </cell>
          <cell r="E360">
            <v>5.83</v>
          </cell>
          <cell r="F360">
            <v>8.67</v>
          </cell>
        </row>
        <row r="361">
          <cell r="A361" t="str">
            <v>044007</v>
          </cell>
          <cell r="B361" t="str">
            <v>Retirada manual de paralelepípedo ou lajota de concreto, inclusive limpeza e empilhamento</v>
          </cell>
          <cell r="C361" t="str">
            <v>m²</v>
          </cell>
          <cell r="D361">
            <v>0</v>
          </cell>
          <cell r="E361">
            <v>5.83</v>
          </cell>
          <cell r="F361">
            <v>5.83</v>
          </cell>
        </row>
        <row r="362">
          <cell r="A362" t="str">
            <v>050406</v>
          </cell>
          <cell r="B362" t="str">
            <v>Transporte manual horizontal e/ou vertical de entulho até o local de despejo - ensacado</v>
          </cell>
          <cell r="C362" t="str">
            <v>m³</v>
          </cell>
          <cell r="D362">
            <v>9.36</v>
          </cell>
          <cell r="E362">
            <v>52.43</v>
          </cell>
          <cell r="F362">
            <v>61.79</v>
          </cell>
        </row>
        <row r="363">
          <cell r="A363" t="str">
            <v>050703</v>
          </cell>
          <cell r="B363" t="str">
            <v>Remoção de entulho com caçamba metálica, independente da distância do local de despejo, inclusive carga e descarga</v>
          </cell>
          <cell r="C363" t="str">
            <v>m³</v>
          </cell>
          <cell r="D363">
            <v>69.5</v>
          </cell>
          <cell r="E363">
            <v>5.83</v>
          </cell>
          <cell r="F363">
            <v>75.33</v>
          </cell>
        </row>
        <row r="364">
          <cell r="A364" t="str">
            <v>050806</v>
          </cell>
          <cell r="B364" t="str">
            <v>Transporte de entulho, para distâncias superiores ao 3° km até o 5° km</v>
          </cell>
          <cell r="C364" t="str">
            <v>m³</v>
          </cell>
          <cell r="D364">
            <v>8.57</v>
          </cell>
          <cell r="E364">
            <v>0</v>
          </cell>
          <cell r="F364">
            <v>8.57</v>
          </cell>
        </row>
        <row r="365">
          <cell r="A365" t="str">
            <v>050808</v>
          </cell>
          <cell r="B365" t="str">
            <v>Transporte de entulho, para distâncias superiores ao 5° km até o 10° km</v>
          </cell>
          <cell r="C365" t="str">
            <v>m³</v>
          </cell>
          <cell r="D365">
            <v>16.07</v>
          </cell>
          <cell r="E365">
            <v>0</v>
          </cell>
          <cell r="F365">
            <v>16.07</v>
          </cell>
        </row>
        <row r="366">
          <cell r="A366" t="str">
            <v>050810</v>
          </cell>
          <cell r="B366" t="str">
            <v>Transporte de entulho, para distâncias superiores ao 10° km até o 15° km</v>
          </cell>
          <cell r="C366" t="str">
            <v>m³</v>
          </cell>
          <cell r="D366">
            <v>19.95</v>
          </cell>
          <cell r="E366">
            <v>0</v>
          </cell>
          <cell r="F366">
            <v>19.95</v>
          </cell>
        </row>
        <row r="367">
          <cell r="A367" t="str">
            <v>050812</v>
          </cell>
          <cell r="B367" t="str">
            <v>Transporte de entulho, para distâncias superiores ao 15° km até o 20° km</v>
          </cell>
          <cell r="C367" t="str">
            <v>m³</v>
          </cell>
          <cell r="D367">
            <v>22.69</v>
          </cell>
          <cell r="E367">
            <v>0</v>
          </cell>
          <cell r="F367">
            <v>22.69</v>
          </cell>
        </row>
        <row r="368">
          <cell r="A368" t="str">
            <v>050814</v>
          </cell>
          <cell r="B368" t="str">
            <v>Transporte de entulho, para distâncias superiores ao 20° km</v>
          </cell>
          <cell r="C368" t="str">
            <v>m³xkm</v>
          </cell>
          <cell r="D368">
            <v>1.1299999999999999</v>
          </cell>
          <cell r="E368">
            <v>0</v>
          </cell>
          <cell r="F368">
            <v>1.1299999999999999</v>
          </cell>
        </row>
        <row r="369">
          <cell r="A369" t="str">
            <v>050822</v>
          </cell>
          <cell r="B369" t="str">
            <v>Carregamento mecanizado de entulho fragmentado, com caminhão à disposição dentro da obra, até o raio de 1,0 km</v>
          </cell>
          <cell r="C369" t="str">
            <v>m³</v>
          </cell>
          <cell r="D369">
            <v>6.66</v>
          </cell>
          <cell r="E369">
            <v>0</v>
          </cell>
          <cell r="F369">
            <v>6.66</v>
          </cell>
        </row>
        <row r="370">
          <cell r="A370" t="str">
            <v>051002</v>
          </cell>
          <cell r="B370" t="str">
            <v>Transporte de solo de 1ª e 2ª categoria por caminhão até o 2° km</v>
          </cell>
          <cell r="C370" t="str">
            <v>m³</v>
          </cell>
          <cell r="D370">
            <v>3.47</v>
          </cell>
          <cell r="E370">
            <v>0</v>
          </cell>
          <cell r="F370">
            <v>3.47</v>
          </cell>
        </row>
        <row r="371">
          <cell r="A371" t="str">
            <v>051003</v>
          </cell>
          <cell r="B371" t="str">
            <v>Transporte de solo brejoso por caminhão até o 2° km</v>
          </cell>
          <cell r="C371" t="str">
            <v>m³</v>
          </cell>
          <cell r="D371">
            <v>5.97</v>
          </cell>
          <cell r="E371">
            <v>0</v>
          </cell>
          <cell r="F371">
            <v>5.97</v>
          </cell>
        </row>
        <row r="372">
          <cell r="A372" t="str">
            <v>051004</v>
          </cell>
          <cell r="B372" t="str">
            <v>Transporte de solo de 1ª e 2ª categoria por caminhão para distâncias superiores ao 2° km até o 3° km</v>
          </cell>
          <cell r="C372" t="str">
            <v>m³</v>
          </cell>
          <cell r="D372">
            <v>5.18</v>
          </cell>
          <cell r="E372">
            <v>0</v>
          </cell>
          <cell r="F372">
            <v>5.18</v>
          </cell>
        </row>
        <row r="373">
          <cell r="A373" t="str">
            <v>051005</v>
          </cell>
          <cell r="B373" t="str">
            <v>Transporte de solo brejoso por caminhão para distâncias superiores ao 2° km até o 3° km</v>
          </cell>
          <cell r="C373" t="str">
            <v>m³</v>
          </cell>
          <cell r="D373">
            <v>8.23</v>
          </cell>
          <cell r="E373">
            <v>0</v>
          </cell>
          <cell r="F373">
            <v>8.23</v>
          </cell>
        </row>
        <row r="374">
          <cell r="A374" t="str">
            <v>051006</v>
          </cell>
          <cell r="B374" t="str">
            <v>Transporte de solo de 1ª e 2ª categoria por caminhão para distâncias superiores ao 3° km até o 5° km</v>
          </cell>
          <cell r="C374" t="str">
            <v>m³</v>
          </cell>
          <cell r="D374">
            <v>5.73</v>
          </cell>
          <cell r="E374">
            <v>0</v>
          </cell>
          <cell r="F374">
            <v>5.73</v>
          </cell>
        </row>
        <row r="375">
          <cell r="A375" t="str">
            <v>051007</v>
          </cell>
          <cell r="B375" t="str">
            <v>Transporte de solo brejoso por caminhão para distâncias superiores ao 3° km até o 5° km</v>
          </cell>
          <cell r="C375" t="str">
            <v>m³</v>
          </cell>
          <cell r="D375">
            <v>8.59</v>
          </cell>
          <cell r="E375">
            <v>0</v>
          </cell>
          <cell r="F375">
            <v>8.59</v>
          </cell>
        </row>
        <row r="376">
          <cell r="A376" t="str">
            <v>051008</v>
          </cell>
          <cell r="B376" t="str">
            <v>Transporte de solo de 1ª e 2ª categoria por caminhão para distâncias superiores ao 5° km até o 10° km</v>
          </cell>
          <cell r="C376" t="str">
            <v>m³</v>
          </cell>
          <cell r="D376">
            <v>7.65</v>
          </cell>
          <cell r="E376">
            <v>0</v>
          </cell>
          <cell r="F376">
            <v>7.65</v>
          </cell>
        </row>
        <row r="377">
          <cell r="A377" t="str">
            <v>051009</v>
          </cell>
          <cell r="B377" t="str">
            <v>Transporte de solo brejoso por caminhão para distâncias superiores ao 5° km até o 10° km</v>
          </cell>
          <cell r="C377" t="str">
            <v>m³</v>
          </cell>
          <cell r="D377">
            <v>10.98</v>
          </cell>
          <cell r="E377">
            <v>0</v>
          </cell>
          <cell r="F377">
            <v>10.98</v>
          </cell>
        </row>
        <row r="378">
          <cell r="A378" t="str">
            <v>051010</v>
          </cell>
          <cell r="B378" t="str">
            <v>Transporte de solo de 1ª e 2ª categoria por caminhão para distâncias superiores ao 10° km até o 15° km</v>
          </cell>
          <cell r="C378" t="str">
            <v>m³</v>
          </cell>
          <cell r="D378">
            <v>11.47</v>
          </cell>
          <cell r="E378">
            <v>0</v>
          </cell>
          <cell r="F378">
            <v>11.47</v>
          </cell>
        </row>
        <row r="379">
          <cell r="A379" t="str">
            <v>051011</v>
          </cell>
          <cell r="B379" t="str">
            <v>Transporte de solo brejoso por caminhão para distâncias superiores ao 10° km até o 15° km</v>
          </cell>
          <cell r="C379" t="str">
            <v>m³</v>
          </cell>
          <cell r="D379">
            <v>16.46</v>
          </cell>
          <cell r="E379">
            <v>0</v>
          </cell>
          <cell r="F379">
            <v>16.46</v>
          </cell>
        </row>
        <row r="380">
          <cell r="A380" t="str">
            <v>051012</v>
          </cell>
          <cell r="B380" t="str">
            <v>Transporte de solo de 1ª e 2ª categoria por caminhão para distâncias superiores ao 15° km até o 20° km</v>
          </cell>
          <cell r="C380" t="str">
            <v>m³</v>
          </cell>
          <cell r="D380">
            <v>15.27</v>
          </cell>
          <cell r="E380">
            <v>0</v>
          </cell>
          <cell r="F380">
            <v>15.27</v>
          </cell>
        </row>
        <row r="381">
          <cell r="A381" t="str">
            <v>051013</v>
          </cell>
          <cell r="B381" t="str">
            <v>Transporte de solo brejoso por caminhão para distâncias superiores ao 15° km até o 20° km</v>
          </cell>
          <cell r="C381" t="str">
            <v>m³</v>
          </cell>
          <cell r="D381">
            <v>21.95</v>
          </cell>
          <cell r="E381">
            <v>0</v>
          </cell>
          <cell r="F381">
            <v>21.95</v>
          </cell>
        </row>
        <row r="382">
          <cell r="A382" t="str">
            <v>051014</v>
          </cell>
          <cell r="B382" t="str">
            <v>Transporte de solo de 1ª e 2ª categoria por caminhão para distâncias superiores ao 20° km</v>
          </cell>
          <cell r="C382" t="str">
            <v>m³xkm</v>
          </cell>
          <cell r="D382">
            <v>0.74</v>
          </cell>
          <cell r="E382">
            <v>0</v>
          </cell>
          <cell r="F382">
            <v>0.74</v>
          </cell>
        </row>
        <row r="383">
          <cell r="A383" t="str">
            <v>051015</v>
          </cell>
          <cell r="B383" t="str">
            <v>Transporte de solo brejoso por caminhão para distâncias superiores ao 20° km</v>
          </cell>
          <cell r="C383" t="str">
            <v>m³xkm</v>
          </cell>
          <cell r="D383">
            <v>1.06</v>
          </cell>
          <cell r="E383">
            <v>0</v>
          </cell>
          <cell r="F383">
            <v>1.06</v>
          </cell>
        </row>
        <row r="384">
          <cell r="A384" t="str">
            <v>051021</v>
          </cell>
          <cell r="B384" t="str">
            <v>Carregamento mecanizado de solo de 1ª e 2ª categoria</v>
          </cell>
          <cell r="C384" t="str">
            <v>m³</v>
          </cell>
          <cell r="D384">
            <v>1.8900000000000001</v>
          </cell>
          <cell r="E384">
            <v>0</v>
          </cell>
          <cell r="F384">
            <v>1.8900000000000001</v>
          </cell>
        </row>
        <row r="385">
          <cell r="A385" t="str">
            <v>060102</v>
          </cell>
          <cell r="B385" t="str">
            <v>Escavação manual em solo de 1ª e 2ª categoria em campo aberto</v>
          </cell>
          <cell r="C385" t="str">
            <v>m³</v>
          </cell>
          <cell r="D385">
            <v>0</v>
          </cell>
          <cell r="E385">
            <v>24.28</v>
          </cell>
          <cell r="F385">
            <v>24.28</v>
          </cell>
        </row>
        <row r="386">
          <cell r="A386" t="str">
            <v>060104</v>
          </cell>
          <cell r="B386" t="str">
            <v>Escavação manual em solo brejoso em campo aberto</v>
          </cell>
          <cell r="C386" t="str">
            <v>m³</v>
          </cell>
          <cell r="D386">
            <v>0</v>
          </cell>
          <cell r="E386">
            <v>30.3</v>
          </cell>
          <cell r="F386">
            <v>30.3</v>
          </cell>
        </row>
        <row r="387">
          <cell r="A387" t="str">
            <v>060202</v>
          </cell>
          <cell r="B387" t="str">
            <v>Escavação manual em solo de 1ª e 2ª categoria em vala ou cava até 1,50 m</v>
          </cell>
          <cell r="C387" t="str">
            <v>m³</v>
          </cell>
          <cell r="D387">
            <v>0</v>
          </cell>
          <cell r="E387">
            <v>29.13</v>
          </cell>
          <cell r="F387">
            <v>29.13</v>
          </cell>
        </row>
        <row r="388">
          <cell r="A388" t="str">
            <v>060204</v>
          </cell>
          <cell r="B388" t="str">
            <v>Escavação manual em solo de 1ª e 2ª categoria em vala ou cava além de 1,50 m</v>
          </cell>
          <cell r="C388" t="str">
            <v>m³</v>
          </cell>
          <cell r="D388">
            <v>0</v>
          </cell>
          <cell r="E388">
            <v>37.67</v>
          </cell>
          <cell r="F388">
            <v>37.67</v>
          </cell>
        </row>
        <row r="389">
          <cell r="A389" t="str">
            <v>061102</v>
          </cell>
          <cell r="B389" t="str">
            <v>Reaterro manual para simples regularização sem compactação</v>
          </cell>
          <cell r="C389" t="str">
            <v>m³</v>
          </cell>
          <cell r="D389">
            <v>0</v>
          </cell>
          <cell r="E389">
            <v>4.18</v>
          </cell>
          <cell r="F389">
            <v>4.18</v>
          </cell>
        </row>
        <row r="390">
          <cell r="A390" t="str">
            <v>061104</v>
          </cell>
          <cell r="B390" t="str">
            <v>Reaterro manual apiloado sem controle de compactação</v>
          </cell>
          <cell r="C390" t="str">
            <v>m³</v>
          </cell>
          <cell r="D390">
            <v>0</v>
          </cell>
          <cell r="E390">
            <v>9.0500000000000007</v>
          </cell>
          <cell r="F390">
            <v>9.0500000000000007</v>
          </cell>
        </row>
        <row r="391">
          <cell r="A391" t="str">
            <v>061106</v>
          </cell>
          <cell r="B391" t="str">
            <v>Reaterro manual com adição de 2% de cimento</v>
          </cell>
          <cell r="C391" t="str">
            <v>m³</v>
          </cell>
          <cell r="D391">
            <v>11.64</v>
          </cell>
          <cell r="E391">
            <v>32.630000000000003</v>
          </cell>
          <cell r="F391">
            <v>44.27</v>
          </cell>
        </row>
        <row r="392">
          <cell r="A392" t="str">
            <v>061202</v>
          </cell>
          <cell r="B392" t="str">
            <v>Aterro manual apiloado de área interna com maço de 30 kg</v>
          </cell>
          <cell r="C392" t="str">
            <v>m³</v>
          </cell>
          <cell r="D392">
            <v>0</v>
          </cell>
          <cell r="E392">
            <v>29.89</v>
          </cell>
          <cell r="F392">
            <v>29.89</v>
          </cell>
        </row>
        <row r="393">
          <cell r="A393" t="str">
            <v>061402</v>
          </cell>
          <cell r="B393" t="str">
            <v>Carga manual de solo</v>
          </cell>
          <cell r="C393" t="str">
            <v>m³</v>
          </cell>
          <cell r="D393">
            <v>0</v>
          </cell>
          <cell r="E393">
            <v>5.83</v>
          </cell>
          <cell r="F393">
            <v>5.83</v>
          </cell>
        </row>
        <row r="394">
          <cell r="A394" t="str">
            <v>070101</v>
          </cell>
          <cell r="B394" t="str">
            <v>Escavação e carga mecanizada para exploração de solo em jazida</v>
          </cell>
          <cell r="C394" t="str">
            <v>m³</v>
          </cell>
          <cell r="D394">
            <v>5.5200000000000005</v>
          </cell>
          <cell r="E394">
            <v>0.48</v>
          </cell>
          <cell r="F394">
            <v>6</v>
          </cell>
        </row>
        <row r="395">
          <cell r="A395" t="str">
            <v>070102</v>
          </cell>
          <cell r="B395" t="str">
            <v>Escavação e carga mecanizada em solo de 1ª categoria, em campo aberto</v>
          </cell>
          <cell r="C395" t="str">
            <v>m³</v>
          </cell>
          <cell r="D395">
            <v>5.7</v>
          </cell>
          <cell r="E395">
            <v>0.48</v>
          </cell>
          <cell r="F395">
            <v>6.18</v>
          </cell>
        </row>
        <row r="396">
          <cell r="A396" t="str">
            <v>070106</v>
          </cell>
          <cell r="B396" t="str">
            <v>Escavação e carga mecanizada em solo de 2ª categoria, em campo aberto</v>
          </cell>
          <cell r="C396" t="str">
            <v>m³</v>
          </cell>
          <cell r="D396">
            <v>12.75</v>
          </cell>
          <cell r="E396">
            <v>0.93</v>
          </cell>
          <cell r="F396">
            <v>13.68</v>
          </cell>
        </row>
        <row r="397">
          <cell r="A397" t="str">
            <v>070112</v>
          </cell>
          <cell r="B397" t="str">
            <v>Carga e remoção de terra até a distância média de 1,0 km</v>
          </cell>
          <cell r="C397" t="str">
            <v>m³</v>
          </cell>
          <cell r="D397">
            <v>5.74</v>
          </cell>
          <cell r="E397">
            <v>0</v>
          </cell>
          <cell r="F397">
            <v>5.74</v>
          </cell>
        </row>
        <row r="398">
          <cell r="A398" t="str">
            <v>070202</v>
          </cell>
          <cell r="B398" t="str">
            <v>Escavação mecanizada de valas ou cavas com altura até 2,00 m</v>
          </cell>
          <cell r="C398" t="str">
            <v>m³</v>
          </cell>
          <cell r="D398">
            <v>4.57</v>
          </cell>
          <cell r="E398">
            <v>0.63</v>
          </cell>
          <cell r="F398">
            <v>5.2</v>
          </cell>
        </row>
        <row r="399">
          <cell r="A399" t="str">
            <v>070204</v>
          </cell>
          <cell r="B399" t="str">
            <v>Escavação mecanizada de valas ou cavas com altura até 3,00 m</v>
          </cell>
          <cell r="C399" t="str">
            <v>m³</v>
          </cell>
          <cell r="D399">
            <v>5.16</v>
          </cell>
          <cell r="E399">
            <v>0.70000000000000007</v>
          </cell>
          <cell r="F399">
            <v>5.86</v>
          </cell>
        </row>
        <row r="400">
          <cell r="A400" t="str">
            <v>070206</v>
          </cell>
          <cell r="B400" t="str">
            <v>Escavação mecanizada de valas ou cavas com altura até 4,00 m</v>
          </cell>
          <cell r="C400" t="str">
            <v>m³</v>
          </cell>
          <cell r="D400">
            <v>7.4</v>
          </cell>
          <cell r="E400">
            <v>0.4</v>
          </cell>
          <cell r="F400">
            <v>7.8</v>
          </cell>
        </row>
        <row r="401">
          <cell r="A401" t="str">
            <v>070208</v>
          </cell>
          <cell r="B401" t="str">
            <v>Escavação mecanizada de valas ou cavas com altura além de 4,00 m, com escavadeira hidráulica</v>
          </cell>
          <cell r="C401" t="str">
            <v>m³</v>
          </cell>
          <cell r="D401">
            <v>8.0299999999999994</v>
          </cell>
          <cell r="E401">
            <v>0.39</v>
          </cell>
          <cell r="F401">
            <v>8.42</v>
          </cell>
        </row>
        <row r="402">
          <cell r="A402" t="str">
            <v>070501</v>
          </cell>
          <cell r="B402" t="str">
            <v>Escavação e carga mecanizada em solo brejoso ou turfa</v>
          </cell>
          <cell r="C402" t="str">
            <v>m³</v>
          </cell>
          <cell r="D402">
            <v>16.239999999999998</v>
          </cell>
          <cell r="E402">
            <v>0.91</v>
          </cell>
          <cell r="F402">
            <v>17.149999999999999</v>
          </cell>
        </row>
        <row r="403">
          <cell r="A403" t="str">
            <v>070502</v>
          </cell>
          <cell r="B403" t="str">
            <v>Escavação e carga mecanizada em solo vegetal superficial</v>
          </cell>
          <cell r="C403" t="str">
            <v>m³</v>
          </cell>
          <cell r="D403">
            <v>13.86</v>
          </cell>
          <cell r="E403">
            <v>1.94</v>
          </cell>
          <cell r="F403">
            <v>15.8</v>
          </cell>
        </row>
        <row r="404">
          <cell r="A404" t="str">
            <v>071002</v>
          </cell>
          <cell r="B404" t="str">
            <v>Espalhamento de solo em bota-fora com compactação sem controle</v>
          </cell>
          <cell r="C404" t="str">
            <v>m³</v>
          </cell>
          <cell r="D404">
            <v>1.83</v>
          </cell>
          <cell r="E404">
            <v>0.2</v>
          </cell>
          <cell r="F404">
            <v>2.0299999999999998</v>
          </cell>
        </row>
        <row r="405">
          <cell r="A405" t="str">
            <v>071102</v>
          </cell>
          <cell r="B405" t="str">
            <v>Reaterro compactado mecanizado de vala ou cava com compactador</v>
          </cell>
          <cell r="C405" t="str">
            <v>m³</v>
          </cell>
          <cell r="D405">
            <v>2.0499999999999998</v>
          </cell>
          <cell r="E405">
            <v>1.35</v>
          </cell>
          <cell r="F405">
            <v>3.4</v>
          </cell>
        </row>
        <row r="406">
          <cell r="A406" t="str">
            <v>071104</v>
          </cell>
          <cell r="B406" t="str">
            <v>Reaterro compactado mecanizado de vala ou cava com rolo, mínimo de 95% PN</v>
          </cell>
          <cell r="C406" t="str">
            <v>m³</v>
          </cell>
          <cell r="D406">
            <v>8.92</v>
          </cell>
          <cell r="E406">
            <v>1.24</v>
          </cell>
          <cell r="F406">
            <v>10.16</v>
          </cell>
        </row>
        <row r="407">
          <cell r="A407" t="str">
            <v>071201</v>
          </cell>
          <cell r="B407" t="str">
            <v>Compactação de aterro mecanizado mínimo de 95% PN, sem fornecimento de solo em áreas fechadas</v>
          </cell>
          <cell r="C407" t="str">
            <v>m³</v>
          </cell>
          <cell r="D407">
            <v>6.48</v>
          </cell>
          <cell r="E407">
            <v>0.25</v>
          </cell>
          <cell r="F407">
            <v>6.73</v>
          </cell>
        </row>
        <row r="408">
          <cell r="A408" t="str">
            <v>071202</v>
          </cell>
          <cell r="B408" t="str">
            <v>Compactação de aterro mecanizado mínimo de 95% PN, sem fornecimento de solo em campo aberto</v>
          </cell>
          <cell r="C408" t="str">
            <v>m³</v>
          </cell>
          <cell r="D408">
            <v>4.5999999999999996</v>
          </cell>
          <cell r="E408">
            <v>0.3</v>
          </cell>
          <cell r="F408">
            <v>4.9000000000000004</v>
          </cell>
        </row>
        <row r="409">
          <cell r="A409" t="str">
            <v>071203</v>
          </cell>
          <cell r="B409" t="str">
            <v>Compactação de aterro mecanizado a 100% PN, sem fornecimento de solo em campo aberto</v>
          </cell>
          <cell r="C409" t="str">
            <v>m³</v>
          </cell>
          <cell r="D409">
            <v>4.67</v>
          </cell>
          <cell r="E409">
            <v>0.42</v>
          </cell>
          <cell r="F409">
            <v>5.09</v>
          </cell>
        </row>
        <row r="410">
          <cell r="A410" t="str">
            <v>071204</v>
          </cell>
          <cell r="B410" t="str">
            <v>Aterro mecanizado por compensação, solo de 1ª categoria em campo aberto, sem compactação do aterro</v>
          </cell>
          <cell r="C410" t="str">
            <v>m³</v>
          </cell>
          <cell r="D410">
            <v>7.3500000000000005</v>
          </cell>
          <cell r="E410">
            <v>0.38</v>
          </cell>
          <cell r="F410">
            <v>7.73</v>
          </cell>
        </row>
        <row r="411">
          <cell r="A411" t="str">
            <v>080102</v>
          </cell>
          <cell r="B411" t="str">
            <v>Escoramento de solo contínuo</v>
          </cell>
          <cell r="C411" t="str">
            <v>m²</v>
          </cell>
          <cell r="D411">
            <v>13.540000000000001</v>
          </cell>
          <cell r="E411">
            <v>27.76</v>
          </cell>
          <cell r="F411">
            <v>41.300000000000004</v>
          </cell>
        </row>
        <row r="412">
          <cell r="A412" t="str">
            <v>080104</v>
          </cell>
          <cell r="B412" t="str">
            <v>Escoramento de solo descontínuo</v>
          </cell>
          <cell r="C412" t="str">
            <v>m²</v>
          </cell>
          <cell r="D412">
            <v>7.41</v>
          </cell>
          <cell r="E412">
            <v>16.7</v>
          </cell>
          <cell r="F412">
            <v>24.11</v>
          </cell>
        </row>
        <row r="413">
          <cell r="A413" t="str">
            <v>080106</v>
          </cell>
          <cell r="B413" t="str">
            <v>Escoramento de solo pontaletado</v>
          </cell>
          <cell r="C413" t="str">
            <v>m²</v>
          </cell>
          <cell r="D413">
            <v>4.99</v>
          </cell>
          <cell r="E413">
            <v>4.04</v>
          </cell>
          <cell r="F413">
            <v>9.0299999999999994</v>
          </cell>
        </row>
        <row r="414">
          <cell r="A414" t="str">
            <v>080108</v>
          </cell>
          <cell r="B414" t="str">
            <v>Escoramento de solo especial</v>
          </cell>
          <cell r="C414" t="str">
            <v>m²</v>
          </cell>
          <cell r="D414">
            <v>17.23</v>
          </cell>
          <cell r="E414">
            <v>32.94</v>
          </cell>
          <cell r="F414">
            <v>50.17</v>
          </cell>
        </row>
        <row r="415">
          <cell r="A415" t="str">
            <v>080110</v>
          </cell>
          <cell r="B415" t="str">
            <v>Escoramento com estacas pranchas metálicas - profundidade até 4,00 m</v>
          </cell>
          <cell r="C415" t="str">
            <v>m²</v>
          </cell>
          <cell r="D415">
            <v>79.040000000000006</v>
          </cell>
          <cell r="E415">
            <v>0</v>
          </cell>
          <cell r="F415">
            <v>79.040000000000006</v>
          </cell>
        </row>
        <row r="416">
          <cell r="A416" t="str">
            <v>080111</v>
          </cell>
          <cell r="B416" t="str">
            <v>Escoramento com estacas pranchas metálicas - profundidade até 6,00 m</v>
          </cell>
          <cell r="C416" t="str">
            <v>m²</v>
          </cell>
          <cell r="D416">
            <v>86.14</v>
          </cell>
          <cell r="E416">
            <v>0</v>
          </cell>
          <cell r="F416">
            <v>86.14</v>
          </cell>
        </row>
        <row r="417">
          <cell r="A417" t="str">
            <v>080112</v>
          </cell>
          <cell r="B417" t="str">
            <v>Escoramento com estacas pranchas metálicas - profundidade até 8,00 m</v>
          </cell>
          <cell r="C417" t="str">
            <v>m²</v>
          </cell>
          <cell r="D417">
            <v>95.070000000000007</v>
          </cell>
          <cell r="E417">
            <v>0</v>
          </cell>
          <cell r="F417">
            <v>95.070000000000007</v>
          </cell>
        </row>
        <row r="418">
          <cell r="A418" t="str">
            <v>080202</v>
          </cell>
          <cell r="B418" t="str">
            <v>Cimbramento em madeira com estroncas de eucalipto</v>
          </cell>
          <cell r="C418" t="str">
            <v>m³</v>
          </cell>
          <cell r="D418">
            <v>8.23</v>
          </cell>
          <cell r="E418">
            <v>15.14</v>
          </cell>
          <cell r="F418">
            <v>23.37</v>
          </cell>
        </row>
        <row r="419">
          <cell r="A419" t="str">
            <v>080204</v>
          </cell>
          <cell r="B419" t="str">
            <v>Cimbramento em perfil metálico para obras de arte</v>
          </cell>
          <cell r="C419" t="str">
            <v>kg</v>
          </cell>
          <cell r="D419">
            <v>2.66</v>
          </cell>
          <cell r="E419">
            <v>1.08</v>
          </cell>
          <cell r="F419">
            <v>3.74</v>
          </cell>
        </row>
        <row r="420">
          <cell r="A420" t="str">
            <v>080205</v>
          </cell>
          <cell r="B420" t="str">
            <v>Cimbramento tubular metálico</v>
          </cell>
          <cell r="C420" t="str">
            <v>m³xmês</v>
          </cell>
          <cell r="D420">
            <v>3.02</v>
          </cell>
          <cell r="E420">
            <v>0.97</v>
          </cell>
          <cell r="F420">
            <v>3.99</v>
          </cell>
        </row>
        <row r="421">
          <cell r="A421" t="str">
            <v>080206</v>
          </cell>
          <cell r="B421" t="str">
            <v>Montagem e desmontagem de cimbramento tubular metálico</v>
          </cell>
          <cell r="C421" t="str">
            <v>m³</v>
          </cell>
          <cell r="D421">
            <v>0</v>
          </cell>
          <cell r="E421">
            <v>7.37</v>
          </cell>
          <cell r="F421">
            <v>7.37</v>
          </cell>
        </row>
        <row r="422">
          <cell r="A422" t="str">
            <v>080302</v>
          </cell>
          <cell r="B422" t="str">
            <v>Descimbramento em madeira</v>
          </cell>
          <cell r="C422" t="str">
            <v>m³</v>
          </cell>
          <cell r="D422">
            <v>0</v>
          </cell>
          <cell r="E422">
            <v>4.17</v>
          </cell>
          <cell r="F422">
            <v>4.17</v>
          </cell>
        </row>
        <row r="423">
          <cell r="A423" t="str">
            <v>080501</v>
          </cell>
          <cell r="B423" t="str">
            <v>Geomembrana em polietileno de alta densidade PEAD de 1,0 mm</v>
          </cell>
          <cell r="C423" t="str">
            <v>m²</v>
          </cell>
          <cell r="D423">
            <v>12.040000000000001</v>
          </cell>
          <cell r="E423">
            <v>0.37</v>
          </cell>
          <cell r="F423">
            <v>12.41</v>
          </cell>
        </row>
        <row r="424">
          <cell r="A424" t="str">
            <v>080502</v>
          </cell>
          <cell r="B424" t="str">
            <v>Manta geotêxtil de 200 g/m²</v>
          </cell>
          <cell r="C424" t="str">
            <v>m²</v>
          </cell>
          <cell r="D424">
            <v>2.77</v>
          </cell>
          <cell r="E424">
            <v>6.44</v>
          </cell>
          <cell r="F424">
            <v>9.2100000000000009</v>
          </cell>
        </row>
        <row r="425">
          <cell r="A425" t="str">
            <v>080504</v>
          </cell>
          <cell r="B425" t="str">
            <v>Manta geotêxtil de 300 g/m²</v>
          </cell>
          <cell r="C425" t="str">
            <v>m²</v>
          </cell>
          <cell r="D425">
            <v>4.0599999999999996</v>
          </cell>
          <cell r="E425">
            <v>6.44</v>
          </cell>
          <cell r="F425">
            <v>10.5</v>
          </cell>
        </row>
        <row r="426">
          <cell r="A426" t="str">
            <v>080506</v>
          </cell>
          <cell r="B426" t="str">
            <v>Manta geotêxtil de 600 g/m²</v>
          </cell>
          <cell r="C426" t="str">
            <v>m²</v>
          </cell>
          <cell r="D426">
            <v>8.31</v>
          </cell>
          <cell r="E426">
            <v>6.44</v>
          </cell>
          <cell r="F426">
            <v>14.75</v>
          </cell>
        </row>
        <row r="427">
          <cell r="A427" t="str">
            <v>080510</v>
          </cell>
          <cell r="B427" t="str">
            <v>Pedra britada números médios, mantas e filtros</v>
          </cell>
          <cell r="C427" t="str">
            <v>m³</v>
          </cell>
          <cell r="D427">
            <v>65.680000000000007</v>
          </cell>
          <cell r="E427">
            <v>0.32</v>
          </cell>
          <cell r="F427">
            <v>66</v>
          </cell>
        </row>
        <row r="428">
          <cell r="A428" t="str">
            <v>080511</v>
          </cell>
          <cell r="B428" t="str">
            <v>Areia grossa, mantas e filtros</v>
          </cell>
          <cell r="C428" t="str">
            <v>m³</v>
          </cell>
          <cell r="D428">
            <v>74.42</v>
          </cell>
          <cell r="E428">
            <v>0.32</v>
          </cell>
          <cell r="F428">
            <v>74.739999999999995</v>
          </cell>
        </row>
        <row r="429">
          <cell r="A429" t="str">
            <v>080517</v>
          </cell>
          <cell r="B429" t="str">
            <v>Manta geotêxtil com resistência à tração longitudinal de 16 KN/m e tração transversal de 14 KN/m</v>
          </cell>
          <cell r="C429" t="str">
            <v>m²</v>
          </cell>
          <cell r="D429">
            <v>4.3</v>
          </cell>
          <cell r="E429">
            <v>0.28999999999999998</v>
          </cell>
          <cell r="F429">
            <v>4.59</v>
          </cell>
        </row>
        <row r="430">
          <cell r="A430" t="str">
            <v>080602</v>
          </cell>
          <cell r="B430" t="str">
            <v>Barbacã em tubo de PVC com diâmetro 25 mm</v>
          </cell>
          <cell r="C430" t="str">
            <v>m</v>
          </cell>
          <cell r="D430">
            <v>3.0100000000000002</v>
          </cell>
          <cell r="E430">
            <v>7.5200000000000005</v>
          </cell>
          <cell r="F430">
            <v>10.53</v>
          </cell>
        </row>
        <row r="431">
          <cell r="A431" t="str">
            <v>080604</v>
          </cell>
          <cell r="B431" t="str">
            <v>Barbacã em tubo de PVC com diâmetro 50 mm</v>
          </cell>
          <cell r="C431" t="str">
            <v>m</v>
          </cell>
          <cell r="D431">
            <v>5.76</v>
          </cell>
          <cell r="E431">
            <v>7.5200000000000005</v>
          </cell>
          <cell r="F431">
            <v>13.280000000000001</v>
          </cell>
        </row>
        <row r="432">
          <cell r="A432" t="str">
            <v>080606</v>
          </cell>
          <cell r="B432" t="str">
            <v>Barbacã em tubo de PVC com diâmetro 75 mm</v>
          </cell>
          <cell r="C432" t="str">
            <v>m</v>
          </cell>
          <cell r="D432">
            <v>7.3</v>
          </cell>
          <cell r="E432">
            <v>8.58</v>
          </cell>
          <cell r="F432">
            <v>15.88</v>
          </cell>
        </row>
        <row r="433">
          <cell r="A433" t="str">
            <v>080608</v>
          </cell>
          <cell r="B433" t="str">
            <v>Barbacã em tubo de PVC com diâmetro 100 mm</v>
          </cell>
          <cell r="C433" t="str">
            <v>m</v>
          </cell>
          <cell r="D433">
            <v>8.02</v>
          </cell>
          <cell r="E433">
            <v>10.74</v>
          </cell>
          <cell r="F433">
            <v>18.760000000000002</v>
          </cell>
        </row>
        <row r="434">
          <cell r="A434" t="str">
            <v>080705</v>
          </cell>
          <cell r="B434" t="str">
            <v>Taxa mobilização para rebaixamento de lençol freático</v>
          </cell>
          <cell r="C434" t="str">
            <v>tx</v>
          </cell>
          <cell r="D434">
            <v>4180.63</v>
          </cell>
          <cell r="E434">
            <v>0</v>
          </cell>
          <cell r="F434">
            <v>4180.63</v>
          </cell>
        </row>
        <row r="435">
          <cell r="A435" t="str">
            <v>080706</v>
          </cell>
          <cell r="B435" t="str">
            <v>Locação de conjunto de bombeamento a vácuo para rebaixamento de lençol freático, com até 50 ponteiras e potência até 15 HP, mínimo 30 dias</v>
          </cell>
          <cell r="C435" t="str">
            <v>cjxdia</v>
          </cell>
          <cell r="D435">
            <v>426.04</v>
          </cell>
          <cell r="E435">
            <v>0</v>
          </cell>
          <cell r="F435">
            <v>426.04</v>
          </cell>
        </row>
        <row r="436">
          <cell r="A436" t="str">
            <v>080707</v>
          </cell>
          <cell r="B436" t="str">
            <v>Ponteiras filtrantes, profundidade até 5,0 m</v>
          </cell>
          <cell r="C436" t="str">
            <v>un</v>
          </cell>
          <cell r="D436">
            <v>247.75</v>
          </cell>
          <cell r="E436">
            <v>0</v>
          </cell>
          <cell r="F436">
            <v>247.75</v>
          </cell>
        </row>
        <row r="437">
          <cell r="A437" t="str">
            <v>080709</v>
          </cell>
          <cell r="B437" t="str">
            <v>Esgotamento de águas superficiais com bomba de superfície ou submersa</v>
          </cell>
          <cell r="C437" t="str">
            <v>HPxh</v>
          </cell>
          <cell r="D437">
            <v>0.56999999999999995</v>
          </cell>
          <cell r="E437">
            <v>1.94</v>
          </cell>
          <cell r="F437">
            <v>2.5099999999999998</v>
          </cell>
        </row>
        <row r="438">
          <cell r="A438" t="str">
            <v>081004</v>
          </cell>
          <cell r="B438" t="str">
            <v>Enrocamento com pedra arrumada</v>
          </cell>
          <cell r="C438" t="str">
            <v>m³</v>
          </cell>
          <cell r="D438">
            <v>76.13</v>
          </cell>
          <cell r="E438">
            <v>64.41</v>
          </cell>
          <cell r="F438">
            <v>140.54</v>
          </cell>
        </row>
        <row r="439">
          <cell r="A439" t="str">
            <v>081006</v>
          </cell>
          <cell r="B439" t="str">
            <v>Enrocamento com pedra assentada</v>
          </cell>
          <cell r="C439" t="str">
            <v>m³</v>
          </cell>
          <cell r="D439">
            <v>155.18</v>
          </cell>
          <cell r="E439">
            <v>124.72</v>
          </cell>
          <cell r="F439">
            <v>279.89999999999998</v>
          </cell>
        </row>
        <row r="440">
          <cell r="A440" t="str">
            <v>081011</v>
          </cell>
          <cell r="B440" t="str">
            <v>Gabião em tela galvanizada com malha de 8/10 cm, fio diâmetro 2,4 mm, independente do formato ou utilização</v>
          </cell>
          <cell r="C440" t="str">
            <v>m³</v>
          </cell>
          <cell r="D440">
            <v>287.35000000000002</v>
          </cell>
          <cell r="E440">
            <v>70.849999999999994</v>
          </cell>
          <cell r="F440">
            <v>358.2</v>
          </cell>
        </row>
        <row r="441">
          <cell r="A441" t="str">
            <v>090102</v>
          </cell>
          <cell r="B441" t="str">
            <v>Forma em madeira comum para fundação</v>
          </cell>
          <cell r="C441" t="str">
            <v>m²</v>
          </cell>
          <cell r="D441">
            <v>15.59</v>
          </cell>
          <cell r="E441">
            <v>27.13</v>
          </cell>
          <cell r="F441">
            <v>42.72</v>
          </cell>
        </row>
        <row r="442">
          <cell r="A442" t="str">
            <v>090103</v>
          </cell>
          <cell r="B442" t="str">
            <v>Forma em madeira comum para estrutura</v>
          </cell>
          <cell r="C442" t="str">
            <v>m²</v>
          </cell>
          <cell r="D442">
            <v>64.400000000000006</v>
          </cell>
          <cell r="E442">
            <v>31.310000000000002</v>
          </cell>
          <cell r="F442">
            <v>95.710000000000008</v>
          </cell>
        </row>
        <row r="443">
          <cell r="A443" t="str">
            <v>090104</v>
          </cell>
          <cell r="B443" t="str">
            <v>Forma em madeira comum para caixao perdido</v>
          </cell>
          <cell r="C443" t="str">
            <v>m²</v>
          </cell>
          <cell r="D443">
            <v>20.11</v>
          </cell>
          <cell r="E443">
            <v>25.04</v>
          </cell>
          <cell r="F443">
            <v>45.15</v>
          </cell>
        </row>
        <row r="444">
          <cell r="A444" t="str">
            <v>090202</v>
          </cell>
          <cell r="B444" t="str">
            <v>Forma plana em compensado para estrutura convencional</v>
          </cell>
          <cell r="C444" t="str">
            <v>m²</v>
          </cell>
          <cell r="D444">
            <v>46.32</v>
          </cell>
          <cell r="E444">
            <v>29.22</v>
          </cell>
          <cell r="F444">
            <v>75.540000000000006</v>
          </cell>
        </row>
        <row r="445">
          <cell r="A445" t="str">
            <v>090204</v>
          </cell>
          <cell r="B445" t="str">
            <v>Forma plana em compensado para estrutura aparente</v>
          </cell>
          <cell r="C445" t="str">
            <v>m²</v>
          </cell>
          <cell r="D445">
            <v>49.59</v>
          </cell>
          <cell r="E445">
            <v>29.22</v>
          </cell>
          <cell r="F445">
            <v>78.81</v>
          </cell>
        </row>
        <row r="446">
          <cell r="A446" t="str">
            <v>090206</v>
          </cell>
          <cell r="B446" t="str">
            <v>Forma curva em compensado para estrutura aparente</v>
          </cell>
          <cell r="C446" t="str">
            <v>m²</v>
          </cell>
          <cell r="D446">
            <v>43.800000000000004</v>
          </cell>
          <cell r="E446">
            <v>52.18</v>
          </cell>
          <cell r="F446">
            <v>95.98</v>
          </cell>
        </row>
        <row r="447">
          <cell r="A447" t="str">
            <v>090208</v>
          </cell>
          <cell r="B447" t="str">
            <v>Forma plana em compensado para obra de arte, sem cimbramento</v>
          </cell>
          <cell r="C447" t="str">
            <v>m²</v>
          </cell>
          <cell r="D447">
            <v>30.52</v>
          </cell>
          <cell r="E447">
            <v>28.17</v>
          </cell>
          <cell r="F447">
            <v>58.69</v>
          </cell>
        </row>
        <row r="448">
          <cell r="A448" t="str">
            <v>090210</v>
          </cell>
          <cell r="B448" t="str">
            <v>Forma em compensado para encamisamento de tubulão</v>
          </cell>
          <cell r="C448" t="str">
            <v>m²</v>
          </cell>
          <cell r="D448">
            <v>15.84</v>
          </cell>
          <cell r="E448">
            <v>22.96</v>
          </cell>
          <cell r="F448">
            <v>38.799999999999997</v>
          </cell>
        </row>
        <row r="449">
          <cell r="A449" t="str">
            <v>090212</v>
          </cell>
          <cell r="B449" t="str">
            <v>Forma ripada de 5 cm, na vertical</v>
          </cell>
          <cell r="C449" t="str">
            <v>m²</v>
          </cell>
          <cell r="D449">
            <v>46.71</v>
          </cell>
          <cell r="E449">
            <v>45.69</v>
          </cell>
          <cell r="F449">
            <v>92.4</v>
          </cell>
        </row>
        <row r="450">
          <cell r="A450" t="str">
            <v>090401</v>
          </cell>
          <cell r="B450" t="str">
            <v>Forma em tubo de papelão com diâmetro de 20 cm</v>
          </cell>
          <cell r="C450" t="str">
            <v>m</v>
          </cell>
          <cell r="D450">
            <v>60</v>
          </cell>
          <cell r="E450">
            <v>4.95</v>
          </cell>
          <cell r="F450">
            <v>64.95</v>
          </cell>
        </row>
        <row r="451">
          <cell r="A451" t="str">
            <v>090402</v>
          </cell>
          <cell r="B451" t="str">
            <v>Forma em tubo de papelão com diâmetro de 25 cm</v>
          </cell>
          <cell r="C451" t="str">
            <v>m</v>
          </cell>
          <cell r="D451">
            <v>72.099999999999994</v>
          </cell>
          <cell r="E451">
            <v>4.95</v>
          </cell>
          <cell r="F451">
            <v>77.05</v>
          </cell>
        </row>
        <row r="452">
          <cell r="A452" t="str">
            <v>090403</v>
          </cell>
          <cell r="B452" t="str">
            <v>Forma em tubo de papelão com diâmetro de 30 cm</v>
          </cell>
          <cell r="C452" t="str">
            <v>m</v>
          </cell>
          <cell r="D452">
            <v>84.55</v>
          </cell>
          <cell r="E452">
            <v>4.95</v>
          </cell>
          <cell r="F452">
            <v>89.5</v>
          </cell>
        </row>
        <row r="453">
          <cell r="A453" t="str">
            <v>090404</v>
          </cell>
          <cell r="B453" t="str">
            <v>Forma em tubo de papelão com diâmetro de 35 cm</v>
          </cell>
          <cell r="C453" t="str">
            <v>m</v>
          </cell>
          <cell r="D453">
            <v>92.34</v>
          </cell>
          <cell r="E453">
            <v>4.95</v>
          </cell>
          <cell r="F453">
            <v>97.29</v>
          </cell>
        </row>
        <row r="454">
          <cell r="A454" t="str">
            <v>090405</v>
          </cell>
          <cell r="B454" t="str">
            <v>Forma em tubo de papelão com diâmetro de 40 cm</v>
          </cell>
          <cell r="C454" t="str">
            <v>m</v>
          </cell>
          <cell r="D454">
            <v>122.17</v>
          </cell>
          <cell r="E454">
            <v>4.95</v>
          </cell>
          <cell r="F454">
            <v>127.12</v>
          </cell>
        </row>
        <row r="455">
          <cell r="A455" t="str">
            <v>090406</v>
          </cell>
          <cell r="B455" t="str">
            <v>Forma em tubo de papelão com diâmetro de 45 cm</v>
          </cell>
          <cell r="C455" t="str">
            <v>m</v>
          </cell>
          <cell r="D455">
            <v>136.66</v>
          </cell>
          <cell r="E455">
            <v>4.95</v>
          </cell>
          <cell r="F455">
            <v>141.61000000000001</v>
          </cell>
        </row>
        <row r="456">
          <cell r="A456" t="str">
            <v>090407</v>
          </cell>
          <cell r="B456" t="str">
            <v>Forma em tubo de papelão com diâmetro de 50 cm</v>
          </cell>
          <cell r="C456" t="str">
            <v>m</v>
          </cell>
          <cell r="D456">
            <v>162.72999999999999</v>
          </cell>
          <cell r="E456">
            <v>4.95</v>
          </cell>
          <cell r="F456">
            <v>167.68</v>
          </cell>
        </row>
        <row r="457">
          <cell r="A457" t="str">
            <v>100102</v>
          </cell>
          <cell r="B457" t="str">
            <v>Armadura em barra de aço CA-25 fyk = 250 MPa</v>
          </cell>
          <cell r="C457" t="str">
            <v>kg</v>
          </cell>
          <cell r="D457">
            <v>3.47</v>
          </cell>
          <cell r="E457">
            <v>1.22</v>
          </cell>
          <cell r="F457">
            <v>4.6900000000000004</v>
          </cell>
        </row>
        <row r="458">
          <cell r="A458" t="str">
            <v>100104</v>
          </cell>
          <cell r="B458" t="str">
            <v>Armadura em barra de aço CA-50 (A ou B) fyk= 500 MPa</v>
          </cell>
          <cell r="C458" t="str">
            <v>kg</v>
          </cell>
          <cell r="D458">
            <v>3.4</v>
          </cell>
          <cell r="E458">
            <v>1.22</v>
          </cell>
          <cell r="F458">
            <v>4.62</v>
          </cell>
        </row>
        <row r="459">
          <cell r="A459" t="str">
            <v>100106</v>
          </cell>
          <cell r="B459" t="str">
            <v>Armadura em barra de aço CA-60 (A ou B) fyk= 600 MPa</v>
          </cell>
          <cell r="C459" t="str">
            <v>kg</v>
          </cell>
          <cell r="D459">
            <v>3.25</v>
          </cell>
          <cell r="E459">
            <v>1.22</v>
          </cell>
          <cell r="F459">
            <v>4.47</v>
          </cell>
        </row>
        <row r="460">
          <cell r="A460" t="str">
            <v>100202</v>
          </cell>
          <cell r="B460" t="str">
            <v>Armadura em tela soldada de aço</v>
          </cell>
          <cell r="C460" t="str">
            <v>kg</v>
          </cell>
          <cell r="D460">
            <v>4.6399999999999997</v>
          </cell>
          <cell r="E460">
            <v>0.61</v>
          </cell>
          <cell r="F460">
            <v>5.25</v>
          </cell>
        </row>
        <row r="461">
          <cell r="A461" t="str">
            <v>110110</v>
          </cell>
          <cell r="B461" t="str">
            <v>Concreto usinado, fck = 20,0 MPa</v>
          </cell>
          <cell r="C461" t="str">
            <v>m³</v>
          </cell>
          <cell r="D461">
            <v>268.36</v>
          </cell>
          <cell r="E461">
            <v>0</v>
          </cell>
          <cell r="F461">
            <v>268.36</v>
          </cell>
        </row>
        <row r="462">
          <cell r="A462" t="str">
            <v>110113</v>
          </cell>
          <cell r="B462" t="str">
            <v>Concreto usinado, fck = 25,0 MPa</v>
          </cell>
          <cell r="C462" t="str">
            <v>m³</v>
          </cell>
          <cell r="D462">
            <v>281.79000000000002</v>
          </cell>
          <cell r="E462">
            <v>0</v>
          </cell>
          <cell r="F462">
            <v>281.79000000000002</v>
          </cell>
        </row>
        <row r="463">
          <cell r="A463" t="str">
            <v>110116</v>
          </cell>
          <cell r="B463" t="str">
            <v>Concreto usinado, fck = 30,0 MPa</v>
          </cell>
          <cell r="C463" t="str">
            <v>m³</v>
          </cell>
          <cell r="D463">
            <v>294.33999999999997</v>
          </cell>
          <cell r="E463">
            <v>0</v>
          </cell>
          <cell r="F463">
            <v>294.33999999999997</v>
          </cell>
        </row>
        <row r="464">
          <cell r="A464" t="str">
            <v>110117</v>
          </cell>
          <cell r="B464" t="str">
            <v>Concreto usinado, fck = 35,0 MPa</v>
          </cell>
          <cell r="C464" t="str">
            <v>m³</v>
          </cell>
          <cell r="D464">
            <v>310.14</v>
          </cell>
          <cell r="E464">
            <v>0</v>
          </cell>
          <cell r="F464">
            <v>310.14</v>
          </cell>
        </row>
        <row r="465">
          <cell r="A465" t="str">
            <v>110119</v>
          </cell>
          <cell r="B465" t="str">
            <v>Concreto usinado, fck = 40,0 MPa</v>
          </cell>
          <cell r="C465" t="str">
            <v>m³</v>
          </cell>
          <cell r="D465">
            <v>324.95</v>
          </cell>
          <cell r="E465">
            <v>0</v>
          </cell>
          <cell r="F465">
            <v>324.95</v>
          </cell>
        </row>
        <row r="466">
          <cell r="A466" t="str">
            <v>110126</v>
          </cell>
          <cell r="B466" t="str">
            <v>Concreto usinado, fck = 20,0 MPa - para bombeamento</v>
          </cell>
          <cell r="C466" t="str">
            <v>m³</v>
          </cell>
          <cell r="D466">
            <v>302.39</v>
          </cell>
          <cell r="E466">
            <v>0</v>
          </cell>
          <cell r="F466">
            <v>302.39</v>
          </cell>
        </row>
        <row r="467">
          <cell r="A467" t="str">
            <v>110129</v>
          </cell>
          <cell r="B467" t="str">
            <v>Concreto usinado, fck = 25,0 MPa - para bombeamento</v>
          </cell>
          <cell r="C467" t="str">
            <v>m³</v>
          </cell>
          <cell r="D467">
            <v>319.08</v>
          </cell>
          <cell r="E467">
            <v>0</v>
          </cell>
          <cell r="F467">
            <v>319.08</v>
          </cell>
        </row>
        <row r="468">
          <cell r="A468" t="str">
            <v>110131</v>
          </cell>
          <cell r="B468" t="str">
            <v>Concreto usinado, fck = 35,0 MPa - para bombeamento</v>
          </cell>
          <cell r="C468" t="str">
            <v>m³</v>
          </cell>
          <cell r="D468">
            <v>351.65000000000003</v>
          </cell>
          <cell r="E468">
            <v>0</v>
          </cell>
          <cell r="F468">
            <v>351.65000000000003</v>
          </cell>
        </row>
        <row r="469">
          <cell r="A469" t="str">
            <v>110132</v>
          </cell>
          <cell r="B469" t="str">
            <v>Concreto usinado, fck = 30,0 MPa - para bombeamento</v>
          </cell>
          <cell r="C469" t="str">
            <v>m³</v>
          </cell>
          <cell r="D469">
            <v>330.61</v>
          </cell>
          <cell r="E469">
            <v>0</v>
          </cell>
          <cell r="F469">
            <v>330.61</v>
          </cell>
        </row>
        <row r="470">
          <cell r="A470" t="str">
            <v>110135</v>
          </cell>
          <cell r="B470" t="str">
            <v>Concreto usinado, fck = 40,0 MPa - para bombeamento</v>
          </cell>
          <cell r="C470" t="str">
            <v>m³</v>
          </cell>
          <cell r="D470">
            <v>362.59000000000003</v>
          </cell>
          <cell r="E470">
            <v>0</v>
          </cell>
          <cell r="F470">
            <v>362.59000000000003</v>
          </cell>
        </row>
        <row r="471">
          <cell r="A471" t="str">
            <v>110151</v>
          </cell>
          <cell r="B471" t="str">
            <v>Concreto usinado, fck = 20,0 MPa - para bombeamento em estaca hélice contínua</v>
          </cell>
          <cell r="C471" t="str">
            <v>m³</v>
          </cell>
          <cell r="D471">
            <v>335.53000000000003</v>
          </cell>
          <cell r="E471">
            <v>0</v>
          </cell>
          <cell r="F471">
            <v>335.53000000000003</v>
          </cell>
        </row>
        <row r="472">
          <cell r="A472" t="str">
            <v>110163</v>
          </cell>
          <cell r="B472" t="str">
            <v>Concreto usinado, fck = 25,0 MPa - para perfil extrudado</v>
          </cell>
          <cell r="C472" t="str">
            <v>m³</v>
          </cell>
          <cell r="D472">
            <v>261.73</v>
          </cell>
          <cell r="E472">
            <v>0</v>
          </cell>
          <cell r="F472">
            <v>261.73</v>
          </cell>
        </row>
        <row r="473">
          <cell r="A473" t="str">
            <v>110202</v>
          </cell>
          <cell r="B473" t="str">
            <v>Concreto usinado não estrutural mínimo 150 kg cimento / m³</v>
          </cell>
          <cell r="C473" t="str">
            <v>m³</v>
          </cell>
          <cell r="D473">
            <v>246.93</v>
          </cell>
          <cell r="E473">
            <v>0</v>
          </cell>
          <cell r="F473">
            <v>246.93</v>
          </cell>
        </row>
        <row r="474">
          <cell r="A474" t="str">
            <v>110204</v>
          </cell>
          <cell r="B474" t="str">
            <v>Concreto usinado não estrutural mínimo 200 kg cimento / m³</v>
          </cell>
          <cell r="C474" t="str">
            <v>m³</v>
          </cell>
          <cell r="D474">
            <v>260.01</v>
          </cell>
          <cell r="E474">
            <v>0</v>
          </cell>
          <cell r="F474">
            <v>260.01</v>
          </cell>
        </row>
        <row r="475">
          <cell r="A475" t="str">
            <v>110206</v>
          </cell>
          <cell r="B475" t="str">
            <v>Concreto usinado não estrutural mínimo 300 kg cimento / m³</v>
          </cell>
          <cell r="C475" t="str">
            <v>m³</v>
          </cell>
          <cell r="D475">
            <v>290.83999999999997</v>
          </cell>
          <cell r="E475">
            <v>0</v>
          </cell>
          <cell r="F475">
            <v>290.83999999999997</v>
          </cell>
        </row>
        <row r="476">
          <cell r="A476" t="str">
            <v>110309</v>
          </cell>
          <cell r="B476" t="str">
            <v>Concreto preparado no local, fck = 20,0 MPa</v>
          </cell>
          <cell r="C476" t="str">
            <v>m³</v>
          </cell>
          <cell r="D476">
            <v>263.13</v>
          </cell>
          <cell r="E476">
            <v>58.26</v>
          </cell>
          <cell r="F476">
            <v>321.39</v>
          </cell>
        </row>
        <row r="477">
          <cell r="A477" t="str">
            <v>110402</v>
          </cell>
          <cell r="B477" t="str">
            <v>Concreto não estrutural executado no local, mínimo 150 kg cimento / m³</v>
          </cell>
          <cell r="C477" t="str">
            <v>m³</v>
          </cell>
          <cell r="D477">
            <v>170.36</v>
          </cell>
          <cell r="E477">
            <v>24.28</v>
          </cell>
          <cell r="F477">
            <v>194.64000000000001</v>
          </cell>
        </row>
        <row r="478">
          <cell r="A478" t="str">
            <v>110404</v>
          </cell>
          <cell r="B478" t="str">
            <v>Concreto não estrutural executado no local, mínimo 200 kg cimento / m³</v>
          </cell>
          <cell r="C478" t="str">
            <v>m³</v>
          </cell>
          <cell r="D478">
            <v>190.86</v>
          </cell>
          <cell r="E478">
            <v>24.28</v>
          </cell>
          <cell r="F478">
            <v>215.14000000000001</v>
          </cell>
        </row>
        <row r="479">
          <cell r="A479" t="str">
            <v>110406</v>
          </cell>
          <cell r="B479" t="str">
            <v>Concreto não estrutural executado no local, mínimo 300 kg cimento / m³</v>
          </cell>
          <cell r="C479" t="str">
            <v>m³</v>
          </cell>
          <cell r="D479">
            <v>233.63</v>
          </cell>
          <cell r="E479">
            <v>24.28</v>
          </cell>
          <cell r="F479">
            <v>257.91000000000003</v>
          </cell>
        </row>
        <row r="480">
          <cell r="A480" t="str">
            <v>110501</v>
          </cell>
          <cell r="B480" t="str">
            <v>Argamassa em solo e cimento a 5% em peso</v>
          </cell>
          <cell r="C480" t="str">
            <v>m³</v>
          </cell>
          <cell r="D480">
            <v>49.09</v>
          </cell>
          <cell r="E480">
            <v>24.28</v>
          </cell>
          <cell r="F480">
            <v>73.37</v>
          </cell>
        </row>
        <row r="481">
          <cell r="A481" t="str">
            <v>110503</v>
          </cell>
          <cell r="B481" t="str">
            <v>Argamassa graute expansiva autonivelante de alta resistência</v>
          </cell>
          <cell r="C481" t="str">
            <v>m³</v>
          </cell>
          <cell r="D481">
            <v>2064.04</v>
          </cell>
          <cell r="E481">
            <v>26.89</v>
          </cell>
          <cell r="F481">
            <v>2090.9299999999998</v>
          </cell>
        </row>
        <row r="482">
          <cell r="A482" t="str">
            <v>110504</v>
          </cell>
          <cell r="B482" t="str">
            <v>Argamassa graute</v>
          </cell>
          <cell r="C482" t="str">
            <v>m³</v>
          </cell>
          <cell r="D482">
            <v>202.57</v>
          </cell>
          <cell r="E482">
            <v>26.89</v>
          </cell>
          <cell r="F482">
            <v>229.46</v>
          </cell>
        </row>
        <row r="483">
          <cell r="A483" t="str">
            <v>110506</v>
          </cell>
          <cell r="B483" t="str">
            <v>Concreto ciclópico - fornecimento e aplicação (com 30% de pedra rachão), concreto fck 15,0 Mpa</v>
          </cell>
          <cell r="C483" t="str">
            <v>m³</v>
          </cell>
          <cell r="D483">
            <v>198.65</v>
          </cell>
          <cell r="E483">
            <v>178.88</v>
          </cell>
          <cell r="F483">
            <v>377.53000000000003</v>
          </cell>
        </row>
        <row r="484">
          <cell r="A484" t="str">
            <v>111602</v>
          </cell>
          <cell r="B484" t="str">
            <v>Lançamento, espalhamento e adensamento de concreto ou massa em lastro e/ou enchimento</v>
          </cell>
          <cell r="C484" t="str">
            <v>m³</v>
          </cell>
          <cell r="D484">
            <v>0</v>
          </cell>
          <cell r="E484">
            <v>40.89</v>
          </cell>
          <cell r="F484">
            <v>40.89</v>
          </cell>
        </row>
        <row r="485">
          <cell r="A485" t="str">
            <v>111604</v>
          </cell>
          <cell r="B485" t="str">
            <v>Lançamento e adensamento de concreto ou massa em fundação</v>
          </cell>
          <cell r="C485" t="str">
            <v>m³</v>
          </cell>
          <cell r="D485">
            <v>0</v>
          </cell>
          <cell r="E485">
            <v>81.78</v>
          </cell>
          <cell r="F485">
            <v>81.78</v>
          </cell>
        </row>
        <row r="486">
          <cell r="A486" t="str">
            <v>111606</v>
          </cell>
          <cell r="B486" t="str">
            <v>Lançamento e adensamento de concreto ou massa em estrutura</v>
          </cell>
          <cell r="C486" t="str">
            <v>m³</v>
          </cell>
          <cell r="D486">
            <v>0</v>
          </cell>
          <cell r="E486">
            <v>56.480000000000004</v>
          </cell>
          <cell r="F486">
            <v>56.480000000000004</v>
          </cell>
        </row>
        <row r="487">
          <cell r="A487" t="str">
            <v>111608</v>
          </cell>
          <cell r="B487" t="str">
            <v>Lançamento e adensamento de concreto ou massa por bombeamento</v>
          </cell>
          <cell r="C487" t="str">
            <v>m³</v>
          </cell>
          <cell r="D487">
            <v>34.799999999999997</v>
          </cell>
          <cell r="E487">
            <v>62.36</v>
          </cell>
          <cell r="F487">
            <v>97.16</v>
          </cell>
        </row>
        <row r="488">
          <cell r="A488" t="str">
            <v>111622</v>
          </cell>
          <cell r="B488" t="str">
            <v>Nivelamento de piso em concreto com acabadora de superfície</v>
          </cell>
          <cell r="C488" t="str">
            <v>m²</v>
          </cell>
          <cell r="D488">
            <v>12.24</v>
          </cell>
          <cell r="E488">
            <v>0</v>
          </cell>
          <cell r="F488">
            <v>12.24</v>
          </cell>
        </row>
        <row r="489">
          <cell r="A489" t="str">
            <v>111802</v>
          </cell>
          <cell r="B489" t="str">
            <v>Lastro de areia</v>
          </cell>
          <cell r="C489" t="str">
            <v>m³</v>
          </cell>
          <cell r="D489">
            <v>86.54</v>
          </cell>
          <cell r="E489">
            <v>33.99</v>
          </cell>
          <cell r="F489">
            <v>120.53</v>
          </cell>
        </row>
        <row r="490">
          <cell r="A490" t="str">
            <v>111804</v>
          </cell>
          <cell r="B490" t="str">
            <v>Lastro de pedra britada</v>
          </cell>
          <cell r="C490" t="str">
            <v>m³</v>
          </cell>
          <cell r="D490">
            <v>78.819999999999993</v>
          </cell>
          <cell r="E490">
            <v>14.57</v>
          </cell>
          <cell r="F490">
            <v>93.39</v>
          </cell>
        </row>
        <row r="491">
          <cell r="A491" t="str">
            <v>111806</v>
          </cell>
          <cell r="B491" t="str">
            <v>Lona plástica</v>
          </cell>
          <cell r="C491" t="str">
            <v>m²</v>
          </cell>
          <cell r="D491">
            <v>0.96</v>
          </cell>
          <cell r="E491">
            <v>0.28999999999999998</v>
          </cell>
          <cell r="F491">
            <v>1.25</v>
          </cell>
        </row>
        <row r="492">
          <cell r="A492" t="str">
            <v>111807</v>
          </cell>
          <cell r="B492" t="str">
            <v>Enchimento de laje com concreto celular com densidade de 1.200 kg/m³</v>
          </cell>
          <cell r="C492" t="str">
            <v>m³</v>
          </cell>
          <cell r="D492">
            <v>323.01</v>
          </cell>
          <cell r="E492">
            <v>24.85</v>
          </cell>
          <cell r="F492">
            <v>347.86</v>
          </cell>
        </row>
        <row r="493">
          <cell r="A493" t="str">
            <v>111808</v>
          </cell>
          <cell r="B493" t="str">
            <v>Enchimento de laje com tijolos cerâmicos furados</v>
          </cell>
          <cell r="C493" t="str">
            <v>m³</v>
          </cell>
          <cell r="D493">
            <v>144.38</v>
          </cell>
          <cell r="E493">
            <v>19.420000000000002</v>
          </cell>
          <cell r="F493">
            <v>163.80000000000001</v>
          </cell>
        </row>
        <row r="494">
          <cell r="A494" t="str">
            <v>111811</v>
          </cell>
          <cell r="B494" t="str">
            <v>Enchimento de nichos em geral, com material proveniente de entulho</v>
          </cell>
          <cell r="C494" t="str">
            <v>m³</v>
          </cell>
          <cell r="D494">
            <v>0</v>
          </cell>
          <cell r="E494">
            <v>19.420000000000002</v>
          </cell>
          <cell r="F494">
            <v>19.420000000000002</v>
          </cell>
        </row>
        <row r="495">
          <cell r="A495" t="str">
            <v>111814</v>
          </cell>
          <cell r="B495" t="str">
            <v>Lastro e/ou fundação em rachão mecanizado</v>
          </cell>
          <cell r="C495" t="str">
            <v>m³</v>
          </cell>
          <cell r="D495">
            <v>94.320000000000007</v>
          </cell>
          <cell r="E495">
            <v>9.7100000000000009</v>
          </cell>
          <cell r="F495">
            <v>104.03</v>
          </cell>
        </row>
        <row r="496">
          <cell r="A496" t="str">
            <v>111815</v>
          </cell>
          <cell r="B496" t="str">
            <v>Lastro e/ou fundação em rachão manual</v>
          </cell>
          <cell r="C496" t="str">
            <v>m³</v>
          </cell>
          <cell r="D496">
            <v>81.260000000000005</v>
          </cell>
          <cell r="E496">
            <v>29.13</v>
          </cell>
          <cell r="F496">
            <v>110.39</v>
          </cell>
        </row>
        <row r="497">
          <cell r="A497" t="str">
            <v>111816</v>
          </cell>
          <cell r="B497" t="str">
            <v>Enchimento de nichos em geral, com areia</v>
          </cell>
          <cell r="C497" t="str">
            <v>m³</v>
          </cell>
          <cell r="D497">
            <v>86.54</v>
          </cell>
          <cell r="E497">
            <v>45.75</v>
          </cell>
          <cell r="F497">
            <v>132.29</v>
          </cell>
        </row>
        <row r="498">
          <cell r="A498" t="str">
            <v>111818</v>
          </cell>
          <cell r="B498" t="str">
            <v>Colchão de areia</v>
          </cell>
          <cell r="C498" t="str">
            <v>m³</v>
          </cell>
          <cell r="D498">
            <v>94.820000000000007</v>
          </cell>
          <cell r="E498">
            <v>0.22</v>
          </cell>
          <cell r="F498">
            <v>95.04</v>
          </cell>
        </row>
        <row r="499">
          <cell r="A499" t="str">
            <v>112003</v>
          </cell>
          <cell r="B499" t="str">
            <v>Cura química de concreto à base de película emulsionada</v>
          </cell>
          <cell r="C499" t="str">
            <v>m²</v>
          </cell>
          <cell r="D499">
            <v>0.69000000000000006</v>
          </cell>
          <cell r="E499">
            <v>2.4300000000000002</v>
          </cell>
          <cell r="F499">
            <v>3.12</v>
          </cell>
        </row>
        <row r="500">
          <cell r="A500" t="str">
            <v>112005</v>
          </cell>
          <cell r="B500" t="str">
            <v>Corte de junta de dilatação, com serra de disco diamantado para pisos</v>
          </cell>
          <cell r="C500" t="str">
            <v>m</v>
          </cell>
          <cell r="D500">
            <v>8.9499999999999993</v>
          </cell>
          <cell r="E500">
            <v>0</v>
          </cell>
          <cell r="F500">
            <v>8.9499999999999993</v>
          </cell>
        </row>
        <row r="501">
          <cell r="A501" t="str">
            <v>112009</v>
          </cell>
          <cell r="B501" t="str">
            <v>Selante endurecedor de concreto antipó</v>
          </cell>
          <cell r="C501" t="str">
            <v>m²</v>
          </cell>
          <cell r="D501">
            <v>1.8</v>
          </cell>
          <cell r="E501">
            <v>2.4300000000000002</v>
          </cell>
          <cell r="F501">
            <v>4.2300000000000004</v>
          </cell>
        </row>
        <row r="502">
          <cell r="A502" t="str">
            <v>112012</v>
          </cell>
          <cell r="B502" t="str">
            <v>Reparo superficial com argamassa polimérica (tixotrópica), bicomponente</v>
          </cell>
          <cell r="C502" t="str">
            <v>m³</v>
          </cell>
          <cell r="D502">
            <v>4612.8100000000004</v>
          </cell>
          <cell r="E502">
            <v>840.46</v>
          </cell>
          <cell r="F502">
            <v>5453.27</v>
          </cell>
        </row>
        <row r="503">
          <cell r="A503" t="str">
            <v>112013</v>
          </cell>
          <cell r="B503" t="str">
            <v>Tratamento de fissuras estáveis (não ativas) em elementos de concreto</v>
          </cell>
          <cell r="C503" t="str">
            <v>m</v>
          </cell>
          <cell r="D503">
            <v>68.98</v>
          </cell>
          <cell r="E503">
            <v>64.41</v>
          </cell>
          <cell r="F503">
            <v>133.38999999999999</v>
          </cell>
        </row>
        <row r="504">
          <cell r="A504" t="str">
            <v>120102</v>
          </cell>
          <cell r="B504" t="str">
            <v>Broca em concreto armado diâmetro de 20 cm - completa</v>
          </cell>
          <cell r="C504" t="str">
            <v>m</v>
          </cell>
          <cell r="D504">
            <v>11.17</v>
          </cell>
          <cell r="E504">
            <v>22.650000000000002</v>
          </cell>
          <cell r="F504">
            <v>33.82</v>
          </cell>
        </row>
        <row r="505">
          <cell r="A505" t="str">
            <v>120104</v>
          </cell>
          <cell r="B505" t="str">
            <v>Broca em concreto armado diâmetro de 25 cm - completa</v>
          </cell>
          <cell r="C505" t="str">
            <v>m</v>
          </cell>
          <cell r="D505">
            <v>15.76</v>
          </cell>
          <cell r="E505">
            <v>24.26</v>
          </cell>
          <cell r="F505">
            <v>40.020000000000003</v>
          </cell>
        </row>
        <row r="506">
          <cell r="A506" t="str">
            <v>120106</v>
          </cell>
          <cell r="B506" t="str">
            <v>Broca em concreto armado diâmetro de 30 cm - completa</v>
          </cell>
          <cell r="C506" t="str">
            <v>m</v>
          </cell>
          <cell r="D506">
            <v>22.37</v>
          </cell>
          <cell r="E506">
            <v>26.43</v>
          </cell>
          <cell r="F506">
            <v>48.800000000000004</v>
          </cell>
        </row>
        <row r="507">
          <cell r="A507" t="str">
            <v>120401</v>
          </cell>
          <cell r="B507" t="str">
            <v>Taxa de mobilização para estaca pré-moldada</v>
          </cell>
          <cell r="C507" t="str">
            <v>tx</v>
          </cell>
          <cell r="D507">
            <v>8297.14</v>
          </cell>
          <cell r="E507">
            <v>0</v>
          </cell>
          <cell r="F507">
            <v>8297.14</v>
          </cell>
        </row>
        <row r="508">
          <cell r="A508" t="str">
            <v>120402</v>
          </cell>
          <cell r="B508" t="str">
            <v>Estaca pré-moldada de concreto até 20 t</v>
          </cell>
          <cell r="C508" t="str">
            <v>m</v>
          </cell>
          <cell r="D508">
            <v>66.19</v>
          </cell>
          <cell r="E508">
            <v>0.97</v>
          </cell>
          <cell r="F508">
            <v>67.16</v>
          </cell>
        </row>
        <row r="509">
          <cell r="A509" t="str">
            <v>120403</v>
          </cell>
          <cell r="B509" t="str">
            <v>Estaca pré-moldada de concreto até 30 t</v>
          </cell>
          <cell r="C509" t="str">
            <v>m</v>
          </cell>
          <cell r="D509">
            <v>71.510000000000005</v>
          </cell>
          <cell r="E509">
            <v>0.97</v>
          </cell>
          <cell r="F509">
            <v>72.48</v>
          </cell>
        </row>
        <row r="510">
          <cell r="A510" t="str">
            <v>120404</v>
          </cell>
          <cell r="B510" t="str">
            <v>Estaca pré-moldada de concreto até 40 t</v>
          </cell>
          <cell r="C510" t="str">
            <v>m</v>
          </cell>
          <cell r="D510">
            <v>88.77</v>
          </cell>
          <cell r="E510">
            <v>0.97</v>
          </cell>
          <cell r="F510">
            <v>89.74</v>
          </cell>
        </row>
        <row r="511">
          <cell r="A511" t="str">
            <v>120405</v>
          </cell>
          <cell r="B511" t="str">
            <v>Estaca pré-moldada de concreto até 50 t</v>
          </cell>
          <cell r="C511" t="str">
            <v>m</v>
          </cell>
          <cell r="D511">
            <v>105.84</v>
          </cell>
          <cell r="E511">
            <v>0.97</v>
          </cell>
          <cell r="F511">
            <v>106.81</v>
          </cell>
        </row>
        <row r="512">
          <cell r="A512" t="str">
            <v>120406</v>
          </cell>
          <cell r="B512" t="str">
            <v>Estaca pré-moldada de concreto até 60 t</v>
          </cell>
          <cell r="C512" t="str">
            <v>m</v>
          </cell>
          <cell r="D512">
            <v>136.22</v>
          </cell>
          <cell r="E512">
            <v>0.97</v>
          </cell>
          <cell r="F512">
            <v>137.19</v>
          </cell>
        </row>
        <row r="513">
          <cell r="A513" t="str">
            <v>120407</v>
          </cell>
          <cell r="B513" t="str">
            <v>Estaca pré-moldada de concreto até 70 t</v>
          </cell>
          <cell r="C513" t="str">
            <v>m</v>
          </cell>
          <cell r="D513">
            <v>227.77</v>
          </cell>
          <cell r="E513">
            <v>0.97</v>
          </cell>
          <cell r="F513">
            <v>228.74</v>
          </cell>
        </row>
        <row r="514">
          <cell r="A514" t="str">
            <v>120501</v>
          </cell>
          <cell r="B514" t="str">
            <v>Taxa de mobilização para estaca escavada</v>
          </cell>
          <cell r="C514" t="str">
            <v>tx</v>
          </cell>
          <cell r="D514">
            <v>1303.57</v>
          </cell>
          <cell r="E514">
            <v>0</v>
          </cell>
          <cell r="F514">
            <v>1303.57</v>
          </cell>
        </row>
        <row r="515">
          <cell r="A515" t="str">
            <v>120502</v>
          </cell>
          <cell r="B515" t="str">
            <v>Estaca escavada mecanicamente, diâmetro de 25 cm até 20 t</v>
          </cell>
          <cell r="C515" t="str">
            <v>m</v>
          </cell>
          <cell r="D515">
            <v>23.7</v>
          </cell>
          <cell r="E515">
            <v>7.16</v>
          </cell>
          <cell r="F515">
            <v>30.86</v>
          </cell>
        </row>
        <row r="516">
          <cell r="A516" t="str">
            <v>120503</v>
          </cell>
          <cell r="B516" t="str">
            <v>Estaca escavada mecanicamente, diâmetro de 30 cm até 30 t</v>
          </cell>
          <cell r="C516" t="str">
            <v>m</v>
          </cell>
          <cell r="D516">
            <v>31.32</v>
          </cell>
          <cell r="E516">
            <v>10.35</v>
          </cell>
          <cell r="F516">
            <v>41.67</v>
          </cell>
        </row>
        <row r="517">
          <cell r="A517" t="str">
            <v>120504</v>
          </cell>
          <cell r="B517" t="str">
            <v>Estaca escavada mecanicamente, diâmetro de 35 cm até 40 t</v>
          </cell>
          <cell r="C517" t="str">
            <v>m</v>
          </cell>
          <cell r="D517">
            <v>40.72</v>
          </cell>
          <cell r="E517">
            <v>14.18</v>
          </cell>
          <cell r="F517">
            <v>54.9</v>
          </cell>
        </row>
        <row r="518">
          <cell r="A518" t="str">
            <v>120515</v>
          </cell>
          <cell r="B518" t="str">
            <v>Estaca escavada mecanicamente, diâmetro de 40 cm até 50 t</v>
          </cell>
          <cell r="C518" t="str">
            <v>m</v>
          </cell>
          <cell r="D518">
            <v>51.86</v>
          </cell>
          <cell r="E518">
            <v>18.75</v>
          </cell>
          <cell r="F518">
            <v>70.61</v>
          </cell>
        </row>
        <row r="519">
          <cell r="A519" t="str">
            <v>120601</v>
          </cell>
          <cell r="B519" t="str">
            <v>Taxa de mobilização para estaca tipo Strauss</v>
          </cell>
          <cell r="C519" t="str">
            <v>tx</v>
          </cell>
          <cell r="D519">
            <v>1464</v>
          </cell>
          <cell r="E519">
            <v>0</v>
          </cell>
          <cell r="F519">
            <v>1464</v>
          </cell>
        </row>
        <row r="520">
          <cell r="A520" t="str">
            <v>120602</v>
          </cell>
          <cell r="B520" t="str">
            <v>Estaca tipo Strauss, diâmetro de 25 cm até 20 t</v>
          </cell>
          <cell r="C520" t="str">
            <v>m</v>
          </cell>
          <cell r="D520">
            <v>43.67</v>
          </cell>
          <cell r="E520">
            <v>6.04</v>
          </cell>
          <cell r="F520">
            <v>49.71</v>
          </cell>
        </row>
        <row r="521">
          <cell r="A521" t="str">
            <v>120603</v>
          </cell>
          <cell r="B521" t="str">
            <v>Estaca tipo Strauss, diâmetro de 32 cm até 30 t</v>
          </cell>
          <cell r="C521" t="str">
            <v>m</v>
          </cell>
          <cell r="D521">
            <v>52.51</v>
          </cell>
          <cell r="E521">
            <v>8.7100000000000009</v>
          </cell>
          <cell r="F521">
            <v>61.22</v>
          </cell>
        </row>
        <row r="522">
          <cell r="A522" t="str">
            <v>120604</v>
          </cell>
          <cell r="B522" t="str">
            <v>Estaca tipo Strauss, diâmetro de 38 cm até 40 t</v>
          </cell>
          <cell r="C522" t="str">
            <v>m</v>
          </cell>
          <cell r="D522">
            <v>66.849999999999994</v>
          </cell>
          <cell r="E522">
            <v>11.870000000000001</v>
          </cell>
          <cell r="F522">
            <v>78.72</v>
          </cell>
        </row>
        <row r="523">
          <cell r="A523" t="str">
            <v>120608</v>
          </cell>
          <cell r="B523" t="str">
            <v>Estaca tipo Strauss, diâmetro de 45 cm até 60 t</v>
          </cell>
          <cell r="C523" t="str">
            <v>m</v>
          </cell>
          <cell r="D523">
            <v>104.54</v>
          </cell>
          <cell r="E523">
            <v>15.48</v>
          </cell>
          <cell r="F523">
            <v>120.02</v>
          </cell>
        </row>
        <row r="524">
          <cell r="A524" t="str">
            <v>120701</v>
          </cell>
          <cell r="B524" t="str">
            <v>Taxa de mobilização para estaca tipo Raiz em solo</v>
          </cell>
          <cell r="C524" t="str">
            <v>tx</v>
          </cell>
          <cell r="D524">
            <v>12999.27</v>
          </cell>
          <cell r="E524">
            <v>0</v>
          </cell>
          <cell r="F524">
            <v>12999.27</v>
          </cell>
        </row>
        <row r="525">
          <cell r="A525" t="str">
            <v>120703</v>
          </cell>
          <cell r="B525" t="str">
            <v>Estaca tipo Raiz, diâmetro de 10 cm para 10 t, em solo</v>
          </cell>
          <cell r="C525" t="str">
            <v>m</v>
          </cell>
          <cell r="D525">
            <v>129.22999999999999</v>
          </cell>
          <cell r="E525">
            <v>4.3600000000000003</v>
          </cell>
          <cell r="F525">
            <v>133.59</v>
          </cell>
        </row>
        <row r="526">
          <cell r="A526" t="str">
            <v>120705</v>
          </cell>
          <cell r="B526" t="str">
            <v>Estaca tipo Raiz, diâmetro de 12 cm para 15 t, em solo</v>
          </cell>
          <cell r="C526" t="str">
            <v>m</v>
          </cell>
          <cell r="D526">
            <v>143.72</v>
          </cell>
          <cell r="E526">
            <v>5.44</v>
          </cell>
          <cell r="F526">
            <v>149.16</v>
          </cell>
        </row>
        <row r="527">
          <cell r="A527" t="str">
            <v>120706</v>
          </cell>
          <cell r="B527" t="str">
            <v>Estaca tipo Raiz, diâmetro de 15 cm para 25 t, em solo</v>
          </cell>
          <cell r="C527" t="str">
            <v>m</v>
          </cell>
          <cell r="D527">
            <v>170.07</v>
          </cell>
          <cell r="E527">
            <v>8.2100000000000009</v>
          </cell>
          <cell r="F527">
            <v>178.28</v>
          </cell>
        </row>
        <row r="528">
          <cell r="A528" t="str">
            <v>120707</v>
          </cell>
          <cell r="B528" t="str">
            <v>Estaca tipo Raiz, diâmetro de 16 cm para 35 t, em solo</v>
          </cell>
          <cell r="C528" t="str">
            <v>m</v>
          </cell>
          <cell r="D528">
            <v>188.53</v>
          </cell>
          <cell r="E528">
            <v>11.46</v>
          </cell>
          <cell r="F528">
            <v>199.99</v>
          </cell>
        </row>
        <row r="529">
          <cell r="A529" t="str">
            <v>120709</v>
          </cell>
          <cell r="B529" t="str">
            <v>Estaca tipo Raiz, diâmetro de 20 cm para 50 t, em solo</v>
          </cell>
          <cell r="C529" t="str">
            <v>m</v>
          </cell>
          <cell r="D529">
            <v>226.5</v>
          </cell>
          <cell r="E529">
            <v>17.489999999999998</v>
          </cell>
          <cell r="F529">
            <v>243.99</v>
          </cell>
        </row>
        <row r="530">
          <cell r="A530" t="str">
            <v>120710</v>
          </cell>
          <cell r="B530" t="str">
            <v>Estaca tipo Raiz, diâmetro de 25 cm para 80 t, em solo</v>
          </cell>
          <cell r="C530" t="str">
            <v>m</v>
          </cell>
          <cell r="D530">
            <v>257.74</v>
          </cell>
          <cell r="E530">
            <v>20.5</v>
          </cell>
          <cell r="F530">
            <v>278.24</v>
          </cell>
        </row>
        <row r="531">
          <cell r="A531" t="str">
            <v>120711</v>
          </cell>
          <cell r="B531" t="str">
            <v>Estaca tipo Raiz, diâmetro de 31 cm para 100 t, em solo</v>
          </cell>
          <cell r="C531" t="str">
            <v>m</v>
          </cell>
          <cell r="D531">
            <v>313.77</v>
          </cell>
          <cell r="E531">
            <v>24.23</v>
          </cell>
          <cell r="F531">
            <v>338</v>
          </cell>
        </row>
        <row r="532">
          <cell r="A532" t="str">
            <v>120713</v>
          </cell>
          <cell r="B532" t="str">
            <v>Estaca tipo Raiz, diâmetro de 40 cm para 130 t, em solo</v>
          </cell>
          <cell r="C532" t="str">
            <v>m</v>
          </cell>
          <cell r="D532">
            <v>387.85</v>
          </cell>
          <cell r="E532">
            <v>20.5</v>
          </cell>
          <cell r="F532">
            <v>408.35</v>
          </cell>
        </row>
        <row r="533">
          <cell r="A533" t="str">
            <v>120901</v>
          </cell>
          <cell r="B533" t="str">
            <v>Taxa de mobilização para tubulão escavado mecanicamente</v>
          </cell>
          <cell r="C533" t="str">
            <v>tx</v>
          </cell>
          <cell r="D533">
            <v>1385</v>
          </cell>
          <cell r="E533">
            <v>0</v>
          </cell>
          <cell r="F533">
            <v>1385</v>
          </cell>
        </row>
        <row r="534">
          <cell r="A534" t="str">
            <v>120902</v>
          </cell>
          <cell r="B534" t="str">
            <v>Abertura de fuste mecanizado diâmetro de 50 cm</v>
          </cell>
          <cell r="C534" t="str">
            <v>m</v>
          </cell>
          <cell r="D534">
            <v>19.86</v>
          </cell>
          <cell r="E534">
            <v>0</v>
          </cell>
          <cell r="F534">
            <v>19.86</v>
          </cell>
        </row>
        <row r="535">
          <cell r="A535" t="str">
            <v>120904</v>
          </cell>
          <cell r="B535" t="str">
            <v>Abertura de fuste mecanizado diâmetro de 60 cm</v>
          </cell>
          <cell r="C535" t="str">
            <v>m</v>
          </cell>
          <cell r="D535">
            <v>24</v>
          </cell>
          <cell r="E535">
            <v>0</v>
          </cell>
          <cell r="F535">
            <v>24</v>
          </cell>
        </row>
        <row r="536">
          <cell r="A536" t="str">
            <v>120906</v>
          </cell>
          <cell r="B536" t="str">
            <v>Abertura de fuste mecanizado diâmetro de 80 cm</v>
          </cell>
          <cell r="C536" t="str">
            <v>m</v>
          </cell>
          <cell r="D536">
            <v>39.270000000000003</v>
          </cell>
          <cell r="E536">
            <v>0</v>
          </cell>
          <cell r="F536">
            <v>39.270000000000003</v>
          </cell>
        </row>
        <row r="537">
          <cell r="A537" t="str">
            <v>120907</v>
          </cell>
          <cell r="B537" t="str">
            <v>Abertura de fuste manual diâmetro de 80 cm</v>
          </cell>
          <cell r="C537" t="str">
            <v>m</v>
          </cell>
          <cell r="D537">
            <v>102.44</v>
          </cell>
          <cell r="E537">
            <v>0</v>
          </cell>
          <cell r="F537">
            <v>102.44</v>
          </cell>
        </row>
        <row r="538">
          <cell r="A538" t="str">
            <v>120908</v>
          </cell>
          <cell r="B538" t="str">
            <v>Abertura de fuste manual diâmetro de 100 cm</v>
          </cell>
          <cell r="C538" t="str">
            <v>m</v>
          </cell>
          <cell r="D538">
            <v>152.06</v>
          </cell>
          <cell r="E538">
            <v>0</v>
          </cell>
          <cell r="F538">
            <v>152.06</v>
          </cell>
        </row>
        <row r="539">
          <cell r="A539" t="str">
            <v>120910</v>
          </cell>
          <cell r="B539" t="str">
            <v>Abertura de fuste manual diâmetro de 120 cm</v>
          </cell>
          <cell r="C539" t="str">
            <v>m</v>
          </cell>
          <cell r="D539">
            <v>226.59</v>
          </cell>
          <cell r="E539">
            <v>0</v>
          </cell>
          <cell r="F539">
            <v>226.59</v>
          </cell>
        </row>
        <row r="540">
          <cell r="A540" t="str">
            <v>120912</v>
          </cell>
          <cell r="B540" t="str">
            <v>Abertura de fuste manual diâmetro de 70 cm</v>
          </cell>
          <cell r="C540" t="str">
            <v>m</v>
          </cell>
          <cell r="D540">
            <v>72.33</v>
          </cell>
          <cell r="E540">
            <v>0</v>
          </cell>
          <cell r="F540">
            <v>72.33</v>
          </cell>
        </row>
        <row r="541">
          <cell r="A541" t="str">
            <v>120913</v>
          </cell>
          <cell r="B541" t="str">
            <v>Abertura de fuste manual diâmetro de 60cm</v>
          </cell>
          <cell r="C541" t="str">
            <v>m</v>
          </cell>
          <cell r="D541">
            <v>62.4</v>
          </cell>
          <cell r="E541">
            <v>0</v>
          </cell>
          <cell r="F541">
            <v>62.4</v>
          </cell>
        </row>
        <row r="542">
          <cell r="A542" t="str">
            <v>120950</v>
          </cell>
          <cell r="B542" t="str">
            <v>Alargamento de base a céu aberto</v>
          </cell>
          <cell r="C542" t="str">
            <v>m³</v>
          </cell>
          <cell r="D542">
            <v>259.56</v>
          </cell>
          <cell r="E542">
            <v>0</v>
          </cell>
          <cell r="F542">
            <v>259.56</v>
          </cell>
        </row>
        <row r="543">
          <cell r="A543" t="str">
            <v>121201</v>
          </cell>
          <cell r="B543" t="str">
            <v>Taxa de mobilização para estaca tipo hélice contínua em solo</v>
          </cell>
          <cell r="C543" t="str">
            <v>tx</v>
          </cell>
          <cell r="D543">
            <v>23282</v>
          </cell>
          <cell r="E543">
            <v>0</v>
          </cell>
          <cell r="F543">
            <v>23282</v>
          </cell>
        </row>
        <row r="544">
          <cell r="A544" t="str">
            <v>121202</v>
          </cell>
          <cell r="B544" t="str">
            <v>Estaca tipo hélice contínua, diâmetro de 35 cm em solo</v>
          </cell>
          <cell r="C544" t="str">
            <v>m</v>
          </cell>
          <cell r="D544">
            <v>45.74</v>
          </cell>
          <cell r="E544">
            <v>2.59</v>
          </cell>
          <cell r="F544">
            <v>48.33</v>
          </cell>
        </row>
        <row r="545">
          <cell r="A545" t="str">
            <v>121203</v>
          </cell>
          <cell r="B545" t="str">
            <v>Estaca tipo hélice contínua, diâmetro de 60 cm em solo</v>
          </cell>
          <cell r="C545" t="str">
            <v>m</v>
          </cell>
          <cell r="D545">
            <v>90.18</v>
          </cell>
          <cell r="E545">
            <v>2.59</v>
          </cell>
          <cell r="F545">
            <v>92.77</v>
          </cell>
        </row>
        <row r="546">
          <cell r="A546" t="str">
            <v>121204</v>
          </cell>
          <cell r="B546" t="str">
            <v>Estaca tipo hélice contínua, diâmetro de 30 cm em solo</v>
          </cell>
          <cell r="C546" t="str">
            <v>m</v>
          </cell>
          <cell r="D546">
            <v>38.93</v>
          </cell>
          <cell r="E546">
            <v>2.59</v>
          </cell>
          <cell r="F546">
            <v>41.52</v>
          </cell>
        </row>
        <row r="547">
          <cell r="A547" t="str">
            <v>121205</v>
          </cell>
          <cell r="B547" t="str">
            <v>Estaca tipo hélice contínua, diâmetro de 25 cm em solo</v>
          </cell>
          <cell r="C547" t="str">
            <v>m</v>
          </cell>
          <cell r="D547">
            <v>34.700000000000003</v>
          </cell>
          <cell r="E547">
            <v>2.59</v>
          </cell>
          <cell r="F547">
            <v>37.29</v>
          </cell>
        </row>
        <row r="548">
          <cell r="A548" t="str">
            <v>121206</v>
          </cell>
          <cell r="B548" t="str">
            <v>Estaca tipo hélice contínua, diâmetro de 40 cm em solo</v>
          </cell>
          <cell r="C548" t="str">
            <v>m</v>
          </cell>
          <cell r="D548">
            <v>54.01</v>
          </cell>
          <cell r="E548">
            <v>2.59</v>
          </cell>
          <cell r="F548">
            <v>56.6</v>
          </cell>
        </row>
        <row r="549">
          <cell r="A549" t="str">
            <v>121207</v>
          </cell>
          <cell r="B549" t="str">
            <v>Estaca tipo hélice contínua, diâmetro de 50 cm em solo</v>
          </cell>
          <cell r="C549" t="str">
            <v>m</v>
          </cell>
          <cell r="D549">
            <v>67.59</v>
          </cell>
          <cell r="E549">
            <v>2.59</v>
          </cell>
          <cell r="F549">
            <v>70.180000000000007</v>
          </cell>
        </row>
        <row r="550">
          <cell r="A550" t="str">
            <v>121208</v>
          </cell>
          <cell r="B550" t="str">
            <v>Estaca tipo hélice contínua, diâmetro de 100 cm em solo</v>
          </cell>
          <cell r="C550" t="str">
            <v>m</v>
          </cell>
          <cell r="D550">
            <v>187.58</v>
          </cell>
          <cell r="E550">
            <v>2.59</v>
          </cell>
          <cell r="F550">
            <v>190.17000000000002</v>
          </cell>
        </row>
        <row r="551">
          <cell r="A551" t="str">
            <v>121209</v>
          </cell>
          <cell r="B551" t="str">
            <v>Estaca tipo hélice contínua, diâmetro de 70 cm em solo</v>
          </cell>
          <cell r="C551" t="str">
            <v>m</v>
          </cell>
          <cell r="D551">
            <v>106.75</v>
          </cell>
          <cell r="E551">
            <v>2.59</v>
          </cell>
          <cell r="F551">
            <v>109.34</v>
          </cell>
        </row>
        <row r="552">
          <cell r="A552" t="str">
            <v>121210</v>
          </cell>
          <cell r="B552" t="str">
            <v>Estaca tipo hélice contínua, diâmetro de 80 cm em solo</v>
          </cell>
          <cell r="C552" t="str">
            <v>m</v>
          </cell>
          <cell r="D552">
            <v>124.09</v>
          </cell>
          <cell r="E552">
            <v>2.59</v>
          </cell>
          <cell r="F552">
            <v>126.68</v>
          </cell>
        </row>
        <row r="553">
          <cell r="A553" t="str">
            <v>130102</v>
          </cell>
          <cell r="B553" t="str">
            <v>Laje pré-fabricada mista vigota treliçada/lajota cerâmica - LT 12 (8+4) e capa com concreto de 20MPa</v>
          </cell>
          <cell r="C553" t="str">
            <v>m²</v>
          </cell>
          <cell r="D553">
            <v>53.730000000000004</v>
          </cell>
          <cell r="E553">
            <v>16.68</v>
          </cell>
          <cell r="F553">
            <v>70.41</v>
          </cell>
        </row>
        <row r="554">
          <cell r="A554" t="str">
            <v>130104</v>
          </cell>
          <cell r="B554" t="str">
            <v>Laje pré-fabricada mista vigota treliçada/lajota cerâmica - LT 16 (12+4) e capa com concreto de 20MPa</v>
          </cell>
          <cell r="C554" t="str">
            <v>m²</v>
          </cell>
          <cell r="D554">
            <v>66.45</v>
          </cell>
          <cell r="E554">
            <v>18.23</v>
          </cell>
          <cell r="F554">
            <v>84.68</v>
          </cell>
        </row>
        <row r="555">
          <cell r="A555" t="str">
            <v>130106</v>
          </cell>
          <cell r="B555" t="str">
            <v>Laje pré-fabricada mista vigota treliçada/lajota cerâmica - LT 20 (16+4) e capa com concreto de 20MPa</v>
          </cell>
          <cell r="C555" t="str">
            <v>m²</v>
          </cell>
          <cell r="D555">
            <v>75.739999999999995</v>
          </cell>
          <cell r="E555">
            <v>19.79</v>
          </cell>
          <cell r="F555">
            <v>95.53</v>
          </cell>
        </row>
        <row r="556">
          <cell r="A556" t="str">
            <v>130108</v>
          </cell>
          <cell r="B556" t="str">
            <v>Laje pré-fabricada mista vigota treliçada/lajota cerâmica - LT 24 (20+4) e capa com concreto de 20MPa</v>
          </cell>
          <cell r="C556" t="str">
            <v>m²</v>
          </cell>
          <cell r="D556">
            <v>85.98</v>
          </cell>
          <cell r="E556">
            <v>21.35</v>
          </cell>
          <cell r="F556">
            <v>107.33</v>
          </cell>
        </row>
        <row r="557">
          <cell r="A557" t="str">
            <v>130110</v>
          </cell>
          <cell r="B557" t="str">
            <v>Laje pré-fabricada mista vigota treliçada/lajota cerâmica - LT 30 (24+6) e capa com concreto de 20MPa</v>
          </cell>
          <cell r="C557" t="str">
            <v>m²</v>
          </cell>
          <cell r="D557">
            <v>105.29</v>
          </cell>
          <cell r="E557">
            <v>23.330000000000002</v>
          </cell>
          <cell r="F557">
            <v>128.62</v>
          </cell>
        </row>
        <row r="558">
          <cell r="A558" t="str">
            <v>130112</v>
          </cell>
          <cell r="B558" t="str">
            <v>Laje pré-fabricada mista vigota treliçada/lajota cerâmica - LT 12 (8+4) e capa com concreto de 25MPa</v>
          </cell>
          <cell r="C558" t="str">
            <v>m²</v>
          </cell>
          <cell r="D558">
            <v>54.29</v>
          </cell>
          <cell r="E558">
            <v>16.68</v>
          </cell>
          <cell r="F558">
            <v>70.97</v>
          </cell>
        </row>
        <row r="559">
          <cell r="A559" t="str">
            <v>130114</v>
          </cell>
          <cell r="B559" t="str">
            <v>Laje pré-fabricada mista vigota treliçada/lajota cerâmica - LT 16 (12+4) e capa com concreto de 25MPa</v>
          </cell>
          <cell r="C559" t="str">
            <v>m²</v>
          </cell>
          <cell r="D559">
            <v>67.010000000000005</v>
          </cell>
          <cell r="E559">
            <v>18.23</v>
          </cell>
          <cell r="F559">
            <v>85.24</v>
          </cell>
        </row>
        <row r="560">
          <cell r="A560" t="str">
            <v>130116</v>
          </cell>
          <cell r="B560" t="str">
            <v>Laje pré-fabricada mista vigota treliçada/lajota cerâmica - LT 20 (16+4) e capa com concreto de 25MPa</v>
          </cell>
          <cell r="C560" t="str">
            <v>m²</v>
          </cell>
          <cell r="D560">
            <v>76.3</v>
          </cell>
          <cell r="E560">
            <v>19.79</v>
          </cell>
          <cell r="F560">
            <v>96.09</v>
          </cell>
        </row>
        <row r="561">
          <cell r="A561" t="str">
            <v>130118</v>
          </cell>
          <cell r="B561" t="str">
            <v>Laje pré-fabricada mista vigota treliçada/lajota cerâmica - LT 24 (20+4) e capa com concreto de 25MPa</v>
          </cell>
          <cell r="C561" t="str">
            <v>m²</v>
          </cell>
          <cell r="D561">
            <v>86.54</v>
          </cell>
          <cell r="E561">
            <v>21.35</v>
          </cell>
          <cell r="F561">
            <v>107.89</v>
          </cell>
        </row>
        <row r="562">
          <cell r="A562" t="str">
            <v>130120</v>
          </cell>
          <cell r="B562" t="str">
            <v>Laje pré-fabricada mista vigota treliçada/lajota cerâmica - LT 30 (24+6) e capa com concreto de 25MPa</v>
          </cell>
          <cell r="C562" t="str">
            <v>m²</v>
          </cell>
          <cell r="D562">
            <v>106.13</v>
          </cell>
          <cell r="E562">
            <v>23.330000000000002</v>
          </cell>
          <cell r="F562">
            <v>129.46</v>
          </cell>
        </row>
        <row r="563">
          <cell r="A563" t="str">
            <v>130202</v>
          </cell>
          <cell r="B563" t="str">
            <v>Laje pré-fabricada mista vigota protendida/lajota cerâmica - LP 10 (7+3) e capa com concreto de 20MPa</v>
          </cell>
          <cell r="C563" t="str">
            <v>m²</v>
          </cell>
          <cell r="D563">
            <v>72.67</v>
          </cell>
          <cell r="E563">
            <v>16.68</v>
          </cell>
          <cell r="F563">
            <v>89.350000000000009</v>
          </cell>
        </row>
        <row r="564">
          <cell r="A564" t="str">
            <v>130204</v>
          </cell>
          <cell r="B564" t="str">
            <v>Laje pré-fabricada mista vigota protendida/lajota cerâmica - LP 12 (8+4) e capa com concreto de 20MPa</v>
          </cell>
          <cell r="C564" t="str">
            <v>m²</v>
          </cell>
          <cell r="D564">
            <v>72.67</v>
          </cell>
          <cell r="E564">
            <v>18.23</v>
          </cell>
          <cell r="F564">
            <v>90.9</v>
          </cell>
        </row>
        <row r="565">
          <cell r="A565" t="str">
            <v>130206</v>
          </cell>
          <cell r="B565" t="str">
            <v>Laje pré-fabricada mista vigota protendida/lajota cerâmica - LP 16 (12+4) e capa com concreto de 20MPa</v>
          </cell>
          <cell r="C565" t="str">
            <v>m²</v>
          </cell>
          <cell r="D565">
            <v>79.44</v>
          </cell>
          <cell r="E565">
            <v>19.79</v>
          </cell>
          <cell r="F565">
            <v>99.23</v>
          </cell>
        </row>
        <row r="566">
          <cell r="A566" t="str">
            <v>130208</v>
          </cell>
          <cell r="B566" t="str">
            <v>Laje pré-fabricada mista vigota protendida/lajota cerâmica - LP 20 (16+4) e capa com concreto de 20MPa</v>
          </cell>
          <cell r="C566" t="str">
            <v>m²</v>
          </cell>
          <cell r="D566">
            <v>85.01</v>
          </cell>
          <cell r="E566">
            <v>21.35</v>
          </cell>
          <cell r="F566">
            <v>106.36</v>
          </cell>
        </row>
        <row r="567">
          <cell r="A567" t="str">
            <v>130210</v>
          </cell>
          <cell r="B567" t="str">
            <v>Laje pré-fabricada mista vigota protendida/lajota cerâmica - LP 25 (20+5) e capa com concreto de 20MPa</v>
          </cell>
          <cell r="C567" t="str">
            <v>m²</v>
          </cell>
          <cell r="D567">
            <v>94.27</v>
          </cell>
          <cell r="E567">
            <v>23.43</v>
          </cell>
          <cell r="F567">
            <v>117.7</v>
          </cell>
        </row>
        <row r="568">
          <cell r="A568" t="str">
            <v>130212</v>
          </cell>
          <cell r="B568" t="str">
            <v>Laje pré-fabricada mista vigota protendida/lajota cerâmica - LP 10 (7+3) e capa com concreto de 25MPa</v>
          </cell>
          <cell r="C568" t="str">
            <v>m²</v>
          </cell>
          <cell r="D568">
            <v>73.23</v>
          </cell>
          <cell r="E568">
            <v>16.68</v>
          </cell>
          <cell r="F568">
            <v>89.91</v>
          </cell>
        </row>
        <row r="569">
          <cell r="A569" t="str">
            <v>130214</v>
          </cell>
          <cell r="B569" t="str">
            <v>Laje pré-fabricada mista vigota protendida/lajota cerâmica - LP 12 (8+4) e capa com concreto de 25MPa</v>
          </cell>
          <cell r="C569" t="str">
            <v>m²</v>
          </cell>
          <cell r="D569">
            <v>73.23</v>
          </cell>
          <cell r="E569">
            <v>18.23</v>
          </cell>
          <cell r="F569">
            <v>91.460000000000008</v>
          </cell>
        </row>
        <row r="570">
          <cell r="A570" t="str">
            <v>130216</v>
          </cell>
          <cell r="B570" t="str">
            <v>Laje pré-fabricada mista vigota protendida/lajota cerâmica - LP 16 (12+4) e capa com concreto de 25MPa</v>
          </cell>
          <cell r="C570" t="str">
            <v>m²</v>
          </cell>
          <cell r="D570">
            <v>80</v>
          </cell>
          <cell r="E570">
            <v>19.79</v>
          </cell>
          <cell r="F570">
            <v>99.79</v>
          </cell>
        </row>
        <row r="571">
          <cell r="A571" t="str">
            <v>130218</v>
          </cell>
          <cell r="B571" t="str">
            <v>Laje pré-fabricada mista vigota protendida/lajota cerâmica - LP 20 (16+4) e capa com concreto de 25MPa</v>
          </cell>
          <cell r="C571" t="str">
            <v>m²</v>
          </cell>
          <cell r="D571">
            <v>85.570000000000007</v>
          </cell>
          <cell r="E571">
            <v>21.35</v>
          </cell>
          <cell r="F571">
            <v>106.92</v>
          </cell>
        </row>
        <row r="572">
          <cell r="A572" t="str">
            <v>130220</v>
          </cell>
          <cell r="B572" t="str">
            <v>Laje pré-fabricada mista vigota protendida/lajota cerâmica - LP 25 (20+5) e capa com concreto de 25MPa</v>
          </cell>
          <cell r="C572" t="str">
            <v>m²</v>
          </cell>
          <cell r="D572">
            <v>95.87</v>
          </cell>
          <cell r="E572">
            <v>23.330000000000002</v>
          </cell>
          <cell r="F572">
            <v>119.2</v>
          </cell>
        </row>
        <row r="573">
          <cell r="A573" t="str">
            <v>130311</v>
          </cell>
          <cell r="B573" t="str">
            <v>Laje em painel pré-fabricado protendido alveolar, espessura 9 cm</v>
          </cell>
          <cell r="C573" t="str">
            <v>m²</v>
          </cell>
          <cell r="D573">
            <v>115.10000000000001</v>
          </cell>
          <cell r="E573">
            <v>4.21</v>
          </cell>
          <cell r="F573">
            <v>119.31</v>
          </cell>
        </row>
        <row r="574">
          <cell r="A574" t="str">
            <v>130313</v>
          </cell>
          <cell r="B574" t="str">
            <v>Laje em painel pré-fabricado protendido alveolar, espessura 12 cm</v>
          </cell>
          <cell r="C574" t="str">
            <v>m²</v>
          </cell>
          <cell r="D574">
            <v>131.16999999999999</v>
          </cell>
          <cell r="E574">
            <v>4.21</v>
          </cell>
          <cell r="F574">
            <v>135.38</v>
          </cell>
        </row>
        <row r="575">
          <cell r="A575" t="str">
            <v>130315</v>
          </cell>
          <cell r="B575" t="str">
            <v>Laje em painel pré-fabricado protendido alveolar, espessura 20 cm</v>
          </cell>
          <cell r="C575" t="str">
            <v>m²</v>
          </cell>
          <cell r="D575">
            <v>173.21</v>
          </cell>
          <cell r="E575">
            <v>4.21</v>
          </cell>
          <cell r="F575">
            <v>177.42000000000002</v>
          </cell>
        </row>
        <row r="576">
          <cell r="A576" t="str">
            <v>130316</v>
          </cell>
          <cell r="B576" t="str">
            <v>Laje em painel pré-fabricado protendido alveolar, espessura 25 cm</v>
          </cell>
          <cell r="C576" t="str">
            <v>m²</v>
          </cell>
          <cell r="D576">
            <v>215.92000000000002</v>
          </cell>
          <cell r="E576">
            <v>4.21</v>
          </cell>
          <cell r="F576">
            <v>220.13</v>
          </cell>
        </row>
        <row r="577">
          <cell r="A577" t="str">
            <v>130317</v>
          </cell>
          <cell r="B577" t="str">
            <v>Laje em painel pré-fabricado protendido alveolar, espessura 16 cm</v>
          </cell>
          <cell r="C577" t="str">
            <v>m²</v>
          </cell>
          <cell r="D577">
            <v>153.69999999999999</v>
          </cell>
          <cell r="E577">
            <v>4.21</v>
          </cell>
          <cell r="F577">
            <v>157.91</v>
          </cell>
        </row>
        <row r="578">
          <cell r="A578" t="str">
            <v>130505</v>
          </cell>
          <cell r="B578" t="str">
            <v>Pré-laje em painel pré-fabricado treliçado, com EPS, H= 25 cm</v>
          </cell>
          <cell r="C578" t="str">
            <v>m²</v>
          </cell>
          <cell r="D578">
            <v>102.9</v>
          </cell>
          <cell r="E578">
            <v>5.8</v>
          </cell>
          <cell r="F578">
            <v>108.7</v>
          </cell>
        </row>
        <row r="579">
          <cell r="A579" t="str">
            <v>130506</v>
          </cell>
          <cell r="B579" t="str">
            <v>Pré-laje em painel pré-fabricado treliçado, com EPS, H= 20 cm</v>
          </cell>
          <cell r="C579" t="str">
            <v>m²</v>
          </cell>
          <cell r="D579">
            <v>84.87</v>
          </cell>
          <cell r="E579">
            <v>5.69</v>
          </cell>
          <cell r="F579">
            <v>90.56</v>
          </cell>
        </row>
        <row r="580">
          <cell r="A580" t="str">
            <v>130507</v>
          </cell>
          <cell r="B580" t="str">
            <v>Pré-laje em painel pré-fabricado treliçado, com EPS, H= 12 cm</v>
          </cell>
          <cell r="C580" t="str">
            <v>m²</v>
          </cell>
          <cell r="D580">
            <v>68.27</v>
          </cell>
          <cell r="E580">
            <v>5.15</v>
          </cell>
          <cell r="F580">
            <v>73.42</v>
          </cell>
        </row>
        <row r="581">
          <cell r="A581" t="str">
            <v>130508</v>
          </cell>
          <cell r="B581" t="str">
            <v>Pré-laje em painel pré-fabricado treliçado, com EPS, H= 8 cm</v>
          </cell>
          <cell r="C581" t="str">
            <v>m²</v>
          </cell>
          <cell r="D581">
            <v>58.88</v>
          </cell>
          <cell r="E581">
            <v>4.88</v>
          </cell>
          <cell r="F581">
            <v>63.76</v>
          </cell>
        </row>
        <row r="582">
          <cell r="A582" t="str">
            <v>130509</v>
          </cell>
          <cell r="B582" t="str">
            <v>Pré-laje em painel pré-fabricado treliçado, com EPS, H= 16 cm</v>
          </cell>
          <cell r="C582" t="str">
            <v>m²</v>
          </cell>
          <cell r="D582">
            <v>76.180000000000007</v>
          </cell>
          <cell r="E582">
            <v>5.42</v>
          </cell>
          <cell r="F582">
            <v>81.599999999999994</v>
          </cell>
        </row>
        <row r="583">
          <cell r="A583" t="str">
            <v>130510</v>
          </cell>
          <cell r="B583" t="str">
            <v>Pré-laje em painel pré-fabricado treliçado, H= 8 cm</v>
          </cell>
          <cell r="C583" t="str">
            <v>m²</v>
          </cell>
          <cell r="D583">
            <v>52.050000000000004</v>
          </cell>
          <cell r="E583">
            <v>4.88</v>
          </cell>
          <cell r="F583">
            <v>56.93</v>
          </cell>
        </row>
        <row r="584">
          <cell r="A584" t="str">
            <v>130511</v>
          </cell>
          <cell r="B584" t="str">
            <v>Pré-laje em painel pré-fabricado treliçado, H= 12 cm</v>
          </cell>
          <cell r="C584" t="str">
            <v>m²</v>
          </cell>
          <cell r="D584">
            <v>59.01</v>
          </cell>
          <cell r="E584">
            <v>5.15</v>
          </cell>
          <cell r="F584">
            <v>64.16</v>
          </cell>
        </row>
        <row r="585">
          <cell r="A585" t="str">
            <v>130514</v>
          </cell>
          <cell r="B585" t="str">
            <v>Pré-laje em painel pré-fabricado treliçado, H= 10 cm</v>
          </cell>
          <cell r="C585" t="str">
            <v>m²</v>
          </cell>
          <cell r="D585">
            <v>57.33</v>
          </cell>
          <cell r="E585">
            <v>5.01</v>
          </cell>
          <cell r="F585">
            <v>62.34</v>
          </cell>
        </row>
        <row r="586">
          <cell r="A586" t="str">
            <v>130515</v>
          </cell>
          <cell r="B586" t="str">
            <v>Pré-laje em painel pré-fabricado treliçado, H= 16 cm</v>
          </cell>
          <cell r="C586" t="str">
            <v>m²</v>
          </cell>
          <cell r="D586">
            <v>66.010000000000005</v>
          </cell>
          <cell r="E586">
            <v>5.42</v>
          </cell>
          <cell r="F586">
            <v>71.430000000000007</v>
          </cell>
        </row>
        <row r="587">
          <cell r="A587" t="str">
            <v>130516</v>
          </cell>
          <cell r="B587" t="str">
            <v>Pré-laje em painel pré-fabricado treliçado, H= 20 cm</v>
          </cell>
          <cell r="C587" t="str">
            <v>m²</v>
          </cell>
          <cell r="D587">
            <v>72.150000000000006</v>
          </cell>
          <cell r="E587">
            <v>5.69</v>
          </cell>
          <cell r="F587">
            <v>77.84</v>
          </cell>
        </row>
        <row r="588">
          <cell r="A588" t="str">
            <v>130517</v>
          </cell>
          <cell r="B588" t="str">
            <v>Pré-laje em painel pré-fabricado treliçado, H= 24 cm</v>
          </cell>
          <cell r="C588" t="str">
            <v>m²</v>
          </cell>
          <cell r="D588">
            <v>85.24</v>
          </cell>
          <cell r="E588">
            <v>5.8</v>
          </cell>
          <cell r="F588">
            <v>91.04</v>
          </cell>
        </row>
        <row r="589">
          <cell r="A589" t="str">
            <v>140102</v>
          </cell>
          <cell r="B589" t="str">
            <v>Alvenaria de embasamento em tijolo maciço comum</v>
          </cell>
          <cell r="C589" t="str">
            <v>m³</v>
          </cell>
          <cell r="D589">
            <v>196.55</v>
          </cell>
          <cell r="E589">
            <v>166.92000000000002</v>
          </cell>
          <cell r="F589">
            <v>363.47</v>
          </cell>
        </row>
        <row r="590">
          <cell r="A590" t="str">
            <v>140104</v>
          </cell>
          <cell r="B590" t="str">
            <v>Alvenaria de embasamento em bloco de concreto com 9 cm</v>
          </cell>
          <cell r="C590" t="str">
            <v>m²</v>
          </cell>
          <cell r="D590">
            <v>22.54</v>
          </cell>
          <cell r="E590">
            <v>20.55</v>
          </cell>
          <cell r="F590">
            <v>43.09</v>
          </cell>
        </row>
        <row r="591">
          <cell r="A591" t="str">
            <v>140105</v>
          </cell>
          <cell r="B591" t="str">
            <v>Alvenaria de embasamento em bloco de concreto com 14 cm</v>
          </cell>
          <cell r="C591" t="str">
            <v>m²</v>
          </cell>
          <cell r="D591">
            <v>26.3</v>
          </cell>
          <cell r="E591">
            <v>21.5</v>
          </cell>
          <cell r="F591">
            <v>47.800000000000004</v>
          </cell>
        </row>
        <row r="592">
          <cell r="A592" t="str">
            <v>140106</v>
          </cell>
          <cell r="B592" t="str">
            <v>Alvenaria de embasamento em bloco de concreto com 19 cm</v>
          </cell>
          <cell r="C592" t="str">
            <v>m²</v>
          </cell>
          <cell r="D592">
            <v>35.979999999999997</v>
          </cell>
          <cell r="E592">
            <v>22.69</v>
          </cell>
          <cell r="F592">
            <v>58.67</v>
          </cell>
        </row>
        <row r="593">
          <cell r="A593" t="str">
            <v>140202</v>
          </cell>
          <cell r="B593" t="str">
            <v>Alvenaria de elevação de 1/4 tijolo maciço comum</v>
          </cell>
          <cell r="C593" t="str">
            <v>m²</v>
          </cell>
          <cell r="D593">
            <v>10.93</v>
          </cell>
          <cell r="E593">
            <v>22.44</v>
          </cell>
          <cell r="F593">
            <v>33.369999999999997</v>
          </cell>
        </row>
        <row r="594">
          <cell r="A594" t="str">
            <v>140203</v>
          </cell>
          <cell r="B594" t="str">
            <v>Alvenaria de elevação de 1/2 tijolo maciço comum</v>
          </cell>
          <cell r="C594" t="str">
            <v>m²</v>
          </cell>
          <cell r="D594">
            <v>23.12</v>
          </cell>
          <cell r="E594">
            <v>34.6</v>
          </cell>
          <cell r="F594">
            <v>57.72</v>
          </cell>
        </row>
        <row r="595">
          <cell r="A595" t="str">
            <v>140204</v>
          </cell>
          <cell r="B595" t="str">
            <v>Alvenaria de elevação de 1 tijolo maciço comum</v>
          </cell>
          <cell r="C595" t="str">
            <v>m²</v>
          </cell>
          <cell r="D595">
            <v>48.14</v>
          </cell>
          <cell r="E595">
            <v>57.54</v>
          </cell>
          <cell r="F595">
            <v>105.68</v>
          </cell>
        </row>
        <row r="596">
          <cell r="A596" t="str">
            <v>140205</v>
          </cell>
          <cell r="B596" t="str">
            <v>Alvenaria de elevação de 1 1/2 tijolo maciço comum</v>
          </cell>
          <cell r="C596" t="str">
            <v>m²</v>
          </cell>
          <cell r="D596">
            <v>71.349999999999994</v>
          </cell>
          <cell r="E596">
            <v>71.89</v>
          </cell>
          <cell r="F596">
            <v>143.24</v>
          </cell>
        </row>
        <row r="597">
          <cell r="A597" t="str">
            <v>140207</v>
          </cell>
          <cell r="B597" t="str">
            <v>Alvenaria de elevação de 1/2 tijolo maciço aparente</v>
          </cell>
          <cell r="C597" t="str">
            <v>m²</v>
          </cell>
          <cell r="D597">
            <v>62.32</v>
          </cell>
          <cell r="E597">
            <v>46.36</v>
          </cell>
          <cell r="F597">
            <v>108.68</v>
          </cell>
        </row>
        <row r="598">
          <cell r="A598" t="str">
            <v>140208</v>
          </cell>
          <cell r="B598" t="str">
            <v>Alvenaria de elevação de 1 tijolo maciço aparente</v>
          </cell>
          <cell r="C598" t="str">
            <v>m²</v>
          </cell>
          <cell r="D598">
            <v>126.54</v>
          </cell>
          <cell r="E598">
            <v>69.3</v>
          </cell>
          <cell r="F598">
            <v>195.84</v>
          </cell>
        </row>
        <row r="599">
          <cell r="A599" t="str">
            <v>140302</v>
          </cell>
          <cell r="B599" t="str">
            <v>Alvenaria de elevação de 1/4 tijolo laminado</v>
          </cell>
          <cell r="C599" t="str">
            <v>m²</v>
          </cell>
          <cell r="D599">
            <v>40.21</v>
          </cell>
          <cell r="E599">
            <v>34.200000000000003</v>
          </cell>
          <cell r="F599">
            <v>74.41</v>
          </cell>
        </row>
        <row r="600">
          <cell r="A600" t="str">
            <v>140304</v>
          </cell>
          <cell r="B600" t="str">
            <v>Alvenaria de elevação de 1/2 tijolo laminado</v>
          </cell>
          <cell r="C600" t="str">
            <v>m²</v>
          </cell>
          <cell r="D600">
            <v>83.320000000000007</v>
          </cell>
          <cell r="E600">
            <v>46.36</v>
          </cell>
          <cell r="F600">
            <v>129.68</v>
          </cell>
        </row>
        <row r="601">
          <cell r="A601" t="str">
            <v>140306</v>
          </cell>
          <cell r="B601" t="str">
            <v>Alvenaria de elevação de 1 tijolo laminado</v>
          </cell>
          <cell r="C601" t="str">
            <v>m²</v>
          </cell>
          <cell r="D601">
            <v>168.54</v>
          </cell>
          <cell r="E601">
            <v>69.3</v>
          </cell>
          <cell r="F601">
            <v>237.84</v>
          </cell>
        </row>
        <row r="602">
          <cell r="A602" t="str">
            <v>140420</v>
          </cell>
          <cell r="B602" t="str">
            <v>Alvenaria de bloco cerâmico de vedação, uso revestido, de 9 cm</v>
          </cell>
          <cell r="C602" t="str">
            <v>m²</v>
          </cell>
          <cell r="D602">
            <v>21.11</v>
          </cell>
          <cell r="E602">
            <v>14.950000000000001</v>
          </cell>
          <cell r="F602">
            <v>36.06</v>
          </cell>
        </row>
        <row r="603">
          <cell r="A603" t="str">
            <v>140421</v>
          </cell>
          <cell r="B603" t="str">
            <v>Alvenaria de bloco cerâmico de vedação, uso revestido, de 14 cm</v>
          </cell>
          <cell r="C603" t="str">
            <v>m²</v>
          </cell>
          <cell r="D603">
            <v>26.76</v>
          </cell>
          <cell r="E603">
            <v>16.29</v>
          </cell>
          <cell r="F603">
            <v>43.050000000000004</v>
          </cell>
        </row>
        <row r="604">
          <cell r="A604" t="str">
            <v>140422</v>
          </cell>
          <cell r="B604" t="str">
            <v>Alvenaria de bloco cerâmico de vedação, uso revestido, de 19 cm</v>
          </cell>
          <cell r="C604" t="str">
            <v>m²</v>
          </cell>
          <cell r="D604">
            <v>33.25</v>
          </cell>
          <cell r="E604">
            <v>17.54</v>
          </cell>
          <cell r="F604">
            <v>50.79</v>
          </cell>
        </row>
        <row r="605">
          <cell r="A605" t="str">
            <v>140505</v>
          </cell>
          <cell r="B605" t="str">
            <v>Alvenaria de bloco cerâmico estrutural, uso revestido, de 14 cm</v>
          </cell>
          <cell r="C605" t="str">
            <v>m²</v>
          </cell>
          <cell r="D605">
            <v>29.080000000000002</v>
          </cell>
          <cell r="E605">
            <v>21.5</v>
          </cell>
          <cell r="F605">
            <v>50.58</v>
          </cell>
        </row>
        <row r="606">
          <cell r="A606" t="str">
            <v>140506</v>
          </cell>
          <cell r="B606" t="str">
            <v>Alvenaria de bloco cerâmico estrutural, uso revestido, de 19 cm</v>
          </cell>
          <cell r="C606" t="str">
            <v>m²</v>
          </cell>
          <cell r="D606">
            <v>36.06</v>
          </cell>
          <cell r="E606">
            <v>22.69</v>
          </cell>
          <cell r="F606">
            <v>58.75</v>
          </cell>
        </row>
        <row r="607">
          <cell r="A607" t="str">
            <v>141010</v>
          </cell>
          <cell r="B607" t="str">
            <v>Alvenaria de bloco de concreto de vedação, uso revestido, de 9 cm</v>
          </cell>
          <cell r="C607" t="str">
            <v>m²</v>
          </cell>
          <cell r="D607">
            <v>22.07</v>
          </cell>
          <cell r="E607">
            <v>14.85</v>
          </cell>
          <cell r="F607">
            <v>36.92</v>
          </cell>
        </row>
        <row r="608">
          <cell r="A608" t="str">
            <v>141011</v>
          </cell>
          <cell r="B608" t="str">
            <v>Alvenaria de bloco de concreto de vedação, uso revestido, de 14 cm</v>
          </cell>
          <cell r="C608" t="str">
            <v>m²</v>
          </cell>
          <cell r="D608">
            <v>25.53</v>
          </cell>
          <cell r="E608">
            <v>15.030000000000001</v>
          </cell>
          <cell r="F608">
            <v>40.56</v>
          </cell>
        </row>
        <row r="609">
          <cell r="A609" t="str">
            <v>141012</v>
          </cell>
          <cell r="B609" t="str">
            <v>Alvenaria de bloco de concreto de vedação, uso revestido, de 19 cm</v>
          </cell>
          <cell r="C609" t="str">
            <v>m²</v>
          </cell>
          <cell r="D609">
            <v>34.86</v>
          </cell>
          <cell r="E609">
            <v>17.34</v>
          </cell>
          <cell r="F609">
            <v>52.2</v>
          </cell>
        </row>
        <row r="610">
          <cell r="A610" t="str">
            <v>141013</v>
          </cell>
          <cell r="B610" t="str">
            <v>Alvenaria de bloco de concreto de vedação, uso aparente, de 9 cm</v>
          </cell>
          <cell r="C610" t="str">
            <v>m²</v>
          </cell>
          <cell r="D610">
            <v>22.48</v>
          </cell>
          <cell r="E610">
            <v>19.36</v>
          </cell>
          <cell r="F610">
            <v>41.84</v>
          </cell>
        </row>
        <row r="611">
          <cell r="A611" t="str">
            <v>141014</v>
          </cell>
          <cell r="B611" t="str">
            <v>Alvenaria de bloco de concreto de vedação, uso aparente, de 14 cm</v>
          </cell>
          <cell r="C611" t="str">
            <v>m²</v>
          </cell>
          <cell r="D611">
            <v>24.88</v>
          </cell>
          <cell r="E611">
            <v>20.82</v>
          </cell>
          <cell r="F611">
            <v>45.7</v>
          </cell>
        </row>
        <row r="612">
          <cell r="A612" t="str">
            <v>141015</v>
          </cell>
          <cell r="B612" t="str">
            <v>Alvenaria de bloco de concreto de vedação, uso aparente, de 19 cm</v>
          </cell>
          <cell r="C612" t="str">
            <v>m²</v>
          </cell>
          <cell r="D612">
            <v>35.119999999999997</v>
          </cell>
          <cell r="E612">
            <v>22.29</v>
          </cell>
          <cell r="F612">
            <v>57.410000000000004</v>
          </cell>
        </row>
        <row r="613">
          <cell r="A613" t="str">
            <v>141122</v>
          </cell>
          <cell r="B613" t="str">
            <v>Alvenaria de bloco de concreto estrutural, uso revestido, de 14 cm</v>
          </cell>
          <cell r="C613" t="str">
            <v>m²</v>
          </cell>
          <cell r="D613">
            <v>29.150000000000002</v>
          </cell>
          <cell r="E613">
            <v>18.25</v>
          </cell>
          <cell r="F613">
            <v>47.4</v>
          </cell>
        </row>
        <row r="614">
          <cell r="A614" t="str">
            <v>141123</v>
          </cell>
          <cell r="B614" t="str">
            <v>Alvenaria de bloco de concreto estrutural, uso revestido, de 19 cm</v>
          </cell>
          <cell r="C614" t="str">
            <v>m²</v>
          </cell>
          <cell r="D614">
            <v>38.58</v>
          </cell>
          <cell r="E614">
            <v>18.63</v>
          </cell>
          <cell r="F614">
            <v>57.21</v>
          </cell>
        </row>
        <row r="615">
          <cell r="A615" t="str">
            <v>141124</v>
          </cell>
          <cell r="B615" t="str">
            <v>Alvenaria de bloco de concreto estrutural, uso aparente, de 14 cm</v>
          </cell>
          <cell r="C615" t="str">
            <v>m²</v>
          </cell>
          <cell r="D615">
            <v>32.42</v>
          </cell>
          <cell r="E615">
            <v>18.25</v>
          </cell>
          <cell r="F615">
            <v>50.67</v>
          </cell>
        </row>
        <row r="616">
          <cell r="A616" t="str">
            <v>141125</v>
          </cell>
          <cell r="B616" t="str">
            <v>Alvenaria de bloco de concreto estrutural, uso aparente, de 19 cm</v>
          </cell>
          <cell r="C616" t="str">
            <v>m²</v>
          </cell>
          <cell r="D616">
            <v>40.020000000000003</v>
          </cell>
          <cell r="E616">
            <v>18.63</v>
          </cell>
          <cell r="F616">
            <v>58.65</v>
          </cell>
        </row>
        <row r="617">
          <cell r="A617" t="str">
            <v>141126</v>
          </cell>
          <cell r="B617" t="str">
            <v>Alvenaria de bloco de concreto estrutural, uso aparente, de 14 cm - classe A</v>
          </cell>
          <cell r="C617" t="str">
            <v>m²</v>
          </cell>
          <cell r="D617">
            <v>35.700000000000003</v>
          </cell>
          <cell r="E617">
            <v>18.25</v>
          </cell>
          <cell r="F617">
            <v>53.95</v>
          </cell>
        </row>
        <row r="618">
          <cell r="A618" t="str">
            <v>141127</v>
          </cell>
          <cell r="B618" t="str">
            <v>Alvenaria de bloco de concreto estrutural, uso aparente, de 19 cm - classe A</v>
          </cell>
          <cell r="C618" t="str">
            <v>m²</v>
          </cell>
          <cell r="D618">
            <v>45</v>
          </cell>
          <cell r="E618">
            <v>18.63</v>
          </cell>
          <cell r="F618">
            <v>63.63</v>
          </cell>
        </row>
        <row r="619">
          <cell r="A619" t="str">
            <v>141506</v>
          </cell>
          <cell r="B619" t="str">
            <v>Alvenaria em bloco de concreto celular autoclavado, uso revestido, de 9/10 cm - classe C 25</v>
          </cell>
          <cell r="C619" t="str">
            <v>m²</v>
          </cell>
          <cell r="D619">
            <v>43.99</v>
          </cell>
          <cell r="E619">
            <v>7.45</v>
          </cell>
          <cell r="F619">
            <v>51.44</v>
          </cell>
        </row>
        <row r="620">
          <cell r="A620" t="str">
            <v>141510</v>
          </cell>
          <cell r="B620" t="str">
            <v>Alvenaria em bloco de concreto celular autoclavado, uso revestido, de 11/12,5 cm - classe C 25</v>
          </cell>
          <cell r="C620" t="str">
            <v>m²</v>
          </cell>
          <cell r="D620">
            <v>57.69</v>
          </cell>
          <cell r="E620">
            <v>7.6000000000000005</v>
          </cell>
          <cell r="F620">
            <v>65.290000000000006</v>
          </cell>
        </row>
        <row r="621">
          <cell r="A621" t="str">
            <v>141512</v>
          </cell>
          <cell r="B621" t="str">
            <v>Alvenaria em bloco de concreto celular autoclavado, uso revestido, de 14/15 cm - classe C 25</v>
          </cell>
          <cell r="C621" t="str">
            <v>m²</v>
          </cell>
          <cell r="D621">
            <v>69.19</v>
          </cell>
          <cell r="E621">
            <v>7.74</v>
          </cell>
          <cell r="F621">
            <v>76.930000000000007</v>
          </cell>
        </row>
        <row r="622">
          <cell r="A622" t="str">
            <v>141514</v>
          </cell>
          <cell r="B622" t="str">
            <v>Alvenaria em bloco de concreto celular autoclavado, uso revestido, de 19/20 cm - classe C 25</v>
          </cell>
          <cell r="C622" t="str">
            <v>m²</v>
          </cell>
          <cell r="D622">
            <v>93.75</v>
          </cell>
          <cell r="E622">
            <v>8.0299999999999994</v>
          </cell>
          <cell r="F622">
            <v>101.78</v>
          </cell>
        </row>
        <row r="623">
          <cell r="A623" t="str">
            <v>142001</v>
          </cell>
          <cell r="B623" t="str">
            <v>Vergas, contravergas e pilaretes de concreto armado</v>
          </cell>
          <cell r="C623" t="str">
            <v>m³</v>
          </cell>
          <cell r="D623">
            <v>449.71000000000004</v>
          </cell>
          <cell r="E623">
            <v>402.85</v>
          </cell>
          <cell r="F623">
            <v>852.56000000000006</v>
          </cell>
        </row>
        <row r="624">
          <cell r="A624" t="str">
            <v>142002</v>
          </cell>
          <cell r="B624" t="str">
            <v>Cimalha em concreto com pingadeira</v>
          </cell>
          <cell r="C624" t="str">
            <v>m</v>
          </cell>
          <cell r="D624">
            <v>2.0699999999999998</v>
          </cell>
          <cell r="E624">
            <v>3.59</v>
          </cell>
          <cell r="F624">
            <v>5.66</v>
          </cell>
        </row>
        <row r="625">
          <cell r="A625" t="str">
            <v>142504</v>
          </cell>
          <cell r="B625" t="str">
            <v>Alvenaria em bloco de vidro com armação</v>
          </cell>
          <cell r="C625" t="str">
            <v>m²</v>
          </cell>
          <cell r="D625">
            <v>304.13</v>
          </cell>
          <cell r="E625">
            <v>56.75</v>
          </cell>
          <cell r="F625">
            <v>360.88</v>
          </cell>
        </row>
        <row r="626">
          <cell r="A626" t="str">
            <v>142803</v>
          </cell>
          <cell r="B626" t="str">
            <v>Elemento vazado em concreto, tipo quadriculado - 39 x 39 x 10 cm</v>
          </cell>
          <cell r="C626" t="str">
            <v>m²</v>
          </cell>
          <cell r="D626">
            <v>65.72</v>
          </cell>
          <cell r="E626">
            <v>32.020000000000003</v>
          </cell>
          <cell r="F626">
            <v>97.740000000000009</v>
          </cell>
        </row>
        <row r="627">
          <cell r="A627" t="str">
            <v>142806</v>
          </cell>
          <cell r="B627" t="str">
            <v>Elemento vazado em concreto, tipo veneziana - 39 x 10 x 10 cm</v>
          </cell>
          <cell r="C627" t="str">
            <v>m²</v>
          </cell>
          <cell r="D627">
            <v>119.03</v>
          </cell>
          <cell r="E627">
            <v>68.39</v>
          </cell>
          <cell r="F627">
            <v>187.42000000000002</v>
          </cell>
        </row>
        <row r="628">
          <cell r="A628" t="str">
            <v>142810</v>
          </cell>
          <cell r="B628" t="str">
            <v>Elemento vazado em vidro tipo veneziana capelinha - 20 x 10 x 10 cm</v>
          </cell>
          <cell r="C628" t="str">
            <v>m²</v>
          </cell>
          <cell r="D628">
            <v>884.43000000000006</v>
          </cell>
          <cell r="E628">
            <v>86.84</v>
          </cell>
          <cell r="F628">
            <v>971.27</v>
          </cell>
        </row>
        <row r="629">
          <cell r="A629" t="str">
            <v>142811</v>
          </cell>
          <cell r="B629" t="str">
            <v>Elemento vazado em concreto, tipo veneziana - 39 x 39 x 10 cm</v>
          </cell>
          <cell r="C629" t="str">
            <v>m²</v>
          </cell>
          <cell r="D629">
            <v>119.88</v>
          </cell>
          <cell r="E629">
            <v>32.03</v>
          </cell>
          <cell r="F629">
            <v>151.91</v>
          </cell>
        </row>
        <row r="630">
          <cell r="A630" t="str">
            <v>142812</v>
          </cell>
          <cell r="B630" t="str">
            <v>Elemento vazado em vidro tipo veneziana - 20 x 10 x 10 cm</v>
          </cell>
          <cell r="C630" t="str">
            <v>m²</v>
          </cell>
          <cell r="D630">
            <v>766.43000000000006</v>
          </cell>
          <cell r="E630">
            <v>86.84</v>
          </cell>
          <cell r="F630">
            <v>853.27</v>
          </cell>
        </row>
        <row r="631">
          <cell r="A631" t="str">
            <v>142814</v>
          </cell>
          <cell r="B631" t="str">
            <v>Elemento vazado em vidro tipo veneziana - 20 x 20 x 6 cm</v>
          </cell>
          <cell r="C631" t="str">
            <v>m²</v>
          </cell>
          <cell r="D631">
            <v>470.11</v>
          </cell>
          <cell r="E631">
            <v>57.660000000000004</v>
          </cell>
          <cell r="F631">
            <v>527.77</v>
          </cell>
        </row>
        <row r="632">
          <cell r="A632" t="str">
            <v>143001</v>
          </cell>
          <cell r="B632" t="str">
            <v>Divisória em placas de granito com espessura de 3 cm</v>
          </cell>
          <cell r="C632" t="str">
            <v>m²</v>
          </cell>
          <cell r="D632">
            <v>573.79</v>
          </cell>
          <cell r="E632">
            <v>37.409999999999997</v>
          </cell>
          <cell r="F632">
            <v>611.20000000000005</v>
          </cell>
        </row>
        <row r="633">
          <cell r="A633" t="str">
            <v>143002</v>
          </cell>
          <cell r="B633" t="str">
            <v>Divisória em placas de granilite com espessura de 3 cm</v>
          </cell>
          <cell r="C633" t="str">
            <v>m²</v>
          </cell>
          <cell r="D633">
            <v>140.53</v>
          </cell>
          <cell r="E633">
            <v>0</v>
          </cell>
          <cell r="F633">
            <v>140.53</v>
          </cell>
        </row>
        <row r="634">
          <cell r="A634" t="str">
            <v>143004</v>
          </cell>
          <cell r="B634" t="str">
            <v>Divisória em placas de ardósia com espessura de 2 cm</v>
          </cell>
          <cell r="C634" t="str">
            <v>m²</v>
          </cell>
          <cell r="D634">
            <v>183.62</v>
          </cell>
          <cell r="E634">
            <v>74.83</v>
          </cell>
          <cell r="F634">
            <v>258.45</v>
          </cell>
        </row>
        <row r="635">
          <cell r="A635" t="str">
            <v>143007</v>
          </cell>
          <cell r="B635" t="str">
            <v>Divisória sanitária em painel laminado melamínico estrutural, perfis em alumínio, inclusive ferragem completa para vão de porta</v>
          </cell>
          <cell r="C635" t="str">
            <v>m²</v>
          </cell>
          <cell r="D635">
            <v>366.69</v>
          </cell>
          <cell r="E635">
            <v>0</v>
          </cell>
          <cell r="F635">
            <v>366.69</v>
          </cell>
        </row>
        <row r="636">
          <cell r="A636" t="str">
            <v>143008</v>
          </cell>
          <cell r="B636" t="str">
            <v>Divisão para mictório em placas de mármore branco com 3 cm</v>
          </cell>
          <cell r="C636" t="str">
            <v>m²</v>
          </cell>
          <cell r="D636">
            <v>550.79</v>
          </cell>
          <cell r="E636">
            <v>37.409999999999997</v>
          </cell>
          <cell r="F636">
            <v>588.20000000000005</v>
          </cell>
        </row>
        <row r="637">
          <cell r="A637" t="str">
            <v>143011</v>
          </cell>
          <cell r="B637" t="str">
            <v>Divisória cega tipo naval, acabamento em laminado fenólico melamínico, com 3,5 cm</v>
          </cell>
          <cell r="C637" t="str">
            <v>m²</v>
          </cell>
          <cell r="D637">
            <v>80.64</v>
          </cell>
          <cell r="E637">
            <v>0</v>
          </cell>
          <cell r="F637">
            <v>80.64</v>
          </cell>
        </row>
        <row r="638">
          <cell r="A638" t="str">
            <v>143016</v>
          </cell>
          <cell r="B638" t="str">
            <v>Fechamento e divisória em placas de gesso acartonado, resistência ao fogo 60 minutos, espessura total de 12 cm, com miolo em lã de vidro</v>
          </cell>
          <cell r="C638" t="str">
            <v>m²</v>
          </cell>
          <cell r="D638">
            <v>102.85000000000001</v>
          </cell>
          <cell r="E638">
            <v>0</v>
          </cell>
          <cell r="F638">
            <v>102.85000000000001</v>
          </cell>
        </row>
        <row r="639">
          <cell r="A639" t="str">
            <v>143019</v>
          </cell>
          <cell r="B639" t="str">
            <v>Divisória cega tipo naval com miolo mineral, acabamento em laminado melamínico, com 3,5 cm</v>
          </cell>
          <cell r="C639" t="str">
            <v>m²</v>
          </cell>
          <cell r="D639">
            <v>89.49</v>
          </cell>
          <cell r="E639">
            <v>0</v>
          </cell>
          <cell r="F639">
            <v>89.49</v>
          </cell>
        </row>
        <row r="640">
          <cell r="A640" t="str">
            <v>143023</v>
          </cell>
          <cell r="B640" t="str">
            <v>Divisória painel/vidro/vidro tipo naval, acabamento em laminado fenólico melamínico, com 3,5 cm</v>
          </cell>
          <cell r="C640" t="str">
            <v>m²</v>
          </cell>
          <cell r="D640">
            <v>97</v>
          </cell>
          <cell r="E640">
            <v>0</v>
          </cell>
          <cell r="F640">
            <v>97</v>
          </cell>
        </row>
        <row r="641">
          <cell r="A641" t="str">
            <v>143024</v>
          </cell>
          <cell r="B641" t="str">
            <v>Divisória em PVC com perfis de alumínio anodizado, espessura de 35 mm</v>
          </cell>
          <cell r="C641" t="str">
            <v>m²</v>
          </cell>
          <cell r="D641">
            <v>153.86000000000001</v>
          </cell>
          <cell r="E641">
            <v>0</v>
          </cell>
          <cell r="F641">
            <v>153.86000000000001</v>
          </cell>
        </row>
        <row r="642">
          <cell r="A642" t="str">
            <v>143026</v>
          </cell>
          <cell r="B642" t="str">
            <v>Fechamento e divisória em placas de gesso acartonado, resistência ao fogo 30 minutos, espessura total de 7,3 cm</v>
          </cell>
          <cell r="C642" t="str">
            <v>m²</v>
          </cell>
          <cell r="D642">
            <v>72.55</v>
          </cell>
          <cell r="E642">
            <v>0</v>
          </cell>
          <cell r="F642">
            <v>72.55</v>
          </cell>
        </row>
        <row r="643">
          <cell r="A643" t="str">
            <v>143027</v>
          </cell>
          <cell r="B643" t="str">
            <v>Fechamento e divisória em placas de gesso acartonado, resistência ao fogo 30 minutos, espessura total de 7,3 cm, com miolo em lã de rocha</v>
          </cell>
          <cell r="C643" t="str">
            <v>m²</v>
          </cell>
          <cell r="D643">
            <v>104.06</v>
          </cell>
          <cell r="E643">
            <v>0</v>
          </cell>
          <cell r="F643">
            <v>104.06</v>
          </cell>
        </row>
        <row r="644">
          <cell r="A644" t="str">
            <v>143030</v>
          </cell>
          <cell r="B644" t="str">
            <v>Fechamento e divisória em placas de gesso acartonado, resistência ao fogo 30 minutos, espessura total de 10 cm, com miolo em lã de rocha</v>
          </cell>
          <cell r="C644" t="str">
            <v>m²</v>
          </cell>
          <cell r="D644">
            <v>122.84</v>
          </cell>
          <cell r="E644">
            <v>0</v>
          </cell>
          <cell r="F644">
            <v>122.84</v>
          </cell>
        </row>
        <row r="645">
          <cell r="A645" t="str">
            <v>143031</v>
          </cell>
          <cell r="B645" t="str">
            <v>Fechamento e divisória em placas de gesso acartonado, resistência ao fogo 30 minutos, espessura total de 10 cm</v>
          </cell>
          <cell r="C645" t="str">
            <v>m²</v>
          </cell>
          <cell r="D645">
            <v>93.38</v>
          </cell>
          <cell r="E645">
            <v>0</v>
          </cell>
          <cell r="F645">
            <v>93.38</v>
          </cell>
        </row>
        <row r="646">
          <cell r="A646" t="str">
            <v>143041</v>
          </cell>
          <cell r="B646" t="str">
            <v>Fechamento/divisória em placas de gesso acartonado, resistência a umidade, resistência ao fogo 30 minutos, espessura total de 10 cm, com miolo em lã de rocha</v>
          </cell>
          <cell r="C646" t="str">
            <v>m²</v>
          </cell>
          <cell r="D646">
            <v>154.38</v>
          </cell>
          <cell r="E646">
            <v>0</v>
          </cell>
          <cell r="F646">
            <v>154.38</v>
          </cell>
        </row>
        <row r="647">
          <cell r="A647" t="str">
            <v>143044</v>
          </cell>
          <cell r="B647" t="str">
            <v>Fechamento/divisória em placas duplas de gesso acartonado, resistência ao fogo 60 minutos, espessura total de 12 cm, miolo em lã de vidro</v>
          </cell>
          <cell r="C647" t="str">
            <v>m²</v>
          </cell>
          <cell r="D647">
            <v>143</v>
          </cell>
          <cell r="E647">
            <v>0</v>
          </cell>
          <cell r="F647">
            <v>143</v>
          </cell>
        </row>
        <row r="648">
          <cell r="A648" t="str">
            <v>143086</v>
          </cell>
          <cell r="B648" t="str">
            <v>Divisória em placas de granilite com espessura de 4 cm</v>
          </cell>
          <cell r="C648" t="str">
            <v>m²</v>
          </cell>
          <cell r="D648">
            <v>143.71</v>
          </cell>
          <cell r="E648">
            <v>34.71</v>
          </cell>
          <cell r="F648">
            <v>178.42000000000002</v>
          </cell>
        </row>
        <row r="649">
          <cell r="A649" t="str">
            <v>143087</v>
          </cell>
          <cell r="B649" t="str">
            <v>Divisória em placas duplas de gesso acartonado, sistema ´dry wall´, espessura total de 13 cm, resistência ao fogo de 120 minutos, referência 2RF / 2RF</v>
          </cell>
          <cell r="C649" t="str">
            <v>m²</v>
          </cell>
          <cell r="D649">
            <v>147.18</v>
          </cell>
          <cell r="E649">
            <v>0</v>
          </cell>
          <cell r="F649">
            <v>147.18</v>
          </cell>
        </row>
        <row r="650">
          <cell r="A650" t="str">
            <v>143088</v>
          </cell>
          <cell r="B650" t="str">
            <v>Divisória em placas duplas de gesso acartonado, sistema ´dry wall´, espessura total de 12 cm, resistência ao fogo de 60 minutos, referência 2ST / 2RU</v>
          </cell>
          <cell r="C650" t="str">
            <v>m²</v>
          </cell>
          <cell r="D650">
            <v>119.31</v>
          </cell>
          <cell r="E650">
            <v>0</v>
          </cell>
          <cell r="F650">
            <v>119.31</v>
          </cell>
        </row>
        <row r="651">
          <cell r="A651" t="str">
            <v>143089</v>
          </cell>
          <cell r="B651" t="str">
            <v>Divisória em placas duplas de gesso acartonado, sistema ´dry wall´, espessura total de 12 cm, resistência ao fogo de 60 minutos, referência 2RU / 2RU</v>
          </cell>
          <cell r="C651" t="str">
            <v>m²</v>
          </cell>
          <cell r="D651">
            <v>121.99000000000001</v>
          </cell>
          <cell r="E651">
            <v>0</v>
          </cell>
          <cell r="F651">
            <v>121.99000000000001</v>
          </cell>
        </row>
        <row r="652">
          <cell r="A652" t="str">
            <v>143090</v>
          </cell>
          <cell r="B652" t="str">
            <v>Divisória em placas duplas de gesso acartonado, sistema ´dry wall´, espessura total de 9,8 cm, resistência ao fogo de 60 minutos, referência 2ST / 2ST LM</v>
          </cell>
          <cell r="C652" t="str">
            <v>m²</v>
          </cell>
          <cell r="D652">
            <v>123.67</v>
          </cell>
          <cell r="E652">
            <v>0</v>
          </cell>
          <cell r="F652">
            <v>123.67</v>
          </cell>
        </row>
        <row r="653">
          <cell r="A653" t="str">
            <v>143091</v>
          </cell>
          <cell r="B653" t="str">
            <v>Divisória em placas duplas de gesso acartonado, sistema ´dry wall´, espessura total de 9,8 cm, resistência ao fogo de 60 minutos, referência 2RU / 2RU LM</v>
          </cell>
          <cell r="C653" t="str">
            <v>m²</v>
          </cell>
          <cell r="D653">
            <v>149.25</v>
          </cell>
          <cell r="E653">
            <v>0</v>
          </cell>
          <cell r="F653">
            <v>149.25</v>
          </cell>
        </row>
        <row r="654">
          <cell r="A654" t="str">
            <v>143092</v>
          </cell>
          <cell r="B654" t="str">
            <v>Divisória em placas duplas de gesso acartonado, sistema ´dry wall´, espessura total de 9,8 cm, resistência ao fogo de 60 minutos, referência 2ST / 2RU LM</v>
          </cell>
          <cell r="C654" t="str">
            <v>m²</v>
          </cell>
          <cell r="D654">
            <v>129.55000000000001</v>
          </cell>
          <cell r="E654">
            <v>0</v>
          </cell>
          <cell r="F654">
            <v>129.55000000000001</v>
          </cell>
        </row>
        <row r="655">
          <cell r="A655" t="str">
            <v>144004</v>
          </cell>
          <cell r="B655" t="str">
            <v>Recolocação de divisórias em chapas com montantes metálicos</v>
          </cell>
          <cell r="C655" t="str">
            <v>m²</v>
          </cell>
          <cell r="D655">
            <v>0</v>
          </cell>
          <cell r="E655">
            <v>20.87</v>
          </cell>
          <cell r="F655">
            <v>20.87</v>
          </cell>
        </row>
        <row r="656">
          <cell r="A656" t="str">
            <v>150101</v>
          </cell>
          <cell r="B656" t="str">
            <v>Estrutura de madeira tesourada para telha de barro - vãos até 7,00 m</v>
          </cell>
          <cell r="C656" t="str">
            <v>m²</v>
          </cell>
          <cell r="D656">
            <v>49.58</v>
          </cell>
          <cell r="E656">
            <v>26.09</v>
          </cell>
          <cell r="F656">
            <v>75.67</v>
          </cell>
        </row>
        <row r="657">
          <cell r="A657" t="str">
            <v>150102</v>
          </cell>
          <cell r="B657" t="str">
            <v>Estrutura de madeira tesourada para telha de barro - vãos de 7,01 a 10,00 m</v>
          </cell>
          <cell r="C657" t="str">
            <v>m²</v>
          </cell>
          <cell r="D657">
            <v>53.18</v>
          </cell>
          <cell r="E657">
            <v>27.13</v>
          </cell>
          <cell r="F657">
            <v>80.31</v>
          </cell>
        </row>
        <row r="658">
          <cell r="A658" t="str">
            <v>150103</v>
          </cell>
          <cell r="B658" t="str">
            <v>Estrutura de madeira tesourada para telha de barro - vãos de 10,01 a 13,00 m</v>
          </cell>
          <cell r="C658" t="str">
            <v>m²</v>
          </cell>
          <cell r="D658">
            <v>56.79</v>
          </cell>
          <cell r="E658">
            <v>28.17</v>
          </cell>
          <cell r="F658">
            <v>84.960000000000008</v>
          </cell>
        </row>
        <row r="659">
          <cell r="A659" t="str">
            <v>150104</v>
          </cell>
          <cell r="B659" t="str">
            <v>Estrutura de madeira tesourada para telha de barro - vãos de 13,01 a 18,00 m</v>
          </cell>
          <cell r="C659" t="str">
            <v>m²</v>
          </cell>
          <cell r="D659">
            <v>62.28</v>
          </cell>
          <cell r="E659">
            <v>30.26</v>
          </cell>
          <cell r="F659">
            <v>92.54</v>
          </cell>
        </row>
        <row r="660">
          <cell r="A660" t="str">
            <v>150111</v>
          </cell>
          <cell r="B660" t="str">
            <v>Estrutura de madeira tesourada para telha perfil ondulado - vãos até 7,00 m</v>
          </cell>
          <cell r="C660" t="str">
            <v>m²</v>
          </cell>
          <cell r="D660">
            <v>34.01</v>
          </cell>
          <cell r="E660">
            <v>19.829999999999998</v>
          </cell>
          <cell r="F660">
            <v>53.84</v>
          </cell>
        </row>
        <row r="661">
          <cell r="A661" t="str">
            <v>150112</v>
          </cell>
          <cell r="B661" t="str">
            <v>Estrutura de madeira tesourada para telha perfil ondulado - vãos 7,01 a 10,00 m</v>
          </cell>
          <cell r="C661" t="str">
            <v>m²</v>
          </cell>
          <cell r="D661">
            <v>37.619999999999997</v>
          </cell>
          <cell r="E661">
            <v>20.87</v>
          </cell>
          <cell r="F661">
            <v>58.49</v>
          </cell>
        </row>
        <row r="662">
          <cell r="A662" t="str">
            <v>150113</v>
          </cell>
          <cell r="B662" t="str">
            <v>Estrutura de madeira tesourada para telha perfil ondulado - vãos 10,01 a 13,00 m</v>
          </cell>
          <cell r="C662" t="str">
            <v>m²</v>
          </cell>
          <cell r="D662">
            <v>41.22</v>
          </cell>
          <cell r="E662">
            <v>21.91</v>
          </cell>
          <cell r="F662">
            <v>63.13</v>
          </cell>
        </row>
        <row r="663">
          <cell r="A663" t="str">
            <v>150114</v>
          </cell>
          <cell r="B663" t="str">
            <v>Estrutura de madeira tesourada para telha perfil ondulado - vãos 13,01 a 18,00 m</v>
          </cell>
          <cell r="C663" t="str">
            <v>m²</v>
          </cell>
          <cell r="D663">
            <v>44.99</v>
          </cell>
          <cell r="E663">
            <v>24</v>
          </cell>
          <cell r="F663">
            <v>68.989999999999995</v>
          </cell>
        </row>
        <row r="664">
          <cell r="A664" t="str">
            <v>150121</v>
          </cell>
          <cell r="B664" t="str">
            <v>Estrutura pontaletada para telhas de barro</v>
          </cell>
          <cell r="C664" t="str">
            <v>m²</v>
          </cell>
          <cell r="D664">
            <v>37.32</v>
          </cell>
          <cell r="E664">
            <v>25.04</v>
          </cell>
          <cell r="F664">
            <v>62.36</v>
          </cell>
        </row>
        <row r="665">
          <cell r="A665" t="str">
            <v>150122</v>
          </cell>
          <cell r="B665" t="str">
            <v>Estrutura pontaletada para telhas onduladas</v>
          </cell>
          <cell r="C665" t="str">
            <v>m²</v>
          </cell>
          <cell r="D665">
            <v>28.1</v>
          </cell>
          <cell r="E665">
            <v>18.78</v>
          </cell>
          <cell r="F665">
            <v>46.88</v>
          </cell>
        </row>
        <row r="666">
          <cell r="A666" t="str">
            <v>150131</v>
          </cell>
          <cell r="B666" t="str">
            <v>Estrutura em terças para telhas de barro</v>
          </cell>
          <cell r="C666" t="str">
            <v>m²</v>
          </cell>
          <cell r="D666">
            <v>34.68</v>
          </cell>
          <cell r="E666">
            <v>13.57</v>
          </cell>
          <cell r="F666">
            <v>48.25</v>
          </cell>
        </row>
        <row r="667">
          <cell r="A667" t="str">
            <v>150132</v>
          </cell>
          <cell r="B667" t="str">
            <v>Estrutura em terças para telhas perfil e material qualquer, exceto barro</v>
          </cell>
          <cell r="C667" t="str">
            <v>m²</v>
          </cell>
          <cell r="D667">
            <v>10.57</v>
          </cell>
          <cell r="E667">
            <v>2.66</v>
          </cell>
          <cell r="F667">
            <v>13.23</v>
          </cell>
        </row>
        <row r="668">
          <cell r="A668" t="str">
            <v>150133</v>
          </cell>
          <cell r="B668" t="str">
            <v>Estrutura em terças para telhas perfil trapezoidal</v>
          </cell>
          <cell r="C668" t="str">
            <v>m²</v>
          </cell>
          <cell r="D668">
            <v>6.62</v>
          </cell>
          <cell r="E668">
            <v>2.66</v>
          </cell>
          <cell r="F668">
            <v>9.2799999999999994</v>
          </cell>
        </row>
        <row r="669">
          <cell r="A669" t="str">
            <v>150303</v>
          </cell>
          <cell r="B669" t="str">
            <v>Fornecimento e montagem de estrutura em aço ASTM-A36, sem pintura</v>
          </cell>
          <cell r="C669" t="str">
            <v>kg</v>
          </cell>
          <cell r="D669">
            <v>11.9</v>
          </cell>
          <cell r="E669">
            <v>0</v>
          </cell>
          <cell r="F669">
            <v>11.9</v>
          </cell>
        </row>
        <row r="670">
          <cell r="A670" t="str">
            <v>150311</v>
          </cell>
          <cell r="B670" t="str">
            <v>Fornecimento e montagem de estrutura em aço patinável, sem pintura</v>
          </cell>
          <cell r="C670" t="str">
            <v>kg</v>
          </cell>
          <cell r="D670">
            <v>14.58</v>
          </cell>
          <cell r="E670">
            <v>0</v>
          </cell>
          <cell r="F670">
            <v>14.58</v>
          </cell>
        </row>
        <row r="671">
          <cell r="A671" t="str">
            <v>150529</v>
          </cell>
          <cell r="B671" t="str">
            <v>Placas, vigas e pilares em concreto armado pré-moldado - fck= 40 MPa</v>
          </cell>
          <cell r="C671" t="str">
            <v>m³</v>
          </cell>
          <cell r="D671">
            <v>1252.5999999999999</v>
          </cell>
          <cell r="E671">
            <v>338.45</v>
          </cell>
          <cell r="F671">
            <v>1591.05</v>
          </cell>
        </row>
        <row r="672">
          <cell r="A672" t="str">
            <v>150530</v>
          </cell>
          <cell r="B672" t="str">
            <v>Mobiliário em concreto armado pré-moldado - fck= 40 MPa</v>
          </cell>
          <cell r="C672" t="str">
            <v>m³</v>
          </cell>
          <cell r="D672">
            <v>1254.33</v>
          </cell>
          <cell r="E672">
            <v>398.52</v>
          </cell>
          <cell r="F672">
            <v>1652.8500000000001</v>
          </cell>
        </row>
        <row r="673">
          <cell r="A673" t="str">
            <v>150552</v>
          </cell>
          <cell r="B673" t="str">
            <v>Placas, vigas e pilares em concreto armado, pré-moldado - fck= 35 MPa</v>
          </cell>
          <cell r="C673" t="str">
            <v>m³</v>
          </cell>
          <cell r="D673">
            <v>1005.82</v>
          </cell>
          <cell r="E673">
            <v>302.79000000000002</v>
          </cell>
          <cell r="F673">
            <v>1308.6099999999999</v>
          </cell>
        </row>
        <row r="674">
          <cell r="A674" t="str">
            <v>150553</v>
          </cell>
          <cell r="B674" t="str">
            <v>Placas, vigas e pilares em concreto armado, pré-moldado - fck= 25 MPa</v>
          </cell>
          <cell r="C674" t="str">
            <v>m³</v>
          </cell>
          <cell r="D674">
            <v>966.55000000000007</v>
          </cell>
          <cell r="E674">
            <v>302.79000000000002</v>
          </cell>
          <cell r="F674">
            <v>1269.3399999999999</v>
          </cell>
        </row>
        <row r="675">
          <cell r="A675" t="str">
            <v>150554</v>
          </cell>
          <cell r="B675" t="str">
            <v>Mobiliário em concreto armado, pré-moldado - fck= 25 MPa</v>
          </cell>
          <cell r="C675" t="str">
            <v>m³</v>
          </cell>
          <cell r="D675">
            <v>1070.43</v>
          </cell>
          <cell r="E675">
            <v>362.15000000000003</v>
          </cell>
          <cell r="F675">
            <v>1432.58</v>
          </cell>
        </row>
        <row r="676">
          <cell r="A676" t="str">
            <v>152002</v>
          </cell>
          <cell r="B676" t="str">
            <v>Fornecimento de peças diversas para estrutura em madeira</v>
          </cell>
          <cell r="C676" t="str">
            <v>m³</v>
          </cell>
          <cell r="D676">
            <v>1733.69</v>
          </cell>
          <cell r="E676">
            <v>626.1</v>
          </cell>
          <cell r="F676">
            <v>2359.79</v>
          </cell>
        </row>
        <row r="677">
          <cell r="A677" t="str">
            <v>152004</v>
          </cell>
          <cell r="B677" t="str">
            <v>Recolocação de peças lineares em madeira com seção até 60 cm²</v>
          </cell>
          <cell r="C677" t="str">
            <v>m</v>
          </cell>
          <cell r="D677">
            <v>0.05</v>
          </cell>
          <cell r="E677">
            <v>2.93</v>
          </cell>
          <cell r="F677">
            <v>2.98</v>
          </cell>
        </row>
        <row r="678">
          <cell r="A678" t="str">
            <v>152006</v>
          </cell>
          <cell r="B678" t="str">
            <v>Recolocação de peças lineares em madeira com seção superior a 60 cm²</v>
          </cell>
          <cell r="C678" t="str">
            <v>m</v>
          </cell>
          <cell r="D678">
            <v>0.13</v>
          </cell>
          <cell r="E678">
            <v>7.72</v>
          </cell>
          <cell r="F678">
            <v>7.8500000000000005</v>
          </cell>
        </row>
        <row r="679">
          <cell r="A679" t="str">
            <v>160201</v>
          </cell>
          <cell r="B679" t="str">
            <v>Telha de barro tipo italiana</v>
          </cell>
          <cell r="C679" t="str">
            <v>m²</v>
          </cell>
          <cell r="D679">
            <v>18.88</v>
          </cell>
          <cell r="E679">
            <v>14.86</v>
          </cell>
          <cell r="F679">
            <v>33.74</v>
          </cell>
        </row>
        <row r="680">
          <cell r="A680" t="str">
            <v>160202</v>
          </cell>
          <cell r="B680" t="str">
            <v>Telha de barro tipo francesa</v>
          </cell>
          <cell r="C680" t="str">
            <v>m²</v>
          </cell>
          <cell r="D680">
            <v>25.12</v>
          </cell>
          <cell r="E680">
            <v>14.86</v>
          </cell>
          <cell r="F680">
            <v>39.979999999999997</v>
          </cell>
        </row>
        <row r="681">
          <cell r="A681" t="str">
            <v>160203</v>
          </cell>
          <cell r="B681" t="str">
            <v>Telha de barro tipo romana</v>
          </cell>
          <cell r="C681" t="str">
            <v>m²</v>
          </cell>
          <cell r="D681">
            <v>16.8</v>
          </cell>
          <cell r="E681">
            <v>14.86</v>
          </cell>
          <cell r="F681">
            <v>31.66</v>
          </cell>
        </row>
        <row r="682">
          <cell r="A682" t="str">
            <v>160206</v>
          </cell>
          <cell r="B682" t="str">
            <v>Telha de barro tipo plan</v>
          </cell>
          <cell r="C682" t="str">
            <v>m²</v>
          </cell>
          <cell r="D682">
            <v>38.07</v>
          </cell>
          <cell r="E682">
            <v>22.29</v>
          </cell>
          <cell r="F682">
            <v>60.36</v>
          </cell>
        </row>
        <row r="683">
          <cell r="A683" t="str">
            <v>160212</v>
          </cell>
          <cell r="B683" t="str">
            <v>Emboçamento de beiral em telhas de barro</v>
          </cell>
          <cell r="C683" t="str">
            <v>m</v>
          </cell>
          <cell r="D683">
            <v>0.44</v>
          </cell>
          <cell r="E683">
            <v>6.87</v>
          </cell>
          <cell r="F683">
            <v>7.3100000000000005</v>
          </cell>
        </row>
        <row r="684">
          <cell r="A684" t="str">
            <v>160223</v>
          </cell>
          <cell r="B684" t="str">
            <v>Cumeeira de barro emboçado tipos: plan, romana, italiana, francesa e paulistinha</v>
          </cell>
          <cell r="C684" t="str">
            <v>m</v>
          </cell>
          <cell r="D684">
            <v>5.83</v>
          </cell>
          <cell r="E684">
            <v>8.17</v>
          </cell>
          <cell r="F684">
            <v>14</v>
          </cell>
        </row>
        <row r="685">
          <cell r="A685" t="str">
            <v>160227</v>
          </cell>
          <cell r="B685" t="str">
            <v>Espigão de barro emboçado</v>
          </cell>
          <cell r="C685" t="str">
            <v>m</v>
          </cell>
          <cell r="D685">
            <v>8.58</v>
          </cell>
          <cell r="E685">
            <v>8.17</v>
          </cell>
          <cell r="F685">
            <v>16.75</v>
          </cell>
        </row>
        <row r="686">
          <cell r="A686" t="str">
            <v>160301</v>
          </cell>
          <cell r="B686" t="str">
            <v>Telhamento em cimento reforçado com fio sintético CRFS - perfil ondulado de 6 mm</v>
          </cell>
          <cell r="C686" t="str">
            <v>m²</v>
          </cell>
          <cell r="D686">
            <v>19.8</v>
          </cell>
          <cell r="E686">
            <v>8.17</v>
          </cell>
          <cell r="F686">
            <v>27.97</v>
          </cell>
        </row>
        <row r="687">
          <cell r="A687" t="str">
            <v>160302</v>
          </cell>
          <cell r="B687" t="str">
            <v>Telhamento em cimento reforçado com fio sintético CRFS - perfil ondulado de 8 mm</v>
          </cell>
          <cell r="C687" t="str">
            <v>m²</v>
          </cell>
          <cell r="D687">
            <v>25.71</v>
          </cell>
          <cell r="E687">
            <v>8.17</v>
          </cell>
          <cell r="F687">
            <v>33.880000000000003</v>
          </cell>
        </row>
        <row r="688">
          <cell r="A688" t="str">
            <v>160303</v>
          </cell>
          <cell r="B688" t="str">
            <v>Telhamento em cimento reforçado com fio sintético CRFS - perfil trapezoidal de 44 cm</v>
          </cell>
          <cell r="C688" t="str">
            <v>m²</v>
          </cell>
          <cell r="D688">
            <v>55.03</v>
          </cell>
          <cell r="E688">
            <v>8.17</v>
          </cell>
          <cell r="F688">
            <v>63.2</v>
          </cell>
        </row>
        <row r="689">
          <cell r="A689" t="str">
            <v>160304</v>
          </cell>
          <cell r="B689" t="str">
            <v>Telhamento em cimento reforçado com fio sintético CRFS - perfil modulado</v>
          </cell>
          <cell r="C689" t="str">
            <v>m²</v>
          </cell>
          <cell r="D689">
            <v>54.71</v>
          </cell>
          <cell r="E689">
            <v>8.17</v>
          </cell>
          <cell r="F689">
            <v>62.88</v>
          </cell>
        </row>
        <row r="690">
          <cell r="A690" t="str">
            <v>160330</v>
          </cell>
          <cell r="B690" t="str">
            <v>Cumeeira normal em cimento reforçado com fio sintético CRFS - perfil ondulado</v>
          </cell>
          <cell r="C690" t="str">
            <v>m</v>
          </cell>
          <cell r="D690">
            <v>31.96</v>
          </cell>
          <cell r="E690">
            <v>4.08</v>
          </cell>
          <cell r="F690">
            <v>36.04</v>
          </cell>
        </row>
        <row r="691">
          <cell r="A691" t="str">
            <v>160331</v>
          </cell>
          <cell r="B691" t="str">
            <v>Cumeeira universal em cimento reforçado com fio sintético CRFS - perfil ondulado</v>
          </cell>
          <cell r="C691" t="str">
            <v>m</v>
          </cell>
          <cell r="D691">
            <v>27.740000000000002</v>
          </cell>
          <cell r="E691">
            <v>4.08</v>
          </cell>
          <cell r="F691">
            <v>31.82</v>
          </cell>
        </row>
        <row r="692">
          <cell r="A692" t="str">
            <v>160332</v>
          </cell>
          <cell r="B692" t="str">
            <v>Cumeeira normal em cimento reforçado com fio sintético CRFS - perfil trapezoidal 44 cm</v>
          </cell>
          <cell r="C692" t="str">
            <v>m</v>
          </cell>
          <cell r="D692">
            <v>41.1</v>
          </cell>
          <cell r="E692">
            <v>4.08</v>
          </cell>
          <cell r="F692">
            <v>45.18</v>
          </cell>
        </row>
        <row r="693">
          <cell r="A693" t="str">
            <v>160333</v>
          </cell>
          <cell r="B693" t="str">
            <v>Cumeeira normal em cimento reforçado com fio sintético CRFS - perfil modulado</v>
          </cell>
          <cell r="C693" t="str">
            <v>m</v>
          </cell>
          <cell r="D693">
            <v>60.230000000000004</v>
          </cell>
          <cell r="E693">
            <v>4.08</v>
          </cell>
          <cell r="F693">
            <v>64.31</v>
          </cell>
        </row>
        <row r="694">
          <cell r="A694" t="str">
            <v>160336</v>
          </cell>
          <cell r="B694" t="str">
            <v>Espigão em cimento reforçado com fio sintético CRFS - perfil ondulado</v>
          </cell>
          <cell r="C694" t="str">
            <v>m</v>
          </cell>
          <cell r="D694">
            <v>20.41</v>
          </cell>
          <cell r="E694">
            <v>4.08</v>
          </cell>
          <cell r="F694">
            <v>24.490000000000002</v>
          </cell>
        </row>
        <row r="695">
          <cell r="A695" t="str">
            <v>160337</v>
          </cell>
          <cell r="B695" t="str">
            <v>Espigão em cimento reforçado com fio sintético CRFS - perfil modulado</v>
          </cell>
          <cell r="C695" t="str">
            <v>m</v>
          </cell>
          <cell r="D695">
            <v>27.740000000000002</v>
          </cell>
          <cell r="E695">
            <v>4.08</v>
          </cell>
          <cell r="F695">
            <v>31.82</v>
          </cell>
        </row>
        <row r="696">
          <cell r="A696" t="str">
            <v>160340</v>
          </cell>
          <cell r="B696" t="str">
            <v>Rufo em cimento reforçado com fio sintético CRFS - perfil ondulado</v>
          </cell>
          <cell r="C696" t="str">
            <v>m</v>
          </cell>
          <cell r="D696">
            <v>23.06</v>
          </cell>
          <cell r="E696">
            <v>4.08</v>
          </cell>
          <cell r="F696">
            <v>27.14</v>
          </cell>
        </row>
        <row r="697">
          <cell r="A697" t="str">
            <v>161002</v>
          </cell>
          <cell r="B697" t="str">
            <v>Telha em fibra vegetal, perfil ondulado com espessura de 3 mm</v>
          </cell>
          <cell r="C697" t="str">
            <v>m²</v>
          </cell>
          <cell r="D697">
            <v>29.650000000000002</v>
          </cell>
          <cell r="E697">
            <v>13.280000000000001</v>
          </cell>
          <cell r="F697">
            <v>42.93</v>
          </cell>
        </row>
        <row r="698">
          <cell r="A698" t="str">
            <v>161010</v>
          </cell>
          <cell r="B698" t="str">
            <v>Cumeeira em fibra vegetal, lisa com espessura de 3 mm</v>
          </cell>
          <cell r="C698" t="str">
            <v>m</v>
          </cell>
          <cell r="D698">
            <v>53.75</v>
          </cell>
          <cell r="E698">
            <v>4.5</v>
          </cell>
          <cell r="F698">
            <v>58.25</v>
          </cell>
        </row>
        <row r="699">
          <cell r="A699" t="str">
            <v>161202</v>
          </cell>
          <cell r="B699" t="str">
            <v>Telhamento em chapa de aço pré-pintada com epóxi e poliéster, perfil ondulado, com espessura de 0,50 mm</v>
          </cell>
          <cell r="C699" t="str">
            <v>m²</v>
          </cell>
          <cell r="D699">
            <v>44.02</v>
          </cell>
          <cell r="E699">
            <v>8.17</v>
          </cell>
          <cell r="F699">
            <v>52.19</v>
          </cell>
        </row>
        <row r="700">
          <cell r="A700" t="str">
            <v>161204</v>
          </cell>
          <cell r="B700" t="str">
            <v>Telhamento em chapa de aço pré-pintada com epóxi e poliéster, perfil ondulado calandrado, com espessura de 0,80 mm</v>
          </cell>
          <cell r="C700" t="str">
            <v>m²</v>
          </cell>
          <cell r="D700">
            <v>73.69</v>
          </cell>
          <cell r="E700">
            <v>8.17</v>
          </cell>
          <cell r="F700">
            <v>81.86</v>
          </cell>
        </row>
        <row r="701">
          <cell r="A701" t="str">
            <v>161205</v>
          </cell>
          <cell r="B701" t="str">
            <v>Telhamento em chapa de aço pré-pintada com epóxi e poliéster, perfil trapezoidal, com espessura de 0,80 mm e altura de 100 mm</v>
          </cell>
          <cell r="C701" t="str">
            <v>m²</v>
          </cell>
          <cell r="D701">
            <v>58.72</v>
          </cell>
          <cell r="E701">
            <v>8.17</v>
          </cell>
          <cell r="F701">
            <v>66.89</v>
          </cell>
        </row>
        <row r="702">
          <cell r="A702" t="str">
            <v>161206</v>
          </cell>
          <cell r="B702" t="str">
            <v>Telhamento em chapa de aço pré-pintada com epóxi e poliéster, perfil trapezoidal, com espessura de 0,50 mm e altura 40 mm</v>
          </cell>
          <cell r="C702" t="str">
            <v>m²</v>
          </cell>
          <cell r="D702">
            <v>44.07</v>
          </cell>
          <cell r="E702">
            <v>8.17</v>
          </cell>
          <cell r="F702">
            <v>52.24</v>
          </cell>
        </row>
        <row r="703">
          <cell r="A703" t="str">
            <v>161220</v>
          </cell>
          <cell r="B703" t="str">
            <v>Cumeeira em chapa de aço pré-pintada com epóxi e poliéster, perfil trapezoidal, com espessura de 0,50 mm</v>
          </cell>
          <cell r="C703" t="str">
            <v>m</v>
          </cell>
          <cell r="D703">
            <v>33.47</v>
          </cell>
          <cell r="E703">
            <v>4.08</v>
          </cell>
          <cell r="F703">
            <v>37.549999999999997</v>
          </cell>
        </row>
        <row r="704">
          <cell r="A704" t="str">
            <v>161222</v>
          </cell>
          <cell r="B704" t="str">
            <v>Cumeeira em chapa de aço pré-pintada com epóxi e poliéster, perfil ondulado, com espessura de 0,50 mm</v>
          </cell>
          <cell r="C704" t="str">
            <v>m</v>
          </cell>
          <cell r="D704">
            <v>33.29</v>
          </cell>
          <cell r="E704">
            <v>4.08</v>
          </cell>
          <cell r="F704">
            <v>37.369999999999997</v>
          </cell>
        </row>
        <row r="705">
          <cell r="A705" t="str">
            <v>161306</v>
          </cell>
          <cell r="B705" t="str">
            <v>Telhamento em chapa de aço pré-pintada com epóxi e poliéster, tipo sanduiche, espessura de 0,50 mm, com lã de rocha</v>
          </cell>
          <cell r="C705" t="str">
            <v>m²</v>
          </cell>
          <cell r="D705">
            <v>72.099999999999994</v>
          </cell>
          <cell r="E705">
            <v>20.62</v>
          </cell>
          <cell r="F705">
            <v>92.72</v>
          </cell>
        </row>
        <row r="706">
          <cell r="A706" t="str">
            <v>161307</v>
          </cell>
          <cell r="B706" t="str">
            <v>Telhamento em chapa de aço pré-pintada com epóxi e poliéster, tipo sanduiche, espessura de 0,50 mm, com poliuretano</v>
          </cell>
          <cell r="C706" t="str">
            <v>m²</v>
          </cell>
          <cell r="D706">
            <v>69.3</v>
          </cell>
          <cell r="E706">
            <v>8.92</v>
          </cell>
          <cell r="F706">
            <v>78.22</v>
          </cell>
        </row>
        <row r="707">
          <cell r="A707" t="str">
            <v>161313</v>
          </cell>
          <cell r="B707" t="str">
            <v>Telhamento em chapa de aço com pintura poliéster, tipo sanduíche, espessura de 0,50 mm, com poliestireno expandido</v>
          </cell>
          <cell r="C707" t="str">
            <v>m²</v>
          </cell>
          <cell r="D707">
            <v>70.78</v>
          </cell>
          <cell r="E707">
            <v>8.92</v>
          </cell>
          <cell r="F707">
            <v>79.7</v>
          </cell>
        </row>
        <row r="708">
          <cell r="A708" t="str">
            <v>161314</v>
          </cell>
          <cell r="B708" t="str">
            <v>Telhamento em chapa de aço galvanizado autoportante, perfil trapezoidal, com espessura de 0,80 mm e altura de 120 mm</v>
          </cell>
          <cell r="C708" t="str">
            <v>m²</v>
          </cell>
          <cell r="D708">
            <v>47.4</v>
          </cell>
          <cell r="E708">
            <v>8.17</v>
          </cell>
          <cell r="F708">
            <v>55.57</v>
          </cell>
        </row>
        <row r="709">
          <cell r="A709" t="str">
            <v>161604</v>
          </cell>
          <cell r="B709" t="str">
            <v>Telha ondulada translúcida em polipropileno</v>
          </cell>
          <cell r="C709" t="str">
            <v>m²</v>
          </cell>
          <cell r="D709">
            <v>34.659999999999997</v>
          </cell>
          <cell r="E709">
            <v>8.17</v>
          </cell>
          <cell r="F709">
            <v>42.83</v>
          </cell>
        </row>
        <row r="710">
          <cell r="A710" t="str">
            <v>161616</v>
          </cell>
          <cell r="B710" t="str">
            <v>Telha em poliéster reforçado com fibras de vidro, perfil trapezoidal 49</v>
          </cell>
          <cell r="C710" t="str">
            <v>m²</v>
          </cell>
          <cell r="D710">
            <v>60.82</v>
          </cell>
          <cell r="E710">
            <v>8.17</v>
          </cell>
          <cell r="F710">
            <v>68.989999999999995</v>
          </cell>
        </row>
        <row r="711">
          <cell r="A711" t="str">
            <v>161618</v>
          </cell>
          <cell r="B711" t="str">
            <v>Telha em poliéster reforçado com fibras de vidro, perfil trapezoidal 90</v>
          </cell>
          <cell r="C711" t="str">
            <v>m²</v>
          </cell>
          <cell r="D711">
            <v>74.349999999999994</v>
          </cell>
          <cell r="E711">
            <v>8.17</v>
          </cell>
          <cell r="F711">
            <v>82.52</v>
          </cell>
        </row>
        <row r="712">
          <cell r="A712" t="str">
            <v>161640</v>
          </cell>
          <cell r="B712" t="str">
            <v>Cumeeira para telha de poliéster perfil trapezoidal 49</v>
          </cell>
          <cell r="C712" t="str">
            <v>m</v>
          </cell>
          <cell r="D712">
            <v>102.62</v>
          </cell>
          <cell r="E712">
            <v>4.08</v>
          </cell>
          <cell r="F712">
            <v>106.7</v>
          </cell>
        </row>
        <row r="713">
          <cell r="A713" t="str">
            <v>161642</v>
          </cell>
          <cell r="B713" t="str">
            <v>Cumeeira para telha de poliéster perfil trapezoidal 90</v>
          </cell>
          <cell r="C713" t="str">
            <v>m</v>
          </cell>
          <cell r="D713">
            <v>131.02000000000001</v>
          </cell>
          <cell r="E713">
            <v>4.08</v>
          </cell>
          <cell r="F713">
            <v>135.1</v>
          </cell>
        </row>
        <row r="714">
          <cell r="A714" t="str">
            <v>162002</v>
          </cell>
          <cell r="B714" t="str">
            <v>Telhas de vidro para iluminação tipo francesa</v>
          </cell>
          <cell r="C714" t="str">
            <v>un</v>
          </cell>
          <cell r="D714">
            <v>32.15</v>
          </cell>
          <cell r="E714">
            <v>2.04</v>
          </cell>
          <cell r="F714">
            <v>34.19</v>
          </cell>
        </row>
        <row r="715">
          <cell r="A715" t="str">
            <v>162003</v>
          </cell>
          <cell r="B715" t="str">
            <v>Telhas de vidro para iluminação tipo italiana</v>
          </cell>
          <cell r="C715" t="str">
            <v>un</v>
          </cell>
          <cell r="D715">
            <v>40.700000000000003</v>
          </cell>
          <cell r="E715">
            <v>2.04</v>
          </cell>
          <cell r="F715">
            <v>42.74</v>
          </cell>
        </row>
        <row r="716">
          <cell r="A716" t="str">
            <v>162004</v>
          </cell>
          <cell r="B716" t="str">
            <v>Telhas de vidro para iluminação tipo colonial/paulistinha</v>
          </cell>
          <cell r="C716" t="str">
            <v>un</v>
          </cell>
          <cell r="D716">
            <v>32.15</v>
          </cell>
          <cell r="E716">
            <v>2.04</v>
          </cell>
          <cell r="F716">
            <v>34.19</v>
          </cell>
        </row>
        <row r="717">
          <cell r="A717" t="str">
            <v>163002</v>
          </cell>
          <cell r="B717" t="str">
            <v>Domo de acrílico fixado em perfis de alumínio</v>
          </cell>
          <cell r="C717" t="str">
            <v>m²</v>
          </cell>
          <cell r="D717">
            <v>367.73</v>
          </cell>
          <cell r="E717">
            <v>0</v>
          </cell>
          <cell r="F717">
            <v>367.73</v>
          </cell>
        </row>
        <row r="718">
          <cell r="A718" t="str">
            <v>163204</v>
          </cell>
          <cell r="B718" t="str">
            <v>Cobertura curva em chapa de policarbonato compacta de 6 mm</v>
          </cell>
          <cell r="C718" t="str">
            <v>m²</v>
          </cell>
          <cell r="D718">
            <v>84.77</v>
          </cell>
          <cell r="E718">
            <v>39.17</v>
          </cell>
          <cell r="F718">
            <v>123.94</v>
          </cell>
        </row>
        <row r="719">
          <cell r="A719" t="str">
            <v>163212</v>
          </cell>
          <cell r="B719" t="str">
            <v>Cobertura plana em policarbonato alveolar 10 mm</v>
          </cell>
          <cell r="C719" t="str">
            <v>m²</v>
          </cell>
          <cell r="D719">
            <v>101.79</v>
          </cell>
          <cell r="E719">
            <v>35.26</v>
          </cell>
          <cell r="F719">
            <v>137.05000000000001</v>
          </cell>
        </row>
        <row r="720">
          <cell r="A720" t="str">
            <v>163213</v>
          </cell>
          <cell r="B720" t="str">
            <v>Cobertura curva em policarbonato alveolar bronze 10 mm</v>
          </cell>
          <cell r="C720" t="str">
            <v>m²</v>
          </cell>
          <cell r="D720">
            <v>101.79</v>
          </cell>
          <cell r="E720">
            <v>39.17</v>
          </cell>
          <cell r="F720">
            <v>140.96</v>
          </cell>
        </row>
        <row r="721">
          <cell r="A721" t="str">
            <v>163302</v>
          </cell>
          <cell r="B721" t="str">
            <v>Calha, rufo, afins em chapa galvanizada nº 24 - corte 0,33 m</v>
          </cell>
          <cell r="C721" t="str">
            <v>m</v>
          </cell>
          <cell r="D721">
            <v>20.61</v>
          </cell>
          <cell r="E721">
            <v>22.46</v>
          </cell>
          <cell r="F721">
            <v>43.07</v>
          </cell>
        </row>
        <row r="722">
          <cell r="A722" t="str">
            <v>163304</v>
          </cell>
          <cell r="B722" t="str">
            <v>Calha, rufo, afins em chapa galvanizada nº 24 - corte 0,50 m</v>
          </cell>
          <cell r="C722" t="str">
            <v>m</v>
          </cell>
          <cell r="D722">
            <v>31.63</v>
          </cell>
          <cell r="E722">
            <v>28.59</v>
          </cell>
          <cell r="F722">
            <v>60.22</v>
          </cell>
        </row>
        <row r="723">
          <cell r="A723" t="str">
            <v>163306</v>
          </cell>
          <cell r="B723" t="str">
            <v>Calha, rufo, afins em chapa galvanizada nº 24 - corte 1,00 m</v>
          </cell>
          <cell r="C723" t="str">
            <v>m</v>
          </cell>
          <cell r="D723">
            <v>63.440000000000005</v>
          </cell>
          <cell r="E723">
            <v>34.71</v>
          </cell>
          <cell r="F723">
            <v>98.15</v>
          </cell>
        </row>
        <row r="724">
          <cell r="A724" t="str">
            <v>163308</v>
          </cell>
          <cell r="B724" t="str">
            <v>Calha, rufo, afins em chapa galvanizada nº 26 - corte 0,33 m</v>
          </cell>
          <cell r="C724" t="str">
            <v>m</v>
          </cell>
          <cell r="D724">
            <v>16.97</v>
          </cell>
          <cell r="E724">
            <v>22.46</v>
          </cell>
          <cell r="F724">
            <v>39.43</v>
          </cell>
        </row>
        <row r="725">
          <cell r="A725" t="str">
            <v>163310</v>
          </cell>
          <cell r="B725" t="str">
            <v>Calha, rufo, afins em chapa galvanizada nº 26 - corte 0,50 m</v>
          </cell>
          <cell r="C725" t="str">
            <v>m</v>
          </cell>
          <cell r="D725">
            <v>26.36</v>
          </cell>
          <cell r="E725">
            <v>28.59</v>
          </cell>
          <cell r="F725">
            <v>54.95</v>
          </cell>
        </row>
        <row r="726">
          <cell r="A726" t="str">
            <v>163340</v>
          </cell>
          <cell r="B726" t="str">
            <v>Rufo pré-moldado em concreto, de 14 x 50 x 18,5 cm</v>
          </cell>
          <cell r="C726" t="str">
            <v>un</v>
          </cell>
          <cell r="D726">
            <v>6.21</v>
          </cell>
          <cell r="E726">
            <v>0.68</v>
          </cell>
          <cell r="F726">
            <v>6.8900000000000006</v>
          </cell>
        </row>
        <row r="727">
          <cell r="A727" t="str">
            <v>163341</v>
          </cell>
          <cell r="B727" t="str">
            <v>Rufo pré-moldado em concreto, de 20 x 50 x 26 cm</v>
          </cell>
          <cell r="C727" t="str">
            <v>un</v>
          </cell>
          <cell r="D727">
            <v>7.32</v>
          </cell>
          <cell r="E727">
            <v>0.97</v>
          </cell>
          <cell r="F727">
            <v>8.2899999999999991</v>
          </cell>
        </row>
        <row r="728">
          <cell r="A728" t="str">
            <v>164004</v>
          </cell>
          <cell r="B728" t="str">
            <v>Recolocação de cumeeiras e espigões de barro</v>
          </cell>
          <cell r="C728" t="str">
            <v>m</v>
          </cell>
          <cell r="D728">
            <v>1.18</v>
          </cell>
          <cell r="E728">
            <v>8.58</v>
          </cell>
          <cell r="F728">
            <v>9.76</v>
          </cell>
        </row>
        <row r="729">
          <cell r="A729" t="str">
            <v>164006</v>
          </cell>
          <cell r="B729" t="str">
            <v>Recolocação de telha de barro tipo colonial/paulistinha</v>
          </cell>
          <cell r="C729" t="str">
            <v>m²</v>
          </cell>
          <cell r="D729">
            <v>0</v>
          </cell>
          <cell r="E729">
            <v>23.39</v>
          </cell>
          <cell r="F729">
            <v>23.39</v>
          </cell>
        </row>
        <row r="730">
          <cell r="A730" t="str">
            <v>164008</v>
          </cell>
          <cell r="B730" t="str">
            <v>Recolocação de telha de barro tipo plan</v>
          </cell>
          <cell r="C730" t="str">
            <v>m²</v>
          </cell>
          <cell r="D730">
            <v>0</v>
          </cell>
          <cell r="E730">
            <v>23.39</v>
          </cell>
          <cell r="F730">
            <v>23.39</v>
          </cell>
        </row>
        <row r="731">
          <cell r="A731" t="str">
            <v>164009</v>
          </cell>
          <cell r="B731" t="str">
            <v>Recolocação de domo de acrílico, inclusive perfis metálicos de fixação</v>
          </cell>
          <cell r="C731" t="str">
            <v>m²</v>
          </cell>
          <cell r="D731">
            <v>0</v>
          </cell>
          <cell r="E731">
            <v>10.74</v>
          </cell>
          <cell r="F731">
            <v>10.74</v>
          </cell>
        </row>
        <row r="732">
          <cell r="A732" t="str">
            <v>164012</v>
          </cell>
          <cell r="B732" t="str">
            <v>Recolocação de telhas de barro tipo francesa</v>
          </cell>
          <cell r="C732" t="str">
            <v>m²</v>
          </cell>
          <cell r="D732">
            <v>0</v>
          </cell>
          <cell r="E732">
            <v>15.59</v>
          </cell>
          <cell r="F732">
            <v>15.59</v>
          </cell>
        </row>
        <row r="733">
          <cell r="A733" t="str">
            <v>164014</v>
          </cell>
          <cell r="B733" t="str">
            <v>Recolocação de telha em fibrocimento ou CRFS, perfil ondulado</v>
          </cell>
          <cell r="C733" t="str">
            <v>m²</v>
          </cell>
          <cell r="D733">
            <v>1.18</v>
          </cell>
          <cell r="E733">
            <v>8.17</v>
          </cell>
          <cell r="F733">
            <v>9.35</v>
          </cell>
        </row>
        <row r="734">
          <cell r="A734" t="str">
            <v>164015</v>
          </cell>
          <cell r="B734" t="str">
            <v>Recolocação de telha em fibrocimento ou CRFS, perfil modulado, trapezoidal ou maxplac</v>
          </cell>
          <cell r="C734" t="str">
            <v>m²</v>
          </cell>
          <cell r="D734">
            <v>3.54</v>
          </cell>
          <cell r="E734">
            <v>8.17</v>
          </cell>
          <cell r="F734">
            <v>11.71</v>
          </cell>
        </row>
        <row r="735">
          <cell r="A735" t="str">
            <v>170101</v>
          </cell>
          <cell r="B735" t="str">
            <v>Argamassa de proteção com argila expandida</v>
          </cell>
          <cell r="C735" t="str">
            <v>m³</v>
          </cell>
          <cell r="D735">
            <v>439.33</v>
          </cell>
          <cell r="E735">
            <v>153.1</v>
          </cell>
          <cell r="F735">
            <v>592.42999999999995</v>
          </cell>
        </row>
        <row r="736">
          <cell r="A736" t="str">
            <v>170102</v>
          </cell>
          <cell r="B736" t="str">
            <v>Argamassa de regularização e/ou proteção</v>
          </cell>
          <cell r="C736" t="str">
            <v>m³</v>
          </cell>
          <cell r="D736">
            <v>270.41000000000003</v>
          </cell>
          <cell r="E736">
            <v>153.1</v>
          </cell>
          <cell r="F736">
            <v>423.51</v>
          </cell>
        </row>
        <row r="737">
          <cell r="A737" t="str">
            <v>170103</v>
          </cell>
          <cell r="B737" t="str">
            <v>Argamassa com aditivo expansor</v>
          </cell>
          <cell r="C737" t="str">
            <v>m³</v>
          </cell>
          <cell r="D737">
            <v>325.13</v>
          </cell>
          <cell r="E737">
            <v>153.1</v>
          </cell>
          <cell r="F737">
            <v>478.23</v>
          </cell>
        </row>
        <row r="738">
          <cell r="A738" t="str">
            <v>170104</v>
          </cell>
          <cell r="B738" t="str">
            <v>Lastro de concreto impermeabilizado</v>
          </cell>
          <cell r="C738" t="str">
            <v>m³</v>
          </cell>
          <cell r="D738">
            <v>214.85</v>
          </cell>
          <cell r="E738">
            <v>153.1</v>
          </cell>
          <cell r="F738">
            <v>367.95</v>
          </cell>
        </row>
        <row r="739">
          <cell r="A739" t="str">
            <v>170105</v>
          </cell>
          <cell r="B739" t="str">
            <v>Regularização de piso com nata de cimento</v>
          </cell>
          <cell r="C739" t="str">
            <v>m²</v>
          </cell>
          <cell r="D739">
            <v>2.16</v>
          </cell>
          <cell r="E739">
            <v>11.92</v>
          </cell>
          <cell r="F739">
            <v>14.08</v>
          </cell>
        </row>
        <row r="740">
          <cell r="A740" t="str">
            <v>170106</v>
          </cell>
          <cell r="B740" t="str">
            <v>Regularização de piso com nata de cimento e bianco</v>
          </cell>
          <cell r="C740" t="str">
            <v>m²</v>
          </cell>
          <cell r="D740">
            <v>4.3</v>
          </cell>
          <cell r="E740">
            <v>11.71</v>
          </cell>
          <cell r="F740">
            <v>16.010000000000002</v>
          </cell>
        </row>
        <row r="741">
          <cell r="A741" t="str">
            <v>170112</v>
          </cell>
          <cell r="B741" t="str">
            <v>Argamassa de cimento e areia - traço 1:3, com adesivo acrílico</v>
          </cell>
          <cell r="C741" t="str">
            <v>m³</v>
          </cell>
          <cell r="D741">
            <v>742.49</v>
          </cell>
          <cell r="E741">
            <v>153.1</v>
          </cell>
          <cell r="F741">
            <v>895.59</v>
          </cell>
        </row>
        <row r="742">
          <cell r="A742" t="str">
            <v>170202</v>
          </cell>
          <cell r="B742" t="str">
            <v>Chapisco</v>
          </cell>
          <cell r="C742" t="str">
            <v>m²</v>
          </cell>
          <cell r="D742">
            <v>1.35</v>
          </cell>
          <cell r="E742">
            <v>2.27</v>
          </cell>
          <cell r="F742">
            <v>3.62</v>
          </cell>
        </row>
        <row r="743">
          <cell r="A743" t="str">
            <v>170204</v>
          </cell>
          <cell r="B743" t="str">
            <v>Chapisco com bianco</v>
          </cell>
          <cell r="C743" t="str">
            <v>m²</v>
          </cell>
          <cell r="D743">
            <v>3.48</v>
          </cell>
          <cell r="E743">
            <v>2.27</v>
          </cell>
          <cell r="F743">
            <v>5.75</v>
          </cell>
        </row>
        <row r="744">
          <cell r="A744" t="str">
            <v>170206</v>
          </cell>
          <cell r="B744" t="str">
            <v>Chapisco fino peneirado</v>
          </cell>
          <cell r="C744" t="str">
            <v>m²</v>
          </cell>
          <cell r="D744">
            <v>1.37</v>
          </cell>
          <cell r="E744">
            <v>3.3200000000000003</v>
          </cell>
          <cell r="F744">
            <v>4.6900000000000004</v>
          </cell>
        </row>
        <row r="745">
          <cell r="A745" t="str">
            <v>170208</v>
          </cell>
          <cell r="B745" t="str">
            <v>Chapisco rústico com pedra britada nº 1</v>
          </cell>
          <cell r="C745" t="str">
            <v>m²</v>
          </cell>
          <cell r="D745">
            <v>2.2799999999999998</v>
          </cell>
          <cell r="E745">
            <v>3.5100000000000002</v>
          </cell>
          <cell r="F745">
            <v>5.79</v>
          </cell>
        </row>
        <row r="746">
          <cell r="A746" t="str">
            <v>170212</v>
          </cell>
          <cell r="B746" t="str">
            <v>Emboço comum</v>
          </cell>
          <cell r="C746" t="str">
            <v>m²</v>
          </cell>
          <cell r="D746">
            <v>4.5599999999999996</v>
          </cell>
          <cell r="E746">
            <v>6.23</v>
          </cell>
          <cell r="F746">
            <v>10.790000000000001</v>
          </cell>
        </row>
        <row r="747">
          <cell r="A747" t="str">
            <v>170214</v>
          </cell>
          <cell r="B747" t="str">
            <v>Emboço desempenado com espuma de poliéster</v>
          </cell>
          <cell r="C747" t="str">
            <v>m²</v>
          </cell>
          <cell r="D747">
            <v>4.5599999999999996</v>
          </cell>
          <cell r="E747">
            <v>8.58</v>
          </cell>
          <cell r="F747">
            <v>13.14</v>
          </cell>
        </row>
        <row r="748">
          <cell r="A748" t="str">
            <v>170222</v>
          </cell>
          <cell r="B748" t="str">
            <v>Reboco</v>
          </cell>
          <cell r="C748" t="str">
            <v>m²</v>
          </cell>
          <cell r="D748">
            <v>0.88</v>
          </cell>
          <cell r="E748">
            <v>5.37</v>
          </cell>
          <cell r="F748">
            <v>6.25</v>
          </cell>
        </row>
        <row r="749">
          <cell r="A749" t="str">
            <v>170226</v>
          </cell>
          <cell r="B749" t="str">
            <v>Barra lisa com acabamento em nata de cimento</v>
          </cell>
          <cell r="C749" t="str">
            <v>m²</v>
          </cell>
          <cell r="D749">
            <v>5.55</v>
          </cell>
          <cell r="E749">
            <v>13.950000000000001</v>
          </cell>
          <cell r="F749">
            <v>19.5</v>
          </cell>
        </row>
        <row r="750">
          <cell r="A750" t="str">
            <v>170233</v>
          </cell>
          <cell r="B750" t="str">
            <v>Emboço desempenado com argamassa industrializada</v>
          </cell>
          <cell r="C750" t="str">
            <v>m²</v>
          </cell>
          <cell r="D750">
            <v>0.42</v>
          </cell>
          <cell r="E750">
            <v>5.37</v>
          </cell>
          <cell r="F750">
            <v>5.79</v>
          </cell>
        </row>
        <row r="751">
          <cell r="A751" t="str">
            <v>170302</v>
          </cell>
          <cell r="B751" t="str">
            <v>Cimentado desempenado</v>
          </cell>
          <cell r="C751" t="str">
            <v>m²</v>
          </cell>
          <cell r="D751">
            <v>5.4</v>
          </cell>
          <cell r="E751">
            <v>11.81</v>
          </cell>
          <cell r="F751">
            <v>17.21</v>
          </cell>
        </row>
        <row r="752">
          <cell r="A752" t="str">
            <v>170304</v>
          </cell>
          <cell r="B752" t="str">
            <v>Cimentado desempenado e alisado (queimado)</v>
          </cell>
          <cell r="C752" t="str">
            <v>m²</v>
          </cell>
          <cell r="D752">
            <v>5.8100000000000005</v>
          </cell>
          <cell r="E752">
            <v>13.950000000000001</v>
          </cell>
          <cell r="F752">
            <v>19.760000000000002</v>
          </cell>
        </row>
        <row r="753">
          <cell r="A753" t="str">
            <v>170306</v>
          </cell>
          <cell r="B753" t="str">
            <v>Cimentado desempenado e alisado com corante (queimado)</v>
          </cell>
          <cell r="C753" t="str">
            <v>m²</v>
          </cell>
          <cell r="D753">
            <v>14.64</v>
          </cell>
          <cell r="E753">
            <v>13.950000000000001</v>
          </cell>
          <cell r="F753">
            <v>28.59</v>
          </cell>
        </row>
        <row r="754">
          <cell r="A754" t="str">
            <v>170308</v>
          </cell>
          <cell r="B754" t="str">
            <v>Cimentado semi-áspero</v>
          </cell>
          <cell r="C754" t="str">
            <v>m²</v>
          </cell>
          <cell r="D754">
            <v>5.4</v>
          </cell>
          <cell r="E754">
            <v>8.58</v>
          </cell>
          <cell r="F754">
            <v>13.98</v>
          </cell>
        </row>
        <row r="755">
          <cell r="A755" t="str">
            <v>170310</v>
          </cell>
          <cell r="B755" t="str">
            <v>Cimentado áspero com caneluras</v>
          </cell>
          <cell r="C755" t="str">
            <v>m²</v>
          </cell>
          <cell r="D755">
            <v>5.4</v>
          </cell>
          <cell r="E755">
            <v>15.030000000000001</v>
          </cell>
          <cell r="F755">
            <v>20.43</v>
          </cell>
        </row>
        <row r="756">
          <cell r="A756" t="str">
            <v>170320</v>
          </cell>
          <cell r="B756" t="str">
            <v>Degrau em cimentado</v>
          </cell>
          <cell r="C756" t="str">
            <v>m</v>
          </cell>
          <cell r="D756">
            <v>3.89</v>
          </cell>
          <cell r="E756">
            <v>24.310000000000002</v>
          </cell>
          <cell r="F756">
            <v>28.2</v>
          </cell>
        </row>
        <row r="757">
          <cell r="A757" t="str">
            <v>170330</v>
          </cell>
          <cell r="B757" t="str">
            <v>Rodapé em cimentado desempenado e alisado com altura 5 cm</v>
          </cell>
          <cell r="C757" t="str">
            <v>m</v>
          </cell>
          <cell r="D757">
            <v>0.6</v>
          </cell>
          <cell r="E757">
            <v>11.32</v>
          </cell>
          <cell r="F757">
            <v>11.92</v>
          </cell>
        </row>
        <row r="758">
          <cell r="A758" t="str">
            <v>170331</v>
          </cell>
          <cell r="B758" t="str">
            <v>Rodapé em cimentado desempenado e alisado com altura 7 cm</v>
          </cell>
          <cell r="C758" t="str">
            <v>m</v>
          </cell>
          <cell r="D758">
            <v>0.71</v>
          </cell>
          <cell r="E758">
            <v>11.32</v>
          </cell>
          <cell r="F758">
            <v>12.030000000000001</v>
          </cell>
        </row>
        <row r="759">
          <cell r="A759" t="str">
            <v>170332</v>
          </cell>
          <cell r="B759" t="str">
            <v>Rodapé em cimentado desempenado e alisado com altura 10 cm</v>
          </cell>
          <cell r="C759" t="str">
            <v>m</v>
          </cell>
          <cell r="D759">
            <v>0.86</v>
          </cell>
          <cell r="E759">
            <v>11.32</v>
          </cell>
          <cell r="F759">
            <v>12.18</v>
          </cell>
        </row>
        <row r="760">
          <cell r="A760" t="str">
            <v>170333</v>
          </cell>
          <cell r="B760" t="str">
            <v>Rodapé em cimentado desempenado e alisado com altura 15 cm</v>
          </cell>
          <cell r="C760" t="str">
            <v>m</v>
          </cell>
          <cell r="D760">
            <v>1.1100000000000001</v>
          </cell>
          <cell r="E760">
            <v>11.32</v>
          </cell>
          <cell r="F760">
            <v>12.43</v>
          </cell>
        </row>
        <row r="761">
          <cell r="A761" t="str">
            <v>170402</v>
          </cell>
          <cell r="B761" t="str">
            <v>Revestimento em gesso liso desempenado sobre emboço</v>
          </cell>
          <cell r="C761" t="str">
            <v>m²</v>
          </cell>
          <cell r="D761">
            <v>2.5</v>
          </cell>
          <cell r="E761">
            <v>6.88</v>
          </cell>
          <cell r="F761">
            <v>9.3800000000000008</v>
          </cell>
        </row>
        <row r="762">
          <cell r="A762" t="str">
            <v>170404</v>
          </cell>
          <cell r="B762" t="str">
            <v>Revestimento em gesso liso desempenado sobre bloco</v>
          </cell>
          <cell r="C762" t="str">
            <v>m²</v>
          </cell>
          <cell r="D762">
            <v>3.5</v>
          </cell>
          <cell r="E762">
            <v>6.88</v>
          </cell>
          <cell r="F762">
            <v>10.38</v>
          </cell>
        </row>
        <row r="763">
          <cell r="A763" t="str">
            <v>170502</v>
          </cell>
          <cell r="B763" t="str">
            <v>Piso com requadro em concreto simples sem controle de fck</v>
          </cell>
          <cell r="C763" t="str">
            <v>m³</v>
          </cell>
          <cell r="D763">
            <v>243.87</v>
          </cell>
          <cell r="E763">
            <v>206.02</v>
          </cell>
          <cell r="F763">
            <v>449.89</v>
          </cell>
        </row>
        <row r="764">
          <cell r="A764" t="str">
            <v>170507</v>
          </cell>
          <cell r="B764" t="str">
            <v>Piso com requadro em concreto simples com controle de fck= 20 MPa</v>
          </cell>
          <cell r="C764" t="str">
            <v>m³</v>
          </cell>
          <cell r="D764">
            <v>306.73</v>
          </cell>
          <cell r="E764">
            <v>206.02</v>
          </cell>
          <cell r="F764">
            <v>512.75</v>
          </cell>
        </row>
        <row r="765">
          <cell r="A765" t="str">
            <v>170508</v>
          </cell>
          <cell r="B765" t="str">
            <v>Piso em placas pré-moldadas de concreto rejuntado com grama</v>
          </cell>
          <cell r="C765" t="str">
            <v>m²</v>
          </cell>
          <cell r="D765">
            <v>17.75</v>
          </cell>
          <cell r="E765">
            <v>17.41</v>
          </cell>
          <cell r="F765">
            <v>35.159999999999997</v>
          </cell>
        </row>
        <row r="766">
          <cell r="A766" t="str">
            <v>170510</v>
          </cell>
          <cell r="B766" t="str">
            <v>Piso com requadro em concreto simples com controle fck= 25 MPa</v>
          </cell>
          <cell r="C766" t="str">
            <v>m³</v>
          </cell>
          <cell r="D766">
            <v>332.14</v>
          </cell>
          <cell r="E766">
            <v>206.02</v>
          </cell>
          <cell r="F766">
            <v>538.16</v>
          </cell>
        </row>
        <row r="767">
          <cell r="A767" t="str">
            <v>170532</v>
          </cell>
          <cell r="B767" t="str">
            <v>Soleira em concreto simples</v>
          </cell>
          <cell r="C767" t="str">
            <v>m</v>
          </cell>
          <cell r="D767">
            <v>12.530000000000001</v>
          </cell>
          <cell r="E767">
            <v>23.95</v>
          </cell>
          <cell r="F767">
            <v>36.479999999999997</v>
          </cell>
        </row>
        <row r="768">
          <cell r="A768" t="str">
            <v>170542</v>
          </cell>
          <cell r="B768" t="str">
            <v>Peitoril em concreto simples</v>
          </cell>
          <cell r="C768" t="str">
            <v>m</v>
          </cell>
          <cell r="D768">
            <v>6.23</v>
          </cell>
          <cell r="E768">
            <v>32.159999999999997</v>
          </cell>
          <cell r="F768">
            <v>38.39</v>
          </cell>
        </row>
        <row r="769">
          <cell r="A769" t="str">
            <v>171002</v>
          </cell>
          <cell r="B769" t="str">
            <v>Piso em granilite moldado no local</v>
          </cell>
          <cell r="C769" t="str">
            <v>m²</v>
          </cell>
          <cell r="D769">
            <v>39.35</v>
          </cell>
          <cell r="E769">
            <v>3.88</v>
          </cell>
          <cell r="F769">
            <v>43.230000000000004</v>
          </cell>
        </row>
        <row r="770">
          <cell r="A770" t="str">
            <v>171010</v>
          </cell>
          <cell r="B770" t="str">
            <v>Soleira em granilite moldado no local</v>
          </cell>
          <cell r="C770" t="str">
            <v>m</v>
          </cell>
          <cell r="D770">
            <v>26.11</v>
          </cell>
          <cell r="E770">
            <v>0.97</v>
          </cell>
          <cell r="F770">
            <v>27.080000000000002</v>
          </cell>
        </row>
        <row r="771">
          <cell r="A771" t="str">
            <v>171012</v>
          </cell>
          <cell r="B771" t="str">
            <v>Degrau em granilite moldado no local</v>
          </cell>
          <cell r="C771" t="str">
            <v>m</v>
          </cell>
          <cell r="D771">
            <v>40.590000000000003</v>
          </cell>
          <cell r="E771">
            <v>1.17</v>
          </cell>
          <cell r="F771">
            <v>41.76</v>
          </cell>
        </row>
        <row r="772">
          <cell r="A772" t="str">
            <v>171020</v>
          </cell>
          <cell r="B772" t="str">
            <v>Rodapé qualquer em granilite moldado no local até 10 cm</v>
          </cell>
          <cell r="C772" t="str">
            <v>m</v>
          </cell>
          <cell r="D772">
            <v>21.34</v>
          </cell>
          <cell r="E772">
            <v>1.94</v>
          </cell>
          <cell r="F772">
            <v>23.28</v>
          </cell>
        </row>
        <row r="773">
          <cell r="A773" t="str">
            <v>171041</v>
          </cell>
          <cell r="B773" t="str">
            <v>Rodapé em placas pré-moldadas de granilite, acabamento encerado, até 10 cm</v>
          </cell>
          <cell r="C773" t="str">
            <v>m</v>
          </cell>
          <cell r="D773">
            <v>69.14</v>
          </cell>
          <cell r="E773">
            <v>0.23</v>
          </cell>
          <cell r="F773">
            <v>69.37</v>
          </cell>
        </row>
        <row r="774">
          <cell r="A774" t="str">
            <v>171042</v>
          </cell>
          <cell r="B774" t="str">
            <v>Soleira em placas pré-moldadas de granilite, acabamento encerado, até 30 cm</v>
          </cell>
          <cell r="C774" t="str">
            <v>m</v>
          </cell>
          <cell r="D774">
            <v>70.75</v>
          </cell>
          <cell r="E774">
            <v>0.70000000000000007</v>
          </cell>
          <cell r="F774">
            <v>71.45</v>
          </cell>
        </row>
        <row r="775">
          <cell r="A775" t="str">
            <v>171043</v>
          </cell>
          <cell r="B775" t="str">
            <v>Piso em placas de granilite, acabamento encerado</v>
          </cell>
          <cell r="C775" t="str">
            <v>m²</v>
          </cell>
          <cell r="D775">
            <v>144.74</v>
          </cell>
          <cell r="E775">
            <v>2.33</v>
          </cell>
          <cell r="F775">
            <v>147.07</v>
          </cell>
        </row>
        <row r="776">
          <cell r="A776" t="str">
            <v>171202</v>
          </cell>
          <cell r="B776" t="str">
            <v>Piso em alta resistência moldado no local 8 mm</v>
          </cell>
          <cell r="C776" t="str">
            <v>m²</v>
          </cell>
          <cell r="D776">
            <v>40.049999999999997</v>
          </cell>
          <cell r="E776">
            <v>3.88</v>
          </cell>
          <cell r="F776">
            <v>43.93</v>
          </cell>
        </row>
        <row r="777">
          <cell r="A777" t="str">
            <v>171206</v>
          </cell>
          <cell r="B777" t="str">
            <v>Piso em alta resistência moldado no local 12 mm</v>
          </cell>
          <cell r="C777" t="str">
            <v>m²</v>
          </cell>
          <cell r="D777">
            <v>43.78</v>
          </cell>
          <cell r="E777">
            <v>3.88</v>
          </cell>
          <cell r="F777">
            <v>47.660000000000004</v>
          </cell>
        </row>
        <row r="778">
          <cell r="A778" t="str">
            <v>171210</v>
          </cell>
          <cell r="B778" t="str">
            <v>Soleira em alta resistência moldada no local</v>
          </cell>
          <cell r="C778" t="str">
            <v>m</v>
          </cell>
          <cell r="D778">
            <v>22.45</v>
          </cell>
          <cell r="E778">
            <v>0.97</v>
          </cell>
          <cell r="F778">
            <v>23.42</v>
          </cell>
        </row>
        <row r="779">
          <cell r="A779" t="str">
            <v>171212</v>
          </cell>
          <cell r="B779" t="str">
            <v>Degrau em alta resistência 8 mm</v>
          </cell>
          <cell r="C779" t="str">
            <v>m</v>
          </cell>
          <cell r="D779">
            <v>38.630000000000003</v>
          </cell>
          <cell r="E779">
            <v>1.17</v>
          </cell>
          <cell r="F779">
            <v>39.799999999999997</v>
          </cell>
        </row>
        <row r="780">
          <cell r="A780" t="str">
            <v>171214</v>
          </cell>
          <cell r="B780" t="str">
            <v>Degrau em alta resistência 12 mm</v>
          </cell>
          <cell r="C780" t="str">
            <v>m</v>
          </cell>
          <cell r="D780">
            <v>42.22</v>
          </cell>
          <cell r="E780">
            <v>1.17</v>
          </cell>
          <cell r="F780">
            <v>43.39</v>
          </cell>
        </row>
        <row r="781">
          <cell r="A781" t="str">
            <v>171224</v>
          </cell>
          <cell r="B781" t="str">
            <v>Rodapé qualquer em alta resistência moldado no local até 10 cm</v>
          </cell>
          <cell r="C781" t="str">
            <v>m</v>
          </cell>
          <cell r="D781">
            <v>20.39</v>
          </cell>
          <cell r="E781">
            <v>1.94</v>
          </cell>
          <cell r="F781">
            <v>22.330000000000002</v>
          </cell>
        </row>
        <row r="782">
          <cell r="A782" t="str">
            <v>172002</v>
          </cell>
          <cell r="B782" t="str">
            <v>Massa raspada</v>
          </cell>
          <cell r="C782" t="str">
            <v>m²</v>
          </cell>
          <cell r="D782">
            <v>37.520000000000003</v>
          </cell>
          <cell r="E782">
            <v>27.22</v>
          </cell>
          <cell r="F782">
            <v>64.739999999999995</v>
          </cell>
        </row>
        <row r="783">
          <cell r="A783" t="str">
            <v>172004</v>
          </cell>
          <cell r="B783" t="str">
            <v>Revestimento em granito lavado tipo Fulget uso externo, em faixas até 40 cm</v>
          </cell>
          <cell r="C783" t="str">
            <v>m</v>
          </cell>
          <cell r="D783">
            <v>31.17</v>
          </cell>
          <cell r="E783">
            <v>9.7100000000000009</v>
          </cell>
          <cell r="F783">
            <v>40.880000000000003</v>
          </cell>
        </row>
        <row r="784">
          <cell r="A784" t="str">
            <v>172005</v>
          </cell>
          <cell r="B784" t="str">
            <v>Friso para junta de dilatação em revestimento de granito lavado tipo Fulget</v>
          </cell>
          <cell r="C784" t="str">
            <v>m</v>
          </cell>
          <cell r="D784">
            <v>4.51</v>
          </cell>
          <cell r="E784">
            <v>0</v>
          </cell>
          <cell r="F784">
            <v>4.51</v>
          </cell>
        </row>
        <row r="785">
          <cell r="A785" t="str">
            <v>172006</v>
          </cell>
          <cell r="B785" t="str">
            <v>Revestimento em granito lavado tipo Fulget uso externo</v>
          </cell>
          <cell r="C785" t="str">
            <v>m²</v>
          </cell>
          <cell r="D785">
            <v>70.099999999999994</v>
          </cell>
          <cell r="E785">
            <v>9.7100000000000009</v>
          </cell>
          <cell r="F785">
            <v>79.81</v>
          </cell>
        </row>
        <row r="786">
          <cell r="A786" t="str">
            <v>172014</v>
          </cell>
          <cell r="B786" t="str">
            <v>Revestimento texturizado acrílico com microagregados minerais</v>
          </cell>
          <cell r="C786" t="str">
            <v>m²</v>
          </cell>
          <cell r="D786">
            <v>4.58</v>
          </cell>
          <cell r="E786">
            <v>9.41</v>
          </cell>
          <cell r="F786">
            <v>13.99</v>
          </cell>
        </row>
        <row r="787">
          <cell r="A787" t="str">
            <v>174001</v>
          </cell>
          <cell r="B787" t="str">
            <v>Reparos em piso de granilite - estucamento e polimento</v>
          </cell>
          <cell r="C787" t="str">
            <v>m²</v>
          </cell>
          <cell r="D787">
            <v>20.87</v>
          </cell>
          <cell r="E787">
            <v>0</v>
          </cell>
          <cell r="F787">
            <v>20.87</v>
          </cell>
        </row>
        <row r="788">
          <cell r="A788" t="str">
            <v>174002</v>
          </cell>
          <cell r="B788" t="str">
            <v>Reparos em pisos de alta resistência fundidos no local - estucamento e polimento</v>
          </cell>
          <cell r="C788" t="str">
            <v>m²</v>
          </cell>
          <cell r="D788">
            <v>16.440000000000001</v>
          </cell>
          <cell r="E788">
            <v>0</v>
          </cell>
          <cell r="F788">
            <v>16.440000000000001</v>
          </cell>
        </row>
        <row r="789">
          <cell r="A789" t="str">
            <v>174003</v>
          </cell>
          <cell r="B789" t="str">
            <v>Reparos em degrau de granilite - estucamento e polimento</v>
          </cell>
          <cell r="C789" t="str">
            <v>m</v>
          </cell>
          <cell r="D789">
            <v>21.78</v>
          </cell>
          <cell r="E789">
            <v>0</v>
          </cell>
          <cell r="F789">
            <v>21.78</v>
          </cell>
        </row>
        <row r="790">
          <cell r="A790" t="str">
            <v>174005</v>
          </cell>
          <cell r="B790" t="str">
            <v>Reparos em peitoril de granilite - estucamento e polimento</v>
          </cell>
          <cell r="C790" t="str">
            <v>m</v>
          </cell>
          <cell r="D790">
            <v>12.32</v>
          </cell>
          <cell r="E790">
            <v>0</v>
          </cell>
          <cell r="F790">
            <v>12.32</v>
          </cell>
        </row>
        <row r="791">
          <cell r="A791" t="str">
            <v>174007</v>
          </cell>
          <cell r="B791" t="str">
            <v>Reparos em rodapé de granilite - estucamento e polimento</v>
          </cell>
          <cell r="C791" t="str">
            <v>m</v>
          </cell>
          <cell r="D791">
            <v>13.030000000000001</v>
          </cell>
          <cell r="E791">
            <v>0</v>
          </cell>
          <cell r="F791">
            <v>13.030000000000001</v>
          </cell>
        </row>
        <row r="792">
          <cell r="A792" t="str">
            <v>174011</v>
          </cell>
          <cell r="B792" t="str">
            <v>Faixa antiderrapante definitiva para degraus, soleiras, patamares ou pisos</v>
          </cell>
          <cell r="C792" t="str">
            <v>m</v>
          </cell>
          <cell r="D792">
            <v>0</v>
          </cell>
          <cell r="E792">
            <v>21.47</v>
          </cell>
          <cell r="F792">
            <v>21.47</v>
          </cell>
        </row>
        <row r="793">
          <cell r="A793" t="str">
            <v>180601</v>
          </cell>
          <cell r="B793" t="str">
            <v>Piso cerâmico esmaltado PEI-4 resistência química A, para áreas internas sujeitas à lavagem frequente, assentado com argamassa mista</v>
          </cell>
          <cell r="C793" t="str">
            <v>m²</v>
          </cell>
          <cell r="D793">
            <v>30.14</v>
          </cell>
          <cell r="E793">
            <v>30.54</v>
          </cell>
          <cell r="F793">
            <v>60.68</v>
          </cell>
        </row>
        <row r="794">
          <cell r="A794" t="str">
            <v>180602</v>
          </cell>
          <cell r="B794" t="str">
            <v>Piso cerâmico esmaltado PEI-4 resistência química A, para áreas internas sujeitas à lavagem frequente, assentado com argamassa colante industrializada</v>
          </cell>
          <cell r="C794" t="str">
            <v>m²</v>
          </cell>
          <cell r="D794">
            <v>25.400000000000002</v>
          </cell>
          <cell r="E794">
            <v>7.25</v>
          </cell>
          <cell r="F794">
            <v>32.65</v>
          </cell>
        </row>
        <row r="795">
          <cell r="A795" t="str">
            <v>180603</v>
          </cell>
          <cell r="B795" t="str">
            <v>Rodapé cerâmico esmaltado PEI-4 resistência química A, para áreas internas sujeitas à lavagem frequente, assentado com argamassa mista</v>
          </cell>
          <cell r="C795" t="str">
            <v>m</v>
          </cell>
          <cell r="D795">
            <v>13.85</v>
          </cell>
          <cell r="E795">
            <v>15.22</v>
          </cell>
          <cell r="F795">
            <v>29.07</v>
          </cell>
        </row>
        <row r="796">
          <cell r="A796" t="str">
            <v>180604</v>
          </cell>
          <cell r="B796" t="str">
            <v>Rodapé cerâmico esmaltado PEI-4 resistência química A, para áreas internas sujeitas à lavagem frequente, assentado com argamassa colante industrializada</v>
          </cell>
          <cell r="C796" t="str">
            <v>m</v>
          </cell>
          <cell r="D796">
            <v>13.86</v>
          </cell>
          <cell r="E796">
            <v>0.57999999999999996</v>
          </cell>
          <cell r="F796">
            <v>14.44</v>
          </cell>
        </row>
        <row r="797">
          <cell r="A797" t="str">
            <v>180605</v>
          </cell>
          <cell r="B797" t="str">
            <v>Piso cerâmico esmaltado com textura semi-rugosa PEI-5 resistência química A, para áreas internas, assentado com argamassa mista</v>
          </cell>
          <cell r="C797" t="str">
            <v>m²</v>
          </cell>
          <cell r="D797">
            <v>39.020000000000003</v>
          </cell>
          <cell r="E797">
            <v>30.54</v>
          </cell>
          <cell r="F797">
            <v>69.56</v>
          </cell>
        </row>
        <row r="798">
          <cell r="A798" t="str">
            <v>180606</v>
          </cell>
          <cell r="B798" t="str">
            <v>Piso cerâmico esmaltado com textura semi-rugosa PEI-5 resistência química A, para áreas internas, assentado com argamassa colante industrializada</v>
          </cell>
          <cell r="C798" t="str">
            <v>m²</v>
          </cell>
          <cell r="D798">
            <v>34.28</v>
          </cell>
          <cell r="E798">
            <v>7.25</v>
          </cell>
          <cell r="F798">
            <v>41.53</v>
          </cell>
        </row>
        <row r="799">
          <cell r="A799" t="str">
            <v>180607</v>
          </cell>
          <cell r="B799" t="str">
            <v>Rodapé cerâmico esmaltado com textura semi-rugosa PEI-5 resistência química A, para áreas internas, assentado com argamassa mista</v>
          </cell>
          <cell r="C799" t="str">
            <v>m</v>
          </cell>
          <cell r="D799">
            <v>3.45</v>
          </cell>
          <cell r="E799">
            <v>16.489999999999998</v>
          </cell>
          <cell r="F799">
            <v>19.940000000000001</v>
          </cell>
        </row>
        <row r="800">
          <cell r="A800" t="str">
            <v>180608</v>
          </cell>
          <cell r="B800" t="str">
            <v>Rodapé cerâmico esmaltado com textura semi-rugosa PEI-5 resistência química A, para áreas internas, assentado com argamassa colante industrializada</v>
          </cell>
          <cell r="C800" t="str">
            <v>m</v>
          </cell>
          <cell r="D800">
            <v>3.46</v>
          </cell>
          <cell r="E800">
            <v>3.88</v>
          </cell>
          <cell r="F800">
            <v>7.34</v>
          </cell>
        </row>
        <row r="801">
          <cell r="A801" t="str">
            <v>180609</v>
          </cell>
          <cell r="B801" t="str">
            <v>Piso cerâmico esmaltado PEI-5 resistência química B, para áreas internas, assentado com argamassa mista</v>
          </cell>
          <cell r="C801" t="str">
            <v>m²</v>
          </cell>
          <cell r="D801">
            <v>35.9</v>
          </cell>
          <cell r="E801">
            <v>30.54</v>
          </cell>
          <cell r="F801">
            <v>66.44</v>
          </cell>
        </row>
        <row r="802">
          <cell r="A802" t="str">
            <v>180610</v>
          </cell>
          <cell r="B802" t="str">
            <v>Piso cerâmico esmaltado PEI-5 resistência química B, para áreas internas, assentado com argamassa colante industrializada</v>
          </cell>
          <cell r="C802" t="str">
            <v>m²</v>
          </cell>
          <cell r="D802">
            <v>31.16</v>
          </cell>
          <cell r="E802">
            <v>7.25</v>
          </cell>
          <cell r="F802">
            <v>38.409999999999997</v>
          </cell>
        </row>
        <row r="803">
          <cell r="A803" t="str">
            <v>180611</v>
          </cell>
          <cell r="B803" t="str">
            <v>Rodapé cerâmico esmaltado PEI-5 resistência química B, para áreas internas, assentado com argamassa mista</v>
          </cell>
          <cell r="C803" t="str">
            <v>m</v>
          </cell>
          <cell r="D803">
            <v>19.84</v>
          </cell>
          <cell r="E803">
            <v>15.22</v>
          </cell>
          <cell r="F803">
            <v>35.06</v>
          </cell>
        </row>
        <row r="804">
          <cell r="A804" t="str">
            <v>180612</v>
          </cell>
          <cell r="B804" t="str">
            <v>Rodapé cerâmico esmaltado PEI-5 resistência química B, para áreas internas, assentado com argamassa colante industrializada</v>
          </cell>
          <cell r="C804" t="str">
            <v>m</v>
          </cell>
          <cell r="D804">
            <v>19.850000000000001</v>
          </cell>
          <cell r="E804">
            <v>0.57999999999999996</v>
          </cell>
          <cell r="F804">
            <v>20.43</v>
          </cell>
        </row>
        <row r="805">
          <cell r="A805" t="str">
            <v>180613</v>
          </cell>
          <cell r="B805" t="str">
            <v>Piso cerâmico esmaltado antiderrapante PEI-5 resistência química A, para áreas internas com saída para o exterior, assentado com argamassa mista</v>
          </cell>
          <cell r="C805" t="str">
            <v>m²</v>
          </cell>
          <cell r="D805">
            <v>54.51</v>
          </cell>
          <cell r="E805">
            <v>30.54</v>
          </cell>
          <cell r="F805">
            <v>85.05</v>
          </cell>
        </row>
        <row r="806">
          <cell r="A806" t="str">
            <v>180614</v>
          </cell>
          <cell r="B806" t="str">
            <v>Piso cerâmico esmaltado antiderrapante PEI-5 resistência química A, para áreas internas com saída para o exterior, assentado c/argamassa colante industrializada</v>
          </cell>
          <cell r="C806" t="str">
            <v>m²</v>
          </cell>
          <cell r="D806">
            <v>52.050000000000004</v>
          </cell>
          <cell r="E806">
            <v>7.25</v>
          </cell>
          <cell r="F806">
            <v>59.300000000000004</v>
          </cell>
        </row>
        <row r="807">
          <cell r="A807" t="str">
            <v>180615</v>
          </cell>
          <cell r="B807" t="str">
            <v>Rodapé cerâmico esmaltado PEI-5 resistência química A, para áreas internas com saída para o exterior, assentado com argamassa mista</v>
          </cell>
          <cell r="C807" t="str">
            <v>m</v>
          </cell>
          <cell r="D807">
            <v>10.86</v>
          </cell>
          <cell r="E807">
            <v>15.22</v>
          </cell>
          <cell r="F807">
            <v>26.080000000000002</v>
          </cell>
        </row>
        <row r="808">
          <cell r="A808" t="str">
            <v>180616</v>
          </cell>
          <cell r="B808" t="str">
            <v>Rodapé cerâmico esmaltado PEI-5 resistência química A, para áreas internas com saída para o exterior, assentado com argamassa colante industrializada</v>
          </cell>
          <cell r="C808" t="str">
            <v>m</v>
          </cell>
          <cell r="D808">
            <v>11.13</v>
          </cell>
          <cell r="E808">
            <v>0.57999999999999996</v>
          </cell>
          <cell r="F808">
            <v>11.71</v>
          </cell>
        </row>
        <row r="809">
          <cell r="A809" t="str">
            <v>180617</v>
          </cell>
          <cell r="B809" t="str">
            <v>Piso cerâmico esmaltado rústico PEI-5 resistência química B, para áreas internas com saída para o exterior, assentado com argamassa mista</v>
          </cell>
          <cell r="C809" t="str">
            <v>m²</v>
          </cell>
          <cell r="D809">
            <v>39.119999999999997</v>
          </cell>
          <cell r="E809">
            <v>30.54</v>
          </cell>
          <cell r="F809">
            <v>69.66</v>
          </cell>
        </row>
        <row r="810">
          <cell r="A810" t="str">
            <v>180618</v>
          </cell>
          <cell r="B810" t="str">
            <v>Piso cerâmico esmaltado rústico PEI-5 resistência química B, para áreas internas com saída para o exterior, assentado com argamassa colante industrializada</v>
          </cell>
          <cell r="C810" t="str">
            <v>m²</v>
          </cell>
          <cell r="D810">
            <v>36.659999999999997</v>
          </cell>
          <cell r="E810">
            <v>7.25</v>
          </cell>
          <cell r="F810">
            <v>43.910000000000004</v>
          </cell>
        </row>
        <row r="811">
          <cell r="A811" t="str">
            <v>180619</v>
          </cell>
          <cell r="B811" t="str">
            <v>Rodapé cerâmico esmaltado rústico PEI-5 resistência química B, para áreas internas com saída para o exterior, assentado com argamassa mista</v>
          </cell>
          <cell r="C811" t="str">
            <v>m</v>
          </cell>
          <cell r="D811">
            <v>3.46</v>
          </cell>
          <cell r="E811">
            <v>18.510000000000002</v>
          </cell>
          <cell r="F811">
            <v>21.97</v>
          </cell>
        </row>
        <row r="812">
          <cell r="A812" t="str">
            <v>180620</v>
          </cell>
          <cell r="B812" t="str">
            <v>Rodapé cerâmico esmaltado rústico PEI-5 resistência química B, para áreas internas c/saída para o exterior, assentado com argamassa colante industrializada</v>
          </cell>
          <cell r="C812" t="str">
            <v>m</v>
          </cell>
          <cell r="D812">
            <v>3.73</v>
          </cell>
          <cell r="E812">
            <v>3.88</v>
          </cell>
          <cell r="F812">
            <v>7.61</v>
          </cell>
        </row>
        <row r="813">
          <cell r="A813" t="str">
            <v>180621</v>
          </cell>
          <cell r="B813" t="str">
            <v>Piso cerâmico esmaltado texturizado PEI-5 resistência química B, para áreas externas, assentado com argamassa mista</v>
          </cell>
          <cell r="C813" t="str">
            <v>m²</v>
          </cell>
          <cell r="D813">
            <v>30.88</v>
          </cell>
          <cell r="E813">
            <v>30.54</v>
          </cell>
          <cell r="F813">
            <v>61.42</v>
          </cell>
        </row>
        <row r="814">
          <cell r="A814" t="str">
            <v>180622</v>
          </cell>
          <cell r="B814" t="str">
            <v>Piso cerâmico esmaltado texturizado PEI-5 resistência química B, para áreas externas, assentado com argamassa colante industrializada</v>
          </cell>
          <cell r="C814" t="str">
            <v>m²</v>
          </cell>
          <cell r="D814">
            <v>28.42</v>
          </cell>
          <cell r="E814">
            <v>7.25</v>
          </cell>
          <cell r="F814">
            <v>35.67</v>
          </cell>
        </row>
        <row r="815">
          <cell r="A815" t="str">
            <v>180623</v>
          </cell>
          <cell r="B815" t="str">
            <v>Rodapé cerâmico esmaltado texturizado PEI-5 resistência química B, para áreas externas, assentado com argamassa mista</v>
          </cell>
          <cell r="C815" t="str">
            <v>m</v>
          </cell>
          <cell r="D815">
            <v>2.63</v>
          </cell>
          <cell r="E815">
            <v>18.510000000000002</v>
          </cell>
          <cell r="F815">
            <v>21.14</v>
          </cell>
        </row>
        <row r="816">
          <cell r="A816" t="str">
            <v>180624</v>
          </cell>
          <cell r="B816" t="str">
            <v>Rodapé cerâmico esmaltado texturizado PEI-5 resistência química B, para áreas externas, assentado com argamassa colante industrializada</v>
          </cell>
          <cell r="C816" t="str">
            <v>m</v>
          </cell>
          <cell r="D816">
            <v>2.9</v>
          </cell>
          <cell r="E816">
            <v>3.88</v>
          </cell>
          <cell r="F816">
            <v>6.78</v>
          </cell>
        </row>
        <row r="817">
          <cell r="A817" t="str">
            <v>180627</v>
          </cell>
          <cell r="B817" t="str">
            <v>Piso cerâmico esmaltado antiderrapante, PEI-5, resistência química A, assentado com argamassa colante industrializada</v>
          </cell>
          <cell r="C817" t="str">
            <v>m²</v>
          </cell>
          <cell r="D817">
            <v>33.01</v>
          </cell>
          <cell r="E817">
            <v>7.25</v>
          </cell>
          <cell r="F817">
            <v>40.26</v>
          </cell>
        </row>
        <row r="818">
          <cell r="A818" t="str">
            <v>180628</v>
          </cell>
          <cell r="B818" t="str">
            <v>Rodapé cerâmico esmaltado antiderrapante, PEI-5, resistência química A, assentado com argamassa colante industrializada</v>
          </cell>
          <cell r="C818" t="str">
            <v>m</v>
          </cell>
          <cell r="D818">
            <v>3.27</v>
          </cell>
          <cell r="E818">
            <v>3.88</v>
          </cell>
          <cell r="F818">
            <v>7.15</v>
          </cell>
        </row>
        <row r="819">
          <cell r="A819" t="str">
            <v>180640</v>
          </cell>
          <cell r="B819" t="str">
            <v>Rejuntamento de piso em placas cerâmicas (30-34 x 30-34 cm) com cimento branco, juntas acima de 3 até 5 mm</v>
          </cell>
          <cell r="C819" t="str">
            <v>m²</v>
          </cell>
          <cell r="D819">
            <v>0.44</v>
          </cell>
          <cell r="E819">
            <v>4.8499999999999996</v>
          </cell>
          <cell r="F819">
            <v>5.29</v>
          </cell>
        </row>
        <row r="820">
          <cell r="A820" t="str">
            <v>180641</v>
          </cell>
          <cell r="B820" t="str">
            <v>Rejuntamento de piso em placas cerâmicas (30-34 x 30-34 cm) com argamassa industrializada para rejunte, juntas acima de 3 até 5 mm</v>
          </cell>
          <cell r="C820" t="str">
            <v>m²</v>
          </cell>
          <cell r="D820">
            <v>0.9</v>
          </cell>
          <cell r="E820">
            <v>4.8499999999999996</v>
          </cell>
          <cell r="F820">
            <v>5.75</v>
          </cell>
        </row>
        <row r="821">
          <cell r="A821" t="str">
            <v>180642</v>
          </cell>
          <cell r="B821" t="str">
            <v>Rejuntamento de piso em placas cerâmicas (40-43 x 40-43 cm) com cimento branco, juntas acima 5 até 10 mm</v>
          </cell>
          <cell r="C821" t="str">
            <v>m²</v>
          </cell>
          <cell r="D821">
            <v>0.88</v>
          </cell>
          <cell r="E821">
            <v>4.8499999999999996</v>
          </cell>
          <cell r="F821">
            <v>5.73</v>
          </cell>
        </row>
        <row r="822">
          <cell r="A822" t="str">
            <v>180643</v>
          </cell>
          <cell r="B822" t="str">
            <v>Rejuntamento de piso em placas cerâmicas (40-43 x 40-43 cm) com argamassa industrializada para rejunte, juntas acima de 5 até 10 mm</v>
          </cell>
          <cell r="C822" t="str">
            <v>m²</v>
          </cell>
          <cell r="D822">
            <v>2.2599999999999998</v>
          </cell>
          <cell r="E822">
            <v>4.8499999999999996</v>
          </cell>
          <cell r="F822">
            <v>7.11</v>
          </cell>
        </row>
        <row r="823">
          <cell r="A823" t="str">
            <v>180650</v>
          </cell>
          <cell r="B823" t="str">
            <v>Rejuntamento de rodapé em placas cerâmicas até 10 cm de altura com cimento branco, juntas acima de 3 até 5 mm</v>
          </cell>
          <cell r="C823" t="str">
            <v>m</v>
          </cell>
          <cell r="D823">
            <v>0.04</v>
          </cell>
          <cell r="E823">
            <v>0.54</v>
          </cell>
          <cell r="F823">
            <v>0.57999999999999996</v>
          </cell>
        </row>
        <row r="824">
          <cell r="A824" t="str">
            <v>180651</v>
          </cell>
          <cell r="B824" t="str">
            <v>Rejuntamento de rodapé em placas cerâmicas até 10 cm de altura com argamassa industrializada para rejunte, juntas acima de 3 até 5 mm</v>
          </cell>
          <cell r="C824" t="str">
            <v>m</v>
          </cell>
          <cell r="D824">
            <v>0.09</v>
          </cell>
          <cell r="E824">
            <v>0.54</v>
          </cell>
          <cell r="F824">
            <v>0.63</v>
          </cell>
        </row>
        <row r="825">
          <cell r="A825" t="str">
            <v>180652</v>
          </cell>
          <cell r="B825" t="str">
            <v>Rejuntamento de rodapé em placas cerâmicas até 10 cm de altura com cimento branco, juntas acima de 5 até 10 mm</v>
          </cell>
          <cell r="C825" t="str">
            <v>m</v>
          </cell>
          <cell r="D825">
            <v>0.09</v>
          </cell>
          <cell r="E825">
            <v>0.54</v>
          </cell>
          <cell r="F825">
            <v>0.63</v>
          </cell>
        </row>
        <row r="826">
          <cell r="A826" t="str">
            <v>180653</v>
          </cell>
          <cell r="B826" t="str">
            <v>Rejuntamento de rodapé em placas cerâmicas até 10 cm de altura com argamassa industrializada para rejunte, juntas acima de 5 até 10 mm</v>
          </cell>
          <cell r="C826" t="str">
            <v>m</v>
          </cell>
          <cell r="D826">
            <v>0.23</v>
          </cell>
          <cell r="E826">
            <v>0.54</v>
          </cell>
          <cell r="F826">
            <v>0.77</v>
          </cell>
        </row>
        <row r="827">
          <cell r="A827" t="str">
            <v>180701</v>
          </cell>
          <cell r="B827" t="str">
            <v>Piso cerâmico não esmaltado extrudado alta resistência química e mecânica, espessura de 9 mm, assentado com argamassa de cimento e areia</v>
          </cell>
          <cell r="C827" t="str">
            <v>m²</v>
          </cell>
          <cell r="D827">
            <v>69.19</v>
          </cell>
          <cell r="E827">
            <v>22.39</v>
          </cell>
          <cell r="F827">
            <v>91.58</v>
          </cell>
        </row>
        <row r="828">
          <cell r="A828" t="str">
            <v>180702</v>
          </cell>
          <cell r="B828" t="str">
            <v>Piso cerâmico não esmaltado extrudado alta resistência química e mecânica, espessura de 9 mm, assentado com argamassa colante industrializada</v>
          </cell>
          <cell r="C828" t="str">
            <v>m²</v>
          </cell>
          <cell r="D828">
            <v>65.34</v>
          </cell>
          <cell r="E828">
            <v>7.25</v>
          </cell>
          <cell r="F828">
            <v>72.59</v>
          </cell>
        </row>
        <row r="829">
          <cell r="A829" t="str">
            <v>180703</v>
          </cell>
          <cell r="B829" t="str">
            <v>Piso cerâmico não esmaltado extrudado alta resistência química e mecânica, espessura de 14 mm, assentado com argamassa de cimento e areia</v>
          </cell>
          <cell r="C829" t="str">
            <v>m²</v>
          </cell>
          <cell r="D829">
            <v>94.13</v>
          </cell>
          <cell r="E829">
            <v>22.39</v>
          </cell>
          <cell r="F829">
            <v>116.52</v>
          </cell>
        </row>
        <row r="830">
          <cell r="A830" t="str">
            <v>180704</v>
          </cell>
          <cell r="B830" t="str">
            <v>Piso cerâmico não esmaltado extrudado alta resistência química e mecânica, espessura de 14 mm, assentado com argamassa colante industrializada</v>
          </cell>
          <cell r="C830" t="str">
            <v>m²</v>
          </cell>
          <cell r="D830">
            <v>90.28</v>
          </cell>
          <cell r="E830">
            <v>7.25</v>
          </cell>
          <cell r="F830">
            <v>97.53</v>
          </cell>
        </row>
        <row r="831">
          <cell r="A831" t="str">
            <v>180707</v>
          </cell>
          <cell r="B831" t="str">
            <v>Rodapé cerâmico não esmaltado extrudado alta resistência química e mecânica, altura de 10 cm, assentado com argamassa de cimento e areia</v>
          </cell>
          <cell r="C831" t="str">
            <v>m</v>
          </cell>
          <cell r="D831">
            <v>22.3</v>
          </cell>
          <cell r="E831">
            <v>2.23</v>
          </cell>
          <cell r="F831">
            <v>24.53</v>
          </cell>
        </row>
        <row r="832">
          <cell r="A832" t="str">
            <v>180708</v>
          </cell>
          <cell r="B832" t="str">
            <v>Rodapé cerâmico não esmaltado extrudado alta resistência química e mecânica, altura de 10 cm, assentado com argamassa colante industrializada</v>
          </cell>
          <cell r="C832" t="str">
            <v>m</v>
          </cell>
          <cell r="D832">
            <v>21.91</v>
          </cell>
          <cell r="E832">
            <v>0.72</v>
          </cell>
          <cell r="F832">
            <v>22.63</v>
          </cell>
        </row>
        <row r="833">
          <cell r="A833" t="str">
            <v>180709</v>
          </cell>
          <cell r="B833" t="str">
            <v>Canto de rodapé cerâmico não esmaltado extrudado alta resistência química e mecânica, altura de 10 cm assentado com argamassa de cimento e areia</v>
          </cell>
          <cell r="C833" t="str">
            <v>un</v>
          </cell>
          <cell r="D833">
            <v>3.72</v>
          </cell>
          <cell r="E833">
            <v>0.22</v>
          </cell>
          <cell r="F833">
            <v>3.94</v>
          </cell>
        </row>
        <row r="834">
          <cell r="A834" t="str">
            <v>180710</v>
          </cell>
          <cell r="B834" t="str">
            <v>Canto de rodapé cerâmico não esmaltado extrudado alta resistência química e mecânica, altura de 10 cm assentado com argamassa colante industrializada</v>
          </cell>
          <cell r="C834" t="str">
            <v>un</v>
          </cell>
          <cell r="D834">
            <v>3.69</v>
          </cell>
          <cell r="E834">
            <v>7.0000000000000007E-2</v>
          </cell>
          <cell r="F834">
            <v>3.7600000000000002</v>
          </cell>
        </row>
        <row r="835">
          <cell r="A835" t="str">
            <v>180720</v>
          </cell>
          <cell r="B835" t="str">
            <v>Rejuntamento de piso cerâmico extrudado antiácido de 9 mm, com argamassa industrializada à base de resina furânica, juntas acima de 3 até 6 mm</v>
          </cell>
          <cell r="C835" t="str">
            <v>m²</v>
          </cell>
          <cell r="D835">
            <v>16.059999999999999</v>
          </cell>
          <cell r="E835">
            <v>4.8499999999999996</v>
          </cell>
          <cell r="F835">
            <v>20.91</v>
          </cell>
        </row>
        <row r="836">
          <cell r="A836" t="str">
            <v>180721</v>
          </cell>
          <cell r="B836" t="str">
            <v>Rejuntamento de piso cerâmico extrudado antiácido de 9 mm, com argamassa industrializada à base de resina epóxi, juntas acima de 3 até 6 mm</v>
          </cell>
          <cell r="C836" t="str">
            <v>m²</v>
          </cell>
          <cell r="D836">
            <v>12.4</v>
          </cell>
          <cell r="E836">
            <v>4.8499999999999996</v>
          </cell>
          <cell r="F836">
            <v>17.25</v>
          </cell>
        </row>
        <row r="837">
          <cell r="A837" t="str">
            <v>180722</v>
          </cell>
          <cell r="B837" t="str">
            <v>Rejuntamento de piso cerâmico extrudado antiácido de 14 mm, com argamassa industrializada à base de resina furânica, juntas acima de 3 até 6 mm</v>
          </cell>
          <cell r="C837" t="str">
            <v>m²</v>
          </cell>
          <cell r="D837">
            <v>24.7</v>
          </cell>
          <cell r="E837">
            <v>4.8499999999999996</v>
          </cell>
          <cell r="F837">
            <v>29.55</v>
          </cell>
        </row>
        <row r="838">
          <cell r="A838" t="str">
            <v>180723</v>
          </cell>
          <cell r="B838" t="str">
            <v>Rejuntamento de piso cerâmico extrudado antiácido de 14 mm, com argamassa industrializada à base de resina epóxi, juntas acima de 3 até 6 mm</v>
          </cell>
          <cell r="C838" t="str">
            <v>m²</v>
          </cell>
          <cell r="D838">
            <v>20.66</v>
          </cell>
          <cell r="E838">
            <v>4.8499999999999996</v>
          </cell>
          <cell r="F838">
            <v>25.51</v>
          </cell>
        </row>
        <row r="839">
          <cell r="A839" t="str">
            <v>180724</v>
          </cell>
          <cell r="B839" t="str">
            <v>Rejuntamento de revestimento cerâmico extrudado antiácido de 9 mm, com argamassa industrializada à base de resina epóxi, juntas acima de 3 até 6 mm</v>
          </cell>
          <cell r="C839" t="str">
            <v>m²</v>
          </cell>
          <cell r="D839">
            <v>12.4</v>
          </cell>
          <cell r="E839">
            <v>4.8499999999999996</v>
          </cell>
          <cell r="F839">
            <v>17.25</v>
          </cell>
        </row>
        <row r="840">
          <cell r="A840" t="str">
            <v>180730</v>
          </cell>
          <cell r="B840" t="str">
            <v>Rejuntamento de rodapé cerâmico extrudado antiácido de 9 mm, com argamassa industrializada à base de resina furânica, juntas acima de 3 até 6 mm</v>
          </cell>
          <cell r="C840" t="str">
            <v>m</v>
          </cell>
          <cell r="D840">
            <v>1.61</v>
          </cell>
          <cell r="E840">
            <v>0.48</v>
          </cell>
          <cell r="F840">
            <v>2.09</v>
          </cell>
        </row>
        <row r="841">
          <cell r="A841" t="str">
            <v>180731</v>
          </cell>
          <cell r="B841" t="str">
            <v>Rejuntamento de rodapé cerâmico extrudado antiácido de 9 mm, com argamassa industrializada à base de resina epóxi, juntas acima de 3 até 6 mm</v>
          </cell>
          <cell r="C841" t="str">
            <v>m</v>
          </cell>
          <cell r="D841">
            <v>1.24</v>
          </cell>
          <cell r="E841">
            <v>0.48</v>
          </cell>
          <cell r="F841">
            <v>1.72</v>
          </cell>
        </row>
        <row r="842">
          <cell r="A842" t="str">
            <v>180801</v>
          </cell>
          <cell r="B842" t="str">
            <v>Revestimento em porcelanato esmaltado antiderrapante, grupo de absorção BI-a, rejuntado</v>
          </cell>
          <cell r="C842" t="str">
            <v>m²</v>
          </cell>
          <cell r="D842">
            <v>47.74</v>
          </cell>
          <cell r="E842">
            <v>19.2</v>
          </cell>
          <cell r="F842">
            <v>66.94</v>
          </cell>
        </row>
        <row r="843">
          <cell r="A843" t="str">
            <v>180802</v>
          </cell>
          <cell r="B843" t="str">
            <v>Rodapé em porcelanato esmaltado antiderrapante, grupo de absorção BI-a, rejuntado</v>
          </cell>
          <cell r="C843" t="str">
            <v>m</v>
          </cell>
          <cell r="D843">
            <v>4.5199999999999996</v>
          </cell>
          <cell r="E843">
            <v>5.34</v>
          </cell>
          <cell r="F843">
            <v>9.86</v>
          </cell>
        </row>
        <row r="844">
          <cell r="A844" t="str">
            <v>180809</v>
          </cell>
          <cell r="B844" t="str">
            <v>Revestimento em porcelanato esmaltado, grupo de absorção BI-a, rejuntado</v>
          </cell>
          <cell r="C844" t="str">
            <v>m²</v>
          </cell>
          <cell r="D844">
            <v>32.53</v>
          </cell>
          <cell r="E844">
            <v>19.2</v>
          </cell>
          <cell r="F844">
            <v>51.730000000000004</v>
          </cell>
        </row>
        <row r="845">
          <cell r="A845" t="str">
            <v>180810</v>
          </cell>
          <cell r="B845" t="str">
            <v>Rodapé em porcelanato esmaltado, grupo de absorção BI-a, rejuntado</v>
          </cell>
          <cell r="C845" t="str">
            <v>m</v>
          </cell>
          <cell r="D845">
            <v>16.12</v>
          </cell>
          <cell r="E845">
            <v>5.34</v>
          </cell>
          <cell r="F845">
            <v>21.46</v>
          </cell>
        </row>
        <row r="846">
          <cell r="A846" t="str">
            <v>180811</v>
          </cell>
          <cell r="B846" t="str">
            <v>Revestimento em porcelanato técnico antiderrapante, grupo de absorção BI-a, rejuntado</v>
          </cell>
          <cell r="C846" t="str">
            <v>m²</v>
          </cell>
          <cell r="D846">
            <v>80.33</v>
          </cell>
          <cell r="E846">
            <v>19.2</v>
          </cell>
          <cell r="F846">
            <v>99.53</v>
          </cell>
        </row>
        <row r="847">
          <cell r="A847" t="str">
            <v>180812</v>
          </cell>
          <cell r="B847" t="str">
            <v>Rodapé em porcelanato técnico antiderrapante, grupo de absorção BI-a, rejuntado</v>
          </cell>
          <cell r="C847" t="str">
            <v>m</v>
          </cell>
          <cell r="D847">
            <v>15.49</v>
          </cell>
          <cell r="E847">
            <v>5.34</v>
          </cell>
          <cell r="F847">
            <v>20.830000000000002</v>
          </cell>
        </row>
        <row r="848">
          <cell r="A848" t="str">
            <v>180813</v>
          </cell>
          <cell r="B848" t="str">
            <v>Revestimento em porcelanato técnico antiácido, grupo de absorção BI-a, rejuntado com resina epóxi</v>
          </cell>
          <cell r="C848" t="str">
            <v>m²</v>
          </cell>
          <cell r="D848">
            <v>73.5</v>
          </cell>
          <cell r="E848">
            <v>19.2</v>
          </cell>
          <cell r="F848">
            <v>92.7</v>
          </cell>
        </row>
        <row r="849">
          <cell r="A849" t="str">
            <v>180814</v>
          </cell>
          <cell r="B849" t="str">
            <v>Rodapé em porcelanato técnico antiácido, grupo de absorção BI-a, rejuntado com resina epóxi</v>
          </cell>
          <cell r="C849" t="str">
            <v>m</v>
          </cell>
          <cell r="D849">
            <v>16</v>
          </cell>
          <cell r="E849">
            <v>5.34</v>
          </cell>
          <cell r="F849">
            <v>21.34</v>
          </cell>
        </row>
        <row r="850">
          <cell r="A850" t="str">
            <v>180815</v>
          </cell>
          <cell r="B850" t="str">
            <v>Revestimento em porcelanato técnico coeficiente de atrito II, grupo de absorção BI-a, rejuntado</v>
          </cell>
          <cell r="C850" t="str">
            <v>m²</v>
          </cell>
          <cell r="D850">
            <v>50.7</v>
          </cell>
          <cell r="E850">
            <v>19.2</v>
          </cell>
          <cell r="F850">
            <v>69.900000000000006</v>
          </cell>
        </row>
        <row r="851">
          <cell r="A851" t="str">
            <v>180816</v>
          </cell>
          <cell r="B851" t="str">
            <v>Rodapé em porcelanato técnico, coeficiente de atrito II, grupo de absorção BI-a, rejuntado</v>
          </cell>
          <cell r="C851" t="str">
            <v>m</v>
          </cell>
          <cell r="D851">
            <v>19.29</v>
          </cell>
          <cell r="E851">
            <v>5.34</v>
          </cell>
          <cell r="F851">
            <v>24.63</v>
          </cell>
        </row>
        <row r="852">
          <cell r="A852" t="str">
            <v>180817</v>
          </cell>
          <cell r="B852" t="str">
            <v>Revestimento em porcelanato técnico, coeficiente de atrito I, grupo de absorção BI-a, rejuntado</v>
          </cell>
          <cell r="C852" t="str">
            <v>m²</v>
          </cell>
          <cell r="D852">
            <v>59.21</v>
          </cell>
          <cell r="E852">
            <v>19.2</v>
          </cell>
          <cell r="F852">
            <v>78.41</v>
          </cell>
        </row>
        <row r="853">
          <cell r="A853" t="str">
            <v>180818</v>
          </cell>
          <cell r="B853" t="str">
            <v>Rodapé em porcelanato técnico, coeficiente de atrito I, grupo de absorção BI-a, rejuntado</v>
          </cell>
          <cell r="C853" t="str">
            <v>m</v>
          </cell>
          <cell r="D853">
            <v>19.29</v>
          </cell>
          <cell r="E853">
            <v>5.34</v>
          </cell>
          <cell r="F853">
            <v>24.63</v>
          </cell>
        </row>
        <row r="854">
          <cell r="A854" t="str">
            <v>181101</v>
          </cell>
          <cell r="B854" t="str">
            <v>Revestimento em placa cerâmica esmaltada para paredes de 15 x 15 cm, assentado com argamassa mista</v>
          </cell>
          <cell r="C854" t="str">
            <v>m²</v>
          </cell>
          <cell r="D854">
            <v>22.97</v>
          </cell>
          <cell r="E854">
            <v>34.89</v>
          </cell>
          <cell r="F854">
            <v>57.86</v>
          </cell>
        </row>
        <row r="855">
          <cell r="A855" t="str">
            <v>181102</v>
          </cell>
          <cell r="B855" t="str">
            <v>Revestimento em placa cerâmica esmaltada para paredes de 15 x 15 cm, assentado com argamassa colante industrializada</v>
          </cell>
          <cell r="C855" t="str">
            <v>m²</v>
          </cell>
          <cell r="D855">
            <v>19.84</v>
          </cell>
          <cell r="E855">
            <v>6.12</v>
          </cell>
          <cell r="F855">
            <v>25.96</v>
          </cell>
        </row>
        <row r="856">
          <cell r="A856" t="str">
            <v>181103</v>
          </cell>
          <cell r="B856" t="str">
            <v>Revestimento em placa cerâmica esmaltada para paredes de 20 x 20 cm, assentado com argamassa mista</v>
          </cell>
          <cell r="C856" t="str">
            <v>m²</v>
          </cell>
          <cell r="D856">
            <v>34.14</v>
          </cell>
          <cell r="E856">
            <v>34.89</v>
          </cell>
          <cell r="F856">
            <v>69.03</v>
          </cell>
        </row>
        <row r="857">
          <cell r="A857" t="str">
            <v>181104</v>
          </cell>
          <cell r="B857" t="str">
            <v>Revestimento em placa cerâmica esmaltada para paredes de 20 x 20 cm, assentado com argamassa AC-I colante industrializada</v>
          </cell>
          <cell r="C857" t="str">
            <v>m²</v>
          </cell>
          <cell r="D857">
            <v>31.01</v>
          </cell>
          <cell r="E857">
            <v>6.12</v>
          </cell>
          <cell r="F857">
            <v>37.130000000000003</v>
          </cell>
        </row>
        <row r="858">
          <cell r="A858" t="str">
            <v>181109</v>
          </cell>
          <cell r="B858" t="str">
            <v>Revestimento em placa cerâmica esmaltada para parede interna, de 10 x 10 cm, assentado com argamassa colante industrializada</v>
          </cell>
          <cell r="C858" t="str">
            <v>m²</v>
          </cell>
          <cell r="D858">
            <v>43.45</v>
          </cell>
          <cell r="E858">
            <v>6.12</v>
          </cell>
          <cell r="F858">
            <v>49.57</v>
          </cell>
        </row>
        <row r="859">
          <cell r="A859" t="str">
            <v>181110</v>
          </cell>
          <cell r="B859" t="str">
            <v>Revestimento em placa cerâmica esmaltada de 10 x 10 cm, assentado com argamassa colante industrializada</v>
          </cell>
          <cell r="C859" t="str">
            <v>m²</v>
          </cell>
          <cell r="D859">
            <v>37.32</v>
          </cell>
          <cell r="E859">
            <v>12.25</v>
          </cell>
          <cell r="F859">
            <v>49.57</v>
          </cell>
        </row>
        <row r="860">
          <cell r="A860" t="str">
            <v>181111</v>
          </cell>
          <cell r="B860" t="str">
            <v>Revestimento em placa cerâmica esmaltada para paredes de 20 x 20 cm, assentado com argamassa AC-II colante industrializada</v>
          </cell>
          <cell r="C860" t="str">
            <v>m²</v>
          </cell>
          <cell r="D860">
            <v>33.29</v>
          </cell>
          <cell r="E860">
            <v>6.12</v>
          </cell>
          <cell r="F860">
            <v>39.409999999999997</v>
          </cell>
        </row>
        <row r="861">
          <cell r="A861" t="str">
            <v>181120</v>
          </cell>
          <cell r="B861" t="str">
            <v>Rejuntamento de placa cerâmica de 15 x 15 cm com cimento branco, juntas até 3 mm</v>
          </cell>
          <cell r="C861" t="str">
            <v>m²</v>
          </cell>
          <cell r="D861">
            <v>0.26</v>
          </cell>
          <cell r="E861">
            <v>4.8499999999999996</v>
          </cell>
          <cell r="F861">
            <v>5.1100000000000003</v>
          </cell>
        </row>
        <row r="862">
          <cell r="A862" t="str">
            <v>181121</v>
          </cell>
          <cell r="B862" t="str">
            <v>Rejuntamento de placa cerâmica de 15 x 15 cm com argamassa industrializada para rejunte, juntas até 3 mm</v>
          </cell>
          <cell r="C862" t="str">
            <v>m²</v>
          </cell>
          <cell r="D862">
            <v>0.68</v>
          </cell>
          <cell r="E862">
            <v>4.8499999999999996</v>
          </cell>
          <cell r="F862">
            <v>5.53</v>
          </cell>
        </row>
        <row r="863">
          <cell r="A863" t="str">
            <v>181122</v>
          </cell>
          <cell r="B863" t="str">
            <v>Rejuntamento de cerâmica esmaltada de 20 x 20 cm com cimento branco, juntas até 3 mm</v>
          </cell>
          <cell r="C863" t="str">
            <v>m²</v>
          </cell>
          <cell r="D863">
            <v>0.38</v>
          </cell>
          <cell r="E863">
            <v>4.8499999999999996</v>
          </cell>
          <cell r="F863">
            <v>5.23</v>
          </cell>
        </row>
        <row r="864">
          <cell r="A864" t="str">
            <v>181123</v>
          </cell>
          <cell r="B864" t="str">
            <v>Rejuntamento de cerâmica esmaltada de 20 x 20 cm com argamassa industrializada para rejunte, juntas até 3 mm</v>
          </cell>
          <cell r="C864" t="str">
            <v>m²</v>
          </cell>
          <cell r="D864">
            <v>0.9</v>
          </cell>
          <cell r="E864">
            <v>4.8499999999999996</v>
          </cell>
          <cell r="F864">
            <v>5.75</v>
          </cell>
        </row>
        <row r="865">
          <cell r="A865" t="str">
            <v>181125</v>
          </cell>
          <cell r="B865" t="str">
            <v>Rejuntamento de placas cerâmicas de 10 x 10 cm com argamassa industrializada para rejunte, juntas de 6 mm</v>
          </cell>
          <cell r="C865" t="str">
            <v>m²</v>
          </cell>
          <cell r="D865">
            <v>3.39</v>
          </cell>
          <cell r="E865">
            <v>4.8499999999999996</v>
          </cell>
          <cell r="F865">
            <v>8.24</v>
          </cell>
        </row>
        <row r="866">
          <cell r="A866" t="str">
            <v>181202</v>
          </cell>
          <cell r="B866" t="str">
            <v>Revestimento em pastilha de porcelana natural ou esmaltada de 5 x 5 cm, assentado e rejuntado com argamassa colante industrializada</v>
          </cell>
          <cell r="C866" t="str">
            <v>m²</v>
          </cell>
          <cell r="D866">
            <v>106.71000000000001</v>
          </cell>
          <cell r="E866">
            <v>13.77</v>
          </cell>
          <cell r="F866">
            <v>120.48</v>
          </cell>
        </row>
        <row r="867">
          <cell r="A867" t="str">
            <v>181210</v>
          </cell>
          <cell r="B867" t="str">
            <v>Revestimento em pastilha de porcelana natural ou esmaltada de 5 x 5 cm, assentado e rejuntado com argamassa colante industrializada, faixas até 40 cm</v>
          </cell>
          <cell r="C867" t="str">
            <v>m</v>
          </cell>
          <cell r="D867">
            <v>42.69</v>
          </cell>
          <cell r="E867">
            <v>11.02</v>
          </cell>
          <cell r="F867">
            <v>53.71</v>
          </cell>
        </row>
        <row r="868">
          <cell r="A868" t="str">
            <v>181212</v>
          </cell>
          <cell r="B868" t="str">
            <v>Revestimento em pastilha de porcelana natural ou esmaltada de 2,5 x 2,5 cm, assentado e rejuntado com argamassa colante industrializada</v>
          </cell>
          <cell r="C868" t="str">
            <v>m²</v>
          </cell>
          <cell r="D868">
            <v>122.57000000000001</v>
          </cell>
          <cell r="E868">
            <v>13.77</v>
          </cell>
          <cell r="F868">
            <v>136.34</v>
          </cell>
        </row>
        <row r="869">
          <cell r="A869" t="str">
            <v>181220</v>
          </cell>
          <cell r="B869" t="str">
            <v>Revestimento em pastilha de porcelana natural ou esmaltada de 2,5 x 2,5 cm, assentado e rejuntado com argamassa colante industrializada, faixas até 40 cm</v>
          </cell>
          <cell r="C869" t="str">
            <v>m</v>
          </cell>
          <cell r="D869">
            <v>49.03</v>
          </cell>
          <cell r="E869">
            <v>11.02</v>
          </cell>
          <cell r="F869">
            <v>60.050000000000004</v>
          </cell>
        </row>
        <row r="870">
          <cell r="A870" t="str">
            <v>181301</v>
          </cell>
          <cell r="B870" t="str">
            <v>Revestimento de placa cerâmica não esmaltada extrudada alta resistência química e mecânica, espessura de 9 mm, assentado com argamassa colante industrializada</v>
          </cell>
          <cell r="C870" t="str">
            <v>m²</v>
          </cell>
          <cell r="D870">
            <v>65.34</v>
          </cell>
          <cell r="E870">
            <v>8.7799999999999994</v>
          </cell>
          <cell r="F870">
            <v>74.12</v>
          </cell>
        </row>
        <row r="871">
          <cell r="A871" t="str">
            <v>181320</v>
          </cell>
          <cell r="B871" t="str">
            <v>Rejuntamento de revestimento cerâmico não esmaltado extrudado antiácido 9 mm, com argamassa industrializada à base de resina epóxi, juntas acima de 3 até 6 mm</v>
          </cell>
          <cell r="C871" t="str">
            <v>m²</v>
          </cell>
          <cell r="D871">
            <v>12.4</v>
          </cell>
          <cell r="E871">
            <v>4.8499999999999996</v>
          </cell>
          <cell r="F871">
            <v>17.25</v>
          </cell>
        </row>
        <row r="872">
          <cell r="A872" t="str">
            <v>190101</v>
          </cell>
          <cell r="B872" t="str">
            <v>Rodapé em granito com 7 cm de altura</v>
          </cell>
          <cell r="C872" t="str">
            <v>m</v>
          </cell>
          <cell r="D872">
            <v>77.67</v>
          </cell>
          <cell r="E872">
            <v>0.97</v>
          </cell>
          <cell r="F872">
            <v>78.64</v>
          </cell>
        </row>
        <row r="873">
          <cell r="A873" t="str">
            <v>190102</v>
          </cell>
          <cell r="B873" t="str">
            <v>Revestimento em granito com 2 cm de espessura, assente com massa</v>
          </cell>
          <cell r="C873" t="str">
            <v>m²</v>
          </cell>
          <cell r="D873">
            <v>167.3</v>
          </cell>
          <cell r="E873">
            <v>5.83</v>
          </cell>
          <cell r="F873">
            <v>173.13</v>
          </cell>
        </row>
        <row r="874">
          <cell r="A874" t="str">
            <v>190104</v>
          </cell>
          <cell r="B874" t="str">
            <v>Revestimento em granito com 3 cm de espessura, assente com massa</v>
          </cell>
          <cell r="C874" t="str">
            <v>m²</v>
          </cell>
          <cell r="D874">
            <v>261.14999999999998</v>
          </cell>
          <cell r="E874">
            <v>6.8</v>
          </cell>
          <cell r="F874">
            <v>267.95</v>
          </cell>
        </row>
        <row r="875">
          <cell r="A875" t="str">
            <v>190106</v>
          </cell>
          <cell r="B875" t="str">
            <v>Peitoril e/ou soleira em granito com espessura de 2 cm e largura até 20 cm</v>
          </cell>
          <cell r="C875" t="str">
            <v>m</v>
          </cell>
          <cell r="D875">
            <v>80.349999999999994</v>
          </cell>
          <cell r="E875">
            <v>1.94</v>
          </cell>
          <cell r="F875">
            <v>82.29</v>
          </cell>
        </row>
        <row r="876">
          <cell r="A876" t="str">
            <v>190112</v>
          </cell>
          <cell r="B876" t="str">
            <v>Degrau e espelho de granito</v>
          </cell>
          <cell r="C876" t="str">
            <v>m</v>
          </cell>
          <cell r="D876">
            <v>177.97</v>
          </cell>
          <cell r="E876">
            <v>3.4</v>
          </cell>
          <cell r="F876">
            <v>181.37</v>
          </cell>
        </row>
        <row r="877">
          <cell r="A877" t="str">
            <v>190132</v>
          </cell>
          <cell r="B877" t="str">
            <v>Rodapé em granito com altura de 7,1 a 10 cm</v>
          </cell>
          <cell r="C877" t="str">
            <v>m</v>
          </cell>
          <cell r="D877">
            <v>82.15</v>
          </cell>
          <cell r="E877">
            <v>0.97</v>
          </cell>
          <cell r="F877">
            <v>83.12</v>
          </cell>
        </row>
        <row r="878">
          <cell r="A878" t="str">
            <v>190139</v>
          </cell>
          <cell r="B878" t="str">
            <v>Peitoril e/ou soleira em granito, espessura de 2 cm e largura de 21 até 30 cm</v>
          </cell>
          <cell r="C878" t="str">
            <v>m</v>
          </cell>
          <cell r="D878">
            <v>81.680000000000007</v>
          </cell>
          <cell r="E878">
            <v>2.91</v>
          </cell>
          <cell r="F878">
            <v>84.59</v>
          </cell>
        </row>
        <row r="879">
          <cell r="A879" t="str">
            <v>190202</v>
          </cell>
          <cell r="B879" t="str">
            <v>Revestimento em mármore branco de 2 cm, assente com massa</v>
          </cell>
          <cell r="C879" t="str">
            <v>m²</v>
          </cell>
          <cell r="D879">
            <v>395.84000000000003</v>
          </cell>
          <cell r="E879">
            <v>5.83</v>
          </cell>
          <cell r="F879">
            <v>401.67</v>
          </cell>
        </row>
        <row r="880">
          <cell r="A880" t="str">
            <v>190204</v>
          </cell>
          <cell r="B880" t="str">
            <v>Revestimento em mármore travertino nacional de 2 cm, assente com massa</v>
          </cell>
          <cell r="C880" t="str">
            <v>m²</v>
          </cell>
          <cell r="D880">
            <v>488.29</v>
          </cell>
          <cell r="E880">
            <v>5.83</v>
          </cell>
          <cell r="F880">
            <v>494.12</v>
          </cell>
        </row>
        <row r="881">
          <cell r="A881" t="str">
            <v>190206</v>
          </cell>
          <cell r="B881" t="str">
            <v>Revestimento em mármore branco de 3 cm, assente com massa</v>
          </cell>
          <cell r="C881" t="str">
            <v>m²</v>
          </cell>
          <cell r="D881">
            <v>491.43</v>
          </cell>
          <cell r="E881">
            <v>6.8</v>
          </cell>
          <cell r="F881">
            <v>498.23</v>
          </cell>
        </row>
        <row r="882">
          <cell r="A882" t="str">
            <v>190208</v>
          </cell>
          <cell r="B882" t="str">
            <v>Revestimento em mármore travertino nacional de 3 cm, assente com massa</v>
          </cell>
          <cell r="C882" t="str">
            <v>m²</v>
          </cell>
          <cell r="D882">
            <v>532</v>
          </cell>
          <cell r="E882">
            <v>6.8</v>
          </cell>
          <cell r="F882">
            <v>538.79999999999995</v>
          </cell>
        </row>
        <row r="883">
          <cell r="A883" t="str">
            <v>190222</v>
          </cell>
          <cell r="B883" t="str">
            <v>Degrau e espelho em mármore branco</v>
          </cell>
          <cell r="C883" t="str">
            <v>m</v>
          </cell>
          <cell r="D883">
            <v>234.71</v>
          </cell>
          <cell r="E883">
            <v>3.4</v>
          </cell>
          <cell r="F883">
            <v>238.11</v>
          </cell>
        </row>
        <row r="884">
          <cell r="A884" t="str">
            <v>190224</v>
          </cell>
          <cell r="B884" t="str">
            <v>Degrau e espelho em mármore travertino nacional</v>
          </cell>
          <cell r="C884" t="str">
            <v>m</v>
          </cell>
          <cell r="D884">
            <v>268.66000000000003</v>
          </cell>
          <cell r="E884">
            <v>3.4</v>
          </cell>
          <cell r="F884">
            <v>272.06</v>
          </cell>
        </row>
        <row r="885">
          <cell r="A885" t="str">
            <v>190225</v>
          </cell>
          <cell r="B885" t="str">
            <v>Rodapé em mármore branco, com 7 cm de altura</v>
          </cell>
          <cell r="C885" t="str">
            <v>m</v>
          </cell>
          <cell r="D885">
            <v>31.43</v>
          </cell>
          <cell r="E885">
            <v>0.97</v>
          </cell>
          <cell r="F885">
            <v>32.4</v>
          </cell>
        </row>
        <row r="886">
          <cell r="A886" t="str">
            <v>190302</v>
          </cell>
          <cell r="B886" t="str">
            <v>Revestimento em pedra tipo arenito comum</v>
          </cell>
          <cell r="C886" t="str">
            <v>m²</v>
          </cell>
          <cell r="D886">
            <v>115.94</v>
          </cell>
          <cell r="E886">
            <v>15.540000000000001</v>
          </cell>
          <cell r="F886">
            <v>131.47999999999999</v>
          </cell>
        </row>
        <row r="887">
          <cell r="A887" t="str">
            <v>190306</v>
          </cell>
          <cell r="B887" t="str">
            <v>Revestimento em pedra mineira comum</v>
          </cell>
          <cell r="C887" t="str">
            <v>m²</v>
          </cell>
          <cell r="D887">
            <v>197.82</v>
          </cell>
          <cell r="E887">
            <v>15.540000000000001</v>
          </cell>
          <cell r="F887">
            <v>213.36</v>
          </cell>
        </row>
        <row r="888">
          <cell r="A888" t="str">
            <v>190309</v>
          </cell>
          <cell r="B888" t="str">
            <v>Revestimento em pedra miracema</v>
          </cell>
          <cell r="C888" t="str">
            <v>m²</v>
          </cell>
          <cell r="D888">
            <v>47.52</v>
          </cell>
          <cell r="E888">
            <v>12.16</v>
          </cell>
          <cell r="F888">
            <v>59.68</v>
          </cell>
        </row>
        <row r="889">
          <cell r="A889" t="str">
            <v>190310</v>
          </cell>
          <cell r="B889" t="str">
            <v>Rodapé em pedra miracema com 5,75 cm de altura</v>
          </cell>
          <cell r="C889" t="str">
            <v>m</v>
          </cell>
          <cell r="D889">
            <v>11.83</v>
          </cell>
          <cell r="E889">
            <v>13.09</v>
          </cell>
          <cell r="F889">
            <v>24.92</v>
          </cell>
        </row>
        <row r="890">
          <cell r="A890" t="str">
            <v>190311</v>
          </cell>
          <cell r="B890" t="str">
            <v>Rodapé em pedra miracema com 11,5 cm de altura</v>
          </cell>
          <cell r="C890" t="str">
            <v>m</v>
          </cell>
          <cell r="D890">
            <v>3.34</v>
          </cell>
          <cell r="E890">
            <v>19.53</v>
          </cell>
          <cell r="F890">
            <v>22.87</v>
          </cell>
        </row>
        <row r="891">
          <cell r="A891" t="str">
            <v>190322</v>
          </cell>
          <cell r="B891" t="str">
            <v>Rodapé em pedra mineira simples de 10 cm</v>
          </cell>
          <cell r="C891" t="str">
            <v>m</v>
          </cell>
          <cell r="D891">
            <v>44.550000000000004</v>
          </cell>
          <cell r="E891">
            <v>0.97</v>
          </cell>
          <cell r="F891">
            <v>45.52</v>
          </cell>
        </row>
        <row r="892">
          <cell r="A892" t="str">
            <v>190324</v>
          </cell>
          <cell r="B892" t="str">
            <v>Rodapé em pedra mineira para escada de 10 cm, incluindo triângulo</v>
          </cell>
          <cell r="C892" t="str">
            <v>m</v>
          </cell>
          <cell r="D892">
            <v>46.550000000000004</v>
          </cell>
          <cell r="E892">
            <v>1.46</v>
          </cell>
          <cell r="F892">
            <v>48.01</v>
          </cell>
        </row>
        <row r="893">
          <cell r="A893" t="str">
            <v>190326</v>
          </cell>
          <cell r="B893" t="str">
            <v>Revestimento em pedra ardósia selecionada</v>
          </cell>
          <cell r="C893" t="str">
            <v>m²</v>
          </cell>
          <cell r="D893">
            <v>36.26</v>
          </cell>
          <cell r="E893">
            <v>12.42</v>
          </cell>
          <cell r="F893">
            <v>48.68</v>
          </cell>
        </row>
        <row r="894">
          <cell r="A894" t="str">
            <v>190327</v>
          </cell>
          <cell r="B894" t="str">
            <v>Rodapé em pedra ardósia com 7 cm de altura</v>
          </cell>
          <cell r="C894" t="str">
            <v>m</v>
          </cell>
          <cell r="D894">
            <v>5.22</v>
          </cell>
          <cell r="E894">
            <v>3.29</v>
          </cell>
          <cell r="F894">
            <v>8.51</v>
          </cell>
        </row>
        <row r="895">
          <cell r="A895" t="str">
            <v>190329</v>
          </cell>
          <cell r="B895" t="str">
            <v>Soleira e/ou peitoril em ardósia, espessura de 2 cm e largura até 20 cm</v>
          </cell>
          <cell r="C895" t="str">
            <v>m</v>
          </cell>
          <cell r="D895">
            <v>49.4</v>
          </cell>
          <cell r="E895">
            <v>1.94</v>
          </cell>
          <cell r="F895">
            <v>51.34</v>
          </cell>
        </row>
        <row r="896">
          <cell r="A896" t="str">
            <v>192002</v>
          </cell>
          <cell r="B896" t="str">
            <v>Recolocação de mármore, pedras e granitos, assentes com massa</v>
          </cell>
          <cell r="C896" t="str">
            <v>m²</v>
          </cell>
          <cell r="D896">
            <v>6.07</v>
          </cell>
          <cell r="E896">
            <v>24.95</v>
          </cell>
          <cell r="F896">
            <v>31.02</v>
          </cell>
        </row>
        <row r="897">
          <cell r="A897" t="str">
            <v>200104</v>
          </cell>
          <cell r="B897" t="str">
            <v>Lambril em madeira macho/fêmea tarugado, exceto pinus</v>
          </cell>
          <cell r="C897" t="str">
            <v>m²</v>
          </cell>
          <cell r="D897">
            <v>31.240000000000002</v>
          </cell>
          <cell r="E897">
            <v>32.450000000000003</v>
          </cell>
          <cell r="F897">
            <v>63.690000000000005</v>
          </cell>
        </row>
        <row r="898">
          <cell r="A898" t="str">
            <v>200301</v>
          </cell>
          <cell r="B898" t="str">
            <v>Soalho em tábua de madeira aparelhada</v>
          </cell>
          <cell r="C898" t="str">
            <v>m²</v>
          </cell>
          <cell r="D898">
            <v>177.09</v>
          </cell>
          <cell r="E898">
            <v>0</v>
          </cell>
          <cell r="F898">
            <v>177.09</v>
          </cell>
        </row>
        <row r="899">
          <cell r="A899" t="str">
            <v>200402</v>
          </cell>
          <cell r="B899" t="str">
            <v>Piso em tacos de Ipê colado</v>
          </cell>
          <cell r="C899" t="str">
            <v>m²</v>
          </cell>
          <cell r="D899">
            <v>97.18</v>
          </cell>
          <cell r="E899">
            <v>10.620000000000001</v>
          </cell>
          <cell r="F899">
            <v>107.8</v>
          </cell>
        </row>
        <row r="900">
          <cell r="A900" t="str">
            <v>201002</v>
          </cell>
          <cell r="B900" t="str">
            <v>Rodapé de madeira de 5 x 1,5 cm</v>
          </cell>
          <cell r="C900" t="str">
            <v>m</v>
          </cell>
          <cell r="D900">
            <v>10.790000000000001</v>
          </cell>
          <cell r="E900">
            <v>7.08</v>
          </cell>
          <cell r="F900">
            <v>17.87</v>
          </cell>
        </row>
        <row r="901">
          <cell r="A901" t="str">
            <v>201004</v>
          </cell>
          <cell r="B901" t="str">
            <v>Rodapé de madeira de 7 x 1,5 cm</v>
          </cell>
          <cell r="C901" t="str">
            <v>m</v>
          </cell>
          <cell r="D901">
            <v>11.18</v>
          </cell>
          <cell r="E901">
            <v>7.08</v>
          </cell>
          <cell r="F901">
            <v>18.260000000000002</v>
          </cell>
        </row>
        <row r="902">
          <cell r="A902" t="str">
            <v>201012</v>
          </cell>
          <cell r="B902" t="str">
            <v>Cordão de madeira</v>
          </cell>
          <cell r="C902" t="str">
            <v>m</v>
          </cell>
          <cell r="D902">
            <v>1.82</v>
          </cell>
          <cell r="E902">
            <v>1.72</v>
          </cell>
          <cell r="F902">
            <v>3.54</v>
          </cell>
        </row>
        <row r="903">
          <cell r="A903" t="str">
            <v>202002</v>
          </cell>
          <cell r="B903" t="str">
            <v>Recolocação de soalho em madeira</v>
          </cell>
          <cell r="C903" t="str">
            <v>m²</v>
          </cell>
          <cell r="D903">
            <v>0.2</v>
          </cell>
          <cell r="E903">
            <v>4.17</v>
          </cell>
          <cell r="F903">
            <v>4.37</v>
          </cell>
        </row>
        <row r="904">
          <cell r="A904" t="str">
            <v>202004</v>
          </cell>
          <cell r="B904" t="str">
            <v>Recolocação de tacos soltos com cola</v>
          </cell>
          <cell r="C904" t="str">
            <v>m²</v>
          </cell>
          <cell r="D904">
            <v>10.18</v>
          </cell>
          <cell r="E904">
            <v>10.620000000000001</v>
          </cell>
          <cell r="F904">
            <v>20.8</v>
          </cell>
        </row>
        <row r="905">
          <cell r="A905" t="str">
            <v>202010</v>
          </cell>
          <cell r="B905" t="str">
            <v>Recolocação de rodapé e cordão de madeira</v>
          </cell>
          <cell r="C905" t="str">
            <v>m</v>
          </cell>
          <cell r="D905">
            <v>0.2</v>
          </cell>
          <cell r="E905">
            <v>5.32</v>
          </cell>
          <cell r="F905">
            <v>5.5200000000000005</v>
          </cell>
        </row>
        <row r="906">
          <cell r="A906" t="str">
            <v>202020</v>
          </cell>
          <cell r="B906" t="str">
            <v>Raspagem com calafetação e aplicação de verniz sinteco</v>
          </cell>
          <cell r="C906" t="str">
            <v>m²</v>
          </cell>
          <cell r="D906">
            <v>42.07</v>
          </cell>
          <cell r="E906">
            <v>0</v>
          </cell>
          <cell r="F906">
            <v>42.07</v>
          </cell>
        </row>
        <row r="907">
          <cell r="A907" t="str">
            <v>202022</v>
          </cell>
          <cell r="B907" t="str">
            <v>Raspagem com calafetação e aplicação de cera</v>
          </cell>
          <cell r="C907" t="str">
            <v>m²</v>
          </cell>
          <cell r="D907">
            <v>25.59</v>
          </cell>
          <cell r="E907">
            <v>0</v>
          </cell>
          <cell r="F907">
            <v>25.59</v>
          </cell>
        </row>
        <row r="908">
          <cell r="A908" t="str">
            <v>210110</v>
          </cell>
          <cell r="B908" t="str">
            <v>Revestimento em borracha sintética preta de 4,0 mm - colado</v>
          </cell>
          <cell r="C908" t="str">
            <v>m²</v>
          </cell>
          <cell r="D908">
            <v>40.770000000000003</v>
          </cell>
          <cell r="E908">
            <v>4.93</v>
          </cell>
          <cell r="F908">
            <v>45.7</v>
          </cell>
        </row>
        <row r="909">
          <cell r="A909" t="str">
            <v>210113</v>
          </cell>
          <cell r="B909" t="str">
            <v>Revestimento em borracha sintética preta de 7,0 mm - argamassado</v>
          </cell>
          <cell r="C909" t="str">
            <v>m²</v>
          </cell>
          <cell r="D909">
            <v>81.44</v>
          </cell>
          <cell r="E909">
            <v>11.8</v>
          </cell>
          <cell r="F909">
            <v>93.24</v>
          </cell>
        </row>
        <row r="910">
          <cell r="A910" t="str">
            <v>210205</v>
          </cell>
          <cell r="B910" t="str">
            <v>Revestimento vinílico de 2,0 mm, para tráfego médio, com impermeabilizante acrílico</v>
          </cell>
          <cell r="C910" t="str">
            <v>m²</v>
          </cell>
          <cell r="D910">
            <v>65.23</v>
          </cell>
          <cell r="E910">
            <v>0</v>
          </cell>
          <cell r="F910">
            <v>65.23</v>
          </cell>
        </row>
        <row r="911">
          <cell r="A911" t="str">
            <v>210206</v>
          </cell>
          <cell r="B911" t="str">
            <v>Revestimento vinílico de 3,2 mm, para tráfego intenso, com impermeabilizante acrílico</v>
          </cell>
          <cell r="C911" t="str">
            <v>m²</v>
          </cell>
          <cell r="D911">
            <v>91.24</v>
          </cell>
          <cell r="E911">
            <v>0</v>
          </cell>
          <cell r="F911">
            <v>91.24</v>
          </cell>
        </row>
        <row r="912">
          <cell r="A912" t="str">
            <v>210226</v>
          </cell>
          <cell r="B912" t="str">
            <v>Revestimento vinílico em manta acústica heterogênea, espessura 3mm</v>
          </cell>
          <cell r="C912" t="str">
            <v>m²</v>
          </cell>
          <cell r="D912">
            <v>108.04</v>
          </cell>
          <cell r="E912">
            <v>0</v>
          </cell>
          <cell r="F912">
            <v>108.04</v>
          </cell>
        </row>
        <row r="913">
          <cell r="A913" t="str">
            <v>210227</v>
          </cell>
          <cell r="B913" t="str">
            <v>Revestimento vinílico em manta heterogênea, espessura 2mm</v>
          </cell>
          <cell r="C913" t="str">
            <v>m²</v>
          </cell>
          <cell r="D913">
            <v>104.43</v>
          </cell>
          <cell r="E913">
            <v>0</v>
          </cell>
          <cell r="F913">
            <v>104.43</v>
          </cell>
        </row>
        <row r="914">
          <cell r="A914" t="str">
            <v>210228</v>
          </cell>
          <cell r="B914" t="str">
            <v>Revestimento vinílico em manta calandrada homogênea flexível com espessura de 2mm</v>
          </cell>
          <cell r="C914" t="str">
            <v>m²</v>
          </cell>
          <cell r="D914">
            <v>109.34</v>
          </cell>
          <cell r="E914">
            <v>0</v>
          </cell>
          <cell r="F914">
            <v>109.34</v>
          </cell>
        </row>
        <row r="915">
          <cell r="A915" t="str">
            <v>210229</v>
          </cell>
          <cell r="B915" t="str">
            <v>Revestimento vinílico heterogêneo flexível em réguas com espessura de 3mm</v>
          </cell>
          <cell r="C915" t="str">
            <v>m²</v>
          </cell>
          <cell r="D915">
            <v>92.59</v>
          </cell>
          <cell r="E915">
            <v>0</v>
          </cell>
          <cell r="F915">
            <v>92.59</v>
          </cell>
        </row>
        <row r="916">
          <cell r="A916" t="str">
            <v>210301</v>
          </cell>
          <cell r="B916" t="str">
            <v>Revestimento em aço inoxidável AISI 304, liga 18,8, chapa 20, com espessura de 1 mm, acabamento escovado com grana especial</v>
          </cell>
          <cell r="C916" t="str">
            <v>m²</v>
          </cell>
          <cell r="D916">
            <v>588.73</v>
          </cell>
          <cell r="E916">
            <v>0</v>
          </cell>
          <cell r="F916">
            <v>588.73</v>
          </cell>
        </row>
        <row r="917">
          <cell r="A917" t="str">
            <v>210309</v>
          </cell>
          <cell r="B917" t="str">
            <v>Piso elevado tipo telescópico em chapa de aço, sem revestimento</v>
          </cell>
          <cell r="C917" t="str">
            <v>m²</v>
          </cell>
          <cell r="D917">
            <v>179.4</v>
          </cell>
          <cell r="E917">
            <v>0</v>
          </cell>
          <cell r="F917">
            <v>179.4</v>
          </cell>
        </row>
        <row r="918">
          <cell r="A918" t="str">
            <v>210410</v>
          </cell>
          <cell r="B918" t="str">
            <v>Revestimento com carpete para tráfego moderado, uso comercial, tipo bouclê de 5,4 até 8 mm</v>
          </cell>
          <cell r="C918" t="str">
            <v>m²</v>
          </cell>
          <cell r="D918">
            <v>70.36</v>
          </cell>
          <cell r="E918">
            <v>0</v>
          </cell>
          <cell r="F918">
            <v>70.36</v>
          </cell>
        </row>
        <row r="919">
          <cell r="A919" t="str">
            <v>210411</v>
          </cell>
          <cell r="B919" t="str">
            <v>Revestimento com carpete para tráfego intenso, uso comercial, tipo bouclê de 6 mm</v>
          </cell>
          <cell r="C919" t="str">
            <v>m²</v>
          </cell>
          <cell r="D919">
            <v>99.64</v>
          </cell>
          <cell r="E919">
            <v>0</v>
          </cell>
          <cell r="F919">
            <v>99.64</v>
          </cell>
        </row>
        <row r="920">
          <cell r="A920" t="str">
            <v>210501</v>
          </cell>
          <cell r="B920" t="str">
            <v>Piso em painel com miolo de madeira contraplacado por lâminas de madeira e externamente por chapas em CRFS - espessura de 40 mm</v>
          </cell>
          <cell r="C920" t="str">
            <v>m²</v>
          </cell>
          <cell r="D920">
            <v>86.3</v>
          </cell>
          <cell r="E920">
            <v>45.410000000000004</v>
          </cell>
          <cell r="F920">
            <v>131.71</v>
          </cell>
        </row>
        <row r="921">
          <cell r="A921" t="str">
            <v>210605</v>
          </cell>
          <cell r="B921" t="str">
            <v>Piso elevado monolítico em malha de PVC, preenchida com massa autonivelante, altura 75mm</v>
          </cell>
          <cell r="C921" t="str">
            <v>m²</v>
          </cell>
          <cell r="D921">
            <v>178.73</v>
          </cell>
          <cell r="E921">
            <v>0</v>
          </cell>
          <cell r="F921">
            <v>178.73</v>
          </cell>
        </row>
        <row r="922">
          <cell r="A922" t="str">
            <v>210701</v>
          </cell>
          <cell r="B922" t="str">
            <v>Revestimento em laminado melamínico dissipativo</v>
          </cell>
          <cell r="C922" t="str">
            <v>m²</v>
          </cell>
          <cell r="D922">
            <v>89.99</v>
          </cell>
          <cell r="E922">
            <v>0</v>
          </cell>
          <cell r="F922">
            <v>89.99</v>
          </cell>
        </row>
        <row r="923">
          <cell r="A923" t="str">
            <v>211005</v>
          </cell>
          <cell r="B923" t="str">
            <v>Rodapé em poliestireno de 7,0 cm</v>
          </cell>
          <cell r="C923" t="str">
            <v>m</v>
          </cell>
          <cell r="D923">
            <v>14.32</v>
          </cell>
          <cell r="E923">
            <v>6.44</v>
          </cell>
          <cell r="F923">
            <v>20.76</v>
          </cell>
        </row>
        <row r="924">
          <cell r="A924" t="str">
            <v>211006</v>
          </cell>
          <cell r="B924" t="str">
            <v>Rodapé vinílico de 5,0 cm, com impermeabilizante acrílico</v>
          </cell>
          <cell r="C924" t="str">
            <v>m</v>
          </cell>
          <cell r="D924">
            <v>19.489999999999998</v>
          </cell>
          <cell r="E924">
            <v>0</v>
          </cell>
          <cell r="F924">
            <v>19.489999999999998</v>
          </cell>
        </row>
        <row r="925">
          <cell r="A925" t="str">
            <v>211007</v>
          </cell>
          <cell r="B925" t="str">
            <v>Rodapé vinílico de 7,5 cm, com impermeabilizante acrílico</v>
          </cell>
          <cell r="C925" t="str">
            <v>m</v>
          </cell>
          <cell r="D925">
            <v>20.66</v>
          </cell>
          <cell r="E925">
            <v>0</v>
          </cell>
          <cell r="F925">
            <v>20.66</v>
          </cell>
        </row>
        <row r="926">
          <cell r="A926" t="str">
            <v>211008</v>
          </cell>
          <cell r="B926" t="str">
            <v>Rodapé vinílico hospitalar de 7,5 cm, com impermeabilizante acrílico</v>
          </cell>
          <cell r="C926" t="str">
            <v>m</v>
          </cell>
          <cell r="D926">
            <v>29.47</v>
          </cell>
          <cell r="E926">
            <v>0</v>
          </cell>
          <cell r="F926">
            <v>29.47</v>
          </cell>
        </row>
        <row r="927">
          <cell r="A927" t="str">
            <v>211021</v>
          </cell>
          <cell r="B927" t="str">
            <v>Rodapé em borracha sintética preta, até 7 cm - colado</v>
          </cell>
          <cell r="C927" t="str">
            <v>m</v>
          </cell>
          <cell r="D927">
            <v>7.8900000000000006</v>
          </cell>
          <cell r="E927">
            <v>1.5</v>
          </cell>
          <cell r="F927">
            <v>9.39</v>
          </cell>
        </row>
        <row r="928">
          <cell r="A928" t="str">
            <v>211022</v>
          </cell>
          <cell r="B928" t="str">
            <v>Rodapé de cordão de poliamida</v>
          </cell>
          <cell r="C928" t="str">
            <v>m</v>
          </cell>
          <cell r="D928">
            <v>2.85</v>
          </cell>
          <cell r="E928">
            <v>0</v>
          </cell>
          <cell r="F928">
            <v>2.85</v>
          </cell>
        </row>
        <row r="929">
          <cell r="A929" t="str">
            <v>211105</v>
          </cell>
          <cell r="B929" t="str">
            <v>Degrau (piso e espelho) em borracha sintética preta com testeira - colado</v>
          </cell>
          <cell r="C929" t="str">
            <v>m</v>
          </cell>
          <cell r="D929">
            <v>53.84</v>
          </cell>
          <cell r="E929">
            <v>4.07</v>
          </cell>
          <cell r="F929">
            <v>57.910000000000004</v>
          </cell>
        </row>
        <row r="930">
          <cell r="A930" t="str">
            <v>211113</v>
          </cell>
          <cell r="B930" t="str">
            <v>Testeira para arremate de degrau vinílico, espessura de 2,0 mm, com impermeabilizante acrílico</v>
          </cell>
          <cell r="C930" t="str">
            <v>m</v>
          </cell>
          <cell r="D930">
            <v>28.52</v>
          </cell>
          <cell r="E930">
            <v>0</v>
          </cell>
          <cell r="F930">
            <v>28.52</v>
          </cell>
        </row>
        <row r="931">
          <cell r="A931" t="str">
            <v>211114</v>
          </cell>
          <cell r="B931" t="str">
            <v>Testeira para arremate de degrau vinílico, espessura de 3,2 mm, com impermeabilizante acrílico</v>
          </cell>
          <cell r="C931" t="str">
            <v>m</v>
          </cell>
          <cell r="D931">
            <v>22.51</v>
          </cell>
          <cell r="E931">
            <v>0</v>
          </cell>
          <cell r="F931">
            <v>22.51</v>
          </cell>
        </row>
        <row r="932">
          <cell r="A932" t="str">
            <v>212002</v>
          </cell>
          <cell r="B932" t="str">
            <v>Recolocação de piso sintético com cola</v>
          </cell>
          <cell r="C932" t="str">
            <v>m²</v>
          </cell>
          <cell r="D932">
            <v>4.7699999999999996</v>
          </cell>
          <cell r="E932">
            <v>4.29</v>
          </cell>
          <cell r="F932">
            <v>9.06</v>
          </cell>
        </row>
        <row r="933">
          <cell r="A933" t="str">
            <v>212004</v>
          </cell>
          <cell r="B933" t="str">
            <v>Recolocação de piso sintético argamassado</v>
          </cell>
          <cell r="C933" t="str">
            <v>m²</v>
          </cell>
          <cell r="D933">
            <v>2.5499999999999998</v>
          </cell>
          <cell r="E933">
            <v>15.030000000000001</v>
          </cell>
          <cell r="F933">
            <v>17.579999999999998</v>
          </cell>
        </row>
        <row r="934">
          <cell r="A934" t="str">
            <v>212005</v>
          </cell>
          <cell r="B934" t="str">
            <v>Recolocação de piso elevado telescópico metálico, inclusive estrutura de sustentação</v>
          </cell>
          <cell r="C934" t="str">
            <v>m²</v>
          </cell>
          <cell r="D934">
            <v>0</v>
          </cell>
          <cell r="E934">
            <v>32.6</v>
          </cell>
          <cell r="F934">
            <v>32.6</v>
          </cell>
        </row>
        <row r="935">
          <cell r="A935" t="str">
            <v>212006</v>
          </cell>
          <cell r="B935" t="str">
            <v>Furação de piso elevado telescópico em chapa de aço</v>
          </cell>
          <cell r="C935" t="str">
            <v>un</v>
          </cell>
          <cell r="D935">
            <v>35</v>
          </cell>
          <cell r="E935">
            <v>0</v>
          </cell>
          <cell r="F935">
            <v>35</v>
          </cell>
        </row>
        <row r="936">
          <cell r="A936" t="str">
            <v>212010</v>
          </cell>
          <cell r="B936" t="str">
            <v>Recolocação de rodapé e cordões sintéticos</v>
          </cell>
          <cell r="C936" t="str">
            <v>m</v>
          </cell>
          <cell r="D936">
            <v>0</v>
          </cell>
          <cell r="E936">
            <v>5.32</v>
          </cell>
          <cell r="F936">
            <v>5.32</v>
          </cell>
        </row>
        <row r="937">
          <cell r="A937" t="str">
            <v>212030</v>
          </cell>
          <cell r="B937" t="str">
            <v>Fita antiderrapante com largura de 5 cm</v>
          </cell>
          <cell r="C937" t="str">
            <v>m</v>
          </cell>
          <cell r="D937">
            <v>4.3</v>
          </cell>
          <cell r="E937">
            <v>5.88</v>
          </cell>
          <cell r="F937">
            <v>10.18</v>
          </cell>
        </row>
        <row r="938">
          <cell r="A938" t="str">
            <v>212041</v>
          </cell>
          <cell r="B938" t="str">
            <v>Cantoneira de sobrepor em PVC de 4,0 x 4,0 cm</v>
          </cell>
          <cell r="C938" t="str">
            <v>m</v>
          </cell>
          <cell r="D938">
            <v>12.34</v>
          </cell>
          <cell r="E938">
            <v>1.5</v>
          </cell>
          <cell r="F938">
            <v>13.84</v>
          </cell>
        </row>
        <row r="939">
          <cell r="A939" t="str">
            <v>212046</v>
          </cell>
          <cell r="B939" t="str">
            <v>Canto externo de acabamento em PVC</v>
          </cell>
          <cell r="C939" t="str">
            <v>m</v>
          </cell>
          <cell r="D939">
            <v>5.63</v>
          </cell>
          <cell r="E939">
            <v>0.75</v>
          </cell>
          <cell r="F939">
            <v>6.38</v>
          </cell>
        </row>
        <row r="940">
          <cell r="A940" t="str">
            <v>220101</v>
          </cell>
          <cell r="B940" t="str">
            <v>Forro em tábuas aparelhadas macho e fêmea de pinus</v>
          </cell>
          <cell r="C940" t="str">
            <v>m²</v>
          </cell>
          <cell r="D940">
            <v>13.05</v>
          </cell>
          <cell r="E940">
            <v>12.52</v>
          </cell>
          <cell r="F940">
            <v>25.57</v>
          </cell>
        </row>
        <row r="941">
          <cell r="A941" t="str">
            <v>220102</v>
          </cell>
          <cell r="B941" t="str">
            <v>Forro em tábuas aparelhadas macho e fêmea de pinus tarugado</v>
          </cell>
          <cell r="C941" t="str">
            <v>m²</v>
          </cell>
          <cell r="D941">
            <v>27.400000000000002</v>
          </cell>
          <cell r="E941">
            <v>25.04</v>
          </cell>
          <cell r="F941">
            <v>52.44</v>
          </cell>
        </row>
        <row r="942">
          <cell r="A942" t="str">
            <v>220108</v>
          </cell>
          <cell r="B942" t="str">
            <v>Forro xadrez em ripas de angelim-vermelho / bacuri / maçaranduba tarugado</v>
          </cell>
          <cell r="C942" t="str">
            <v>m²</v>
          </cell>
          <cell r="D942">
            <v>49.28</v>
          </cell>
          <cell r="E942">
            <v>27.13</v>
          </cell>
          <cell r="F942">
            <v>76.41</v>
          </cell>
        </row>
        <row r="943">
          <cell r="A943" t="str">
            <v>220121</v>
          </cell>
          <cell r="B943" t="str">
            <v>Testeira em tábua aparelhada, com largura de até 20 cm</v>
          </cell>
          <cell r="C943" t="str">
            <v>m</v>
          </cell>
          <cell r="D943">
            <v>9.02</v>
          </cell>
          <cell r="E943">
            <v>8.35</v>
          </cell>
          <cell r="F943">
            <v>17.37</v>
          </cell>
        </row>
        <row r="944">
          <cell r="A944" t="str">
            <v>220122</v>
          </cell>
          <cell r="B944" t="str">
            <v>Beiral em tábua de angelim-vermelho / bacuri / maçaranduba macho e fêmea com tarugamento</v>
          </cell>
          <cell r="C944" t="str">
            <v>m²</v>
          </cell>
          <cell r="D944">
            <v>61.83</v>
          </cell>
          <cell r="E944">
            <v>25.04</v>
          </cell>
          <cell r="F944">
            <v>86.87</v>
          </cell>
        </row>
        <row r="945">
          <cell r="A945" t="str">
            <v>220124</v>
          </cell>
          <cell r="B945" t="str">
            <v>Beiral em tábua de angelim-vermelho / bacuri / maçaranduba macho e fêmea</v>
          </cell>
          <cell r="C945" t="str">
            <v>m²</v>
          </cell>
          <cell r="D945">
            <v>49.120000000000005</v>
          </cell>
          <cell r="E945">
            <v>12.52</v>
          </cell>
          <cell r="F945">
            <v>61.64</v>
          </cell>
        </row>
        <row r="946">
          <cell r="A946" t="str">
            <v>220201</v>
          </cell>
          <cell r="B946" t="str">
            <v>Forro em placa de gesso liso fixo</v>
          </cell>
          <cell r="C946" t="str">
            <v>m²</v>
          </cell>
          <cell r="D946">
            <v>49.95</v>
          </cell>
          <cell r="E946">
            <v>0</v>
          </cell>
          <cell r="F946">
            <v>49.95</v>
          </cell>
        </row>
        <row r="947">
          <cell r="A947" t="str">
            <v>220203</v>
          </cell>
          <cell r="B947" t="str">
            <v>Forro em painéis de gesso acartonado, com espessura de 12,5 mm, fixo</v>
          </cell>
          <cell r="C947" t="str">
            <v>m²</v>
          </cell>
          <cell r="D947">
            <v>50.9</v>
          </cell>
          <cell r="E947">
            <v>0</v>
          </cell>
          <cell r="F947">
            <v>50.9</v>
          </cell>
        </row>
        <row r="948">
          <cell r="A948" t="str">
            <v>220210</v>
          </cell>
          <cell r="B948" t="str">
            <v>Forro em painéis de gesso acartonado, acabamento liso com película em PVC - 625 x 1250 mm, espessura de 9,5 mm, removível</v>
          </cell>
          <cell r="C948" t="str">
            <v>m²</v>
          </cell>
          <cell r="D948">
            <v>57.5</v>
          </cell>
          <cell r="E948">
            <v>0</v>
          </cell>
          <cell r="F948">
            <v>57.5</v>
          </cell>
        </row>
        <row r="949">
          <cell r="A949" t="str">
            <v>220219</v>
          </cell>
          <cell r="B949" t="str">
            <v>Forro de gesso removível com película rígida de PVC de 625 x 625mm</v>
          </cell>
          <cell r="C949" t="str">
            <v>m²</v>
          </cell>
          <cell r="D949">
            <v>63.75</v>
          </cell>
          <cell r="E949">
            <v>0</v>
          </cell>
          <cell r="F949">
            <v>63.75</v>
          </cell>
        </row>
        <row r="950">
          <cell r="A950" t="str">
            <v>220301</v>
          </cell>
          <cell r="B950" t="str">
            <v>Forro em poliestireno expandido com textura acrílica, espessura de 20 mm</v>
          </cell>
          <cell r="C950" t="str">
            <v>m²</v>
          </cell>
          <cell r="D950">
            <v>36.24</v>
          </cell>
          <cell r="E950">
            <v>0</v>
          </cell>
          <cell r="F950">
            <v>36.24</v>
          </cell>
        </row>
        <row r="951">
          <cell r="A951" t="str">
            <v>220302</v>
          </cell>
          <cell r="B951" t="str">
            <v>Forro em lã de vidro revestido em PVC, espessura de 20 mm</v>
          </cell>
          <cell r="C951" t="str">
            <v>m²</v>
          </cell>
          <cell r="D951">
            <v>56.24</v>
          </cell>
          <cell r="E951">
            <v>0</v>
          </cell>
          <cell r="F951">
            <v>56.24</v>
          </cell>
        </row>
        <row r="952">
          <cell r="A952" t="str">
            <v>220304</v>
          </cell>
          <cell r="B952" t="str">
            <v>Forro modular removível em PVC - 618 mm x 1243 mm</v>
          </cell>
          <cell r="C952" t="str">
            <v>m²</v>
          </cell>
          <cell r="D952">
            <v>61.38</v>
          </cell>
          <cell r="E952">
            <v>0</v>
          </cell>
          <cell r="F952">
            <v>61.38</v>
          </cell>
        </row>
        <row r="953">
          <cell r="A953" t="str">
            <v>220305</v>
          </cell>
          <cell r="B953" t="str">
            <v>Forro em fibra mineral revestido em látex</v>
          </cell>
          <cell r="C953" t="str">
            <v>m²</v>
          </cell>
          <cell r="D953">
            <v>53.71</v>
          </cell>
          <cell r="E953">
            <v>0</v>
          </cell>
          <cell r="F953">
            <v>53.71</v>
          </cell>
        </row>
        <row r="954">
          <cell r="A954" t="str">
            <v>220307</v>
          </cell>
          <cell r="B954" t="str">
            <v>Forro em lâmina de PVC</v>
          </cell>
          <cell r="C954" t="str">
            <v>m²</v>
          </cell>
          <cell r="D954">
            <v>49.85</v>
          </cell>
          <cell r="E954">
            <v>0</v>
          </cell>
          <cell r="F954">
            <v>49.85</v>
          </cell>
        </row>
        <row r="955">
          <cell r="A955" t="str">
            <v>220314</v>
          </cell>
          <cell r="B955" t="str">
            <v>Forro em fibra mineral com placas acústicas removíveis de 625 x 625mm</v>
          </cell>
          <cell r="C955" t="str">
            <v>m²</v>
          </cell>
          <cell r="D955">
            <v>71.36</v>
          </cell>
          <cell r="E955">
            <v>0</v>
          </cell>
          <cell r="F955">
            <v>71.36</v>
          </cell>
        </row>
        <row r="956">
          <cell r="A956" t="str">
            <v>220402</v>
          </cell>
          <cell r="B956" t="str">
            <v>Forro metálico removivel, em painéis de 625 x 625 mm, tipo colmeia</v>
          </cell>
          <cell r="C956" t="str">
            <v>m²</v>
          </cell>
          <cell r="D956">
            <v>228.59</v>
          </cell>
          <cell r="E956">
            <v>0</v>
          </cell>
          <cell r="F956">
            <v>228.59</v>
          </cell>
        </row>
        <row r="957">
          <cell r="A957" t="str">
            <v>220608</v>
          </cell>
          <cell r="B957" t="str">
            <v>Brise metálico, espessura 0,5 mm em chapa microperfurada aluzinc, fixado sobre estrutura auxiliar, conforme projeto</v>
          </cell>
          <cell r="C957" t="str">
            <v>m²</v>
          </cell>
          <cell r="D957">
            <v>196</v>
          </cell>
          <cell r="E957">
            <v>0</v>
          </cell>
          <cell r="F957">
            <v>196</v>
          </cell>
        </row>
        <row r="958">
          <cell r="A958" t="str">
            <v>220609</v>
          </cell>
          <cell r="B958" t="str">
            <v>Termobrise em aluzinc pré-pintado, com injeção de poliuretano expandido, largura 335 mm</v>
          </cell>
          <cell r="C958" t="str">
            <v>m²</v>
          </cell>
          <cell r="D958">
            <v>604.88</v>
          </cell>
          <cell r="E958">
            <v>0</v>
          </cell>
          <cell r="F958">
            <v>604.88</v>
          </cell>
        </row>
        <row r="959">
          <cell r="A959" t="str">
            <v>220613</v>
          </cell>
          <cell r="B959" t="str">
            <v>Brise em placa cimentícia, montado em perfil e chapa metálica</v>
          </cell>
          <cell r="C959" t="str">
            <v>m²</v>
          </cell>
          <cell r="D959">
            <v>101.16</v>
          </cell>
          <cell r="E959">
            <v>61.79</v>
          </cell>
          <cell r="F959">
            <v>162.94999999999999</v>
          </cell>
        </row>
        <row r="960">
          <cell r="A960" t="str">
            <v>220614</v>
          </cell>
          <cell r="B960" t="str">
            <v>Brise em placa cimentícia com espessura de 12mm</v>
          </cell>
          <cell r="C960" t="str">
            <v>m²</v>
          </cell>
          <cell r="D960">
            <v>120.66</v>
          </cell>
          <cell r="E960">
            <v>61.79</v>
          </cell>
          <cell r="F960">
            <v>182.45000000000002</v>
          </cell>
        </row>
        <row r="961">
          <cell r="A961" t="str">
            <v>222001</v>
          </cell>
          <cell r="B961" t="str">
            <v>Placa em fibra de vidro revestida em PVC</v>
          </cell>
          <cell r="C961" t="str">
            <v>m²</v>
          </cell>
          <cell r="D961">
            <v>28.05</v>
          </cell>
          <cell r="E961">
            <v>0</v>
          </cell>
          <cell r="F961">
            <v>28.05</v>
          </cell>
        </row>
        <row r="962">
          <cell r="A962" t="str">
            <v>222002</v>
          </cell>
          <cell r="B962" t="str">
            <v>Recolocação de forros fixados</v>
          </cell>
          <cell r="C962" t="str">
            <v>m²</v>
          </cell>
          <cell r="D962">
            <v>0.41000000000000003</v>
          </cell>
          <cell r="E962">
            <v>6.26</v>
          </cell>
          <cell r="F962">
            <v>6.67</v>
          </cell>
        </row>
        <row r="963">
          <cell r="A963" t="str">
            <v>222004</v>
          </cell>
          <cell r="B963" t="str">
            <v>Recolocação de forros apoiados ou encaixados</v>
          </cell>
          <cell r="C963" t="str">
            <v>m²</v>
          </cell>
          <cell r="D963">
            <v>0</v>
          </cell>
          <cell r="E963">
            <v>3.13</v>
          </cell>
          <cell r="F963">
            <v>3.13</v>
          </cell>
        </row>
        <row r="964">
          <cell r="A964" t="str">
            <v>222005</v>
          </cell>
          <cell r="B964" t="str">
            <v>Moldura de gesso simples, largura até 6,0 cm</v>
          </cell>
          <cell r="C964" t="str">
            <v>m</v>
          </cell>
          <cell r="D964">
            <v>10.64</v>
          </cell>
          <cell r="E964">
            <v>0</v>
          </cell>
          <cell r="F964">
            <v>10.64</v>
          </cell>
        </row>
        <row r="965">
          <cell r="A965" t="str">
            <v>222009</v>
          </cell>
          <cell r="B965" t="str">
            <v>Abertura para vão de luminária em forro de PVC modular</v>
          </cell>
          <cell r="C965" t="str">
            <v>un</v>
          </cell>
          <cell r="D965">
            <v>9.15</v>
          </cell>
          <cell r="E965">
            <v>0</v>
          </cell>
          <cell r="F965">
            <v>9.15</v>
          </cell>
        </row>
        <row r="966">
          <cell r="A966" t="str">
            <v>230103</v>
          </cell>
          <cell r="B966" t="str">
            <v>Caixilho de madeira fixo</v>
          </cell>
          <cell r="C966" t="str">
            <v>m²</v>
          </cell>
          <cell r="D966">
            <v>328.48</v>
          </cell>
          <cell r="E966">
            <v>28.05</v>
          </cell>
          <cell r="F966">
            <v>356.53000000000003</v>
          </cell>
        </row>
        <row r="967">
          <cell r="A967" t="str">
            <v>230104</v>
          </cell>
          <cell r="B967" t="str">
            <v>Caixilho em madeira de correr</v>
          </cell>
          <cell r="C967" t="str">
            <v>m²</v>
          </cell>
          <cell r="D967">
            <v>489.94</v>
          </cell>
          <cell r="E967">
            <v>28.05</v>
          </cell>
          <cell r="F967">
            <v>517.99</v>
          </cell>
        </row>
        <row r="968">
          <cell r="A968" t="str">
            <v>230105</v>
          </cell>
          <cell r="B968" t="str">
            <v>Caixilho em madeira maximar</v>
          </cell>
          <cell r="C968" t="str">
            <v>m²</v>
          </cell>
          <cell r="D968">
            <v>243.07</v>
          </cell>
          <cell r="E968">
            <v>28.05</v>
          </cell>
          <cell r="F968">
            <v>271.12</v>
          </cell>
        </row>
        <row r="969">
          <cell r="A969" t="str">
            <v>230106</v>
          </cell>
          <cell r="B969" t="str">
            <v>Caixilho em madeira tipo veneziana de correr</v>
          </cell>
          <cell r="C969" t="str">
            <v>m²</v>
          </cell>
          <cell r="D969">
            <v>327.73</v>
          </cell>
          <cell r="E969">
            <v>28.05</v>
          </cell>
          <cell r="F969">
            <v>355.78000000000003</v>
          </cell>
        </row>
        <row r="970">
          <cell r="A970" t="str">
            <v>230201</v>
          </cell>
          <cell r="B970" t="str">
            <v>Acréscimo de bandeira - porta macho e fêmea com batente de madeira</v>
          </cell>
          <cell r="C970" t="str">
            <v>m²</v>
          </cell>
          <cell r="D970">
            <v>370.39</v>
          </cell>
          <cell r="E970">
            <v>29.2</v>
          </cell>
          <cell r="F970">
            <v>399.59000000000003</v>
          </cell>
        </row>
        <row r="971">
          <cell r="A971" t="str">
            <v>230203</v>
          </cell>
          <cell r="B971" t="str">
            <v>Porta macho e fêmea com batente de madeira - 72 x 210 cm</v>
          </cell>
          <cell r="C971" t="str">
            <v>un</v>
          </cell>
          <cell r="D971">
            <v>606.4</v>
          </cell>
          <cell r="E971">
            <v>59.22</v>
          </cell>
          <cell r="F971">
            <v>665.62</v>
          </cell>
        </row>
        <row r="972">
          <cell r="A972" t="str">
            <v>230204</v>
          </cell>
          <cell r="B972" t="str">
            <v>Porta macho e fêmea com batente de madeira - 82 x 210 cm</v>
          </cell>
          <cell r="C972" t="str">
            <v>un</v>
          </cell>
          <cell r="D972">
            <v>616.84</v>
          </cell>
          <cell r="E972">
            <v>59.22</v>
          </cell>
          <cell r="F972">
            <v>676.06000000000006</v>
          </cell>
        </row>
        <row r="973">
          <cell r="A973" t="str">
            <v>230205</v>
          </cell>
          <cell r="B973" t="str">
            <v>Porta macho e fêmea com batente de madeira - 92 x 210 cm</v>
          </cell>
          <cell r="C973" t="str">
            <v>un</v>
          </cell>
          <cell r="D973">
            <v>700.89</v>
          </cell>
          <cell r="E973">
            <v>59.22</v>
          </cell>
          <cell r="F973">
            <v>760.11</v>
          </cell>
        </row>
        <row r="974">
          <cell r="A974" t="str">
            <v>230206</v>
          </cell>
          <cell r="B974" t="str">
            <v>Porta macho e fêmea com batente de madeira - 124 x 210 cm</v>
          </cell>
          <cell r="C974" t="str">
            <v>un</v>
          </cell>
          <cell r="D974">
            <v>1161.8800000000001</v>
          </cell>
          <cell r="E974">
            <v>73.95</v>
          </cell>
          <cell r="F974">
            <v>1235.83</v>
          </cell>
        </row>
        <row r="975">
          <cell r="A975" t="str">
            <v>230250</v>
          </cell>
          <cell r="B975" t="str">
            <v>Acréscimo de bandeira - porta macho e fêmea com batente metálico</v>
          </cell>
          <cell r="C975" t="str">
            <v>m²</v>
          </cell>
          <cell r="D975">
            <v>405.08</v>
          </cell>
          <cell r="E975">
            <v>27.94</v>
          </cell>
          <cell r="F975">
            <v>433.02</v>
          </cell>
        </row>
        <row r="976">
          <cell r="A976" t="str">
            <v>230252</v>
          </cell>
          <cell r="B976" t="str">
            <v>Porta macho e fêmea com batente metálico - 72 x 210 cm</v>
          </cell>
          <cell r="C976" t="str">
            <v>un</v>
          </cell>
          <cell r="D976">
            <v>688.72</v>
          </cell>
          <cell r="E976">
            <v>55.04</v>
          </cell>
          <cell r="F976">
            <v>743.76</v>
          </cell>
        </row>
        <row r="977">
          <cell r="A977" t="str">
            <v>230253</v>
          </cell>
          <cell r="B977" t="str">
            <v>Porta macho e fêmea com batente metálico - 82 x 210 cm</v>
          </cell>
          <cell r="C977" t="str">
            <v>un</v>
          </cell>
          <cell r="D977">
            <v>702.76</v>
          </cell>
          <cell r="E977">
            <v>55.04</v>
          </cell>
          <cell r="F977">
            <v>757.80000000000007</v>
          </cell>
        </row>
        <row r="978">
          <cell r="A978" t="str">
            <v>230254</v>
          </cell>
          <cell r="B978" t="str">
            <v>Porta macho e fêmea com batente metálico - 92 x 210 cm</v>
          </cell>
          <cell r="C978" t="str">
            <v>un</v>
          </cell>
          <cell r="D978">
            <v>790.41</v>
          </cell>
          <cell r="E978">
            <v>55.04</v>
          </cell>
          <cell r="F978">
            <v>845.45</v>
          </cell>
        </row>
        <row r="979">
          <cell r="A979" t="str">
            <v>230255</v>
          </cell>
          <cell r="B979" t="str">
            <v>Porta macho e fêmea com batente metálico - 124 x 210 cm</v>
          </cell>
          <cell r="C979" t="str">
            <v>un</v>
          </cell>
          <cell r="D979">
            <v>1221.6199999999999</v>
          </cell>
          <cell r="E979">
            <v>71.98</v>
          </cell>
          <cell r="F979">
            <v>1293.5999999999999</v>
          </cell>
        </row>
        <row r="980">
          <cell r="A980" t="str">
            <v>230401</v>
          </cell>
          <cell r="B980" t="str">
            <v>Acréscimo de bandeira - porta lisa revestida com laminado fenólico melamínico e batente de madeira sem revestimento</v>
          </cell>
          <cell r="C980" t="str">
            <v>m²</v>
          </cell>
          <cell r="D980">
            <v>309</v>
          </cell>
          <cell r="E980">
            <v>29.2</v>
          </cell>
          <cell r="F980">
            <v>338.2</v>
          </cell>
        </row>
        <row r="981">
          <cell r="A981" t="str">
            <v>230408</v>
          </cell>
          <cell r="B981" t="str">
            <v>Porta em laminado fenólico melamínico com batente em alumínio - 62 x 160 cm</v>
          </cell>
          <cell r="C981" t="str">
            <v>un</v>
          </cell>
          <cell r="D981">
            <v>523.70000000000005</v>
          </cell>
          <cell r="E981">
            <v>29.22</v>
          </cell>
          <cell r="F981">
            <v>552.91999999999996</v>
          </cell>
        </row>
        <row r="982">
          <cell r="A982" t="str">
            <v>230409</v>
          </cell>
          <cell r="B982" t="str">
            <v>Porta em laminado fenólico melamínico com acabamento liso, batente de madeira sem revestimento - 72 x 210 cm</v>
          </cell>
          <cell r="C982" t="str">
            <v>un</v>
          </cell>
          <cell r="D982">
            <v>564.84</v>
          </cell>
          <cell r="E982">
            <v>59.22</v>
          </cell>
          <cell r="F982">
            <v>624.05999999999995</v>
          </cell>
        </row>
        <row r="983">
          <cell r="A983" t="str">
            <v>230410</v>
          </cell>
          <cell r="B983" t="str">
            <v>Porta em laminado fenólico melamínico com acabamento liso, batente de madeira sem revestimento - 82 x 210 cm</v>
          </cell>
          <cell r="C983" t="str">
            <v>un</v>
          </cell>
          <cell r="D983">
            <v>596.42999999999995</v>
          </cell>
          <cell r="E983">
            <v>59.22</v>
          </cell>
          <cell r="F983">
            <v>655.65</v>
          </cell>
        </row>
        <row r="984">
          <cell r="A984" t="str">
            <v>230411</v>
          </cell>
          <cell r="B984" t="str">
            <v>Porta em laminado fenólico melamínico com acabamento liso, batente de madeira sem revestimento - 92 x 210 cm</v>
          </cell>
          <cell r="C984" t="str">
            <v>un</v>
          </cell>
          <cell r="D984">
            <v>616.79999999999995</v>
          </cell>
          <cell r="E984">
            <v>59.22</v>
          </cell>
          <cell r="F984">
            <v>676.02</v>
          </cell>
        </row>
        <row r="985">
          <cell r="A985" t="str">
            <v>230412</v>
          </cell>
          <cell r="B985" t="str">
            <v>Porta em laminado fenólico melamínico com acabamento liso, batente de madeira sem revestimento - 124 x 210 cm</v>
          </cell>
          <cell r="C985" t="str">
            <v>un</v>
          </cell>
          <cell r="D985">
            <v>1026.42</v>
          </cell>
          <cell r="E985">
            <v>73.95</v>
          </cell>
          <cell r="F985">
            <v>1100.3699999999999</v>
          </cell>
        </row>
        <row r="986">
          <cell r="A986" t="str">
            <v>230413</v>
          </cell>
          <cell r="B986" t="str">
            <v>Porta em laminado fenólico melamínico com acabamento liso, batente de madeira sem revestimento - 144 x 210 cm</v>
          </cell>
          <cell r="C986" t="str">
            <v>un</v>
          </cell>
          <cell r="D986">
            <v>1120.67</v>
          </cell>
          <cell r="E986">
            <v>73.95</v>
          </cell>
          <cell r="F986">
            <v>1194.6199999999999</v>
          </cell>
        </row>
        <row r="987">
          <cell r="A987" t="str">
            <v>230414</v>
          </cell>
          <cell r="B987" t="str">
            <v>Porta em laminado fenólico melamínico com acabamento liso, batente de madeira sem revestimento - 220 x 210 cm</v>
          </cell>
          <cell r="C987" t="str">
            <v>un</v>
          </cell>
          <cell r="D987">
            <v>2017.44</v>
          </cell>
          <cell r="E987">
            <v>84.39</v>
          </cell>
          <cell r="F987">
            <v>2101.83</v>
          </cell>
        </row>
        <row r="988">
          <cell r="A988" t="str">
            <v>230450</v>
          </cell>
          <cell r="B988" t="str">
            <v>Acréscimo de bandeira - porta lisa revestida com laminado fenólico melamínico e batente metálico</v>
          </cell>
          <cell r="C988" t="str">
            <v>m²</v>
          </cell>
          <cell r="D988">
            <v>343.69</v>
          </cell>
          <cell r="E988">
            <v>27.94</v>
          </cell>
          <cell r="F988">
            <v>371.63</v>
          </cell>
        </row>
        <row r="989">
          <cell r="A989" t="str">
            <v>230457</v>
          </cell>
          <cell r="B989" t="str">
            <v>Porta em laminado melamínico estrutural com acabamento texturizado, batente em alumínio com ferragens - 60 x 180 cm</v>
          </cell>
          <cell r="C989" t="str">
            <v>un</v>
          </cell>
          <cell r="D989">
            <v>921</v>
          </cell>
          <cell r="E989">
            <v>7.3</v>
          </cell>
          <cell r="F989">
            <v>928.30000000000007</v>
          </cell>
        </row>
        <row r="990">
          <cell r="A990" t="str">
            <v>230458</v>
          </cell>
          <cell r="B990" t="str">
            <v>Porta em laminado fenólico melamínico com acabamento liso, batente metálico - 62 x 160 cm</v>
          </cell>
          <cell r="C990" t="str">
            <v>un</v>
          </cell>
          <cell r="D990">
            <v>621.04999999999995</v>
          </cell>
          <cell r="E990">
            <v>57.13</v>
          </cell>
          <cell r="F990">
            <v>678.18000000000006</v>
          </cell>
        </row>
        <row r="991">
          <cell r="A991" t="str">
            <v>230459</v>
          </cell>
          <cell r="B991" t="str">
            <v>Porta em laminado fenólico melamínico com acabamento liso, batente metálico - 72 x 210 cm</v>
          </cell>
          <cell r="C991" t="str">
            <v>un</v>
          </cell>
          <cell r="D991">
            <v>647.16</v>
          </cell>
          <cell r="E991">
            <v>55.04</v>
          </cell>
          <cell r="F991">
            <v>702.2</v>
          </cell>
        </row>
        <row r="992">
          <cell r="A992" t="str">
            <v>230460</v>
          </cell>
          <cell r="B992" t="str">
            <v>Porta em laminado fenólico melamínico com acabamento liso, batente metálico - 82 x 210 cm</v>
          </cell>
          <cell r="C992" t="str">
            <v>un</v>
          </cell>
          <cell r="D992">
            <v>685.95</v>
          </cell>
          <cell r="E992">
            <v>55.04</v>
          </cell>
          <cell r="F992">
            <v>740.99</v>
          </cell>
        </row>
        <row r="993">
          <cell r="A993" t="str">
            <v>230461</v>
          </cell>
          <cell r="B993" t="str">
            <v>Porta em laminado fenólico melamínico com acabamento liso, batente metálico - 92 x 210 cm</v>
          </cell>
          <cell r="C993" t="str">
            <v>un</v>
          </cell>
          <cell r="D993">
            <v>706.32</v>
          </cell>
          <cell r="E993">
            <v>55.04</v>
          </cell>
          <cell r="F993">
            <v>761.36</v>
          </cell>
        </row>
        <row r="994">
          <cell r="A994" t="str">
            <v>230462</v>
          </cell>
          <cell r="B994" t="str">
            <v>Porta em laminado fenólico melamínico com acabamento liso, batente metálico - 124 x 210 cm</v>
          </cell>
          <cell r="C994" t="str">
            <v>un</v>
          </cell>
          <cell r="D994">
            <v>1086.1600000000001</v>
          </cell>
          <cell r="E994">
            <v>71.98</v>
          </cell>
          <cell r="F994">
            <v>1158.1400000000001</v>
          </cell>
        </row>
        <row r="995">
          <cell r="A995" t="str">
            <v>230463</v>
          </cell>
          <cell r="B995" t="str">
            <v>Porta em laminado fenólico melamínico com acabamento liso, batente metálico - 62 x 100 cm</v>
          </cell>
          <cell r="C995" t="str">
            <v>un</v>
          </cell>
          <cell r="D995">
            <v>294.67</v>
          </cell>
          <cell r="E995">
            <v>29.22</v>
          </cell>
          <cell r="F995">
            <v>323.89</v>
          </cell>
        </row>
        <row r="996">
          <cell r="A996" t="str">
            <v>230801</v>
          </cell>
          <cell r="B996" t="str">
            <v>Estrado em madeira</v>
          </cell>
          <cell r="C996" t="str">
            <v>m²</v>
          </cell>
          <cell r="D996">
            <v>46.62</v>
          </cell>
          <cell r="E996">
            <v>20.87</v>
          </cell>
          <cell r="F996">
            <v>67.489999999999995</v>
          </cell>
        </row>
        <row r="997">
          <cell r="A997" t="str">
            <v>230802</v>
          </cell>
          <cell r="B997" t="str">
            <v>Faixa/batedor de proteção em madeira aparelhada natural 10 x 2,5 cm</v>
          </cell>
          <cell r="C997" t="str">
            <v>m</v>
          </cell>
          <cell r="D997">
            <v>4.05</v>
          </cell>
          <cell r="E997">
            <v>21.47</v>
          </cell>
          <cell r="F997">
            <v>25.52</v>
          </cell>
        </row>
        <row r="998">
          <cell r="A998" t="str">
            <v>230803</v>
          </cell>
          <cell r="B998" t="str">
            <v>Faixa/batedor de proteção em madeira de 20 x 5 cm, com acabamento em laminado fenólico melamínico</v>
          </cell>
          <cell r="C998" t="str">
            <v>m</v>
          </cell>
          <cell r="D998">
            <v>33.520000000000003</v>
          </cell>
          <cell r="E998">
            <v>41.74</v>
          </cell>
          <cell r="F998">
            <v>75.260000000000005</v>
          </cell>
        </row>
        <row r="999">
          <cell r="A999" t="str">
            <v>230804</v>
          </cell>
          <cell r="B999" t="str">
            <v>Armário/gabinete embutido em MDF sob medida, revestido em laminado melamínico, com portas e prateleiras</v>
          </cell>
          <cell r="C999" t="str">
            <v>m²</v>
          </cell>
          <cell r="D999">
            <v>1052.9100000000001</v>
          </cell>
          <cell r="E999">
            <v>0</v>
          </cell>
          <cell r="F999">
            <v>1052.9100000000001</v>
          </cell>
        </row>
        <row r="1000">
          <cell r="A1000" t="str">
            <v>230806</v>
          </cell>
          <cell r="B1000" t="str">
            <v>Tampo sob medida em compensado, revestido na face superior em laminado fenólico melamínico</v>
          </cell>
          <cell r="C1000" t="str">
            <v>m²</v>
          </cell>
          <cell r="D1000">
            <v>576.08000000000004</v>
          </cell>
          <cell r="E1000">
            <v>0</v>
          </cell>
          <cell r="F1000">
            <v>576.08000000000004</v>
          </cell>
        </row>
        <row r="1001">
          <cell r="A1001" t="str">
            <v>230808</v>
          </cell>
          <cell r="B1001" t="str">
            <v>Prateleira sob medida em compensado, revestida nas duas faces em lamimado fenólico melamínico</v>
          </cell>
          <cell r="C1001" t="str">
            <v>m²</v>
          </cell>
          <cell r="D1001">
            <v>362.06</v>
          </cell>
          <cell r="E1001">
            <v>8.35</v>
          </cell>
          <cell r="F1001">
            <v>370.41</v>
          </cell>
        </row>
        <row r="1002">
          <cell r="A1002" t="str">
            <v>230810</v>
          </cell>
          <cell r="B1002" t="str">
            <v>Armário tipo prateleira com subdivisão em compensado, revestido totalmente em laminado fenólico melamínico</v>
          </cell>
          <cell r="C1002" t="str">
            <v>m²</v>
          </cell>
          <cell r="D1002">
            <v>882.88</v>
          </cell>
          <cell r="E1002">
            <v>0</v>
          </cell>
          <cell r="F1002">
            <v>882.88</v>
          </cell>
        </row>
        <row r="1003">
          <cell r="A1003" t="str">
            <v>230811</v>
          </cell>
          <cell r="B1003" t="str">
            <v>Painel em compensado naval, espessura de 25 mm</v>
          </cell>
          <cell r="C1003" t="str">
            <v>m²</v>
          </cell>
          <cell r="D1003">
            <v>66</v>
          </cell>
          <cell r="E1003">
            <v>20.87</v>
          </cell>
          <cell r="F1003">
            <v>86.87</v>
          </cell>
        </row>
        <row r="1004">
          <cell r="A1004" t="str">
            <v>230813</v>
          </cell>
          <cell r="B1004" t="str">
            <v>Lousa em laminado melamínico texturizado, verde oficial, ´Greenboard´ - 5,00 x 1,20 m</v>
          </cell>
          <cell r="C1004" t="str">
            <v>un</v>
          </cell>
          <cell r="D1004">
            <v>1078.48</v>
          </cell>
          <cell r="E1004">
            <v>24.54</v>
          </cell>
          <cell r="F1004">
            <v>1103.02</v>
          </cell>
        </row>
        <row r="1005">
          <cell r="A1005" t="str">
            <v>230816</v>
          </cell>
          <cell r="B1005" t="str">
            <v>Porta lisa com balcão, batente de madeira, completa - 82 x 210 cm</v>
          </cell>
          <cell r="C1005" t="str">
            <v>cj</v>
          </cell>
          <cell r="D1005">
            <v>348.77</v>
          </cell>
          <cell r="E1005">
            <v>90.52</v>
          </cell>
          <cell r="F1005">
            <v>439.29</v>
          </cell>
        </row>
        <row r="1006">
          <cell r="A1006" t="str">
            <v>230817</v>
          </cell>
          <cell r="B1006" t="str">
            <v>Lousa em laminado melamínico, branco - linha comercial</v>
          </cell>
          <cell r="C1006" t="str">
            <v>m²</v>
          </cell>
          <cell r="D1006">
            <v>122.66</v>
          </cell>
          <cell r="E1006">
            <v>4.09</v>
          </cell>
          <cell r="F1006">
            <v>126.75</v>
          </cell>
        </row>
        <row r="1007">
          <cell r="A1007" t="str">
            <v>230821</v>
          </cell>
          <cell r="B1007" t="str">
            <v>Armário sob medida em compensado de madeira totalmente revestido em folheado de madeira, completo</v>
          </cell>
          <cell r="C1007" t="str">
            <v>m²</v>
          </cell>
          <cell r="D1007">
            <v>1026.8</v>
          </cell>
          <cell r="E1007">
            <v>0</v>
          </cell>
          <cell r="F1007">
            <v>1026.8</v>
          </cell>
        </row>
        <row r="1008">
          <cell r="A1008" t="str">
            <v>230822</v>
          </cell>
          <cell r="B1008" t="str">
            <v>Armário sob medida em compensado de madeira totalmente revestido em laminado melamínico texturizado, completo</v>
          </cell>
          <cell r="C1008" t="str">
            <v>m²</v>
          </cell>
          <cell r="D1008">
            <v>998.99</v>
          </cell>
          <cell r="E1008">
            <v>0</v>
          </cell>
          <cell r="F1008">
            <v>998.99</v>
          </cell>
        </row>
        <row r="1009">
          <cell r="A1009" t="str">
            <v>230823</v>
          </cell>
          <cell r="B1009" t="str">
            <v>Lousa em laminado melamínico texturizado, verde oficial, ´Greenboard´ - 2,50 x 1,20 m</v>
          </cell>
          <cell r="C1009" t="str">
            <v>un</v>
          </cell>
          <cell r="D1009">
            <v>466.06</v>
          </cell>
          <cell r="E1009">
            <v>12.27</v>
          </cell>
          <cell r="F1009">
            <v>478.33</v>
          </cell>
        </row>
        <row r="1010">
          <cell r="A1010" t="str">
            <v>230824</v>
          </cell>
          <cell r="B1010" t="str">
            <v>Porta lisa de correr, em madeira</v>
          </cell>
          <cell r="C1010" t="str">
            <v>m²</v>
          </cell>
          <cell r="D1010">
            <v>516.29999999999995</v>
          </cell>
          <cell r="E1010">
            <v>59.22</v>
          </cell>
          <cell r="F1010">
            <v>575.52</v>
          </cell>
        </row>
        <row r="1011">
          <cell r="A1011" t="str">
            <v>230825</v>
          </cell>
          <cell r="B1011" t="str">
            <v>Porta veneziana de correr, em madeira</v>
          </cell>
          <cell r="C1011" t="str">
            <v>m²</v>
          </cell>
          <cell r="D1011">
            <v>568.64</v>
          </cell>
          <cell r="E1011">
            <v>59.22</v>
          </cell>
          <cell r="F1011">
            <v>627.86</v>
          </cell>
        </row>
        <row r="1012">
          <cell r="A1012" t="str">
            <v>230832</v>
          </cell>
          <cell r="B1012" t="str">
            <v>Porta acústica de madeira</v>
          </cell>
          <cell r="C1012" t="str">
            <v>m²</v>
          </cell>
          <cell r="D1012">
            <v>194.77</v>
          </cell>
          <cell r="E1012">
            <v>42.730000000000004</v>
          </cell>
          <cell r="F1012">
            <v>237.5</v>
          </cell>
        </row>
        <row r="1013">
          <cell r="A1013" t="str">
            <v>230901</v>
          </cell>
          <cell r="B1013" t="str">
            <v>Acréscimo de bandeira - porta lisa comum com batente de madeira</v>
          </cell>
          <cell r="C1013" t="str">
            <v>m²</v>
          </cell>
          <cell r="D1013">
            <v>81.52</v>
          </cell>
          <cell r="E1013">
            <v>29.2</v>
          </cell>
          <cell r="F1013">
            <v>110.72</v>
          </cell>
        </row>
        <row r="1014">
          <cell r="A1014" t="str">
            <v>230902</v>
          </cell>
          <cell r="B1014" t="str">
            <v>Porta lisa com batente madeira - 62 x 210 cm</v>
          </cell>
          <cell r="C1014" t="str">
            <v>un</v>
          </cell>
          <cell r="D1014">
            <v>167.58</v>
          </cell>
          <cell r="E1014">
            <v>59.22</v>
          </cell>
          <cell r="F1014">
            <v>226.8</v>
          </cell>
        </row>
        <row r="1015">
          <cell r="A1015" t="str">
            <v>230903</v>
          </cell>
          <cell r="B1015" t="str">
            <v>Porta lisa com batente madeira - 72 x 210 cm</v>
          </cell>
          <cell r="C1015" t="str">
            <v>un</v>
          </cell>
          <cell r="D1015">
            <v>168.33</v>
          </cell>
          <cell r="E1015">
            <v>59.22</v>
          </cell>
          <cell r="F1015">
            <v>227.55</v>
          </cell>
        </row>
        <row r="1016">
          <cell r="A1016" t="str">
            <v>230904</v>
          </cell>
          <cell r="B1016" t="str">
            <v>Porta lisa com batente madeira - 82 x 210 cm</v>
          </cell>
          <cell r="C1016" t="str">
            <v>un</v>
          </cell>
          <cell r="D1016">
            <v>168.83</v>
          </cell>
          <cell r="E1016">
            <v>59.22</v>
          </cell>
          <cell r="F1016">
            <v>228.05</v>
          </cell>
        </row>
        <row r="1017">
          <cell r="A1017" t="str">
            <v>230905</v>
          </cell>
          <cell r="B1017" t="str">
            <v>Porta lisa com batente madeira - 92 x 210 cm</v>
          </cell>
          <cell r="C1017" t="str">
            <v>un</v>
          </cell>
          <cell r="D1017">
            <v>177.16</v>
          </cell>
          <cell r="E1017">
            <v>59.22</v>
          </cell>
          <cell r="F1017">
            <v>236.38</v>
          </cell>
        </row>
        <row r="1018">
          <cell r="A1018" t="str">
            <v>230906</v>
          </cell>
          <cell r="B1018" t="str">
            <v>Porta lisa com batente madeira - 124 x 210 cm</v>
          </cell>
          <cell r="C1018" t="str">
            <v>un</v>
          </cell>
          <cell r="D1018">
            <v>276.48</v>
          </cell>
          <cell r="E1018">
            <v>73.95</v>
          </cell>
          <cell r="F1018">
            <v>350.43</v>
          </cell>
        </row>
        <row r="1019">
          <cell r="A1019" t="str">
            <v>230910</v>
          </cell>
          <cell r="B1019" t="str">
            <v>Porta lisa com batente madeira - 164 x 210 cm</v>
          </cell>
          <cell r="C1019" t="str">
            <v>un</v>
          </cell>
          <cell r="D1019">
            <v>294.94</v>
          </cell>
          <cell r="E1019">
            <v>85.570000000000007</v>
          </cell>
          <cell r="F1019">
            <v>380.51</v>
          </cell>
        </row>
        <row r="1020">
          <cell r="A1020" t="str">
            <v>230911</v>
          </cell>
          <cell r="B1020" t="str">
            <v>Porta lisa com batente madeira - 110 x 210 cm</v>
          </cell>
          <cell r="C1020" t="str">
            <v>un</v>
          </cell>
          <cell r="D1020">
            <v>327.01</v>
          </cell>
          <cell r="E1020">
            <v>59.22</v>
          </cell>
          <cell r="F1020">
            <v>386.23</v>
          </cell>
        </row>
        <row r="1021">
          <cell r="A1021" t="str">
            <v>230942</v>
          </cell>
          <cell r="B1021" t="str">
            <v>Porta lisa com batente em alumínio, largura 62 cm, altura de 105 a 200 cm</v>
          </cell>
          <cell r="C1021" t="str">
            <v>un</v>
          </cell>
          <cell r="D1021">
            <v>114.83</v>
          </cell>
          <cell r="E1021">
            <v>57.13</v>
          </cell>
          <cell r="F1021">
            <v>171.96</v>
          </cell>
        </row>
        <row r="1022">
          <cell r="A1022" t="str">
            <v>230943</v>
          </cell>
          <cell r="B1022" t="str">
            <v>Porta lisa com batente em alumínio, largura 82 cm, altura de 105 a 200 cm</v>
          </cell>
          <cell r="C1022" t="str">
            <v>un</v>
          </cell>
          <cell r="D1022">
            <v>116.08</v>
          </cell>
          <cell r="E1022">
            <v>57.13</v>
          </cell>
          <cell r="F1022">
            <v>173.21</v>
          </cell>
        </row>
        <row r="1023">
          <cell r="A1023" t="str">
            <v>230944</v>
          </cell>
          <cell r="B1023" t="str">
            <v>Porta lisa com batente em alumínio, largura 92 cm, altura de 105 a 200 cm</v>
          </cell>
          <cell r="C1023" t="str">
            <v>un</v>
          </cell>
          <cell r="D1023">
            <v>124.41</v>
          </cell>
          <cell r="E1023">
            <v>57.13</v>
          </cell>
          <cell r="F1023">
            <v>181.54</v>
          </cell>
        </row>
        <row r="1024">
          <cell r="A1024" t="str">
            <v>230950</v>
          </cell>
          <cell r="B1024" t="str">
            <v>Acréscimo de bandeira - porta lisa comum com batente metálico</v>
          </cell>
          <cell r="C1024" t="str">
            <v>m²</v>
          </cell>
          <cell r="D1024">
            <v>116.25</v>
          </cell>
          <cell r="E1024">
            <v>27.94</v>
          </cell>
          <cell r="F1024">
            <v>144.19</v>
          </cell>
        </row>
        <row r="1025">
          <cell r="A1025" t="str">
            <v>230951</v>
          </cell>
          <cell r="B1025" t="str">
            <v>Porta lisa com batente metálico - 62 x 100 cm</v>
          </cell>
          <cell r="C1025" t="str">
            <v>un</v>
          </cell>
          <cell r="D1025">
            <v>107.18</v>
          </cell>
          <cell r="E1025">
            <v>29.22</v>
          </cell>
          <cell r="F1025">
            <v>136.4</v>
          </cell>
        </row>
        <row r="1026">
          <cell r="A1026" t="str">
            <v>230952</v>
          </cell>
          <cell r="B1026" t="str">
            <v>Porta lisa com batente metálico - 62 x 160 cm</v>
          </cell>
          <cell r="C1026" t="str">
            <v>un</v>
          </cell>
          <cell r="D1026">
            <v>184.54</v>
          </cell>
          <cell r="E1026">
            <v>29.22</v>
          </cell>
          <cell r="F1026">
            <v>213.76</v>
          </cell>
        </row>
        <row r="1027">
          <cell r="A1027" t="str">
            <v>230953</v>
          </cell>
          <cell r="B1027" t="str">
            <v>Porta lisa com batente metálico - 82 x 160 cm</v>
          </cell>
          <cell r="C1027" t="str">
            <v>un</v>
          </cell>
          <cell r="D1027">
            <v>185.79</v>
          </cell>
          <cell r="E1027">
            <v>29.22</v>
          </cell>
          <cell r="F1027">
            <v>215.01</v>
          </cell>
        </row>
        <row r="1028">
          <cell r="A1028" t="str">
            <v>230954</v>
          </cell>
          <cell r="B1028" t="str">
            <v>Porta lisa com batente metálico - 72 x 210 cm</v>
          </cell>
          <cell r="C1028" t="str">
            <v>un</v>
          </cell>
          <cell r="D1028">
            <v>250.65</v>
          </cell>
          <cell r="E1028">
            <v>55.04</v>
          </cell>
          <cell r="F1028">
            <v>305.69</v>
          </cell>
        </row>
        <row r="1029">
          <cell r="A1029" t="str">
            <v>230955</v>
          </cell>
          <cell r="B1029" t="str">
            <v>Porta lisa com batente metálico - 82 x 210 cm</v>
          </cell>
          <cell r="C1029" t="str">
            <v>un</v>
          </cell>
          <cell r="D1029">
            <v>254.75</v>
          </cell>
          <cell r="E1029">
            <v>55.04</v>
          </cell>
          <cell r="F1029">
            <v>309.79000000000002</v>
          </cell>
        </row>
        <row r="1030">
          <cell r="A1030" t="str">
            <v>230956</v>
          </cell>
          <cell r="B1030" t="str">
            <v>Porta lisa com batente metálico - 92 x 210 cm</v>
          </cell>
          <cell r="C1030" t="str">
            <v>un</v>
          </cell>
          <cell r="D1030">
            <v>266.68</v>
          </cell>
          <cell r="E1030">
            <v>55.04</v>
          </cell>
          <cell r="F1030">
            <v>321.72000000000003</v>
          </cell>
        </row>
        <row r="1031">
          <cell r="A1031" t="str">
            <v>230957</v>
          </cell>
          <cell r="B1031" t="str">
            <v>Porta lisa com batente metálico - 124 x 210 cm</v>
          </cell>
          <cell r="C1031" t="str">
            <v>un</v>
          </cell>
          <cell r="D1031">
            <v>336.22</v>
          </cell>
          <cell r="E1031">
            <v>71.98</v>
          </cell>
          <cell r="F1031">
            <v>408.2</v>
          </cell>
        </row>
        <row r="1032">
          <cell r="A1032" t="str">
            <v>230958</v>
          </cell>
          <cell r="B1032" t="str">
            <v>Porta lisa com batente metálico - 144 x 210 cm</v>
          </cell>
          <cell r="C1032" t="str">
            <v>un</v>
          </cell>
          <cell r="D1032">
            <v>344.92</v>
          </cell>
          <cell r="E1032">
            <v>71.98</v>
          </cell>
          <cell r="F1032">
            <v>416.90000000000003</v>
          </cell>
        </row>
        <row r="1033">
          <cell r="A1033" t="str">
            <v>230959</v>
          </cell>
          <cell r="B1033" t="str">
            <v>Porta lisa com batente metálico - 164 x 210 cm</v>
          </cell>
          <cell r="C1033" t="str">
            <v>un</v>
          </cell>
          <cell r="D1033">
            <v>353.12</v>
          </cell>
          <cell r="E1033">
            <v>71.98</v>
          </cell>
          <cell r="F1033">
            <v>425.1</v>
          </cell>
        </row>
        <row r="1034">
          <cell r="A1034" t="str">
            <v>230960</v>
          </cell>
          <cell r="B1034" t="str">
            <v>Porta lisa com batente metálico - 62 x 180 cm</v>
          </cell>
          <cell r="C1034" t="str">
            <v>un</v>
          </cell>
          <cell r="D1034">
            <v>213.68</v>
          </cell>
          <cell r="E1034">
            <v>29.22</v>
          </cell>
          <cell r="F1034">
            <v>242.9</v>
          </cell>
        </row>
        <row r="1035">
          <cell r="A1035" t="str">
            <v>230961</v>
          </cell>
          <cell r="B1035" t="str">
            <v>Porta lisa com batente metálico - 62 x 210 cm</v>
          </cell>
          <cell r="C1035" t="str">
            <v>un</v>
          </cell>
          <cell r="D1035">
            <v>246.3</v>
          </cell>
          <cell r="E1035">
            <v>29.22</v>
          </cell>
          <cell r="F1035">
            <v>275.52</v>
          </cell>
        </row>
        <row r="1036">
          <cell r="A1036" t="str">
            <v>230963</v>
          </cell>
          <cell r="B1036" t="str">
            <v>Porta lisa com batente madeira, 2 folhas - 1,40 x 2,10 m</v>
          </cell>
          <cell r="C1036" t="str">
            <v>un</v>
          </cell>
          <cell r="D1036">
            <v>527.35</v>
          </cell>
          <cell r="E1036">
            <v>73.95</v>
          </cell>
          <cell r="F1036">
            <v>601.29999999999995</v>
          </cell>
        </row>
        <row r="1037">
          <cell r="A1037" t="str">
            <v>231101</v>
          </cell>
          <cell r="B1037" t="str">
            <v>Acréscimo de bandeira - porta lisa para acabamento em verniz, com batente de madeira</v>
          </cell>
          <cell r="C1037" t="str">
            <v>m²</v>
          </cell>
          <cell r="D1037">
            <v>93.210000000000008</v>
          </cell>
          <cell r="E1037">
            <v>29.2</v>
          </cell>
          <cell r="F1037">
            <v>122.41</v>
          </cell>
        </row>
        <row r="1038">
          <cell r="A1038" t="str">
            <v>231103</v>
          </cell>
          <cell r="B1038" t="str">
            <v>Porta lisa para acabamento em verniz, com batente de madeira - 72 x 210 cm</v>
          </cell>
          <cell r="C1038" t="str">
            <v>un</v>
          </cell>
          <cell r="D1038">
            <v>187.18</v>
          </cell>
          <cell r="E1038">
            <v>59.22</v>
          </cell>
          <cell r="F1038">
            <v>246.4</v>
          </cell>
        </row>
        <row r="1039">
          <cell r="A1039" t="str">
            <v>231104</v>
          </cell>
          <cell r="B1039" t="str">
            <v>Porta lisa para acabamento em verniz, com batente de madeira - 82 x 210 cm</v>
          </cell>
          <cell r="C1039" t="str">
            <v>un</v>
          </cell>
          <cell r="D1039">
            <v>187.68</v>
          </cell>
          <cell r="E1039">
            <v>59.22</v>
          </cell>
          <cell r="F1039">
            <v>246.9</v>
          </cell>
        </row>
        <row r="1040">
          <cell r="A1040" t="str">
            <v>231105</v>
          </cell>
          <cell r="B1040" t="str">
            <v>Porta lisa para acabamento em verniz, com batente de madeira - 92 x 210 cm</v>
          </cell>
          <cell r="C1040" t="str">
            <v>un</v>
          </cell>
          <cell r="D1040">
            <v>196.8</v>
          </cell>
          <cell r="E1040">
            <v>59.22</v>
          </cell>
          <cell r="F1040">
            <v>256.02</v>
          </cell>
        </row>
        <row r="1041">
          <cell r="A1041" t="str">
            <v>231106</v>
          </cell>
          <cell r="B1041" t="str">
            <v>Porta lisa para acabamento em verniz, com batente de madeira - 110 x 210 cm</v>
          </cell>
          <cell r="C1041" t="str">
            <v>un</v>
          </cell>
          <cell r="D1041">
            <v>337.82</v>
          </cell>
          <cell r="E1041">
            <v>59.22</v>
          </cell>
          <cell r="F1041">
            <v>397.04</v>
          </cell>
        </row>
        <row r="1042">
          <cell r="A1042" t="str">
            <v>231120</v>
          </cell>
          <cell r="B1042" t="str">
            <v>Acréscimo de bandeira - porta lisa para acabamento em verniz, com batente metálico</v>
          </cell>
          <cell r="C1042" t="str">
            <v>m²</v>
          </cell>
          <cell r="D1042">
            <v>127.94</v>
          </cell>
          <cell r="E1042">
            <v>27.94</v>
          </cell>
          <cell r="F1042">
            <v>155.88</v>
          </cell>
        </row>
        <row r="1043">
          <cell r="A1043" t="str">
            <v>231121</v>
          </cell>
          <cell r="B1043" t="str">
            <v>Porta lisa para acabamento em verniz, com batente metálico - 72 x 210 cm</v>
          </cell>
          <cell r="C1043" t="str">
            <v>un</v>
          </cell>
          <cell r="D1043">
            <v>269.5</v>
          </cell>
          <cell r="E1043">
            <v>55.04</v>
          </cell>
          <cell r="F1043">
            <v>324.54000000000002</v>
          </cell>
        </row>
        <row r="1044">
          <cell r="A1044" t="str">
            <v>231122</v>
          </cell>
          <cell r="B1044" t="str">
            <v>Porta lisa para acabamento em verniz, com batente metálico - 82 x 210 cm</v>
          </cell>
          <cell r="C1044" t="str">
            <v>un</v>
          </cell>
          <cell r="D1044">
            <v>273.60000000000002</v>
          </cell>
          <cell r="E1044">
            <v>55.04</v>
          </cell>
          <cell r="F1044">
            <v>328.64</v>
          </cell>
        </row>
        <row r="1045">
          <cell r="A1045" t="str">
            <v>231123</v>
          </cell>
          <cell r="B1045" t="str">
            <v>Porta lisa para acabamento em verniz, com batente metálico - 92 x 210 cm</v>
          </cell>
          <cell r="C1045" t="str">
            <v>un</v>
          </cell>
          <cell r="D1045">
            <v>286.32</v>
          </cell>
          <cell r="E1045">
            <v>55.04</v>
          </cell>
          <cell r="F1045">
            <v>341.36</v>
          </cell>
        </row>
        <row r="1046">
          <cell r="A1046" t="str">
            <v>231124</v>
          </cell>
          <cell r="B1046" t="str">
            <v>Porta lisa para acabamento em verniz, com batente metálico - 110 x 210 cm</v>
          </cell>
          <cell r="C1046" t="str">
            <v>un</v>
          </cell>
          <cell r="D1046">
            <v>332.94</v>
          </cell>
          <cell r="E1046">
            <v>55.04</v>
          </cell>
          <cell r="F1046">
            <v>387.98</v>
          </cell>
        </row>
        <row r="1047">
          <cell r="A1047" t="str">
            <v>232002</v>
          </cell>
          <cell r="B1047" t="str">
            <v>Recolocação de batentes de madeira</v>
          </cell>
          <cell r="C1047" t="str">
            <v>un</v>
          </cell>
          <cell r="D1047">
            <v>1.02</v>
          </cell>
          <cell r="E1047">
            <v>27.91</v>
          </cell>
          <cell r="F1047">
            <v>28.93</v>
          </cell>
        </row>
        <row r="1048">
          <cell r="A1048" t="str">
            <v>232004</v>
          </cell>
          <cell r="B1048" t="str">
            <v>Recolocação de folhas de porta ou janela</v>
          </cell>
          <cell r="C1048" t="str">
            <v>un</v>
          </cell>
          <cell r="D1048">
            <v>0</v>
          </cell>
          <cell r="E1048">
            <v>33.39</v>
          </cell>
          <cell r="F1048">
            <v>33.39</v>
          </cell>
        </row>
        <row r="1049">
          <cell r="A1049" t="str">
            <v>232006</v>
          </cell>
          <cell r="B1049" t="str">
            <v>Recolocação de guarnição ou molduras</v>
          </cell>
          <cell r="C1049" t="str">
            <v>m</v>
          </cell>
          <cell r="D1049">
            <v>0</v>
          </cell>
          <cell r="E1049">
            <v>1.04</v>
          </cell>
          <cell r="F1049">
            <v>1.04</v>
          </cell>
        </row>
        <row r="1050">
          <cell r="A1050" t="str">
            <v>232010</v>
          </cell>
          <cell r="B1050" t="str">
            <v>Batente de madeira para porta</v>
          </cell>
          <cell r="C1050" t="str">
            <v>m</v>
          </cell>
          <cell r="D1050">
            <v>16.25</v>
          </cell>
          <cell r="E1050">
            <v>6.44</v>
          </cell>
          <cell r="F1050">
            <v>22.69</v>
          </cell>
        </row>
        <row r="1051">
          <cell r="A1051" t="str">
            <v>232011</v>
          </cell>
          <cell r="B1051" t="str">
            <v>Visor fixo e requadro de madeira para porta, para receber vidro</v>
          </cell>
          <cell r="C1051" t="str">
            <v>m²</v>
          </cell>
          <cell r="D1051">
            <v>641.89</v>
          </cell>
          <cell r="E1051">
            <v>83.48</v>
          </cell>
          <cell r="F1051">
            <v>725.37</v>
          </cell>
        </row>
        <row r="1052">
          <cell r="A1052" t="str">
            <v>232012</v>
          </cell>
          <cell r="B1052" t="str">
            <v>Guarnição de madeira</v>
          </cell>
          <cell r="C1052" t="str">
            <v>m</v>
          </cell>
          <cell r="D1052">
            <v>2.21</v>
          </cell>
          <cell r="E1052">
            <v>1.04</v>
          </cell>
          <cell r="F1052">
            <v>3.25</v>
          </cell>
        </row>
        <row r="1053">
          <cell r="A1053" t="str">
            <v>232014</v>
          </cell>
          <cell r="B1053" t="str">
            <v>Acréscimo de visor completo em porta de madeira</v>
          </cell>
          <cell r="C1053" t="str">
            <v>un</v>
          </cell>
          <cell r="D1053">
            <v>127.21000000000001</v>
          </cell>
          <cell r="E1053">
            <v>0</v>
          </cell>
          <cell r="F1053">
            <v>127.21000000000001</v>
          </cell>
        </row>
        <row r="1054">
          <cell r="A1054" t="str">
            <v>232016</v>
          </cell>
          <cell r="B1054" t="str">
            <v>Folha de porta veneziana maciça, sob medida</v>
          </cell>
          <cell r="C1054" t="str">
            <v>m²</v>
          </cell>
          <cell r="D1054">
            <v>332.8</v>
          </cell>
          <cell r="E1054">
            <v>10.44</v>
          </cell>
          <cell r="F1054">
            <v>343.24</v>
          </cell>
        </row>
        <row r="1055">
          <cell r="A1055" t="str">
            <v>232017</v>
          </cell>
          <cell r="B1055" t="str">
            <v>Folha de porta lisa folheada com madeira, sob medida</v>
          </cell>
          <cell r="C1055" t="str">
            <v>m²</v>
          </cell>
          <cell r="D1055">
            <v>114.91</v>
          </cell>
          <cell r="E1055">
            <v>10.44</v>
          </cell>
          <cell r="F1055">
            <v>125.35000000000001</v>
          </cell>
        </row>
        <row r="1056">
          <cell r="A1056" t="str">
            <v>232018</v>
          </cell>
          <cell r="B1056" t="str">
            <v>Folha de porta em madeira para receber vidro, sob medida</v>
          </cell>
          <cell r="C1056" t="str">
            <v>m²</v>
          </cell>
          <cell r="D1056">
            <v>307.2</v>
          </cell>
          <cell r="E1056">
            <v>10.44</v>
          </cell>
          <cell r="F1056">
            <v>317.64</v>
          </cell>
        </row>
        <row r="1057">
          <cell r="A1057" t="str">
            <v>232022</v>
          </cell>
          <cell r="B1057" t="str">
            <v>Folha de porta macho e fêmea, 72 x 210 cm</v>
          </cell>
          <cell r="C1057" t="str">
            <v>un</v>
          </cell>
          <cell r="D1057">
            <v>507.14</v>
          </cell>
          <cell r="E1057">
            <v>31.310000000000002</v>
          </cell>
          <cell r="F1057">
            <v>538.45000000000005</v>
          </cell>
        </row>
        <row r="1058">
          <cell r="A1058" t="str">
            <v>232023</v>
          </cell>
          <cell r="B1058" t="str">
            <v>Folha de porta macho e fêmea, 82 x 210 cm</v>
          </cell>
          <cell r="C1058" t="str">
            <v>un</v>
          </cell>
          <cell r="D1058">
            <v>517.58000000000004</v>
          </cell>
          <cell r="E1058">
            <v>31.310000000000002</v>
          </cell>
          <cell r="F1058">
            <v>548.89</v>
          </cell>
        </row>
        <row r="1059">
          <cell r="A1059" t="str">
            <v>232024</v>
          </cell>
          <cell r="B1059" t="str">
            <v>Folha de porta macho e fêmea, 92 x 210 cm</v>
          </cell>
          <cell r="C1059" t="str">
            <v>un</v>
          </cell>
          <cell r="D1059">
            <v>601.63</v>
          </cell>
          <cell r="E1059">
            <v>31.310000000000002</v>
          </cell>
          <cell r="F1059">
            <v>632.94000000000005</v>
          </cell>
        </row>
        <row r="1060">
          <cell r="A1060" t="str">
            <v>232031</v>
          </cell>
          <cell r="B1060" t="str">
            <v>Folha de porta lisa comum, 62 x 210 cm</v>
          </cell>
          <cell r="C1060" t="str">
            <v>un</v>
          </cell>
          <cell r="D1060">
            <v>68.319999999999993</v>
          </cell>
          <cell r="E1060">
            <v>31.310000000000002</v>
          </cell>
          <cell r="F1060">
            <v>99.63</v>
          </cell>
        </row>
        <row r="1061">
          <cell r="A1061" t="str">
            <v>232032</v>
          </cell>
          <cell r="B1061" t="str">
            <v>Folha de porta lisa comum, 72 x 210 cm</v>
          </cell>
          <cell r="C1061" t="str">
            <v>un</v>
          </cell>
          <cell r="D1061">
            <v>69.069999999999993</v>
          </cell>
          <cell r="E1061">
            <v>31.310000000000002</v>
          </cell>
          <cell r="F1061">
            <v>100.38</v>
          </cell>
        </row>
        <row r="1062">
          <cell r="A1062" t="str">
            <v>232033</v>
          </cell>
          <cell r="B1062" t="str">
            <v>Folha de porta lisa comum, 82 x 210 cm</v>
          </cell>
          <cell r="C1062" t="str">
            <v>un</v>
          </cell>
          <cell r="D1062">
            <v>69.569999999999993</v>
          </cell>
          <cell r="E1062">
            <v>31.310000000000002</v>
          </cell>
          <cell r="F1062">
            <v>100.88</v>
          </cell>
        </row>
        <row r="1063">
          <cell r="A1063" t="str">
            <v>232034</v>
          </cell>
          <cell r="B1063" t="str">
            <v>Folha de porta lisa comum, 92 x 210 cm</v>
          </cell>
          <cell r="C1063" t="str">
            <v>un</v>
          </cell>
          <cell r="D1063">
            <v>77.900000000000006</v>
          </cell>
          <cell r="E1063">
            <v>31.310000000000002</v>
          </cell>
          <cell r="F1063">
            <v>109.21000000000001</v>
          </cell>
        </row>
        <row r="1064">
          <cell r="A1064" t="str">
            <v>232045</v>
          </cell>
          <cell r="B1064" t="str">
            <v>Folha de porta em laminado fenólico melamínico com acabamento liso, 72 x 210 cm</v>
          </cell>
          <cell r="C1064" t="str">
            <v>un</v>
          </cell>
          <cell r="D1064">
            <v>465.58</v>
          </cell>
          <cell r="E1064">
            <v>31.310000000000002</v>
          </cell>
          <cell r="F1064">
            <v>496.89</v>
          </cell>
        </row>
        <row r="1065">
          <cell r="A1065" t="str">
            <v>232046</v>
          </cell>
          <cell r="B1065" t="str">
            <v>Folha de porta em laminado fenólico melamínico com acabamento liso, 92 x 210 cm</v>
          </cell>
          <cell r="C1065" t="str">
            <v>un</v>
          </cell>
          <cell r="D1065">
            <v>517.54</v>
          </cell>
          <cell r="E1065">
            <v>31.310000000000002</v>
          </cell>
          <cell r="F1065">
            <v>548.85</v>
          </cell>
        </row>
        <row r="1066">
          <cell r="A1066" t="str">
            <v>232055</v>
          </cell>
          <cell r="B1066" t="str">
            <v>Folha de porta em laminado fenólico melamínico com acabamento liso, 82 x 210 cm</v>
          </cell>
          <cell r="C1066" t="str">
            <v>un</v>
          </cell>
          <cell r="D1066">
            <v>497.17</v>
          </cell>
          <cell r="E1066">
            <v>31.310000000000002</v>
          </cell>
          <cell r="F1066">
            <v>528.48</v>
          </cell>
        </row>
        <row r="1067">
          <cell r="A1067" t="str">
            <v>240101</v>
          </cell>
          <cell r="B1067" t="str">
            <v>Caixilho em ferro fixo, sob medida</v>
          </cell>
          <cell r="C1067" t="str">
            <v>m²</v>
          </cell>
          <cell r="D1067">
            <v>355.74</v>
          </cell>
          <cell r="E1067">
            <v>13.63</v>
          </cell>
          <cell r="F1067">
            <v>369.37</v>
          </cell>
        </row>
        <row r="1068">
          <cell r="A1068" t="str">
            <v>240103</v>
          </cell>
          <cell r="B1068" t="str">
            <v>Caixilho em ferro basculante, sob medida</v>
          </cell>
          <cell r="C1068" t="str">
            <v>m²</v>
          </cell>
          <cell r="D1068">
            <v>370.45</v>
          </cell>
          <cell r="E1068">
            <v>13.63</v>
          </cell>
          <cell r="F1068">
            <v>384.08</v>
          </cell>
        </row>
        <row r="1069">
          <cell r="A1069" t="str">
            <v>240104</v>
          </cell>
          <cell r="B1069" t="str">
            <v>Caixilho em ferro basculante, linha comercial</v>
          </cell>
          <cell r="C1069" t="str">
            <v>m²</v>
          </cell>
          <cell r="D1069">
            <v>215.05</v>
          </cell>
          <cell r="E1069">
            <v>13.63</v>
          </cell>
          <cell r="F1069">
            <v>228.68</v>
          </cell>
        </row>
        <row r="1070">
          <cell r="A1070" t="str">
            <v>240105</v>
          </cell>
          <cell r="B1070" t="str">
            <v>Caixilho em ferro maximar, sob medida</v>
          </cell>
          <cell r="C1070" t="str">
            <v>m²</v>
          </cell>
          <cell r="D1070">
            <v>303.3</v>
          </cell>
          <cell r="E1070">
            <v>13.63</v>
          </cell>
          <cell r="F1070">
            <v>316.93</v>
          </cell>
        </row>
        <row r="1071">
          <cell r="A1071" t="str">
            <v>240106</v>
          </cell>
          <cell r="B1071" t="str">
            <v>Caixilho em ferro maximar com grade, linha comercial</v>
          </cell>
          <cell r="C1071" t="str">
            <v>m²</v>
          </cell>
          <cell r="D1071">
            <v>358.36</v>
          </cell>
          <cell r="E1071">
            <v>13.63</v>
          </cell>
          <cell r="F1071">
            <v>371.99</v>
          </cell>
        </row>
        <row r="1072">
          <cell r="A1072" t="str">
            <v>240107</v>
          </cell>
          <cell r="B1072" t="str">
            <v>Caixilho em ferro de correr, sob medida</v>
          </cell>
          <cell r="C1072" t="str">
            <v>m²</v>
          </cell>
          <cell r="D1072">
            <v>433.58</v>
          </cell>
          <cell r="E1072">
            <v>13.63</v>
          </cell>
          <cell r="F1072">
            <v>447.21000000000004</v>
          </cell>
        </row>
        <row r="1073">
          <cell r="A1073" t="str">
            <v>240108</v>
          </cell>
          <cell r="B1073" t="str">
            <v>Caixilho em ferro de correr, linha comercial</v>
          </cell>
          <cell r="C1073" t="str">
            <v>m²</v>
          </cell>
          <cell r="D1073">
            <v>234.86</v>
          </cell>
          <cell r="E1073">
            <v>13.63</v>
          </cell>
          <cell r="F1073">
            <v>248.49</v>
          </cell>
        </row>
        <row r="1074">
          <cell r="A1074" t="str">
            <v>240109</v>
          </cell>
          <cell r="B1074" t="str">
            <v>Caixilho em ferro com ventilação permanente, sob medida</v>
          </cell>
          <cell r="C1074" t="str">
            <v>m²</v>
          </cell>
          <cell r="D1074">
            <v>286.88</v>
          </cell>
          <cell r="E1074">
            <v>13.63</v>
          </cell>
          <cell r="F1074">
            <v>300.51</v>
          </cell>
        </row>
        <row r="1075">
          <cell r="A1075" t="str">
            <v>240110</v>
          </cell>
          <cell r="B1075" t="str">
            <v>Caixilho em ferro tipo veneziana, linha comercial</v>
          </cell>
          <cell r="C1075" t="str">
            <v>m²</v>
          </cell>
          <cell r="D1075">
            <v>243.48000000000002</v>
          </cell>
          <cell r="E1075">
            <v>13.63</v>
          </cell>
          <cell r="F1075">
            <v>257.11</v>
          </cell>
        </row>
        <row r="1076">
          <cell r="A1076" t="str">
            <v>240111</v>
          </cell>
          <cell r="B1076" t="str">
            <v>Caixilho em ferro tipo veneziana, sob medida</v>
          </cell>
          <cell r="C1076" t="str">
            <v>m²</v>
          </cell>
          <cell r="D1076">
            <v>316.51</v>
          </cell>
          <cell r="E1076">
            <v>13.63</v>
          </cell>
          <cell r="F1076">
            <v>330.14</v>
          </cell>
        </row>
        <row r="1077">
          <cell r="A1077" t="str">
            <v>240112</v>
          </cell>
          <cell r="B1077" t="str">
            <v>Caixilho tipo veneziana industrial com montantes em aço galvanizado e aletas em fibra de vidro</v>
          </cell>
          <cell r="C1077" t="str">
            <v>m²</v>
          </cell>
          <cell r="D1077">
            <v>158.22999999999999</v>
          </cell>
          <cell r="E1077">
            <v>0</v>
          </cell>
          <cell r="F1077">
            <v>158.22999999999999</v>
          </cell>
        </row>
        <row r="1078">
          <cell r="A1078" t="str">
            <v>240115</v>
          </cell>
          <cell r="B1078" t="str">
            <v>Caixilho tipo veneziana industrial com aletas em PVC e montantes em aço galvanizado</v>
          </cell>
          <cell r="C1078" t="str">
            <v>m²</v>
          </cell>
          <cell r="D1078">
            <v>150</v>
          </cell>
          <cell r="E1078">
            <v>0</v>
          </cell>
          <cell r="F1078">
            <v>150</v>
          </cell>
        </row>
        <row r="1079">
          <cell r="A1079" t="str">
            <v>240118</v>
          </cell>
          <cell r="B1079" t="str">
            <v>Caixilho removível, em tela de aço galvanizado, tipo ondulada com malha de 1´, fio 12, com requadro tubular de aço carbono, sob medida</v>
          </cell>
          <cell r="C1079" t="str">
            <v>m²</v>
          </cell>
          <cell r="D1079">
            <v>204.47</v>
          </cell>
          <cell r="E1079">
            <v>13.1</v>
          </cell>
          <cell r="F1079">
            <v>217.57</v>
          </cell>
        </row>
        <row r="1080">
          <cell r="A1080" t="str">
            <v>240119</v>
          </cell>
          <cell r="B1080" t="str">
            <v>Caixilho fixo em tela de aço galvanizado, tipo ondulada com malha de 1/2´, fio 12, com requadro em cantoneira de aço carbono, sob medida</v>
          </cell>
          <cell r="C1080" t="str">
            <v>m²</v>
          </cell>
          <cell r="D1080">
            <v>228.63</v>
          </cell>
          <cell r="E1080">
            <v>13.1</v>
          </cell>
          <cell r="F1080">
            <v>241.73000000000002</v>
          </cell>
        </row>
        <row r="1081">
          <cell r="A1081" t="str">
            <v>240120</v>
          </cell>
          <cell r="B1081" t="str">
            <v>Caixilho fixo em aço SAE 1010/1020 para vidro à prova de bala, sob medida</v>
          </cell>
          <cell r="C1081" t="str">
            <v>m²</v>
          </cell>
          <cell r="D1081">
            <v>524.5</v>
          </cell>
          <cell r="E1081">
            <v>34.72</v>
          </cell>
          <cell r="F1081">
            <v>559.22</v>
          </cell>
        </row>
        <row r="1082">
          <cell r="A1082" t="str">
            <v>240127</v>
          </cell>
          <cell r="B1082" t="str">
            <v>Caixilho tipo guichê em perfil de chapa dobrada em aço com subdivisões para vidro laminado 3 mm, sob medida</v>
          </cell>
          <cell r="C1082" t="str">
            <v>m²</v>
          </cell>
          <cell r="D1082">
            <v>519.29999999999995</v>
          </cell>
          <cell r="E1082">
            <v>13.63</v>
          </cell>
          <cell r="F1082">
            <v>532.92999999999995</v>
          </cell>
        </row>
        <row r="1083">
          <cell r="A1083" t="str">
            <v>240128</v>
          </cell>
          <cell r="B1083" t="str">
            <v>Caixilho tipo guichê em chapa de aço</v>
          </cell>
          <cell r="C1083" t="str">
            <v>m²</v>
          </cell>
          <cell r="D1083">
            <v>699.69</v>
          </cell>
          <cell r="E1083">
            <v>44.99</v>
          </cell>
          <cell r="F1083">
            <v>744.68000000000006</v>
          </cell>
        </row>
        <row r="1084">
          <cell r="A1084" t="str">
            <v>240201</v>
          </cell>
          <cell r="B1084" t="str">
            <v>Porta em ferro de abrir, para receber vidro, sob medida</v>
          </cell>
          <cell r="C1084" t="str">
            <v>m²</v>
          </cell>
          <cell r="D1084">
            <v>612.11</v>
          </cell>
          <cell r="E1084">
            <v>40.89</v>
          </cell>
          <cell r="F1084">
            <v>653</v>
          </cell>
        </row>
        <row r="1085">
          <cell r="A1085" t="str">
            <v>240202</v>
          </cell>
          <cell r="B1085" t="str">
            <v>Porta em ferro de abrir, para receber vidro, linha comercial</v>
          </cell>
          <cell r="C1085" t="str">
            <v>m²</v>
          </cell>
          <cell r="D1085">
            <v>243.59</v>
          </cell>
          <cell r="E1085">
            <v>40.89</v>
          </cell>
          <cell r="F1085">
            <v>284.48</v>
          </cell>
        </row>
        <row r="1086">
          <cell r="A1086" t="str">
            <v>240204</v>
          </cell>
          <cell r="B1086" t="str">
            <v>Porta/portão tipo gradil sob medida</v>
          </cell>
          <cell r="C1086" t="str">
            <v>m²</v>
          </cell>
          <cell r="D1086">
            <v>337.37</v>
          </cell>
          <cell r="E1086">
            <v>40.89</v>
          </cell>
          <cell r="F1086">
            <v>378.26</v>
          </cell>
        </row>
        <row r="1087">
          <cell r="A1087" t="str">
            <v>240205</v>
          </cell>
          <cell r="B1087" t="str">
            <v>Porta corta-fogo classe P.90 de 90 x 210 cm, completa, com maçaneta tipo alavanca</v>
          </cell>
          <cell r="C1087" t="str">
            <v>un</v>
          </cell>
          <cell r="D1087">
            <v>495.5</v>
          </cell>
          <cell r="E1087">
            <v>72.069999999999993</v>
          </cell>
          <cell r="F1087">
            <v>567.57000000000005</v>
          </cell>
        </row>
        <row r="1088">
          <cell r="A1088" t="str">
            <v>240206</v>
          </cell>
          <cell r="B1088" t="str">
            <v>Porta/portão de abrir em chapa, sob medida</v>
          </cell>
          <cell r="C1088" t="str">
            <v>m²</v>
          </cell>
          <cell r="D1088">
            <v>447.08</v>
          </cell>
          <cell r="E1088">
            <v>40.89</v>
          </cell>
          <cell r="F1088">
            <v>487.97</v>
          </cell>
        </row>
        <row r="1089">
          <cell r="A1089" t="str">
            <v>240207</v>
          </cell>
          <cell r="B1089" t="str">
            <v>Porta de ferro de abrir tipo veneziana, linha comercial</v>
          </cell>
          <cell r="C1089" t="str">
            <v>m²</v>
          </cell>
          <cell r="D1089">
            <v>209.31</v>
          </cell>
          <cell r="E1089">
            <v>40.89</v>
          </cell>
          <cell r="F1089">
            <v>250.20000000000002</v>
          </cell>
        </row>
        <row r="1090">
          <cell r="A1090" t="str">
            <v>240208</v>
          </cell>
          <cell r="B1090" t="str">
            <v>Porta/portão de abrir em veneziana de ferro, sob medida</v>
          </cell>
          <cell r="C1090" t="str">
            <v>m²</v>
          </cell>
          <cell r="D1090">
            <v>542.84</v>
          </cell>
          <cell r="E1090">
            <v>40.89</v>
          </cell>
          <cell r="F1090">
            <v>583.73</v>
          </cell>
        </row>
        <row r="1091">
          <cell r="A1091" t="str">
            <v>240210</v>
          </cell>
          <cell r="B1091" t="str">
            <v>Portão tubular em tela de aço galvanizado até 2,50 m de altura, completo</v>
          </cell>
          <cell r="C1091" t="str">
            <v>m²</v>
          </cell>
          <cell r="D1091">
            <v>344.74</v>
          </cell>
          <cell r="E1091">
            <v>31.18</v>
          </cell>
          <cell r="F1091">
            <v>375.92</v>
          </cell>
        </row>
        <row r="1092">
          <cell r="A1092" t="str">
            <v>240227</v>
          </cell>
          <cell r="B1092" t="str">
            <v>Portão de 2 folhas, tubular em tela de aço galvanizado acima de 2,50 m de altura, completo</v>
          </cell>
          <cell r="C1092" t="str">
            <v>m²</v>
          </cell>
          <cell r="D1092">
            <v>358.03000000000003</v>
          </cell>
          <cell r="E1092">
            <v>40.89</v>
          </cell>
          <cell r="F1092">
            <v>398.92</v>
          </cell>
        </row>
        <row r="1093">
          <cell r="A1093" t="str">
            <v>240228</v>
          </cell>
          <cell r="B1093" t="str">
            <v>Porta/portão de correr em tela ondulada de aço galvanizado, sob medida</v>
          </cell>
          <cell r="C1093" t="str">
            <v>m²</v>
          </cell>
          <cell r="D1093">
            <v>357.16</v>
          </cell>
          <cell r="E1093">
            <v>40.89</v>
          </cell>
          <cell r="F1093">
            <v>398.05</v>
          </cell>
        </row>
        <row r="1094">
          <cell r="A1094" t="str">
            <v>240229</v>
          </cell>
          <cell r="B1094" t="str">
            <v>Porta/portão de correr em chapa cega dupla, sob medida</v>
          </cell>
          <cell r="C1094" t="str">
            <v>m²</v>
          </cell>
          <cell r="D1094">
            <v>702.28</v>
          </cell>
          <cell r="E1094">
            <v>40.89</v>
          </cell>
          <cell r="F1094">
            <v>743.17</v>
          </cell>
        </row>
        <row r="1095">
          <cell r="A1095" t="str">
            <v>240238</v>
          </cell>
          <cell r="B1095" t="str">
            <v>Porta corta-fogo classe P.90 de 100 x 210 cm, completa, com maçaneta tipo alavanca</v>
          </cell>
          <cell r="C1095" t="str">
            <v>un</v>
          </cell>
          <cell r="D1095">
            <v>577.38</v>
          </cell>
          <cell r="E1095">
            <v>72.069999999999993</v>
          </cell>
          <cell r="F1095">
            <v>649.45000000000005</v>
          </cell>
        </row>
        <row r="1096">
          <cell r="A1096" t="str">
            <v>240241</v>
          </cell>
          <cell r="B1096" t="str">
            <v>Porta em ferro de correr, para receber vidro, sob medida</v>
          </cell>
          <cell r="C1096" t="str">
            <v>m²</v>
          </cell>
          <cell r="D1096">
            <v>697.33</v>
          </cell>
          <cell r="E1096">
            <v>40.89</v>
          </cell>
          <cell r="F1096">
            <v>738.22</v>
          </cell>
        </row>
        <row r="1097">
          <cell r="A1097" t="str">
            <v>240243</v>
          </cell>
          <cell r="B1097" t="str">
            <v>Porta em ferro de abrir, parte inferior chapeada, parte superior para receber vidro, sob medida</v>
          </cell>
          <cell r="C1097" t="str">
            <v>m²</v>
          </cell>
          <cell r="D1097">
            <v>665.41</v>
          </cell>
          <cell r="E1097">
            <v>40.89</v>
          </cell>
          <cell r="F1097">
            <v>706.30000000000007</v>
          </cell>
        </row>
        <row r="1098">
          <cell r="A1098" t="str">
            <v>240244</v>
          </cell>
          <cell r="B1098" t="str">
            <v>Porta em ferro tipo sanfonada, em chapa cega, sob medida</v>
          </cell>
          <cell r="C1098" t="str">
            <v>m²</v>
          </cell>
          <cell r="D1098">
            <v>434.26</v>
          </cell>
          <cell r="E1098">
            <v>40.89</v>
          </cell>
          <cell r="F1098">
            <v>475.15000000000003</v>
          </cell>
        </row>
        <row r="1099">
          <cell r="A1099" t="str">
            <v>240245</v>
          </cell>
          <cell r="B1099" t="str">
            <v>Grade de proteção para caixilhos</v>
          </cell>
          <cell r="C1099" t="str">
            <v>m²</v>
          </cell>
          <cell r="D1099">
            <v>415.45</v>
          </cell>
          <cell r="E1099">
            <v>27.16</v>
          </cell>
          <cell r="F1099">
            <v>442.61</v>
          </cell>
        </row>
        <row r="1100">
          <cell r="A1100" t="str">
            <v>240246</v>
          </cell>
          <cell r="B1100" t="str">
            <v>Porta de abrir em tela ondulada de aço galvanizado, completa</v>
          </cell>
          <cell r="C1100" t="str">
            <v>m²</v>
          </cell>
          <cell r="D1100">
            <v>324.02999999999997</v>
          </cell>
          <cell r="E1100">
            <v>33.229999999999997</v>
          </cell>
          <cell r="F1100">
            <v>357.26</v>
          </cell>
        </row>
        <row r="1101">
          <cell r="A1101" t="str">
            <v>240247</v>
          </cell>
          <cell r="B1101" t="str">
            <v>Portinhola de correr em chapa, para ´passa pacote´, completa, sob medida</v>
          </cell>
          <cell r="C1101" t="str">
            <v>m²</v>
          </cell>
          <cell r="D1101">
            <v>884.05000000000007</v>
          </cell>
          <cell r="E1101">
            <v>27.16</v>
          </cell>
          <cell r="F1101">
            <v>911.21</v>
          </cell>
        </row>
        <row r="1102">
          <cell r="A1102" t="str">
            <v>240248</v>
          </cell>
          <cell r="B1102" t="str">
            <v>Portinhola de abrir em chapa, para ´passa pacote´, completa, sob medida</v>
          </cell>
          <cell r="C1102" t="str">
            <v>m²</v>
          </cell>
          <cell r="D1102">
            <v>710.21</v>
          </cell>
          <cell r="E1102">
            <v>27.16</v>
          </cell>
          <cell r="F1102">
            <v>737.37</v>
          </cell>
        </row>
        <row r="1103">
          <cell r="A1103" t="str">
            <v>240249</v>
          </cell>
          <cell r="B1103" t="str">
            <v>Grade em barra chata soldada de 1 1/2´ x 1/4´, sob medida</v>
          </cell>
          <cell r="C1103" t="str">
            <v>m²</v>
          </cell>
          <cell r="D1103">
            <v>759.1</v>
          </cell>
          <cell r="E1103">
            <v>13.63</v>
          </cell>
          <cell r="F1103">
            <v>772.73</v>
          </cell>
        </row>
        <row r="1104">
          <cell r="A1104" t="str">
            <v>240259</v>
          </cell>
          <cell r="B1104" t="str">
            <v>Porta de enrolar manual, cega ou vazada</v>
          </cell>
          <cell r="C1104" t="str">
            <v>m²</v>
          </cell>
          <cell r="D1104">
            <v>288.93</v>
          </cell>
          <cell r="E1104">
            <v>21.47</v>
          </cell>
          <cell r="F1104">
            <v>310.39999999999998</v>
          </cell>
        </row>
        <row r="1105">
          <cell r="A1105" t="str">
            <v>240263</v>
          </cell>
          <cell r="B1105" t="str">
            <v>Portão de 2 folhas tubular diâmetro de 3´, com tela em aço galvanizado de 2´, altura acima de 3,00 m, completo</v>
          </cell>
          <cell r="C1105" t="str">
            <v>m²</v>
          </cell>
          <cell r="D1105">
            <v>371.74</v>
          </cell>
          <cell r="E1105">
            <v>40.89</v>
          </cell>
          <cell r="F1105">
            <v>412.63</v>
          </cell>
        </row>
        <row r="1106">
          <cell r="A1106" t="str">
            <v>240281</v>
          </cell>
          <cell r="B1106" t="str">
            <v>Porta/portão de abrir em chapa cega com isolamento acústico, sob medida</v>
          </cell>
          <cell r="C1106" t="str">
            <v>m²</v>
          </cell>
          <cell r="D1106">
            <v>526.28</v>
          </cell>
          <cell r="E1106">
            <v>63.92</v>
          </cell>
          <cell r="F1106">
            <v>590.20000000000005</v>
          </cell>
        </row>
        <row r="1107">
          <cell r="A1107" t="str">
            <v>240284</v>
          </cell>
          <cell r="B1107" t="str">
            <v>Portão basculante em chapa metálica, estruturado com perfis metálicos</v>
          </cell>
          <cell r="C1107" t="str">
            <v>m²</v>
          </cell>
          <cell r="D1107">
            <v>374.84000000000003</v>
          </cell>
          <cell r="E1107">
            <v>29.09</v>
          </cell>
          <cell r="F1107">
            <v>403.93</v>
          </cell>
        </row>
        <row r="1108">
          <cell r="A1108" t="str">
            <v>240290</v>
          </cell>
          <cell r="B1108" t="str">
            <v>Porta de abrir em chapa dupla com visor, batente envolvente, completa</v>
          </cell>
          <cell r="C1108" t="str">
            <v>m²</v>
          </cell>
          <cell r="D1108">
            <v>1198.25</v>
          </cell>
          <cell r="E1108">
            <v>31.05</v>
          </cell>
          <cell r="F1108">
            <v>1229.3</v>
          </cell>
        </row>
        <row r="1109">
          <cell r="A1109" t="str">
            <v>240291</v>
          </cell>
          <cell r="B1109" t="str">
            <v>Porta corta-fogo classe P.90, com barra antipânico numa face e maçaneta na outra, completa</v>
          </cell>
          <cell r="C1109" t="str">
            <v>m²</v>
          </cell>
          <cell r="D1109">
            <v>514.32000000000005</v>
          </cell>
          <cell r="E1109">
            <v>72.069999999999993</v>
          </cell>
          <cell r="F1109">
            <v>586.39</v>
          </cell>
        </row>
        <row r="1110">
          <cell r="A1110" t="str">
            <v>240292</v>
          </cell>
          <cell r="B1110" t="str">
            <v>Porta corta-fogo classe P.120 de 90 x 210 cm, com uma folha de abrir</v>
          </cell>
          <cell r="C1110" t="str">
            <v>un</v>
          </cell>
          <cell r="D1110">
            <v>1461.07</v>
          </cell>
          <cell r="E1110">
            <v>78.22</v>
          </cell>
          <cell r="F1110">
            <v>1539.29</v>
          </cell>
        </row>
        <row r="1111">
          <cell r="A1111" t="str">
            <v>240293</v>
          </cell>
          <cell r="B1111" t="str">
            <v>Portão de 2 folhas tubular, com tela em aço galvanizado de 2´ e fio 10, completo</v>
          </cell>
          <cell r="C1111" t="str">
            <v>m²</v>
          </cell>
          <cell r="D1111">
            <v>363.57</v>
          </cell>
          <cell r="E1111">
            <v>40.89</v>
          </cell>
          <cell r="F1111">
            <v>404.46000000000004</v>
          </cell>
        </row>
        <row r="1112">
          <cell r="A1112" t="str">
            <v>240296</v>
          </cell>
          <cell r="B1112" t="str">
            <v>Porta corta-fogo classe P.120 de 80 x 210 cm, com uma folha de abrir, completa</v>
          </cell>
          <cell r="C1112" t="str">
            <v>un</v>
          </cell>
          <cell r="D1112">
            <v>1461.07</v>
          </cell>
          <cell r="E1112">
            <v>78.22</v>
          </cell>
          <cell r="F1112">
            <v>1539.29</v>
          </cell>
        </row>
        <row r="1113">
          <cell r="A1113" t="str">
            <v>240304</v>
          </cell>
          <cell r="B1113" t="str">
            <v>Guarda-corpo tubular com tela em aço galvanizado, diâmetro de 1 1/2´</v>
          </cell>
          <cell r="C1113" t="str">
            <v>m</v>
          </cell>
          <cell r="D1113">
            <v>374.08</v>
          </cell>
          <cell r="E1113">
            <v>21.47</v>
          </cell>
          <cell r="F1113">
            <v>395.55</v>
          </cell>
        </row>
        <row r="1114">
          <cell r="A1114" t="str">
            <v>240306</v>
          </cell>
          <cell r="B1114" t="str">
            <v>Escada marinheiro (galvanizada)</v>
          </cell>
          <cell r="C1114" t="str">
            <v>m</v>
          </cell>
          <cell r="D1114">
            <v>288.38</v>
          </cell>
          <cell r="E1114">
            <v>8.58</v>
          </cell>
          <cell r="F1114">
            <v>296.95999999999998</v>
          </cell>
        </row>
        <row r="1115">
          <cell r="A1115" t="str">
            <v>240308</v>
          </cell>
          <cell r="B1115" t="str">
            <v>Escada marinheiro com guarda corpo (degrau em ´T´)</v>
          </cell>
          <cell r="C1115" t="str">
            <v>m</v>
          </cell>
          <cell r="D1115">
            <v>600.4</v>
          </cell>
          <cell r="E1115">
            <v>21.47</v>
          </cell>
          <cell r="F1115">
            <v>621.87</v>
          </cell>
        </row>
        <row r="1116">
          <cell r="A1116" t="str">
            <v>240310</v>
          </cell>
          <cell r="B1116" t="str">
            <v>Alçapão/tampa em chapa de ferro com porta cadeado</v>
          </cell>
          <cell r="C1116" t="str">
            <v>m²</v>
          </cell>
          <cell r="D1116">
            <v>815.28</v>
          </cell>
          <cell r="E1116">
            <v>42.94</v>
          </cell>
          <cell r="F1116">
            <v>858.22</v>
          </cell>
        </row>
        <row r="1117">
          <cell r="A1117" t="str">
            <v>240320</v>
          </cell>
          <cell r="B1117" t="str">
            <v>Tela de proteção tipo mosquiteira em aço galvanizado, com requadro em perfis de ferro</v>
          </cell>
          <cell r="C1117" t="str">
            <v>m²</v>
          </cell>
          <cell r="D1117">
            <v>252.51000000000002</v>
          </cell>
          <cell r="E1117">
            <v>7.08</v>
          </cell>
          <cell r="F1117">
            <v>259.58999999999997</v>
          </cell>
        </row>
        <row r="1118">
          <cell r="A1118" t="str">
            <v>240321</v>
          </cell>
          <cell r="B1118" t="str">
            <v>Tela de proteção em malha ondulada de 1´, fio 10 (BWG), com requadro</v>
          </cell>
          <cell r="C1118" t="str">
            <v>m²</v>
          </cell>
          <cell r="D1118">
            <v>270.24</v>
          </cell>
          <cell r="E1118">
            <v>21.47</v>
          </cell>
          <cell r="F1118">
            <v>291.70999999999998</v>
          </cell>
        </row>
        <row r="1119">
          <cell r="A1119" t="str">
            <v>240329</v>
          </cell>
          <cell r="B1119" t="str">
            <v>Fechamento em chapa de aço galvanizada nº 14 MSG, perfurada com diâmetro de 12,7 mm, requadro em chapa dobrada</v>
          </cell>
          <cell r="C1119" t="str">
            <v>m²</v>
          </cell>
          <cell r="D1119">
            <v>396.71000000000004</v>
          </cell>
          <cell r="E1119">
            <v>13.63</v>
          </cell>
          <cell r="F1119">
            <v>410.34000000000003</v>
          </cell>
        </row>
        <row r="1120">
          <cell r="A1120" t="str">
            <v>240330</v>
          </cell>
          <cell r="B1120" t="str">
            <v>Fechamento em chapa expandida losangular de 10 x 20 mm, com requadro em cantoneira de aço carbono</v>
          </cell>
          <cell r="C1120" t="str">
            <v>m²</v>
          </cell>
          <cell r="D1120">
            <v>286.85000000000002</v>
          </cell>
          <cell r="E1120">
            <v>27.16</v>
          </cell>
          <cell r="F1120">
            <v>314.01</v>
          </cell>
        </row>
        <row r="1121">
          <cell r="A1121" t="str">
            <v>240331</v>
          </cell>
          <cell r="B1121" t="str">
            <v>Corrimão tubular em aço galvanizado, diâmetro 1 1/2´</v>
          </cell>
          <cell r="C1121" t="str">
            <v>m</v>
          </cell>
          <cell r="D1121">
            <v>119</v>
          </cell>
          <cell r="E1121">
            <v>10.74</v>
          </cell>
          <cell r="F1121">
            <v>129.74</v>
          </cell>
        </row>
        <row r="1122">
          <cell r="A1122" t="str">
            <v>240332</v>
          </cell>
          <cell r="B1122" t="str">
            <v>Corrimão tubular em aço galvanizado, diâmetro 2´</v>
          </cell>
          <cell r="C1122" t="str">
            <v>m</v>
          </cell>
          <cell r="D1122">
            <v>123.16</v>
          </cell>
          <cell r="E1122">
            <v>10.74</v>
          </cell>
          <cell r="F1122">
            <v>133.9</v>
          </cell>
        </row>
        <row r="1123">
          <cell r="A1123" t="str">
            <v>240334</v>
          </cell>
          <cell r="B1123" t="str">
            <v>Tampa em chapa de segurança tipo xadrez, aço galvanizado a fogo antiderrapante de 1/4´</v>
          </cell>
          <cell r="C1123" t="str">
            <v>m²</v>
          </cell>
          <cell r="D1123">
            <v>660.94</v>
          </cell>
          <cell r="E1123">
            <v>31.18</v>
          </cell>
          <cell r="F1123">
            <v>692.12</v>
          </cell>
        </row>
        <row r="1124">
          <cell r="A1124" t="str">
            <v>240341</v>
          </cell>
          <cell r="B1124" t="str">
            <v>Fechamento em chapa perfurada, furos quadrados 4 x 4 mm, com requadro em cantoneira de aço carbono</v>
          </cell>
          <cell r="C1124" t="str">
            <v>m²</v>
          </cell>
          <cell r="D1124">
            <v>456.5</v>
          </cell>
          <cell r="E1124">
            <v>13.63</v>
          </cell>
          <cell r="F1124">
            <v>470.13</v>
          </cell>
        </row>
        <row r="1125">
          <cell r="A1125" t="str">
            <v>240355</v>
          </cell>
          <cell r="B1125" t="str">
            <v>Corrimão em tubo de aço inoxidável escovado, diâmetro de 1 1/2´</v>
          </cell>
          <cell r="C1125" t="str">
            <v>m</v>
          </cell>
          <cell r="D1125">
            <v>345.45</v>
          </cell>
          <cell r="E1125">
            <v>10.74</v>
          </cell>
          <cell r="F1125">
            <v>356.19</v>
          </cell>
        </row>
        <row r="1126">
          <cell r="A1126" t="str">
            <v>240368</v>
          </cell>
          <cell r="B1126" t="str">
            <v>Grade para piso eletrofundida, malha 30 x 100 mm, com barra de 40 x 2 mm</v>
          </cell>
          <cell r="C1126" t="str">
            <v>m²</v>
          </cell>
          <cell r="D1126">
            <v>343.13</v>
          </cell>
          <cell r="E1126">
            <v>27.16</v>
          </cell>
          <cell r="F1126">
            <v>370.29</v>
          </cell>
        </row>
        <row r="1127">
          <cell r="A1127" t="str">
            <v>240369</v>
          </cell>
          <cell r="B1127" t="str">
            <v>Grade para forro eletrofundida, malha 25 x 100 mm, com barra de 25 x 2 mm</v>
          </cell>
          <cell r="C1127" t="str">
            <v>m²</v>
          </cell>
          <cell r="D1127">
            <v>213.31</v>
          </cell>
          <cell r="E1127">
            <v>8.58</v>
          </cell>
          <cell r="F1127">
            <v>221.89000000000001</v>
          </cell>
        </row>
        <row r="1128">
          <cell r="A1128" t="str">
            <v>240393</v>
          </cell>
          <cell r="B1128" t="str">
            <v>Porta de enrolar automatizada, em chapa de aço galvanizada microperfurada, com pintura eletrostática, com controle remoto</v>
          </cell>
          <cell r="C1128" t="str">
            <v>m²</v>
          </cell>
          <cell r="D1128">
            <v>694.74</v>
          </cell>
          <cell r="E1128">
            <v>0</v>
          </cell>
          <cell r="F1128">
            <v>694.74</v>
          </cell>
        </row>
        <row r="1129">
          <cell r="A1129" t="str">
            <v>240396</v>
          </cell>
          <cell r="B1129" t="str">
            <v>Corrimão em tubo de aço inoxidável escovado, com diâmetro de 1 1/2´ e montantes com diâmetro de 2´</v>
          </cell>
          <cell r="C1129" t="str">
            <v>m</v>
          </cell>
          <cell r="D1129">
            <v>687</v>
          </cell>
          <cell r="E1129">
            <v>21.47</v>
          </cell>
          <cell r="F1129">
            <v>708.47</v>
          </cell>
        </row>
        <row r="1130">
          <cell r="A1130" t="str">
            <v>240397</v>
          </cell>
          <cell r="B1130" t="str">
            <v>Corrimão duplo em tubo de aço inoxidável escovado, com diâmetro de 1 1/2´ e montantes com diâmetro de 2´</v>
          </cell>
          <cell r="C1130" t="str">
            <v>m</v>
          </cell>
          <cell r="D1130">
            <v>767.5</v>
          </cell>
          <cell r="E1130">
            <v>25.76</v>
          </cell>
          <cell r="F1130">
            <v>793.26</v>
          </cell>
        </row>
        <row r="1131">
          <cell r="A1131" t="str">
            <v>240398</v>
          </cell>
          <cell r="B1131" t="str">
            <v>Guarda-corpo com tela trançada, em tubo de aço galvanizado, diâmetro 1 1/2´</v>
          </cell>
          <cell r="C1131" t="str">
            <v>m</v>
          </cell>
          <cell r="D1131">
            <v>427.25</v>
          </cell>
          <cell r="E1131">
            <v>25.16</v>
          </cell>
          <cell r="F1131">
            <v>452.41</v>
          </cell>
        </row>
        <row r="1132">
          <cell r="A1132" t="str">
            <v>240422</v>
          </cell>
          <cell r="B1132" t="str">
            <v>Grade de segurança em aço SAE 1045, diâmetro 1´, sem têmpera e revenimento</v>
          </cell>
          <cell r="C1132" t="str">
            <v>m²</v>
          </cell>
          <cell r="D1132">
            <v>668.33</v>
          </cell>
          <cell r="E1132">
            <v>30.19</v>
          </cell>
          <cell r="F1132">
            <v>698.52</v>
          </cell>
        </row>
        <row r="1133">
          <cell r="A1133" t="str">
            <v>240423</v>
          </cell>
          <cell r="B1133" t="str">
            <v>Grade de segurança, para janela, em aço SAE 1045, diâmetro 1´, sem têmpera e revenimento</v>
          </cell>
          <cell r="C1133" t="str">
            <v>m²</v>
          </cell>
          <cell r="D1133">
            <v>716.67</v>
          </cell>
          <cell r="E1133">
            <v>30.19</v>
          </cell>
          <cell r="F1133">
            <v>746.86</v>
          </cell>
        </row>
        <row r="1134">
          <cell r="A1134" t="str">
            <v>240424</v>
          </cell>
          <cell r="B1134" t="str">
            <v>Grade de segurança em aço SAE 1045 chapeada, diâmetro 1´, sem têmpera e revenimento</v>
          </cell>
          <cell r="C1134" t="str">
            <v>m²</v>
          </cell>
          <cell r="D1134">
            <v>1018</v>
          </cell>
          <cell r="E1134">
            <v>30.19</v>
          </cell>
          <cell r="F1134">
            <v>1048.19</v>
          </cell>
        </row>
        <row r="1135">
          <cell r="A1135" t="str">
            <v>240425</v>
          </cell>
          <cell r="B1135" t="str">
            <v>Porta de segurança de abrir em grade com aço SAE 1045, diâmetro 1´, completa, sem têmpera e revenimento</v>
          </cell>
          <cell r="C1135" t="str">
            <v>m²</v>
          </cell>
          <cell r="D1135">
            <v>927.5</v>
          </cell>
          <cell r="E1135">
            <v>55.35</v>
          </cell>
          <cell r="F1135">
            <v>982.85</v>
          </cell>
        </row>
        <row r="1136">
          <cell r="A1136" t="str">
            <v>240426</v>
          </cell>
          <cell r="B1136" t="str">
            <v>Porta de segurança de abrir em grade com aço SAE 1045 chapeada, diâmetro 1´, completa, sem têmpera e revenimento</v>
          </cell>
          <cell r="C1136" t="str">
            <v>m²</v>
          </cell>
          <cell r="D1136">
            <v>1151.33</v>
          </cell>
          <cell r="E1136">
            <v>55.35</v>
          </cell>
          <cell r="F1136">
            <v>1206.68</v>
          </cell>
        </row>
        <row r="1137">
          <cell r="A1137" t="str">
            <v>240427</v>
          </cell>
          <cell r="B1137" t="str">
            <v>Porta de segurança de abrir, em grade com aço SAE 1045, diâmetro 1´, com ferrolho longo embutido em caixa, completa, sem têmpera e revenimento</v>
          </cell>
          <cell r="C1137" t="str">
            <v>m²</v>
          </cell>
          <cell r="D1137">
            <v>1057.83</v>
          </cell>
          <cell r="E1137">
            <v>55.35</v>
          </cell>
          <cell r="F1137">
            <v>1113.18</v>
          </cell>
        </row>
        <row r="1138">
          <cell r="A1138" t="str">
            <v>240428</v>
          </cell>
          <cell r="B1138" t="str">
            <v>Portão de segurança de abrir, para muralha, em grade com aço SAE 1045 chapeado, diâmetro 1´, completo, sem têmpera e revenimento</v>
          </cell>
          <cell r="C1138" t="str">
            <v>m²</v>
          </cell>
          <cell r="D1138">
            <v>1354.8</v>
          </cell>
          <cell r="E1138">
            <v>55.35</v>
          </cell>
          <cell r="F1138">
            <v>1410.15</v>
          </cell>
        </row>
        <row r="1139">
          <cell r="A1139" t="str">
            <v>240430</v>
          </cell>
          <cell r="B1139" t="str">
            <v>Grade de segurança em aço SAE 1045, diâmetro 1´, com têmpera e revenimento</v>
          </cell>
          <cell r="C1139" t="str">
            <v>m²</v>
          </cell>
          <cell r="D1139">
            <v>766.67000000000007</v>
          </cell>
          <cell r="E1139">
            <v>30.19</v>
          </cell>
          <cell r="F1139">
            <v>796.86</v>
          </cell>
        </row>
        <row r="1140">
          <cell r="A1140" t="str">
            <v>240431</v>
          </cell>
          <cell r="B1140" t="str">
            <v>Grade de segurança, para janela, em aço SAE 1045, diâmetro 1´, com têmpera e revenimento</v>
          </cell>
          <cell r="C1140" t="str">
            <v>m²</v>
          </cell>
          <cell r="D1140">
            <v>830</v>
          </cell>
          <cell r="E1140">
            <v>30.19</v>
          </cell>
          <cell r="F1140">
            <v>860.19</v>
          </cell>
        </row>
        <row r="1141">
          <cell r="A1141" t="str">
            <v>240432</v>
          </cell>
          <cell r="B1141" t="str">
            <v>Grade de segurança em aço SAE 1045 chapeada, diâmetro 1´, com têmpera e revenimento</v>
          </cell>
          <cell r="C1141" t="str">
            <v>m²</v>
          </cell>
          <cell r="D1141">
            <v>1191.33</v>
          </cell>
          <cell r="E1141">
            <v>30.19</v>
          </cell>
          <cell r="F1141">
            <v>1221.52</v>
          </cell>
        </row>
        <row r="1142">
          <cell r="A1142" t="str">
            <v>240433</v>
          </cell>
          <cell r="B1142" t="str">
            <v>Porta de segurança de abrir em grade com aço SAE 1045, diâmetro 1´, completa, com têmpera e revenimento</v>
          </cell>
          <cell r="C1142" t="str">
            <v>m²</v>
          </cell>
          <cell r="D1142">
            <v>1064.33</v>
          </cell>
          <cell r="E1142">
            <v>55.35</v>
          </cell>
          <cell r="F1142">
            <v>1119.68</v>
          </cell>
        </row>
        <row r="1143">
          <cell r="A1143" t="str">
            <v>240434</v>
          </cell>
          <cell r="B1143" t="str">
            <v>Porta de segurança de abrir, em grade com aço SAE 1045 chapeada, diâmetro 1´, completa, com têmpera e revenimento</v>
          </cell>
          <cell r="C1143" t="str">
            <v>m²</v>
          </cell>
          <cell r="D1143">
            <v>1400</v>
          </cell>
          <cell r="E1143">
            <v>55.35</v>
          </cell>
          <cell r="F1143">
            <v>1455.3500000000001</v>
          </cell>
        </row>
        <row r="1144">
          <cell r="A1144" t="str">
            <v>240435</v>
          </cell>
          <cell r="B1144" t="str">
            <v>Porta de segurança de abrir, em grade com aço SAE 1045, diâmetro 1´, com ferrolho longo embutido em caixa, completa, com têmpera e revenimento</v>
          </cell>
          <cell r="C1144" t="str">
            <v>m²</v>
          </cell>
          <cell r="D1144">
            <v>1224.5</v>
          </cell>
          <cell r="E1144">
            <v>55.35</v>
          </cell>
          <cell r="F1144">
            <v>1279.8499999999999</v>
          </cell>
        </row>
        <row r="1145">
          <cell r="A1145" t="str">
            <v>240436</v>
          </cell>
          <cell r="B1145" t="str">
            <v>Porta de segurança de abrir, em grade com aço SAE 1045 chapeada, com isolamento acústico, diâmetro 1´, completa, com têmpera e revenimento</v>
          </cell>
          <cell r="C1145" t="str">
            <v>m²</v>
          </cell>
          <cell r="D1145">
            <v>1416.68</v>
          </cell>
          <cell r="E1145">
            <v>55.35</v>
          </cell>
          <cell r="F1145">
            <v>1472.03</v>
          </cell>
        </row>
        <row r="1146">
          <cell r="A1146" t="str">
            <v>240437</v>
          </cell>
          <cell r="B1146" t="str">
            <v>Portão de segurança de abrir, para muralha, em grade com aço SAE 1045 chapeado, diâmetro 1´, completo, com têmpera e revenimento</v>
          </cell>
          <cell r="C1146" t="str">
            <v>m²</v>
          </cell>
          <cell r="D1146">
            <v>1525.5</v>
          </cell>
          <cell r="E1146">
            <v>55.35</v>
          </cell>
          <cell r="F1146">
            <v>1580.8500000000001</v>
          </cell>
        </row>
        <row r="1147">
          <cell r="A1147" t="str">
            <v>240440</v>
          </cell>
          <cell r="B1147" t="str">
            <v>Porta de segurança de correr em grade de aço SAE 1045, diâmetro de 1´, completa, com têmpera e revenimento</v>
          </cell>
          <cell r="C1147" t="str">
            <v>m²</v>
          </cell>
          <cell r="D1147">
            <v>1243.33</v>
          </cell>
          <cell r="E1147">
            <v>30.19</v>
          </cell>
          <cell r="F1147">
            <v>1273.52</v>
          </cell>
        </row>
        <row r="1148">
          <cell r="A1148" t="str">
            <v>240441</v>
          </cell>
          <cell r="B1148" t="str">
            <v>Porta de segurança de correr suspensa em grade de aço SAE 1045 chapeada, diâmetro de 1´, completa, com têmpera e revenimento</v>
          </cell>
          <cell r="C1148" t="str">
            <v>m²</v>
          </cell>
          <cell r="D1148">
            <v>1418</v>
          </cell>
          <cell r="E1148">
            <v>30.19</v>
          </cell>
          <cell r="F1148">
            <v>1448.19</v>
          </cell>
        </row>
        <row r="1149">
          <cell r="A1149" t="str">
            <v>240442</v>
          </cell>
          <cell r="B1149" t="str">
            <v>Porta de segurança de correr em grade de aço SAE 1045 chapeada, diâmetro de 1´, completa, sem têmpera e revenimento</v>
          </cell>
          <cell r="C1149" t="str">
            <v>m²</v>
          </cell>
          <cell r="D1149">
            <v>1390.56</v>
          </cell>
          <cell r="E1149">
            <v>121.53</v>
          </cell>
          <cell r="F1149">
            <v>1512.09</v>
          </cell>
        </row>
        <row r="1150">
          <cell r="A1150" t="str">
            <v>240461</v>
          </cell>
          <cell r="B1150" t="str">
            <v>Caixilho de segurança em aço SAE 1010/1020 tipo fixo e de correr, para receber vidro, com bandeira tipo veneziana</v>
          </cell>
          <cell r="C1150" t="str">
            <v>m²</v>
          </cell>
          <cell r="D1150">
            <v>437.5</v>
          </cell>
          <cell r="E1150">
            <v>30.19</v>
          </cell>
          <cell r="F1150">
            <v>467.69</v>
          </cell>
        </row>
        <row r="1151">
          <cell r="A1151" t="str">
            <v>240462</v>
          </cell>
          <cell r="B1151" t="str">
            <v>Guichê de segurança em grade com aço SAE 1045, diâmetro de 1´, com têmpera e revenimento</v>
          </cell>
          <cell r="C1151" t="str">
            <v>m²</v>
          </cell>
          <cell r="D1151">
            <v>1060</v>
          </cell>
          <cell r="E1151">
            <v>30.19</v>
          </cell>
          <cell r="F1151">
            <v>1090.19</v>
          </cell>
        </row>
        <row r="1152">
          <cell r="A1152" t="str">
            <v>240463</v>
          </cell>
          <cell r="B1152" t="str">
            <v>Guichê de segurança em grade com aço SAE 1045, diâmetro de 1´, sem têmpera e revenimento</v>
          </cell>
          <cell r="C1152" t="str">
            <v>m²</v>
          </cell>
          <cell r="D1152">
            <v>815</v>
          </cell>
          <cell r="E1152">
            <v>30.19</v>
          </cell>
          <cell r="F1152">
            <v>845.19</v>
          </cell>
        </row>
        <row r="1153">
          <cell r="A1153" t="str">
            <v>240504</v>
          </cell>
          <cell r="B1153" t="str">
            <v>Portão de segurança de abrir, para muralha, em chapa de aço galvanizado, completo - padrão Fundação Casa</v>
          </cell>
          <cell r="C1153" t="str">
            <v>m²</v>
          </cell>
          <cell r="D1153">
            <v>950</v>
          </cell>
          <cell r="E1153">
            <v>30.19</v>
          </cell>
          <cell r="F1153">
            <v>980.19</v>
          </cell>
        </row>
        <row r="1154">
          <cell r="A1154" t="str">
            <v>240505</v>
          </cell>
          <cell r="B1154" t="str">
            <v>Porta de segurança de abrir em chapa de aço galvanizado, batente envolvente, completa - padrão Fundação Casa</v>
          </cell>
          <cell r="C1154" t="str">
            <v>m²</v>
          </cell>
          <cell r="D1154">
            <v>865</v>
          </cell>
          <cell r="E1154">
            <v>34.04</v>
          </cell>
          <cell r="F1154">
            <v>899.04</v>
          </cell>
        </row>
        <row r="1155">
          <cell r="A1155" t="str">
            <v>240506</v>
          </cell>
          <cell r="B1155" t="str">
            <v>Caixilho de segurança tipo ventilação permanente, com tela de proteção, em chapa expandida, batente envolvente - padrão Fundação Casa</v>
          </cell>
          <cell r="C1155" t="str">
            <v>m²</v>
          </cell>
          <cell r="D1155">
            <v>746.67</v>
          </cell>
          <cell r="E1155">
            <v>30.19</v>
          </cell>
          <cell r="F1155">
            <v>776.86</v>
          </cell>
        </row>
        <row r="1156">
          <cell r="A1156" t="str">
            <v>240512</v>
          </cell>
          <cell r="B1156" t="str">
            <v>Gaiola de segurança, completa - padrão Fundação Casa</v>
          </cell>
          <cell r="C1156" t="str">
            <v>cj</v>
          </cell>
          <cell r="D1156">
            <v>16498.77</v>
          </cell>
          <cell r="E1156">
            <v>560.42999999999995</v>
          </cell>
          <cell r="F1156">
            <v>17059.2</v>
          </cell>
        </row>
        <row r="1157">
          <cell r="A1157" t="str">
            <v>240517</v>
          </cell>
          <cell r="B1157" t="str">
            <v>Caixilho de segurança com ventilação permanente e grade, tipo 1, batente envolvente - padrão Fundação Casa</v>
          </cell>
          <cell r="C1157" t="str">
            <v>m²</v>
          </cell>
          <cell r="D1157">
            <v>1150</v>
          </cell>
          <cell r="E1157">
            <v>30.19</v>
          </cell>
          <cell r="F1157">
            <v>1180.19</v>
          </cell>
        </row>
        <row r="1158">
          <cell r="A1158" t="str">
            <v>240518</v>
          </cell>
          <cell r="B1158" t="str">
            <v>Caixilho de segurança com ventilação permanente, tipo 2, batente envolvente - padrão Fundação Casa</v>
          </cell>
          <cell r="C1158" t="str">
            <v>m²</v>
          </cell>
          <cell r="D1158">
            <v>1200</v>
          </cell>
          <cell r="E1158">
            <v>30.19</v>
          </cell>
          <cell r="F1158">
            <v>1230.19</v>
          </cell>
        </row>
        <row r="1159">
          <cell r="A1159" t="str">
            <v>240601</v>
          </cell>
          <cell r="B1159" t="str">
            <v>Porta de abrir em chapa de aço galvanizado, com requadro em tela ondulada malha 2´ e fio 12</v>
          </cell>
          <cell r="C1159" t="str">
            <v>m²</v>
          </cell>
          <cell r="D1159">
            <v>456.04</v>
          </cell>
          <cell r="E1159">
            <v>60.370000000000005</v>
          </cell>
          <cell r="F1159">
            <v>516.41</v>
          </cell>
        </row>
        <row r="1160">
          <cell r="A1160" t="str">
            <v>242002</v>
          </cell>
          <cell r="B1160" t="str">
            <v>Recolocação de esquadrias metálicas</v>
          </cell>
          <cell r="C1160" t="str">
            <v>m²</v>
          </cell>
          <cell r="D1160">
            <v>0</v>
          </cell>
          <cell r="E1160">
            <v>21.47</v>
          </cell>
          <cell r="F1160">
            <v>21.47</v>
          </cell>
        </row>
        <row r="1161">
          <cell r="A1161" t="str">
            <v>242004</v>
          </cell>
          <cell r="B1161" t="str">
            <v>Recolocação de batentes</v>
          </cell>
          <cell r="C1161" t="str">
            <v>m</v>
          </cell>
          <cell r="D1161">
            <v>0.97</v>
          </cell>
          <cell r="E1161">
            <v>5.58</v>
          </cell>
          <cell r="F1161">
            <v>6.55</v>
          </cell>
        </row>
        <row r="1162">
          <cell r="A1162" t="str">
            <v>242006</v>
          </cell>
          <cell r="B1162" t="str">
            <v>Recolocação de escada de marinheiro</v>
          </cell>
          <cell r="C1162" t="str">
            <v>m</v>
          </cell>
          <cell r="D1162">
            <v>0</v>
          </cell>
          <cell r="E1162">
            <v>12.89</v>
          </cell>
          <cell r="F1162">
            <v>12.89</v>
          </cell>
        </row>
        <row r="1163">
          <cell r="A1163" t="str">
            <v>242009</v>
          </cell>
          <cell r="B1163" t="str">
            <v>Solda MIG em esquadrias metálicas</v>
          </cell>
          <cell r="C1163" t="str">
            <v>m</v>
          </cell>
          <cell r="D1163">
            <v>11.31</v>
          </cell>
          <cell r="E1163">
            <v>14.46</v>
          </cell>
          <cell r="F1163">
            <v>25.77</v>
          </cell>
        </row>
        <row r="1164">
          <cell r="A1164" t="str">
            <v>242010</v>
          </cell>
          <cell r="B1164" t="str">
            <v>Brete para instalação lateral em grade de segurança</v>
          </cell>
          <cell r="C1164" t="str">
            <v>cj</v>
          </cell>
          <cell r="D1164">
            <v>1219.6300000000001</v>
          </cell>
          <cell r="E1164">
            <v>49.660000000000004</v>
          </cell>
          <cell r="F1164">
            <v>1269.29</v>
          </cell>
        </row>
        <row r="1165">
          <cell r="A1165" t="str">
            <v>242012</v>
          </cell>
          <cell r="B1165" t="str">
            <v>Batente em chapa dobrada para portas</v>
          </cell>
          <cell r="C1165" t="str">
            <v>m</v>
          </cell>
          <cell r="D1165">
            <v>37.56</v>
          </cell>
          <cell r="E1165">
            <v>5.58</v>
          </cell>
          <cell r="F1165">
            <v>43.14</v>
          </cell>
        </row>
        <row r="1166">
          <cell r="A1166" t="str">
            <v>242014</v>
          </cell>
          <cell r="B1166" t="str">
            <v>Batente em chapa de aço SAE 1010/1020, espessura de 3/16´, para obras de segurança</v>
          </cell>
          <cell r="C1166" t="str">
            <v>m</v>
          </cell>
          <cell r="D1166">
            <v>91.56</v>
          </cell>
          <cell r="E1166">
            <v>5.58</v>
          </cell>
          <cell r="F1166">
            <v>97.14</v>
          </cell>
        </row>
        <row r="1167">
          <cell r="A1167" t="str">
            <v>242020</v>
          </cell>
          <cell r="B1167" t="str">
            <v>Chapa de ferro nº 14, inclusive soldagem</v>
          </cell>
          <cell r="C1167" t="str">
            <v>m²</v>
          </cell>
          <cell r="D1167">
            <v>70.86</v>
          </cell>
          <cell r="E1167">
            <v>25.27</v>
          </cell>
          <cell r="F1167">
            <v>96.13</v>
          </cell>
        </row>
        <row r="1168">
          <cell r="A1168" t="str">
            <v>242023</v>
          </cell>
          <cell r="B1168" t="str">
            <v>Tela ondulada em aço galvanizado fio 10 BWG, malha de 1´</v>
          </cell>
          <cell r="C1168" t="str">
            <v>m²</v>
          </cell>
          <cell r="D1168">
            <v>45.06</v>
          </cell>
          <cell r="E1168">
            <v>4.55</v>
          </cell>
          <cell r="F1168">
            <v>49.61</v>
          </cell>
        </row>
        <row r="1169">
          <cell r="A1169" t="str">
            <v>242027</v>
          </cell>
          <cell r="B1169" t="str">
            <v>Tela em aço galvanizado fio 16 BWG, malha de 1´ - tipo alambrado</v>
          </cell>
          <cell r="C1169" t="str">
            <v>m²</v>
          </cell>
          <cell r="D1169">
            <v>17.440000000000001</v>
          </cell>
          <cell r="E1169">
            <v>4.55</v>
          </cell>
          <cell r="F1169">
            <v>21.990000000000002</v>
          </cell>
        </row>
        <row r="1170">
          <cell r="A1170" t="str">
            <v>242030</v>
          </cell>
          <cell r="B1170" t="str">
            <v>Chapa perfurada em aço SAE 1020, furos redondos de diâmetro 7,5 mm, espessura 1/8´ - soldagem tipo MIG</v>
          </cell>
          <cell r="C1170" t="str">
            <v>m²</v>
          </cell>
          <cell r="D1170">
            <v>182.05</v>
          </cell>
          <cell r="E1170">
            <v>46.07</v>
          </cell>
          <cell r="F1170">
            <v>228.12</v>
          </cell>
        </row>
        <row r="1171">
          <cell r="A1171" t="str">
            <v>242031</v>
          </cell>
          <cell r="B1171" t="str">
            <v>Chapa perfurada em aço SAE 1020, furos redondos de diâmetro 25 mm, espessura 1/4´, inclusive soldagem</v>
          </cell>
          <cell r="C1171" t="str">
            <v>m²</v>
          </cell>
          <cell r="D1171">
            <v>312.87</v>
          </cell>
          <cell r="E1171">
            <v>46.07</v>
          </cell>
          <cell r="F1171">
            <v>358.94</v>
          </cell>
        </row>
        <row r="1172">
          <cell r="A1172" t="str">
            <v>250102</v>
          </cell>
          <cell r="B1172" t="str">
            <v>Caixilho em alumínio fixo, sob medida</v>
          </cell>
          <cell r="C1172" t="str">
            <v>m²</v>
          </cell>
          <cell r="D1172">
            <v>347.61</v>
          </cell>
          <cell r="E1172">
            <v>32.21</v>
          </cell>
          <cell r="F1172">
            <v>379.82</v>
          </cell>
        </row>
        <row r="1173">
          <cell r="A1173" t="str">
            <v>250103</v>
          </cell>
          <cell r="B1173" t="str">
            <v>Caixilho em alumínio basculante com vidro, linha comercial</v>
          </cell>
          <cell r="C1173" t="str">
            <v>m²</v>
          </cell>
          <cell r="D1173">
            <v>197.27</v>
          </cell>
          <cell r="E1173">
            <v>32.21</v>
          </cell>
          <cell r="F1173">
            <v>229.48000000000002</v>
          </cell>
        </row>
        <row r="1174">
          <cell r="A1174" t="str">
            <v>250104</v>
          </cell>
          <cell r="B1174" t="str">
            <v>Caixilho em alumínio basculante, sob medida</v>
          </cell>
          <cell r="C1174" t="str">
            <v>m²</v>
          </cell>
          <cell r="D1174">
            <v>528.76</v>
          </cell>
          <cell r="E1174">
            <v>32.21</v>
          </cell>
          <cell r="F1174">
            <v>560.97</v>
          </cell>
        </row>
        <row r="1175">
          <cell r="A1175" t="str">
            <v>250105</v>
          </cell>
          <cell r="B1175" t="str">
            <v>Caixilho em alumínio maximar, com vidro, linha comercial</v>
          </cell>
          <cell r="C1175" t="str">
            <v>m²</v>
          </cell>
          <cell r="D1175">
            <v>314.17</v>
          </cell>
          <cell r="E1175">
            <v>32.21</v>
          </cell>
          <cell r="F1175">
            <v>346.38</v>
          </cell>
        </row>
        <row r="1176">
          <cell r="A1176" t="str">
            <v>250106</v>
          </cell>
          <cell r="B1176" t="str">
            <v>Caixilho em alumínio maximar, sob medida</v>
          </cell>
          <cell r="C1176" t="str">
            <v>m²</v>
          </cell>
          <cell r="D1176">
            <v>442.65000000000003</v>
          </cell>
          <cell r="E1176">
            <v>32.21</v>
          </cell>
          <cell r="F1176">
            <v>474.86</v>
          </cell>
        </row>
        <row r="1177">
          <cell r="A1177" t="str">
            <v>250107</v>
          </cell>
          <cell r="B1177" t="str">
            <v>Caixilho em alumínio de correr, com vidro, linha comercial</v>
          </cell>
          <cell r="C1177" t="str">
            <v>m²</v>
          </cell>
          <cell r="D1177">
            <v>237.02</v>
          </cell>
          <cell r="E1177">
            <v>32.21</v>
          </cell>
          <cell r="F1177">
            <v>269.23</v>
          </cell>
        </row>
        <row r="1178">
          <cell r="A1178" t="str">
            <v>250108</v>
          </cell>
          <cell r="B1178" t="str">
            <v>Caixilho em alumínio de correr, sob medida</v>
          </cell>
          <cell r="C1178" t="str">
            <v>m²</v>
          </cell>
          <cell r="D1178">
            <v>453.09000000000003</v>
          </cell>
          <cell r="E1178">
            <v>32.21</v>
          </cell>
          <cell r="F1178">
            <v>485.3</v>
          </cell>
        </row>
        <row r="1179">
          <cell r="A1179" t="str">
            <v>250109</v>
          </cell>
          <cell r="B1179" t="str">
            <v>Caixilho em alumínio tipo veneziana, com vidro, linha comercial</v>
          </cell>
          <cell r="C1179" t="str">
            <v>m²</v>
          </cell>
          <cell r="D1179">
            <v>425.08</v>
          </cell>
          <cell r="E1179">
            <v>32.21</v>
          </cell>
          <cell r="F1179">
            <v>457.29</v>
          </cell>
        </row>
        <row r="1180">
          <cell r="A1180" t="str">
            <v>250110</v>
          </cell>
          <cell r="B1180" t="str">
            <v>Caixilho em alumínio tipo veneziana, sob medida</v>
          </cell>
          <cell r="C1180" t="str">
            <v>m²</v>
          </cell>
          <cell r="D1180">
            <v>518.12</v>
          </cell>
          <cell r="E1180">
            <v>32.21</v>
          </cell>
          <cell r="F1180">
            <v>550.33000000000004</v>
          </cell>
        </row>
        <row r="1181">
          <cell r="A1181" t="str">
            <v>250111</v>
          </cell>
          <cell r="B1181" t="str">
            <v>Caixilho guilhotina em alumínio anodizado, sob medida</v>
          </cell>
          <cell r="C1181" t="str">
            <v>m²</v>
          </cell>
          <cell r="D1181">
            <v>769.49</v>
          </cell>
          <cell r="E1181">
            <v>32.21</v>
          </cell>
          <cell r="F1181">
            <v>801.7</v>
          </cell>
        </row>
        <row r="1182">
          <cell r="A1182" t="str">
            <v>250112</v>
          </cell>
          <cell r="B1182" t="str">
            <v>Caixilho tipo veneziana industrial com montantes em alumínio e aletas em fibra de vidro</v>
          </cell>
          <cell r="C1182" t="str">
            <v>m²</v>
          </cell>
          <cell r="D1182">
            <v>170</v>
          </cell>
          <cell r="E1182">
            <v>0</v>
          </cell>
          <cell r="F1182">
            <v>170</v>
          </cell>
        </row>
        <row r="1183">
          <cell r="A1183" t="str">
            <v>250124</v>
          </cell>
          <cell r="B1183" t="str">
            <v>Caixilho fixo em alumínio, sob medida, cor branco</v>
          </cell>
          <cell r="C1183" t="str">
            <v>m²</v>
          </cell>
          <cell r="D1183">
            <v>575.95000000000005</v>
          </cell>
          <cell r="E1183">
            <v>24.73</v>
          </cell>
          <cell r="F1183">
            <v>600.67999999999995</v>
          </cell>
        </row>
        <row r="1184">
          <cell r="A1184" t="str">
            <v>250136</v>
          </cell>
          <cell r="B1184" t="str">
            <v>Caixilho em alumínio maximar com vidro, cor branco</v>
          </cell>
          <cell r="C1184" t="str">
            <v>m²</v>
          </cell>
          <cell r="D1184">
            <v>731.61</v>
          </cell>
          <cell r="E1184">
            <v>32.21</v>
          </cell>
          <cell r="F1184">
            <v>763.82</v>
          </cell>
        </row>
        <row r="1185">
          <cell r="A1185" t="str">
            <v>250137</v>
          </cell>
          <cell r="B1185" t="str">
            <v>Caixilho em alumínio basculante com vidro, cor branco</v>
          </cell>
          <cell r="C1185" t="str">
            <v>m²</v>
          </cell>
          <cell r="D1185">
            <v>822.7</v>
          </cell>
          <cell r="E1185">
            <v>32.21</v>
          </cell>
          <cell r="F1185">
            <v>854.91</v>
          </cell>
        </row>
        <row r="1186">
          <cell r="A1186" t="str">
            <v>250138</v>
          </cell>
          <cell r="B1186" t="str">
            <v>Caixilho em alumínio de correr com vidro, cor branco</v>
          </cell>
          <cell r="C1186" t="str">
            <v>m²</v>
          </cell>
          <cell r="D1186">
            <v>446.64</v>
          </cell>
          <cell r="E1186">
            <v>32.21</v>
          </cell>
          <cell r="F1186">
            <v>478.85</v>
          </cell>
        </row>
        <row r="1187">
          <cell r="A1187" t="str">
            <v>250140</v>
          </cell>
          <cell r="B1187" t="str">
            <v>Caixilho em alumínio anodizado fixo</v>
          </cell>
          <cell r="C1187" t="str">
            <v>m²</v>
          </cell>
          <cell r="D1187">
            <v>392.51</v>
          </cell>
          <cell r="E1187">
            <v>24.73</v>
          </cell>
          <cell r="F1187">
            <v>417.24</v>
          </cell>
        </row>
        <row r="1188">
          <cell r="A1188" t="str">
            <v>250141</v>
          </cell>
          <cell r="B1188" t="str">
            <v>Caixilho em alumínio anodizado maximar</v>
          </cell>
          <cell r="C1188" t="str">
            <v>m²</v>
          </cell>
          <cell r="D1188">
            <v>466.86</v>
          </cell>
          <cell r="E1188">
            <v>24.73</v>
          </cell>
          <cell r="F1188">
            <v>491.59000000000003</v>
          </cell>
        </row>
        <row r="1189">
          <cell r="A1189" t="str">
            <v>250143</v>
          </cell>
          <cell r="B1189" t="str">
            <v>Caixilho em alumínio fixo, tipo fachada</v>
          </cell>
          <cell r="C1189" t="str">
            <v>m²</v>
          </cell>
          <cell r="D1189">
            <v>464.79</v>
          </cell>
          <cell r="E1189">
            <v>18.559999999999999</v>
          </cell>
          <cell r="F1189">
            <v>483.35</v>
          </cell>
        </row>
        <row r="1190">
          <cell r="A1190" t="str">
            <v>250144</v>
          </cell>
          <cell r="B1190" t="str">
            <v>Caixilho em alumínio maximar, tipo fachada</v>
          </cell>
          <cell r="C1190" t="str">
            <v>m²</v>
          </cell>
          <cell r="D1190">
            <v>535.5</v>
          </cell>
          <cell r="E1190">
            <v>18.559999999999999</v>
          </cell>
          <cell r="F1190">
            <v>554.05999999999995</v>
          </cell>
        </row>
        <row r="1191">
          <cell r="A1191" t="str">
            <v>250145</v>
          </cell>
          <cell r="B1191" t="str">
            <v>Caixilho em alumínio para pele de vidro, tipo fachada</v>
          </cell>
          <cell r="C1191" t="str">
            <v>m²</v>
          </cell>
          <cell r="D1191">
            <v>584.84</v>
          </cell>
          <cell r="E1191">
            <v>18.559999999999999</v>
          </cell>
          <cell r="F1191">
            <v>603.4</v>
          </cell>
        </row>
        <row r="1192">
          <cell r="A1192" t="str">
            <v>250146</v>
          </cell>
          <cell r="B1192" t="str">
            <v>Gradil em aluminio natural, sob medida</v>
          </cell>
          <cell r="C1192" t="str">
            <v>m²</v>
          </cell>
          <cell r="D1192">
            <v>630.64</v>
          </cell>
          <cell r="E1192">
            <v>0</v>
          </cell>
          <cell r="F1192">
            <v>630.64</v>
          </cell>
        </row>
        <row r="1193">
          <cell r="A1193" t="str">
            <v>250147</v>
          </cell>
          <cell r="B1193" t="str">
            <v>Caixilho fixo tipo veneziana em alumínio anodizado, sob medida - branco</v>
          </cell>
          <cell r="C1193" t="str">
            <v>m²</v>
          </cell>
          <cell r="D1193">
            <v>723.95</v>
          </cell>
          <cell r="E1193">
            <v>0</v>
          </cell>
          <cell r="F1193">
            <v>723.95</v>
          </cell>
        </row>
        <row r="1194">
          <cell r="A1194" t="str">
            <v>250150</v>
          </cell>
          <cell r="B1194" t="str">
            <v>Caixilho em alumínio anodizado fixo, sob medida - bronze/preto</v>
          </cell>
          <cell r="C1194" t="str">
            <v>m²</v>
          </cell>
          <cell r="D1194">
            <v>209.43</v>
          </cell>
          <cell r="E1194">
            <v>32.21</v>
          </cell>
          <cell r="F1194">
            <v>241.64000000000001</v>
          </cell>
        </row>
        <row r="1195">
          <cell r="A1195" t="str">
            <v>250151</v>
          </cell>
          <cell r="B1195" t="str">
            <v>Caixilho em alumínio anodizado basculante, sob medida - bronze/preto</v>
          </cell>
          <cell r="C1195" t="str">
            <v>m²</v>
          </cell>
          <cell r="D1195">
            <v>443.16</v>
          </cell>
          <cell r="E1195">
            <v>32.21</v>
          </cell>
          <cell r="F1195">
            <v>475.37</v>
          </cell>
        </row>
        <row r="1196">
          <cell r="A1196" t="str">
            <v>250152</v>
          </cell>
          <cell r="B1196" t="str">
            <v>Caixilho em alumínio anodizado maximar, sob medida - bronze/preto</v>
          </cell>
          <cell r="C1196" t="str">
            <v>m²</v>
          </cell>
          <cell r="D1196">
            <v>419.07</v>
          </cell>
          <cell r="E1196">
            <v>32.21</v>
          </cell>
          <cell r="F1196">
            <v>451.28000000000003</v>
          </cell>
        </row>
        <row r="1197">
          <cell r="A1197" t="str">
            <v>250153</v>
          </cell>
          <cell r="B1197" t="str">
            <v>Caixilho em alumínio anodizado de correr, sob medida - bronze/preto</v>
          </cell>
          <cell r="C1197" t="str">
            <v>m²</v>
          </cell>
          <cell r="D1197">
            <v>273.74</v>
          </cell>
          <cell r="E1197">
            <v>32.21</v>
          </cell>
          <cell r="F1197">
            <v>305.95</v>
          </cell>
        </row>
        <row r="1198">
          <cell r="A1198" t="str">
            <v>250201</v>
          </cell>
          <cell r="B1198" t="str">
            <v>Porta de entrada de abrir em alumínio com vidro, linha comercial</v>
          </cell>
          <cell r="C1198" t="str">
            <v>m²</v>
          </cell>
          <cell r="D1198">
            <v>467.06</v>
          </cell>
          <cell r="E1198">
            <v>64.41</v>
          </cell>
          <cell r="F1198">
            <v>531.47</v>
          </cell>
        </row>
        <row r="1199">
          <cell r="A1199" t="str">
            <v>250202</v>
          </cell>
          <cell r="B1199" t="str">
            <v>Porta de entrada de abrir em alumínio, sob medida</v>
          </cell>
          <cell r="C1199" t="str">
            <v>m²</v>
          </cell>
          <cell r="D1199">
            <v>567.53</v>
          </cell>
          <cell r="E1199">
            <v>64.41</v>
          </cell>
          <cell r="F1199">
            <v>631.94000000000005</v>
          </cell>
        </row>
        <row r="1200">
          <cell r="A1200" t="str">
            <v>250204</v>
          </cell>
          <cell r="B1200" t="str">
            <v>Porta de entrada de correr em alumínio, sob medida</v>
          </cell>
          <cell r="C1200" t="str">
            <v>m²</v>
          </cell>
          <cell r="D1200">
            <v>598.39</v>
          </cell>
          <cell r="E1200">
            <v>64.41</v>
          </cell>
          <cell r="F1200">
            <v>662.80000000000007</v>
          </cell>
        </row>
        <row r="1201">
          <cell r="A1201" t="str">
            <v>250205</v>
          </cell>
          <cell r="B1201" t="str">
            <v>Porta veneziana de abrir em alumínio, linha comercial</v>
          </cell>
          <cell r="C1201" t="str">
            <v>m²</v>
          </cell>
          <cell r="D1201">
            <v>448.84000000000003</v>
          </cell>
          <cell r="E1201">
            <v>64.41</v>
          </cell>
          <cell r="F1201">
            <v>513.25</v>
          </cell>
        </row>
        <row r="1202">
          <cell r="A1202" t="str">
            <v>250206</v>
          </cell>
          <cell r="B1202" t="str">
            <v>Porta/portinhola em alumínio, sob medida</v>
          </cell>
          <cell r="C1202" t="str">
            <v>m²</v>
          </cell>
          <cell r="D1202">
            <v>441.90000000000003</v>
          </cell>
          <cell r="E1202">
            <v>64.41</v>
          </cell>
          <cell r="F1202">
            <v>506.31</v>
          </cell>
        </row>
        <row r="1203">
          <cell r="A1203" t="str">
            <v>250207</v>
          </cell>
          <cell r="B1203" t="str">
            <v>Portinhola tipo veneziana em alumínio, linha comercial</v>
          </cell>
          <cell r="C1203" t="str">
            <v>m²</v>
          </cell>
          <cell r="D1203">
            <v>473.94</v>
          </cell>
          <cell r="E1203">
            <v>64.41</v>
          </cell>
          <cell r="F1203">
            <v>538.35</v>
          </cell>
        </row>
        <row r="1204">
          <cell r="A1204" t="str">
            <v>250211</v>
          </cell>
          <cell r="B1204" t="str">
            <v>Porta veneziana de abrir em alumínio, sob medida</v>
          </cell>
          <cell r="C1204" t="str">
            <v>m²</v>
          </cell>
          <cell r="D1204">
            <v>568.16999999999996</v>
          </cell>
          <cell r="E1204">
            <v>64.17</v>
          </cell>
          <cell r="F1204">
            <v>632.34</v>
          </cell>
        </row>
        <row r="1205">
          <cell r="A1205" t="str">
            <v>250221</v>
          </cell>
          <cell r="B1205" t="str">
            <v>Porta veneziana de abrir em alumínio, cor branca</v>
          </cell>
          <cell r="C1205" t="str">
            <v>m²</v>
          </cell>
          <cell r="D1205">
            <v>696.62</v>
          </cell>
          <cell r="E1205">
            <v>64.41</v>
          </cell>
          <cell r="F1205">
            <v>761.03</v>
          </cell>
        </row>
        <row r="1206">
          <cell r="A1206" t="str">
            <v>250222</v>
          </cell>
          <cell r="B1206" t="str">
            <v>Porta de correr em alumínio com veneziana e vidro, cor branca</v>
          </cell>
          <cell r="C1206" t="str">
            <v>m²</v>
          </cell>
          <cell r="D1206">
            <v>826.25</v>
          </cell>
          <cell r="E1206">
            <v>64.41</v>
          </cell>
          <cell r="F1206">
            <v>890.66</v>
          </cell>
        </row>
        <row r="1207">
          <cell r="A1207" t="str">
            <v>250223</v>
          </cell>
          <cell r="B1207" t="str">
            <v>Porta em alumínio anodizado de abrir, sob medida - bronze/preto</v>
          </cell>
          <cell r="C1207" t="str">
            <v>m²</v>
          </cell>
          <cell r="D1207">
            <v>300.5</v>
          </cell>
          <cell r="E1207">
            <v>32.21</v>
          </cell>
          <cell r="F1207">
            <v>332.71</v>
          </cell>
        </row>
        <row r="1208">
          <cell r="A1208" t="str">
            <v>250224</v>
          </cell>
          <cell r="B1208" t="str">
            <v>Porta em alumínio anodizado de correr, sob medida - bronze/preto</v>
          </cell>
          <cell r="C1208" t="str">
            <v>m²</v>
          </cell>
          <cell r="D1208">
            <v>294.05</v>
          </cell>
          <cell r="E1208">
            <v>32.21</v>
          </cell>
          <cell r="F1208">
            <v>326.26</v>
          </cell>
        </row>
        <row r="1209">
          <cell r="A1209" t="str">
            <v>250225</v>
          </cell>
          <cell r="B1209" t="str">
            <v>Porta em alumínio anodizado de abrir, tipo veneziana, sob medida - bronze/preto</v>
          </cell>
          <cell r="C1209" t="str">
            <v>m²</v>
          </cell>
          <cell r="D1209">
            <v>628.29</v>
          </cell>
          <cell r="E1209">
            <v>32.21</v>
          </cell>
          <cell r="F1209">
            <v>660.5</v>
          </cell>
        </row>
        <row r="1210">
          <cell r="A1210" t="str">
            <v>250226</v>
          </cell>
          <cell r="B1210" t="str">
            <v>Portinhola em alumínio anodizado de correr, tipo veneziana, sob medida - bronze/preto</v>
          </cell>
          <cell r="C1210" t="str">
            <v>m²</v>
          </cell>
          <cell r="D1210">
            <v>471.91</v>
          </cell>
          <cell r="E1210">
            <v>32.21</v>
          </cell>
          <cell r="F1210">
            <v>504.12</v>
          </cell>
        </row>
        <row r="1211">
          <cell r="A1211" t="str">
            <v>260102</v>
          </cell>
          <cell r="B1211" t="str">
            <v>Vidro liso transparente de 3 mm</v>
          </cell>
          <cell r="C1211" t="str">
            <v>m²</v>
          </cell>
          <cell r="D1211">
            <v>39.53</v>
          </cell>
          <cell r="E1211">
            <v>14.06</v>
          </cell>
          <cell r="F1211">
            <v>53.59</v>
          </cell>
        </row>
        <row r="1212">
          <cell r="A1212" t="str">
            <v>260104</v>
          </cell>
          <cell r="B1212" t="str">
            <v>Vidro liso transparente de 4 mm</v>
          </cell>
          <cell r="C1212" t="str">
            <v>m²</v>
          </cell>
          <cell r="D1212">
            <v>52.82</v>
          </cell>
          <cell r="E1212">
            <v>14.06</v>
          </cell>
          <cell r="F1212">
            <v>66.88</v>
          </cell>
        </row>
        <row r="1213">
          <cell r="A1213" t="str">
            <v>260106</v>
          </cell>
          <cell r="B1213" t="str">
            <v>Vidro liso transparente de 5 mm</v>
          </cell>
          <cell r="C1213" t="str">
            <v>m²</v>
          </cell>
          <cell r="D1213">
            <v>65.52</v>
          </cell>
          <cell r="E1213">
            <v>14.06</v>
          </cell>
          <cell r="F1213">
            <v>79.58</v>
          </cell>
        </row>
        <row r="1214">
          <cell r="A1214" t="str">
            <v>260108</v>
          </cell>
          <cell r="B1214" t="str">
            <v>Vidro liso transparente de 6 mm</v>
          </cell>
          <cell r="C1214" t="str">
            <v>m²</v>
          </cell>
          <cell r="D1214">
            <v>76.010000000000005</v>
          </cell>
          <cell r="E1214">
            <v>14.06</v>
          </cell>
          <cell r="F1214">
            <v>90.070000000000007</v>
          </cell>
        </row>
        <row r="1215">
          <cell r="A1215" t="str">
            <v>260112</v>
          </cell>
          <cell r="B1215" t="str">
            <v>Vidro liso laminado incolor de 6 mm</v>
          </cell>
          <cell r="C1215" t="str">
            <v>m²</v>
          </cell>
          <cell r="D1215">
            <v>142.69</v>
          </cell>
          <cell r="E1215">
            <v>14.06</v>
          </cell>
          <cell r="F1215">
            <v>156.75</v>
          </cell>
        </row>
        <row r="1216">
          <cell r="A1216" t="str">
            <v>260114</v>
          </cell>
          <cell r="B1216" t="str">
            <v>Vidro liso laminado colorido de 6 mm</v>
          </cell>
          <cell r="C1216" t="str">
            <v>m²</v>
          </cell>
          <cell r="D1216">
            <v>212.09</v>
          </cell>
          <cell r="E1216">
            <v>14.06</v>
          </cell>
          <cell r="F1216">
            <v>226.15</v>
          </cell>
        </row>
        <row r="1217">
          <cell r="A1217" t="str">
            <v>260116</v>
          </cell>
          <cell r="B1217" t="str">
            <v>Vidro liso laminado leitoso de 6 mm</v>
          </cell>
          <cell r="C1217" t="str">
            <v>m²</v>
          </cell>
          <cell r="D1217">
            <v>224.1</v>
          </cell>
          <cell r="E1217">
            <v>14.06</v>
          </cell>
          <cell r="F1217">
            <v>238.16</v>
          </cell>
        </row>
        <row r="1218">
          <cell r="A1218" t="str">
            <v>260117</v>
          </cell>
          <cell r="B1218" t="str">
            <v>Vidro liso laminado incolor de 10 mm</v>
          </cell>
          <cell r="C1218" t="str">
            <v>m²</v>
          </cell>
          <cell r="D1218">
            <v>226.01</v>
          </cell>
          <cell r="E1218">
            <v>14.06</v>
          </cell>
          <cell r="F1218">
            <v>240.07</v>
          </cell>
        </row>
        <row r="1219">
          <cell r="A1219" t="str">
            <v>260118</v>
          </cell>
          <cell r="B1219" t="str">
            <v>Vidro liso laminado incolor de 30 mm</v>
          </cell>
          <cell r="C1219" t="str">
            <v>m²</v>
          </cell>
          <cell r="D1219">
            <v>1559.03</v>
          </cell>
          <cell r="E1219">
            <v>14.06</v>
          </cell>
          <cell r="F1219">
            <v>1573.0900000000001</v>
          </cell>
        </row>
        <row r="1220">
          <cell r="A1220" t="str">
            <v>260119</v>
          </cell>
          <cell r="B1220" t="str">
            <v>Vidro liso laminado jateado de 6 mm</v>
          </cell>
          <cell r="C1220" t="str">
            <v>m²</v>
          </cell>
          <cell r="D1220">
            <v>208.83</v>
          </cell>
          <cell r="E1220">
            <v>14.06</v>
          </cell>
          <cell r="F1220">
            <v>222.89000000000001</v>
          </cell>
        </row>
        <row r="1221">
          <cell r="A1221" t="str">
            <v>260121</v>
          </cell>
          <cell r="B1221" t="str">
            <v>Vidro liso laminado incolor de 8 mm</v>
          </cell>
          <cell r="C1221" t="str">
            <v>m²</v>
          </cell>
          <cell r="D1221">
            <v>191.42000000000002</v>
          </cell>
          <cell r="E1221">
            <v>14.06</v>
          </cell>
          <cell r="F1221">
            <v>205.48000000000002</v>
          </cell>
        </row>
        <row r="1222">
          <cell r="A1222" t="str">
            <v>260123</v>
          </cell>
          <cell r="B1222" t="str">
            <v>Vidro fantasia de 3/4 mm</v>
          </cell>
          <cell r="C1222" t="str">
            <v>m²</v>
          </cell>
          <cell r="D1222">
            <v>43.36</v>
          </cell>
          <cell r="E1222">
            <v>14.06</v>
          </cell>
          <cell r="F1222">
            <v>57.42</v>
          </cell>
        </row>
        <row r="1223">
          <cell r="A1223" t="str">
            <v>260124</v>
          </cell>
          <cell r="B1223" t="str">
            <v>Vidro fantasia colorido de 3/4 mm</v>
          </cell>
          <cell r="C1223" t="str">
            <v>m²</v>
          </cell>
          <cell r="D1223">
            <v>117.96000000000001</v>
          </cell>
          <cell r="E1223">
            <v>14.06</v>
          </cell>
          <cell r="F1223">
            <v>132.02000000000001</v>
          </cell>
        </row>
        <row r="1224">
          <cell r="A1224" t="str">
            <v>260126</v>
          </cell>
          <cell r="B1224" t="str">
            <v>Vidro aramado de 6/7 mm</v>
          </cell>
          <cell r="C1224" t="str">
            <v>m²</v>
          </cell>
          <cell r="D1224">
            <v>136.69</v>
          </cell>
          <cell r="E1224">
            <v>14.06</v>
          </cell>
          <cell r="F1224">
            <v>150.75</v>
          </cell>
        </row>
        <row r="1225">
          <cell r="A1225" t="str">
            <v>260131</v>
          </cell>
          <cell r="B1225" t="str">
            <v>Vidro liso laminado colorido de 10 mm</v>
          </cell>
          <cell r="C1225" t="str">
            <v>m²</v>
          </cell>
          <cell r="D1225">
            <v>333.42</v>
          </cell>
          <cell r="E1225">
            <v>0</v>
          </cell>
          <cell r="F1225">
            <v>333.42</v>
          </cell>
        </row>
        <row r="1226">
          <cell r="A1226" t="str">
            <v>260135</v>
          </cell>
          <cell r="B1226" t="str">
            <v>Vidro liso laminado de alta segurança</v>
          </cell>
          <cell r="C1226" t="str">
            <v>m²</v>
          </cell>
          <cell r="D1226">
            <v>3468.3</v>
          </cell>
          <cell r="E1226">
            <v>0</v>
          </cell>
          <cell r="F1226">
            <v>3468.3</v>
          </cell>
        </row>
        <row r="1227">
          <cell r="A1227" t="str">
            <v>260140</v>
          </cell>
          <cell r="B1227" t="str">
            <v>Vidro laminado refletivo incolor de 8 mm, composto por lâmina de vidro ´float´e metalização na face externa tipo ´online´</v>
          </cell>
          <cell r="C1227" t="str">
            <v>m²</v>
          </cell>
          <cell r="D1227">
            <v>182.32</v>
          </cell>
          <cell r="E1227">
            <v>28.12</v>
          </cell>
          <cell r="F1227">
            <v>210.44</v>
          </cell>
        </row>
        <row r="1228">
          <cell r="A1228" t="str">
            <v>260143</v>
          </cell>
          <cell r="B1228" t="str">
            <v>Vidro laminado refletivo incolor de 12 mm, composto por lâmina de vidro ´float´e metalização na face externa tipo ´online´</v>
          </cell>
          <cell r="C1228" t="str">
            <v>m²</v>
          </cell>
          <cell r="D1228">
            <v>222.84</v>
          </cell>
          <cell r="E1228">
            <v>28.12</v>
          </cell>
          <cell r="F1228">
            <v>250.96</v>
          </cell>
        </row>
        <row r="1229">
          <cell r="A1229" t="str">
            <v>260202</v>
          </cell>
          <cell r="B1229" t="str">
            <v>Vidro temperado incolor de 6 mm</v>
          </cell>
          <cell r="C1229" t="str">
            <v>m²</v>
          </cell>
          <cell r="D1229">
            <v>118.58</v>
          </cell>
          <cell r="E1229">
            <v>0</v>
          </cell>
          <cell r="F1229">
            <v>118.58</v>
          </cell>
        </row>
        <row r="1230">
          <cell r="A1230" t="str">
            <v>260204</v>
          </cell>
          <cell r="B1230" t="str">
            <v>Vidro temperado incolor de 8 mm</v>
          </cell>
          <cell r="C1230" t="str">
            <v>m²</v>
          </cell>
          <cell r="D1230">
            <v>139.36000000000001</v>
          </cell>
          <cell r="E1230">
            <v>0</v>
          </cell>
          <cell r="F1230">
            <v>139.36000000000001</v>
          </cell>
        </row>
        <row r="1231">
          <cell r="A1231" t="str">
            <v>260206</v>
          </cell>
          <cell r="B1231" t="str">
            <v>Vidro temperado incolor de 10 mm</v>
          </cell>
          <cell r="C1231" t="str">
            <v>m²</v>
          </cell>
          <cell r="D1231">
            <v>201.82</v>
          </cell>
          <cell r="E1231">
            <v>0</v>
          </cell>
          <cell r="F1231">
            <v>201.82</v>
          </cell>
        </row>
        <row r="1232">
          <cell r="A1232" t="str">
            <v>260212</v>
          </cell>
          <cell r="B1232" t="str">
            <v>Vidro temperado cinza ou bronze de 6 mm</v>
          </cell>
          <cell r="C1232" t="str">
            <v>m²</v>
          </cell>
          <cell r="D1232">
            <v>166.6</v>
          </cell>
          <cell r="E1232">
            <v>0</v>
          </cell>
          <cell r="F1232">
            <v>166.6</v>
          </cell>
        </row>
        <row r="1233">
          <cell r="A1233" t="str">
            <v>260214</v>
          </cell>
          <cell r="B1233" t="str">
            <v>Vidro temperado cinza ou bronze de 8 mm</v>
          </cell>
          <cell r="C1233" t="str">
            <v>m²</v>
          </cell>
          <cell r="D1233">
            <v>208.64000000000001</v>
          </cell>
          <cell r="E1233">
            <v>0</v>
          </cell>
          <cell r="F1233">
            <v>208.64000000000001</v>
          </cell>
        </row>
        <row r="1234">
          <cell r="A1234" t="str">
            <v>260216</v>
          </cell>
          <cell r="B1234" t="str">
            <v>Vidro temperado cinza ou bronze de 10 mm</v>
          </cell>
          <cell r="C1234" t="str">
            <v>m²</v>
          </cell>
          <cell r="D1234">
            <v>256.62</v>
          </cell>
          <cell r="E1234">
            <v>0</v>
          </cell>
          <cell r="F1234">
            <v>256.62</v>
          </cell>
        </row>
        <row r="1235">
          <cell r="A1235" t="str">
            <v>260217</v>
          </cell>
          <cell r="B1235" t="str">
            <v>Vidro temperado serigrafado incolor de 8 mm</v>
          </cell>
          <cell r="C1235" t="str">
            <v>m²</v>
          </cell>
          <cell r="D1235">
            <v>304.12</v>
          </cell>
          <cell r="E1235">
            <v>0</v>
          </cell>
          <cell r="F1235">
            <v>304.12</v>
          </cell>
        </row>
        <row r="1236">
          <cell r="A1236" t="str">
            <v>260218</v>
          </cell>
          <cell r="B1236" t="str">
            <v>Vidro de controle solar, refletivo e metalização ´on line´ com 12mm de espessura</v>
          </cell>
          <cell r="C1236" t="str">
            <v>m²</v>
          </cell>
          <cell r="D1236">
            <v>810</v>
          </cell>
          <cell r="E1236">
            <v>0</v>
          </cell>
          <cell r="F1236">
            <v>810</v>
          </cell>
        </row>
        <row r="1237">
          <cell r="A1237" t="str">
            <v>260401</v>
          </cell>
          <cell r="B1237" t="str">
            <v>Espelho em vidro cristal liso, espessura de 4 mm, colocado sobre a parede</v>
          </cell>
          <cell r="C1237" t="str">
            <v>m²</v>
          </cell>
          <cell r="D1237">
            <v>292.72000000000003</v>
          </cell>
          <cell r="E1237">
            <v>0</v>
          </cell>
          <cell r="F1237">
            <v>292.72000000000003</v>
          </cell>
        </row>
        <row r="1238">
          <cell r="A1238" t="str">
            <v>260403</v>
          </cell>
          <cell r="B1238" t="str">
            <v>Espelho comum de 3 mm com moldura em alumínio</v>
          </cell>
          <cell r="C1238" t="str">
            <v>m²</v>
          </cell>
          <cell r="D1238">
            <v>253.97</v>
          </cell>
          <cell r="E1238">
            <v>10.67</v>
          </cell>
          <cell r="F1238">
            <v>264.64</v>
          </cell>
        </row>
        <row r="1239">
          <cell r="A1239" t="str">
            <v>262001</v>
          </cell>
          <cell r="B1239" t="str">
            <v>Massa para vidro</v>
          </cell>
          <cell r="C1239" t="str">
            <v>m</v>
          </cell>
          <cell r="D1239">
            <v>0.54</v>
          </cell>
          <cell r="E1239">
            <v>2.11</v>
          </cell>
          <cell r="F1239">
            <v>2.65</v>
          </cell>
        </row>
        <row r="1240">
          <cell r="A1240" t="str">
            <v>262002</v>
          </cell>
          <cell r="B1240" t="str">
            <v>Recolocação de vidro inclusive emassamento ou recolocação de baguetes</v>
          </cell>
          <cell r="C1240" t="str">
            <v>m²</v>
          </cell>
          <cell r="D1240">
            <v>2.68</v>
          </cell>
          <cell r="E1240">
            <v>28.12</v>
          </cell>
          <cell r="F1240">
            <v>30.8</v>
          </cell>
        </row>
        <row r="1241">
          <cell r="A1241" t="str">
            <v>262006</v>
          </cell>
          <cell r="B1241" t="str">
            <v>Furação em vidro</v>
          </cell>
          <cell r="C1241" t="str">
            <v>un</v>
          </cell>
          <cell r="D1241">
            <v>38.25</v>
          </cell>
          <cell r="E1241">
            <v>0</v>
          </cell>
          <cell r="F1241">
            <v>38.25</v>
          </cell>
        </row>
        <row r="1242">
          <cell r="A1242" t="str">
            <v>270201</v>
          </cell>
          <cell r="B1242" t="str">
            <v>Chapa de policarbonato compacta cristal 6 mm</v>
          </cell>
          <cell r="C1242" t="str">
            <v>m²</v>
          </cell>
          <cell r="D1242">
            <v>312</v>
          </cell>
          <cell r="E1242">
            <v>0</v>
          </cell>
          <cell r="F1242">
            <v>312</v>
          </cell>
        </row>
        <row r="1243">
          <cell r="A1243" t="str">
            <v>270204</v>
          </cell>
          <cell r="B1243" t="str">
            <v>Chapa de policarbonato compacta cristal 10 mm</v>
          </cell>
          <cell r="C1243" t="str">
            <v>m²</v>
          </cell>
          <cell r="D1243">
            <v>511.55</v>
          </cell>
          <cell r="E1243">
            <v>0</v>
          </cell>
          <cell r="F1243">
            <v>511.55</v>
          </cell>
        </row>
        <row r="1244">
          <cell r="A1244" t="str">
            <v>270205</v>
          </cell>
          <cell r="B1244" t="str">
            <v>Chapa de policarbonato alveolar de 6 mm</v>
          </cell>
          <cell r="C1244" t="str">
            <v>m²</v>
          </cell>
          <cell r="D1244">
            <v>43.53</v>
          </cell>
          <cell r="E1244">
            <v>48.910000000000004</v>
          </cell>
          <cell r="F1244">
            <v>92.44</v>
          </cell>
        </row>
        <row r="1245">
          <cell r="A1245" t="str">
            <v>270303</v>
          </cell>
          <cell r="B1245" t="str">
            <v>Placa de poliéster reforçada com fibra de vidro de 3 mm</v>
          </cell>
          <cell r="C1245" t="str">
            <v>m²</v>
          </cell>
          <cell r="D1245">
            <v>93.43</v>
          </cell>
          <cell r="E1245">
            <v>28.12</v>
          </cell>
          <cell r="F1245">
            <v>121.55</v>
          </cell>
        </row>
        <row r="1246">
          <cell r="A1246" t="str">
            <v>270402</v>
          </cell>
          <cell r="B1246" t="str">
            <v>Caixilho de abrir com fechamento em chapa de PVC e requadro em cantoneira de aço carbono</v>
          </cell>
          <cell r="C1246" t="str">
            <v>m²</v>
          </cell>
          <cell r="D1246">
            <v>284.85000000000002</v>
          </cell>
          <cell r="E1246">
            <v>5.37</v>
          </cell>
          <cell r="F1246">
            <v>290.22000000000003</v>
          </cell>
        </row>
        <row r="1247">
          <cell r="A1247" t="str">
            <v>270403</v>
          </cell>
          <cell r="B1247" t="str">
            <v>Caixilho de correr em PVC</v>
          </cell>
          <cell r="C1247" t="str">
            <v>m²</v>
          </cell>
          <cell r="D1247">
            <v>312.5</v>
          </cell>
          <cell r="E1247">
            <v>48.42</v>
          </cell>
          <cell r="F1247">
            <v>360.92</v>
          </cell>
        </row>
        <row r="1248">
          <cell r="A1248" t="str">
            <v>280102</v>
          </cell>
          <cell r="B1248" t="str">
            <v>Ferragem completa com maçaneta tipo alavanca para porta externa com 1 folha</v>
          </cell>
          <cell r="C1248" t="str">
            <v>cj</v>
          </cell>
          <cell r="D1248">
            <v>130.33000000000001</v>
          </cell>
          <cell r="E1248">
            <v>31.310000000000002</v>
          </cell>
          <cell r="F1248">
            <v>161.63999999999999</v>
          </cell>
        </row>
        <row r="1249">
          <cell r="A1249" t="str">
            <v>280103</v>
          </cell>
          <cell r="B1249" t="str">
            <v>Ferragem completa com maçaneta tipo alavanca para porta externa com 2 folhas</v>
          </cell>
          <cell r="C1249" t="str">
            <v>cj</v>
          </cell>
          <cell r="D1249">
            <v>282.97000000000003</v>
          </cell>
          <cell r="E1249">
            <v>41.74</v>
          </cell>
          <cell r="F1249">
            <v>324.70999999999998</v>
          </cell>
        </row>
        <row r="1250">
          <cell r="A1250" t="str">
            <v>280104</v>
          </cell>
          <cell r="B1250" t="str">
            <v>Ferragem completa com maçaneta tipo alavanca para porta interna com 1 folha</v>
          </cell>
          <cell r="C1250" t="str">
            <v>cj</v>
          </cell>
          <cell r="D1250">
            <v>89.79</v>
          </cell>
          <cell r="E1250">
            <v>31.310000000000002</v>
          </cell>
          <cell r="F1250">
            <v>121.10000000000001</v>
          </cell>
        </row>
        <row r="1251">
          <cell r="A1251" t="str">
            <v>280105</v>
          </cell>
          <cell r="B1251" t="str">
            <v>Ferragem completa com maçaneta tipo alavanca para porta interna com 2 folhas</v>
          </cell>
          <cell r="C1251" t="str">
            <v>cj</v>
          </cell>
          <cell r="D1251">
            <v>227.1</v>
          </cell>
          <cell r="E1251">
            <v>41.74</v>
          </cell>
          <cell r="F1251">
            <v>268.83999999999997</v>
          </cell>
        </row>
        <row r="1252">
          <cell r="A1252" t="str">
            <v>280107</v>
          </cell>
          <cell r="B1252" t="str">
            <v>Ferragem completa para porta de box de WC tipo livre/ocupado</v>
          </cell>
          <cell r="C1252" t="str">
            <v>cj</v>
          </cell>
          <cell r="D1252">
            <v>68.180000000000007</v>
          </cell>
          <cell r="E1252">
            <v>31.310000000000002</v>
          </cell>
          <cell r="F1252">
            <v>99.490000000000009</v>
          </cell>
        </row>
        <row r="1253">
          <cell r="A1253" t="str">
            <v>280108</v>
          </cell>
          <cell r="B1253" t="str">
            <v>Ferragem adicional para porta vão simples em divisória</v>
          </cell>
          <cell r="C1253" t="str">
            <v>cj</v>
          </cell>
          <cell r="D1253">
            <v>162.63999999999999</v>
          </cell>
          <cell r="E1253">
            <v>0</v>
          </cell>
          <cell r="F1253">
            <v>162.63999999999999</v>
          </cell>
        </row>
        <row r="1254">
          <cell r="A1254" t="str">
            <v>280109</v>
          </cell>
          <cell r="B1254" t="str">
            <v>Ferragem adicional para porta vão duplo em divisória</v>
          </cell>
          <cell r="C1254" t="str">
            <v>cj</v>
          </cell>
          <cell r="D1254">
            <v>270.33</v>
          </cell>
          <cell r="E1254">
            <v>0</v>
          </cell>
          <cell r="F1254">
            <v>270.33</v>
          </cell>
        </row>
        <row r="1255">
          <cell r="A1255" t="str">
            <v>280112</v>
          </cell>
          <cell r="B1255" t="str">
            <v>Fechadura com maçaneta tipo alavanca, em poliamida, para porta interna</v>
          </cell>
          <cell r="C1255" t="str">
            <v>cj</v>
          </cell>
          <cell r="D1255">
            <v>125.33</v>
          </cell>
          <cell r="E1255">
            <v>31.310000000000002</v>
          </cell>
          <cell r="F1255">
            <v>156.63999999999999</v>
          </cell>
        </row>
        <row r="1256">
          <cell r="A1256" t="str">
            <v>280113</v>
          </cell>
          <cell r="B1256" t="str">
            <v>Fechadura com maçaneta tipo alavanca, em poliamida, para porta externa</v>
          </cell>
          <cell r="C1256" t="str">
            <v>cj</v>
          </cell>
          <cell r="D1256">
            <v>168.99</v>
          </cell>
          <cell r="E1256">
            <v>31.310000000000002</v>
          </cell>
          <cell r="F1256">
            <v>200.3</v>
          </cell>
        </row>
        <row r="1257">
          <cell r="A1257" t="str">
            <v>280115</v>
          </cell>
          <cell r="B1257" t="str">
            <v>Fechadura eletromagnética</v>
          </cell>
          <cell r="C1257" t="str">
            <v>cj</v>
          </cell>
          <cell r="D1257">
            <v>206.69</v>
          </cell>
          <cell r="E1257">
            <v>34.11</v>
          </cell>
          <cell r="F1257">
            <v>240.8</v>
          </cell>
        </row>
        <row r="1258">
          <cell r="A1258" t="str">
            <v>280116</v>
          </cell>
          <cell r="B1258" t="str">
            <v>Mola aérea para porta, com esforço acima de 50 kg até 60 kg</v>
          </cell>
          <cell r="C1258" t="str">
            <v>un</v>
          </cell>
          <cell r="D1258">
            <v>112.38</v>
          </cell>
          <cell r="E1258">
            <v>9.93</v>
          </cell>
          <cell r="F1258">
            <v>122.31</v>
          </cell>
        </row>
        <row r="1259">
          <cell r="A1259" t="str">
            <v>280117</v>
          </cell>
          <cell r="B1259" t="str">
            <v>Mola aérea para porta, com esforço acima de 60 kg até 70 kg</v>
          </cell>
          <cell r="C1259" t="str">
            <v>un</v>
          </cell>
          <cell r="D1259">
            <v>134.1</v>
          </cell>
          <cell r="E1259">
            <v>9.93</v>
          </cell>
          <cell r="F1259">
            <v>144.03</v>
          </cell>
        </row>
        <row r="1260">
          <cell r="A1260" t="str">
            <v>280118</v>
          </cell>
          <cell r="B1260" t="str">
            <v>Mola aérea para porta com largura até 1,60 m e peso até 250 kg</v>
          </cell>
          <cell r="C1260" t="str">
            <v>un</v>
          </cell>
          <cell r="D1260">
            <v>1292.3399999999999</v>
          </cell>
          <cell r="E1260">
            <v>24.830000000000002</v>
          </cell>
          <cell r="F1260">
            <v>1317.17</v>
          </cell>
        </row>
        <row r="1261">
          <cell r="A1261" t="str">
            <v>280121</v>
          </cell>
          <cell r="B1261" t="str">
            <v>Fechadura com chave para porta corta-fogo</v>
          </cell>
          <cell r="C1261" t="str">
            <v>un</v>
          </cell>
          <cell r="D1261">
            <v>340</v>
          </cell>
          <cell r="E1261">
            <v>18.63</v>
          </cell>
          <cell r="F1261">
            <v>358.63</v>
          </cell>
        </row>
        <row r="1262">
          <cell r="A1262" t="str">
            <v>280125</v>
          </cell>
          <cell r="B1262" t="str">
            <v>Visor tipo olho mágico</v>
          </cell>
          <cell r="C1262" t="str">
            <v>un</v>
          </cell>
          <cell r="D1262">
            <v>13.91</v>
          </cell>
          <cell r="E1262">
            <v>6.26</v>
          </cell>
          <cell r="F1262">
            <v>20.170000000000002</v>
          </cell>
        </row>
        <row r="1263">
          <cell r="A1263" t="str">
            <v>280127</v>
          </cell>
          <cell r="B1263" t="str">
            <v>Fechadura de segurança para cela tipo gorges, com clic e abertura de um lado</v>
          </cell>
          <cell r="C1263" t="str">
            <v>cj</v>
          </cell>
          <cell r="D1263">
            <v>339.54</v>
          </cell>
          <cell r="E1263">
            <v>3.11</v>
          </cell>
          <cell r="F1263">
            <v>342.65000000000003</v>
          </cell>
        </row>
        <row r="1264">
          <cell r="A1264" t="str">
            <v>280128</v>
          </cell>
          <cell r="B1264" t="str">
            <v>Fechadura de segurança para cela tipo gorges, com clic e abertura de um lado, embutida em caixa</v>
          </cell>
          <cell r="C1264" t="str">
            <v>cj</v>
          </cell>
          <cell r="D1264">
            <v>542.35</v>
          </cell>
          <cell r="E1264">
            <v>3.11</v>
          </cell>
          <cell r="F1264">
            <v>545.46</v>
          </cell>
        </row>
        <row r="1265">
          <cell r="A1265" t="str">
            <v>280129</v>
          </cell>
          <cell r="B1265" t="str">
            <v>Fechadura de segurança para corredor tipo gorges, com abertura de dois lados</v>
          </cell>
          <cell r="C1265" t="str">
            <v>cj</v>
          </cell>
          <cell r="D1265">
            <v>421.46000000000004</v>
          </cell>
          <cell r="E1265">
            <v>3.11</v>
          </cell>
          <cell r="F1265">
            <v>424.57</v>
          </cell>
        </row>
        <row r="1266">
          <cell r="A1266" t="str">
            <v>280133</v>
          </cell>
          <cell r="B1266" t="str">
            <v>Mola hidráulica de piso, para porta com largura até 1,10 m e peso até 120 kg</v>
          </cell>
          <cell r="C1266" t="str">
            <v>un</v>
          </cell>
          <cell r="D1266">
            <v>531.17999999999995</v>
          </cell>
          <cell r="E1266">
            <v>24.830000000000002</v>
          </cell>
          <cell r="F1266">
            <v>556.01</v>
          </cell>
        </row>
        <row r="1267">
          <cell r="A1267" t="str">
            <v>280136</v>
          </cell>
          <cell r="B1267" t="str">
            <v>Ferragem completa com maçaneta tipo alavanca, acabamento em alumínio, para porta externa com 1 folha</v>
          </cell>
          <cell r="C1267" t="str">
            <v>cj</v>
          </cell>
          <cell r="D1267">
            <v>209.31</v>
          </cell>
          <cell r="E1267">
            <v>31.310000000000002</v>
          </cell>
          <cell r="F1267">
            <v>240.62</v>
          </cell>
        </row>
        <row r="1268">
          <cell r="A1268" t="str">
            <v>280137</v>
          </cell>
          <cell r="B1268" t="str">
            <v>Ferragem completa com maçaneta tipo alavanca, acabamento em alumínio, para sanitário com 1 folha</v>
          </cell>
          <cell r="C1268" t="str">
            <v>cj</v>
          </cell>
          <cell r="D1268">
            <v>156.71</v>
          </cell>
          <cell r="E1268">
            <v>31.310000000000002</v>
          </cell>
          <cell r="F1268">
            <v>188.02</v>
          </cell>
        </row>
        <row r="1269">
          <cell r="A1269" t="str">
            <v>280140</v>
          </cell>
          <cell r="B1269" t="str">
            <v>Ferrolho de segurança de 1,20 m, para adaptação em portas de celas, embutido em caixa</v>
          </cell>
          <cell r="C1269" t="str">
            <v>un</v>
          </cell>
          <cell r="D1269">
            <v>245.67000000000002</v>
          </cell>
          <cell r="E1269">
            <v>49.660000000000004</v>
          </cell>
          <cell r="F1269">
            <v>295.33</v>
          </cell>
        </row>
        <row r="1270">
          <cell r="A1270" t="str">
            <v>280144</v>
          </cell>
          <cell r="B1270" t="str">
            <v>Ferragem completa com maçaneta tipo alavanca, acabamento em alumínio, para porta externa com 2 folhas</v>
          </cell>
          <cell r="C1270" t="str">
            <v>cj</v>
          </cell>
          <cell r="D1270">
            <v>346.62</v>
          </cell>
          <cell r="E1270">
            <v>41.74</v>
          </cell>
          <cell r="F1270">
            <v>388.36</v>
          </cell>
        </row>
        <row r="1271">
          <cell r="A1271" t="str">
            <v>280502</v>
          </cell>
          <cell r="B1271" t="str">
            <v>Cadeado de latão com cilíndro - trava dupla - 25/27mm</v>
          </cell>
          <cell r="C1271" t="str">
            <v>un</v>
          </cell>
          <cell r="D1271">
            <v>9.1199999999999992</v>
          </cell>
          <cell r="E1271">
            <v>0</v>
          </cell>
          <cell r="F1271">
            <v>9.1199999999999992</v>
          </cell>
        </row>
        <row r="1272">
          <cell r="A1272" t="str">
            <v>280504</v>
          </cell>
          <cell r="B1272" t="str">
            <v>Cadeado de latão com cilíndro - trava dupla - 35/36mm</v>
          </cell>
          <cell r="C1272" t="str">
            <v>un</v>
          </cell>
          <cell r="D1272">
            <v>13.91</v>
          </cell>
          <cell r="E1272">
            <v>0</v>
          </cell>
          <cell r="F1272">
            <v>13.91</v>
          </cell>
        </row>
        <row r="1273">
          <cell r="A1273" t="str">
            <v>280506</v>
          </cell>
          <cell r="B1273" t="str">
            <v>Cadeado de latão com cilíndro - trava dupla - 50mm</v>
          </cell>
          <cell r="C1273" t="str">
            <v>un</v>
          </cell>
          <cell r="D1273">
            <v>21.39</v>
          </cell>
          <cell r="E1273">
            <v>0</v>
          </cell>
          <cell r="F1273">
            <v>21.39</v>
          </cell>
        </row>
        <row r="1274">
          <cell r="A1274" t="str">
            <v>280507</v>
          </cell>
          <cell r="B1274" t="str">
            <v>Cadeado de latão com cilíndro, de alta segurança com 16 pinos e tetra-chave - 70mm</v>
          </cell>
          <cell r="C1274" t="str">
            <v>un</v>
          </cell>
          <cell r="D1274">
            <v>87.58</v>
          </cell>
          <cell r="E1274">
            <v>0</v>
          </cell>
          <cell r="F1274">
            <v>87.58</v>
          </cell>
        </row>
        <row r="1275">
          <cell r="A1275" t="str">
            <v>280508</v>
          </cell>
          <cell r="B1275" t="str">
            <v>Cadeado de latão com cilindro - trava dupla - 60mm</v>
          </cell>
          <cell r="C1275" t="str">
            <v>un</v>
          </cell>
          <cell r="D1275">
            <v>39.479999999999997</v>
          </cell>
          <cell r="E1275">
            <v>0</v>
          </cell>
          <cell r="F1275">
            <v>39.479999999999997</v>
          </cell>
        </row>
        <row r="1276">
          <cell r="A1276" t="str">
            <v>282002</v>
          </cell>
          <cell r="B1276" t="str">
            <v>Recolocação de fechaduras de embutir</v>
          </cell>
          <cell r="C1276" t="str">
            <v>un</v>
          </cell>
          <cell r="D1276">
            <v>0</v>
          </cell>
          <cell r="E1276">
            <v>31.310000000000002</v>
          </cell>
          <cell r="F1276">
            <v>31.310000000000002</v>
          </cell>
        </row>
        <row r="1277">
          <cell r="A1277" t="str">
            <v>282003</v>
          </cell>
          <cell r="B1277" t="str">
            <v>Barra antipânico de sobrepor para porta de 1 folha</v>
          </cell>
          <cell r="C1277" t="str">
            <v>un</v>
          </cell>
          <cell r="D1277">
            <v>468.99</v>
          </cell>
          <cell r="E1277">
            <v>24.830000000000002</v>
          </cell>
          <cell r="F1277">
            <v>493.82</v>
          </cell>
        </row>
        <row r="1278">
          <cell r="A1278" t="str">
            <v>282004</v>
          </cell>
          <cell r="B1278" t="str">
            <v>Recolocação de fechaduras e fechos de sobrepor</v>
          </cell>
          <cell r="C1278" t="str">
            <v>un</v>
          </cell>
          <cell r="D1278">
            <v>0</v>
          </cell>
          <cell r="E1278">
            <v>26.93</v>
          </cell>
          <cell r="F1278">
            <v>26.93</v>
          </cell>
        </row>
        <row r="1279">
          <cell r="A1279" t="str">
            <v>282005</v>
          </cell>
          <cell r="B1279" t="str">
            <v>Barra antipânico de sobrepor e maçaneta livre para porta de 1 folha</v>
          </cell>
          <cell r="C1279" t="str">
            <v>cj</v>
          </cell>
          <cell r="D1279">
            <v>509.58</v>
          </cell>
          <cell r="E1279">
            <v>32.28</v>
          </cell>
          <cell r="F1279">
            <v>541.86</v>
          </cell>
        </row>
        <row r="1280">
          <cell r="A1280" t="str">
            <v>282006</v>
          </cell>
          <cell r="B1280" t="str">
            <v>Recolocação de dobradiças</v>
          </cell>
          <cell r="C1280" t="str">
            <v>un</v>
          </cell>
          <cell r="D1280">
            <v>0</v>
          </cell>
          <cell r="E1280">
            <v>3.5500000000000003</v>
          </cell>
          <cell r="F1280">
            <v>3.5500000000000003</v>
          </cell>
        </row>
        <row r="1281">
          <cell r="A1281" t="str">
            <v>282007</v>
          </cell>
          <cell r="B1281" t="str">
            <v>Ferragem para portão de tapume</v>
          </cell>
          <cell r="C1281" t="str">
            <v>cj</v>
          </cell>
          <cell r="D1281">
            <v>178.34</v>
          </cell>
          <cell r="E1281">
            <v>62.61</v>
          </cell>
          <cell r="F1281">
            <v>240.95000000000002</v>
          </cell>
        </row>
        <row r="1282">
          <cell r="A1282" t="str">
            <v>282009</v>
          </cell>
          <cell r="B1282" t="str">
            <v>Dobradiça tipo gonzo, diâmetro de 1 1/2´ com abas de 2´ x 3/8´</v>
          </cell>
          <cell r="C1282" t="str">
            <v>un</v>
          </cell>
          <cell r="D1282">
            <v>41.97</v>
          </cell>
          <cell r="E1282">
            <v>11.950000000000001</v>
          </cell>
          <cell r="F1282">
            <v>53.92</v>
          </cell>
        </row>
        <row r="1283">
          <cell r="A1283" t="str">
            <v>282017</v>
          </cell>
          <cell r="B1283" t="str">
            <v>Brete para instalação superior em porta chapa/grade de segurança</v>
          </cell>
          <cell r="C1283" t="str">
            <v>cj</v>
          </cell>
          <cell r="D1283">
            <v>1585.08</v>
          </cell>
          <cell r="E1283">
            <v>74.489999999999995</v>
          </cell>
          <cell r="F1283">
            <v>1659.57</v>
          </cell>
        </row>
        <row r="1284">
          <cell r="A1284" t="str">
            <v>282021</v>
          </cell>
          <cell r="B1284" t="str">
            <v>Ferrolho de segurança para adaptação em portas de celas</v>
          </cell>
          <cell r="C1284" t="str">
            <v>un</v>
          </cell>
          <cell r="D1284">
            <v>96.67</v>
          </cell>
          <cell r="E1284">
            <v>24.830000000000002</v>
          </cell>
          <cell r="F1284">
            <v>121.5</v>
          </cell>
        </row>
        <row r="1285">
          <cell r="A1285" t="str">
            <v>282022</v>
          </cell>
          <cell r="B1285" t="str">
            <v>Dobradiça inferior para porta de vidro temperado</v>
          </cell>
          <cell r="C1285" t="str">
            <v>un</v>
          </cell>
          <cell r="D1285">
            <v>96.19</v>
          </cell>
          <cell r="E1285">
            <v>4.22</v>
          </cell>
          <cell r="F1285">
            <v>100.41</v>
          </cell>
        </row>
        <row r="1286">
          <cell r="A1286" t="str">
            <v>282023</v>
          </cell>
          <cell r="B1286" t="str">
            <v>Dobradiça superior para porta de vidro temperado</v>
          </cell>
          <cell r="C1286" t="str">
            <v>un</v>
          </cell>
          <cell r="D1286">
            <v>71.040000000000006</v>
          </cell>
          <cell r="E1286">
            <v>4.22</v>
          </cell>
          <cell r="F1286">
            <v>75.260000000000005</v>
          </cell>
        </row>
        <row r="1287">
          <cell r="A1287" t="str">
            <v>282033</v>
          </cell>
          <cell r="B1287" t="str">
            <v>Suporte simples de canto para vidro temperado</v>
          </cell>
          <cell r="C1287" t="str">
            <v>un</v>
          </cell>
          <cell r="D1287">
            <v>19.68</v>
          </cell>
          <cell r="E1287">
            <v>4.22</v>
          </cell>
          <cell r="F1287">
            <v>23.900000000000002</v>
          </cell>
        </row>
        <row r="1288">
          <cell r="A1288" t="str">
            <v>282036</v>
          </cell>
          <cell r="B1288" t="str">
            <v>Suporte duplo para vidro temperado fixado em alvenaria</v>
          </cell>
          <cell r="C1288" t="str">
            <v>un</v>
          </cell>
          <cell r="D1288">
            <v>89.4</v>
          </cell>
          <cell r="E1288">
            <v>4.22</v>
          </cell>
          <cell r="F1288">
            <v>93.62</v>
          </cell>
        </row>
        <row r="1289">
          <cell r="A1289" t="str">
            <v>282037</v>
          </cell>
          <cell r="B1289" t="str">
            <v>Suporte quádruplo para vidro temperado</v>
          </cell>
          <cell r="C1289" t="str">
            <v>un</v>
          </cell>
          <cell r="D1289">
            <v>98.18</v>
          </cell>
          <cell r="E1289">
            <v>4.22</v>
          </cell>
          <cell r="F1289">
            <v>102.4</v>
          </cell>
        </row>
        <row r="1290">
          <cell r="A1290" t="str">
            <v>282041</v>
          </cell>
          <cell r="B1290" t="str">
            <v>Dobradiça em latão cromado reforçada de 3 1/2´ x 3´</v>
          </cell>
          <cell r="C1290" t="str">
            <v>un</v>
          </cell>
          <cell r="D1290">
            <v>22.54</v>
          </cell>
          <cell r="E1290">
            <v>3.5500000000000003</v>
          </cell>
          <cell r="F1290">
            <v>26.09</v>
          </cell>
        </row>
        <row r="1291">
          <cell r="A1291" t="str">
            <v>282042</v>
          </cell>
          <cell r="B1291" t="str">
            <v>Dobradiça em latão cromado de 3 1/2´ x 3´</v>
          </cell>
          <cell r="C1291" t="str">
            <v>un</v>
          </cell>
          <cell r="D1291">
            <v>17.43</v>
          </cell>
          <cell r="E1291">
            <v>3.5500000000000003</v>
          </cell>
          <cell r="F1291">
            <v>20.98</v>
          </cell>
        </row>
        <row r="1292">
          <cell r="A1292" t="str">
            <v>282043</v>
          </cell>
          <cell r="B1292" t="str">
            <v>Dobradiça em latão cromado, com mola tipo vai e vem, de 3´</v>
          </cell>
          <cell r="C1292" t="str">
            <v>par</v>
          </cell>
          <cell r="D1292">
            <v>88.5</v>
          </cell>
          <cell r="E1292">
            <v>7.51</v>
          </cell>
          <cell r="F1292">
            <v>96.01</v>
          </cell>
        </row>
        <row r="1293">
          <cell r="A1293" t="str">
            <v>282051</v>
          </cell>
          <cell r="B1293" t="str">
            <v>Pivô superior lateral para porta em vidro temperado</v>
          </cell>
          <cell r="C1293" t="str">
            <v>un</v>
          </cell>
          <cell r="D1293">
            <v>7.57</v>
          </cell>
          <cell r="E1293">
            <v>4.22</v>
          </cell>
          <cell r="F1293">
            <v>11.790000000000001</v>
          </cell>
        </row>
        <row r="1294">
          <cell r="A1294" t="str">
            <v>282055</v>
          </cell>
          <cell r="B1294" t="str">
            <v>Mancal inferior com rolamento para porta em vidro temperado</v>
          </cell>
          <cell r="C1294" t="str">
            <v>un</v>
          </cell>
          <cell r="D1294">
            <v>136.37</v>
          </cell>
          <cell r="E1294">
            <v>4.22</v>
          </cell>
          <cell r="F1294">
            <v>140.59</v>
          </cell>
        </row>
        <row r="1295">
          <cell r="A1295" t="str">
            <v>282058</v>
          </cell>
          <cell r="B1295" t="str">
            <v>Barra antipânico com travamento horizontal e vertical com fechadura, para porta dupla, vãos de 1,40 a 1,60 m</v>
          </cell>
          <cell r="C1295" t="str">
            <v>cj</v>
          </cell>
          <cell r="D1295">
            <v>1240.97</v>
          </cell>
          <cell r="E1295">
            <v>99.320000000000007</v>
          </cell>
          <cell r="F1295">
            <v>1340.29</v>
          </cell>
        </row>
        <row r="1296">
          <cell r="A1296" t="str">
            <v>282059</v>
          </cell>
          <cell r="B1296" t="str">
            <v>Contra fechadura de centro para porta em vidro temperado</v>
          </cell>
          <cell r="C1296" t="str">
            <v>un</v>
          </cell>
          <cell r="D1296">
            <v>24.42</v>
          </cell>
          <cell r="E1296">
            <v>3.11</v>
          </cell>
          <cell r="F1296">
            <v>27.53</v>
          </cell>
        </row>
        <row r="1297">
          <cell r="A1297" t="str">
            <v>282060</v>
          </cell>
          <cell r="B1297" t="str">
            <v>Fechadura de centro com cilíndro para porta em vidro temperado</v>
          </cell>
          <cell r="C1297" t="str">
            <v>un</v>
          </cell>
          <cell r="D1297">
            <v>184</v>
          </cell>
          <cell r="E1297">
            <v>4.22</v>
          </cell>
          <cell r="F1297">
            <v>188.22</v>
          </cell>
        </row>
        <row r="1298">
          <cell r="A1298" t="str">
            <v>282065</v>
          </cell>
          <cell r="B1298" t="str">
            <v>Puxador duplo em aço inoxidável, para porta de madeira, alumínio ou vidro, de 350 mm</v>
          </cell>
          <cell r="C1298" t="str">
            <v>un</v>
          </cell>
          <cell r="D1298">
            <v>485.81</v>
          </cell>
          <cell r="E1298">
            <v>37.25</v>
          </cell>
          <cell r="F1298">
            <v>523.05999999999995</v>
          </cell>
        </row>
        <row r="1299">
          <cell r="A1299" t="str">
            <v>282071</v>
          </cell>
          <cell r="B1299" t="str">
            <v>Suporte duplo ou central sem núcleo para vidro temperado</v>
          </cell>
          <cell r="C1299" t="str">
            <v>un</v>
          </cell>
          <cell r="D1299">
            <v>16.07</v>
          </cell>
          <cell r="E1299">
            <v>4.22</v>
          </cell>
          <cell r="F1299">
            <v>20.29</v>
          </cell>
        </row>
        <row r="1300">
          <cell r="A1300" t="str">
            <v>282072</v>
          </cell>
          <cell r="B1300" t="str">
            <v>Suporte triplo com limitador para vidro temperado</v>
          </cell>
          <cell r="C1300" t="str">
            <v>un</v>
          </cell>
          <cell r="D1300">
            <v>52.5</v>
          </cell>
          <cell r="E1300">
            <v>4.22</v>
          </cell>
          <cell r="F1300">
            <v>56.72</v>
          </cell>
        </row>
        <row r="1301">
          <cell r="A1301" t="str">
            <v>282075</v>
          </cell>
          <cell r="B1301" t="str">
            <v>Capa de proteção para fechadura / ferrolho</v>
          </cell>
          <cell r="C1301" t="str">
            <v>un</v>
          </cell>
          <cell r="D1301">
            <v>8.83</v>
          </cell>
          <cell r="E1301">
            <v>23.89</v>
          </cell>
          <cell r="F1301">
            <v>32.72</v>
          </cell>
        </row>
        <row r="1302">
          <cell r="A1302" t="str">
            <v>282076</v>
          </cell>
          <cell r="B1302" t="str">
            <v>Espelho para trinco de piso para porta em vidro temperado</v>
          </cell>
          <cell r="C1302" t="str">
            <v>un</v>
          </cell>
          <cell r="D1302">
            <v>17.77</v>
          </cell>
          <cell r="E1302">
            <v>4.22</v>
          </cell>
          <cell r="F1302">
            <v>21.990000000000002</v>
          </cell>
        </row>
        <row r="1303">
          <cell r="A1303" t="str">
            <v>282077</v>
          </cell>
          <cell r="B1303" t="str">
            <v>Trinco de piso para porta em vidro temperado</v>
          </cell>
          <cell r="C1303" t="str">
            <v>un</v>
          </cell>
          <cell r="D1303">
            <v>98.73</v>
          </cell>
          <cell r="E1303">
            <v>4.22</v>
          </cell>
          <cell r="F1303">
            <v>102.95</v>
          </cell>
        </row>
        <row r="1304">
          <cell r="A1304" t="str">
            <v>282078</v>
          </cell>
          <cell r="B1304" t="str">
            <v>Fechadura externa com maçaneta tipo alavanca e cilindro, acabamento cor prata</v>
          </cell>
          <cell r="C1304" t="str">
            <v>un</v>
          </cell>
          <cell r="D1304">
            <v>131.4</v>
          </cell>
          <cell r="E1304">
            <v>37.25</v>
          </cell>
          <cell r="F1304">
            <v>168.65</v>
          </cell>
        </row>
        <row r="1305">
          <cell r="A1305" t="str">
            <v>282079</v>
          </cell>
          <cell r="B1305" t="str">
            <v>Barra antipânico com travamento horizontal e vertical para porta dupla, com fechadura - vãos de 1,70 a 2,60 m</v>
          </cell>
          <cell r="C1305" t="str">
            <v>cj</v>
          </cell>
          <cell r="D1305">
            <v>1955.13</v>
          </cell>
          <cell r="E1305">
            <v>113.7</v>
          </cell>
          <cell r="F1305">
            <v>2068.83</v>
          </cell>
        </row>
        <row r="1306">
          <cell r="A1306" t="str">
            <v>290102</v>
          </cell>
          <cell r="B1306" t="str">
            <v>Cantoneira em alumínio perfil sextavado</v>
          </cell>
          <cell r="C1306" t="str">
            <v>m</v>
          </cell>
          <cell r="D1306">
            <v>3.3000000000000003</v>
          </cell>
          <cell r="E1306">
            <v>7.5600000000000005</v>
          </cell>
          <cell r="F1306">
            <v>10.86</v>
          </cell>
        </row>
        <row r="1307">
          <cell r="A1307" t="str">
            <v>290103</v>
          </cell>
          <cell r="B1307" t="str">
            <v>Perfil em alumínio natural</v>
          </cell>
          <cell r="C1307" t="str">
            <v>kg</v>
          </cell>
          <cell r="D1307">
            <v>14.81</v>
          </cell>
          <cell r="E1307">
            <v>34.1</v>
          </cell>
          <cell r="F1307">
            <v>48.910000000000004</v>
          </cell>
        </row>
        <row r="1308">
          <cell r="A1308" t="str">
            <v>290104</v>
          </cell>
          <cell r="B1308" t="str">
            <v>Cantoneira em alumínio perfil ´Y´</v>
          </cell>
          <cell r="C1308" t="str">
            <v>m</v>
          </cell>
          <cell r="D1308">
            <v>4.34</v>
          </cell>
          <cell r="E1308">
            <v>7.61</v>
          </cell>
          <cell r="F1308">
            <v>11.950000000000001</v>
          </cell>
        </row>
        <row r="1309">
          <cell r="A1309" t="str">
            <v>290121</v>
          </cell>
          <cell r="B1309" t="str">
            <v>Cantoneira em aço galvanizado</v>
          </cell>
          <cell r="C1309" t="str">
            <v>kg</v>
          </cell>
          <cell r="D1309">
            <v>5.75</v>
          </cell>
          <cell r="E1309">
            <v>7.61</v>
          </cell>
          <cell r="F1309">
            <v>13.36</v>
          </cell>
        </row>
        <row r="1310">
          <cell r="A1310" t="str">
            <v>290123</v>
          </cell>
          <cell r="B1310" t="str">
            <v>Cantoneira e perfis em ferro</v>
          </cell>
          <cell r="C1310" t="str">
            <v>kg</v>
          </cell>
          <cell r="D1310">
            <v>3.67</v>
          </cell>
          <cell r="E1310">
            <v>7.61</v>
          </cell>
          <cell r="F1310">
            <v>11.28</v>
          </cell>
        </row>
        <row r="1311">
          <cell r="A1311" t="str">
            <v>290301</v>
          </cell>
          <cell r="B1311" t="str">
            <v>Cabo em aço galvanizado com alma de aço, diâmetro de 3/16´ (4,76 mm)</v>
          </cell>
          <cell r="C1311" t="str">
            <v>m</v>
          </cell>
          <cell r="D1311">
            <v>2.88</v>
          </cell>
          <cell r="E1311">
            <v>6.44</v>
          </cell>
          <cell r="F1311">
            <v>9.32</v>
          </cell>
        </row>
        <row r="1312">
          <cell r="A1312" t="str">
            <v>290302</v>
          </cell>
          <cell r="B1312" t="str">
            <v>Cabo em aço galvanizado com alma de aço, diâmetro de 5/16´ (7,94 mm)</v>
          </cell>
          <cell r="C1312" t="str">
            <v>m</v>
          </cell>
          <cell r="D1312">
            <v>5.3</v>
          </cell>
          <cell r="E1312">
            <v>6.44</v>
          </cell>
          <cell r="F1312">
            <v>11.74</v>
          </cell>
        </row>
        <row r="1313">
          <cell r="A1313" t="str">
            <v>290303</v>
          </cell>
          <cell r="B1313" t="str">
            <v>Cordoalha de aço galvanizado, diâmetro de 1/4´ (6,35 mm)</v>
          </cell>
          <cell r="C1313" t="str">
            <v>m</v>
          </cell>
          <cell r="D1313">
            <v>2.77</v>
          </cell>
          <cell r="E1313">
            <v>6.44</v>
          </cell>
          <cell r="F1313">
            <v>9.2100000000000009</v>
          </cell>
        </row>
        <row r="1314">
          <cell r="A1314" t="str">
            <v>290304</v>
          </cell>
          <cell r="B1314" t="str">
            <v>Cabo em aço galvanizado com alma de aço, diâmetro de 3/8´ (9,52 mm)</v>
          </cell>
          <cell r="C1314" t="str">
            <v>m</v>
          </cell>
          <cell r="D1314">
            <v>6.8100000000000005</v>
          </cell>
          <cell r="E1314">
            <v>6.44</v>
          </cell>
          <cell r="F1314">
            <v>13.25</v>
          </cell>
        </row>
        <row r="1315">
          <cell r="A1315" t="str">
            <v>292003</v>
          </cell>
          <cell r="B1315" t="str">
            <v>Alumínio liso para complementos e reparos</v>
          </cell>
          <cell r="C1315" t="str">
            <v>kg</v>
          </cell>
          <cell r="D1315">
            <v>20.079999999999998</v>
          </cell>
          <cell r="E1315">
            <v>7.7700000000000005</v>
          </cell>
          <cell r="F1315">
            <v>27.85</v>
          </cell>
        </row>
        <row r="1316">
          <cell r="A1316" t="str">
            <v>300101</v>
          </cell>
          <cell r="B1316" t="str">
            <v>Barra de apoio, para pessoas com mobilidade reduzida, em tubo de aço inoxidável de 1 1/2´</v>
          </cell>
          <cell r="C1316" t="str">
            <v>m</v>
          </cell>
          <cell r="D1316">
            <v>144.65</v>
          </cell>
          <cell r="E1316">
            <v>7.08</v>
          </cell>
          <cell r="F1316">
            <v>151.72999999999999</v>
          </cell>
        </row>
        <row r="1317">
          <cell r="A1317" t="str">
            <v>300102</v>
          </cell>
          <cell r="B1317" t="str">
            <v>Barra de apoio reta, para pessoas com mobilidade reduzida, em tubo de aço inoxidável de 1 1/2´ x 500 mm</v>
          </cell>
          <cell r="C1317" t="str">
            <v>un</v>
          </cell>
          <cell r="D1317">
            <v>91.48</v>
          </cell>
          <cell r="E1317">
            <v>6.44</v>
          </cell>
          <cell r="F1317">
            <v>97.92</v>
          </cell>
        </row>
        <row r="1318">
          <cell r="A1318" t="str">
            <v>300103</v>
          </cell>
          <cell r="B1318" t="str">
            <v>Barra de apoio reta, para pessoas com mobilidade reduzida, em tubo de aço inoxidável de 1 1/2´ x 800 mm</v>
          </cell>
          <cell r="C1318" t="str">
            <v>un</v>
          </cell>
          <cell r="D1318">
            <v>111.85000000000001</v>
          </cell>
          <cell r="E1318">
            <v>6.44</v>
          </cell>
          <cell r="F1318">
            <v>118.29</v>
          </cell>
        </row>
        <row r="1319">
          <cell r="A1319" t="str">
            <v>300104</v>
          </cell>
          <cell r="B1319" t="str">
            <v>Barra de apoio reta, para pessoas com mobilidade reduzida, em tubo de aço inoxidável de 1 1/2´ x 900 mm</v>
          </cell>
          <cell r="C1319" t="str">
            <v>un</v>
          </cell>
          <cell r="D1319">
            <v>131.38999999999999</v>
          </cell>
          <cell r="E1319">
            <v>6.44</v>
          </cell>
          <cell r="F1319">
            <v>137.83000000000001</v>
          </cell>
        </row>
        <row r="1320">
          <cell r="A1320" t="str">
            <v>300105</v>
          </cell>
          <cell r="B1320" t="str">
            <v>Barra de apoio em ângulo de 90°, para pessoas com mobilidade reduzida, em tubo de aço inoxidável de 1 1/2´ x 800 x 800 mm</v>
          </cell>
          <cell r="C1320" t="str">
            <v>un</v>
          </cell>
          <cell r="D1320">
            <v>227.92000000000002</v>
          </cell>
          <cell r="E1320">
            <v>6.44</v>
          </cell>
          <cell r="F1320">
            <v>234.36</v>
          </cell>
        </row>
        <row r="1321">
          <cell r="A1321" t="str">
            <v>300107</v>
          </cell>
          <cell r="B1321" t="str">
            <v>Barra de apoio reta, para pessoas com mobilidade reduzida, em tubo de alumínio, comprimento de 500 mm, acabamento com pintura epóxi</v>
          </cell>
          <cell r="C1321" t="str">
            <v>un</v>
          </cell>
          <cell r="D1321">
            <v>85.97</v>
          </cell>
          <cell r="E1321">
            <v>6.44</v>
          </cell>
          <cell r="F1321">
            <v>92.41</v>
          </cell>
        </row>
        <row r="1322">
          <cell r="A1322" t="str">
            <v>300108</v>
          </cell>
          <cell r="B1322" t="str">
            <v>Barra de apoio reta, para pessoas com mobilidade reduzida, em tubo de alumínio, comprimento de 800 mm, acabamento com pintura epóxi</v>
          </cell>
          <cell r="C1322" t="str">
            <v>un</v>
          </cell>
          <cell r="D1322">
            <v>106.09</v>
          </cell>
          <cell r="E1322">
            <v>6.44</v>
          </cell>
          <cell r="F1322">
            <v>112.53</v>
          </cell>
        </row>
        <row r="1323">
          <cell r="A1323" t="str">
            <v>300109</v>
          </cell>
          <cell r="B1323" t="str">
            <v>Barra de apoio, em ângulo de 90°, para pessoas com mobilidade reduzida, em tubo de alumínio de 800 x 800 mm, acabamento com pintura epóxi</v>
          </cell>
          <cell r="C1323" t="str">
            <v>un</v>
          </cell>
          <cell r="D1323">
            <v>213.87</v>
          </cell>
          <cell r="E1323">
            <v>6.44</v>
          </cell>
          <cell r="F1323">
            <v>220.31</v>
          </cell>
        </row>
        <row r="1324">
          <cell r="A1324" t="str">
            <v>300110</v>
          </cell>
          <cell r="B1324" t="str">
            <v>Barra de apoio reta, para pessoas com mobilidade reduzida, em tubo de alumínio, comprimento de 900 mm, acabamento com pintura epóxi</v>
          </cell>
          <cell r="C1324" t="str">
            <v>un</v>
          </cell>
          <cell r="D1324">
            <v>99.990000000000009</v>
          </cell>
          <cell r="E1324">
            <v>6.44</v>
          </cell>
          <cell r="F1324">
            <v>106.43</v>
          </cell>
        </row>
        <row r="1325">
          <cell r="A1325" t="str">
            <v>300111</v>
          </cell>
          <cell r="B1325" t="str">
            <v>Barra de proteção de sifão, para pessoas com mobilidade reduzida, em tubo de alumínio, acabamento com pintura epóxi</v>
          </cell>
          <cell r="C1325" t="str">
            <v>un</v>
          </cell>
          <cell r="D1325">
            <v>191</v>
          </cell>
          <cell r="E1325">
            <v>6.44</v>
          </cell>
          <cell r="F1325">
            <v>197.44</v>
          </cell>
        </row>
        <row r="1326">
          <cell r="A1326" t="str">
            <v>300112</v>
          </cell>
          <cell r="B1326" t="str">
            <v>Barra de apoio reta, para pessoas com mobilidade reduzida, em tubo de aço inoxidável de 1 1/4´ x 400 mm</v>
          </cell>
          <cell r="C1326" t="str">
            <v>un</v>
          </cell>
          <cell r="D1326">
            <v>85.53</v>
          </cell>
          <cell r="E1326">
            <v>6.44</v>
          </cell>
          <cell r="F1326">
            <v>91.97</v>
          </cell>
        </row>
        <row r="1327">
          <cell r="A1327" t="str">
            <v>300113</v>
          </cell>
          <cell r="B1327" t="str">
            <v>Barra de proteção para lavatório, para pessoas com mobilidade reduzida, em tubo de alumínio acabamento com pintura epóxi</v>
          </cell>
          <cell r="C1327" t="str">
            <v>un</v>
          </cell>
          <cell r="D1327">
            <v>363</v>
          </cell>
          <cell r="E1327">
            <v>10.74</v>
          </cell>
          <cell r="F1327">
            <v>373.74</v>
          </cell>
        </row>
        <row r="1328">
          <cell r="A1328" t="str">
            <v>300303</v>
          </cell>
          <cell r="B1328" t="str">
            <v>Bebedouro elétrico de pressão em aço inoxidável, capacidade de refrigeração de 06 l/h</v>
          </cell>
          <cell r="C1328" t="str">
            <v>un</v>
          </cell>
          <cell r="D1328">
            <v>1325.7</v>
          </cell>
          <cell r="E1328">
            <v>33.28</v>
          </cell>
          <cell r="F1328">
            <v>1358.98</v>
          </cell>
        </row>
        <row r="1329">
          <cell r="A1329" t="str">
            <v>300304</v>
          </cell>
          <cell r="B1329" t="str">
            <v>Bebedouro elétrico de pressão em aço inoxidável, capacidade de refrigeração de 16,6 l/h</v>
          </cell>
          <cell r="C1329" t="str">
            <v>un</v>
          </cell>
          <cell r="D1329">
            <v>1906.3600000000001</v>
          </cell>
          <cell r="E1329">
            <v>33.28</v>
          </cell>
          <cell r="F1329">
            <v>1939.64</v>
          </cell>
        </row>
        <row r="1330">
          <cell r="A1330" t="str">
            <v>300401</v>
          </cell>
          <cell r="B1330" t="str">
            <v>Revestimento em borracha sintética colorida de 5,0 mm, para sinalização tátil de alerta / direcional - assentamento argamassado</v>
          </cell>
          <cell r="C1330" t="str">
            <v>m²</v>
          </cell>
          <cell r="D1330">
            <v>147.29</v>
          </cell>
          <cell r="E1330">
            <v>11.8</v>
          </cell>
          <cell r="F1330">
            <v>159.09</v>
          </cell>
        </row>
        <row r="1331">
          <cell r="A1331" t="str">
            <v>300402</v>
          </cell>
          <cell r="B1331" t="str">
            <v>Revestimento em borracha sintética colorida de 5,0 mm, para sinalização tátil de alerta / direcional - colado</v>
          </cell>
          <cell r="C1331" t="str">
            <v>m²</v>
          </cell>
          <cell r="D1331">
            <v>113.51</v>
          </cell>
          <cell r="E1331">
            <v>4.93</v>
          </cell>
          <cell r="F1331">
            <v>118.44</v>
          </cell>
        </row>
        <row r="1332">
          <cell r="A1332" t="str">
            <v>300403</v>
          </cell>
          <cell r="B1332" t="str">
            <v>Piso em ladrilho hidráulico podotátil várias cores 25 x 25 x 2,5 cm, assentado com argamassa mista</v>
          </cell>
          <cell r="C1332" t="str">
            <v>m²</v>
          </cell>
          <cell r="D1332">
            <v>61.63</v>
          </cell>
          <cell r="E1332">
            <v>30.63</v>
          </cell>
          <cell r="F1332">
            <v>92.26</v>
          </cell>
        </row>
        <row r="1333">
          <cell r="A1333" t="str">
            <v>300404</v>
          </cell>
          <cell r="B1333" t="str">
            <v>Faixa em policarbonato para sinalização tátil fotoluminescente, para degraus, comprimento de 20 cm</v>
          </cell>
          <cell r="C1333" t="str">
            <v>un</v>
          </cell>
          <cell r="D1333">
            <v>2.8000000000000003</v>
          </cell>
          <cell r="E1333">
            <v>0.75</v>
          </cell>
          <cell r="F1333">
            <v>3.5500000000000003</v>
          </cell>
        </row>
        <row r="1334">
          <cell r="A1334" t="str">
            <v>300406</v>
          </cell>
          <cell r="B1334" t="str">
            <v>Revestimento em chapa de aço inoxidável para proteção de portas, altura de 40 cm</v>
          </cell>
          <cell r="C1334" t="str">
            <v>m</v>
          </cell>
          <cell r="D1334">
            <v>235.49</v>
          </cell>
          <cell r="E1334">
            <v>0</v>
          </cell>
          <cell r="F1334">
            <v>235.49</v>
          </cell>
        </row>
        <row r="1335">
          <cell r="A1335" t="str">
            <v>300407</v>
          </cell>
          <cell r="B1335" t="str">
            <v>Rejuntamento de piso em ladrilho hidráulico (25 x 25 x 2,5 cm) com argamassa industrializada para rejunte, juntas de 2 mm</v>
          </cell>
          <cell r="C1335" t="str">
            <v>m²</v>
          </cell>
          <cell r="D1335">
            <v>1.98</v>
          </cell>
          <cell r="E1335">
            <v>4.8499999999999996</v>
          </cell>
          <cell r="F1335">
            <v>6.83</v>
          </cell>
        </row>
        <row r="1336">
          <cell r="A1336" t="str">
            <v>300409</v>
          </cell>
          <cell r="B1336" t="str">
            <v>Sinalização visual de degraus com pintura esmalte epóxi, comprimento de 20 cm</v>
          </cell>
          <cell r="C1336" t="str">
            <v>un</v>
          </cell>
          <cell r="D1336">
            <v>0.26</v>
          </cell>
          <cell r="E1336">
            <v>7.08</v>
          </cell>
          <cell r="F1336">
            <v>7.34</v>
          </cell>
        </row>
        <row r="1337">
          <cell r="A1337" t="str">
            <v>300410</v>
          </cell>
          <cell r="B1337" t="str">
            <v>Piso tátil de concreto, alerta / direcional, intertravado, espessura de 6 cm, com rejunte em areia</v>
          </cell>
          <cell r="C1337" t="str">
            <v>m²</v>
          </cell>
          <cell r="D1337">
            <v>57.59</v>
          </cell>
          <cell r="E1337">
            <v>7.6400000000000006</v>
          </cell>
          <cell r="F1337">
            <v>65.23</v>
          </cell>
        </row>
        <row r="1338">
          <cell r="A1338" t="str">
            <v>300411</v>
          </cell>
          <cell r="B1338" t="str">
            <v>Revestimento em porcelanato antiderrapante de alerta / direcional, grupo de absorção BI-a, rejuntado</v>
          </cell>
          <cell r="C1338" t="str">
            <v>m²</v>
          </cell>
          <cell r="D1338">
            <v>337.01</v>
          </cell>
          <cell r="E1338">
            <v>19.2</v>
          </cell>
          <cell r="F1338">
            <v>356.21</v>
          </cell>
        </row>
        <row r="1339">
          <cell r="A1339" t="str">
            <v>300601</v>
          </cell>
          <cell r="B1339" t="str">
            <v>Placa para sinalização tátil (início ou final) em braille para corrimão</v>
          </cell>
          <cell r="C1339" t="str">
            <v>un</v>
          </cell>
          <cell r="D1339">
            <v>13.05</v>
          </cell>
          <cell r="E1339">
            <v>0.75</v>
          </cell>
          <cell r="F1339">
            <v>13.8</v>
          </cell>
        </row>
        <row r="1340">
          <cell r="A1340" t="str">
            <v>300602</v>
          </cell>
          <cell r="B1340" t="str">
            <v>Placa para sinalização tátil (pavimento) em braille para corrimão</v>
          </cell>
          <cell r="C1340" t="str">
            <v>un</v>
          </cell>
          <cell r="D1340">
            <v>13.05</v>
          </cell>
          <cell r="E1340">
            <v>0.75</v>
          </cell>
          <cell r="F1340">
            <v>13.8</v>
          </cell>
        </row>
        <row r="1341">
          <cell r="A1341" t="str">
            <v>300603</v>
          </cell>
          <cell r="B1341" t="str">
            <v>Anel de borracha para sinalização tátil para corrimão, diâmetro de 4,5 cm</v>
          </cell>
          <cell r="C1341" t="str">
            <v>un</v>
          </cell>
          <cell r="D1341">
            <v>21</v>
          </cell>
          <cell r="E1341">
            <v>0.75</v>
          </cell>
          <cell r="F1341">
            <v>21.75</v>
          </cell>
        </row>
        <row r="1342">
          <cell r="A1342" t="str">
            <v>300604</v>
          </cell>
          <cell r="B1342" t="str">
            <v>Sinalização com pictograma para vaga de estacionamento em tinta acrílica fosca, para pessoas com mobilidade reduzida</v>
          </cell>
          <cell r="C1342" t="str">
            <v>un</v>
          </cell>
          <cell r="D1342">
            <v>240.58</v>
          </cell>
          <cell r="E1342">
            <v>35.700000000000003</v>
          </cell>
          <cell r="F1342">
            <v>276.27999999999997</v>
          </cell>
        </row>
        <row r="1343">
          <cell r="A1343" t="str">
            <v>300605</v>
          </cell>
          <cell r="B1343" t="str">
            <v>Tinta acrílica para sinalização visual de piso, com acabamento microtexturizado e antiderrapante</v>
          </cell>
          <cell r="C1343" t="str">
            <v>m</v>
          </cell>
          <cell r="D1343">
            <v>17.55</v>
          </cell>
          <cell r="E1343">
            <v>10.73</v>
          </cell>
          <cell r="F1343">
            <v>28.28</v>
          </cell>
        </row>
        <row r="1344">
          <cell r="A1344" t="str">
            <v>300606</v>
          </cell>
          <cell r="B1344" t="str">
            <v>Sinalização de emergência visual e sonora</v>
          </cell>
          <cell r="C1344" t="str">
            <v>cj</v>
          </cell>
          <cell r="D1344">
            <v>660</v>
          </cell>
          <cell r="E1344">
            <v>11.370000000000001</v>
          </cell>
          <cell r="F1344">
            <v>671.37</v>
          </cell>
        </row>
        <row r="1345">
          <cell r="A1345" t="str">
            <v>300801</v>
          </cell>
          <cell r="B1345" t="str">
            <v>Bacia sifonada de louça sem tampa, para pessoas com mobilidade reduzida - 6 litros</v>
          </cell>
          <cell r="C1345" t="str">
            <v>un</v>
          </cell>
          <cell r="D1345">
            <v>421.40000000000003</v>
          </cell>
          <cell r="E1345">
            <v>28.580000000000002</v>
          </cell>
          <cell r="F1345">
            <v>449.98</v>
          </cell>
        </row>
        <row r="1346">
          <cell r="A1346" t="str">
            <v>300802</v>
          </cell>
          <cell r="B1346" t="str">
            <v>Assento para bacia sanitária com abertura frontal, para pessoas com mobilidade reduzida</v>
          </cell>
          <cell r="C1346" t="str">
            <v>un</v>
          </cell>
          <cell r="D1346">
            <v>499.01</v>
          </cell>
          <cell r="E1346">
            <v>1.41</v>
          </cell>
          <cell r="F1346">
            <v>500.42</v>
          </cell>
        </row>
        <row r="1347">
          <cell r="A1347" t="str">
            <v>300803</v>
          </cell>
          <cell r="B1347" t="str">
            <v>Assento articulado para banho, em alumínio com pintura epóxi de 700 x 450 mm</v>
          </cell>
          <cell r="C1347" t="str">
            <v>un</v>
          </cell>
          <cell r="D1347">
            <v>626.91999999999996</v>
          </cell>
          <cell r="E1347">
            <v>2.4300000000000002</v>
          </cell>
          <cell r="F1347">
            <v>629.35</v>
          </cell>
        </row>
        <row r="1348">
          <cell r="A1348" t="str">
            <v>300804</v>
          </cell>
          <cell r="B1348" t="str">
            <v>Lavatório de louça para canto sem coluna para pessoas com mobilidade reduzida</v>
          </cell>
          <cell r="C1348" t="str">
            <v>un</v>
          </cell>
          <cell r="D1348">
            <v>673.33</v>
          </cell>
          <cell r="E1348">
            <v>33.28</v>
          </cell>
          <cell r="F1348">
            <v>706.61</v>
          </cell>
        </row>
        <row r="1349">
          <cell r="A1349" t="str">
            <v>300805</v>
          </cell>
          <cell r="B1349" t="str">
            <v>Trocador acessível em MDF com revestimento em laminado melamínico de 180x80cm</v>
          </cell>
          <cell r="C1349" t="str">
            <v>un</v>
          </cell>
          <cell r="D1349">
            <v>967.88</v>
          </cell>
          <cell r="E1349">
            <v>171.9</v>
          </cell>
          <cell r="F1349">
            <v>1139.78</v>
          </cell>
        </row>
        <row r="1350">
          <cell r="A1350" t="str">
            <v>300806</v>
          </cell>
          <cell r="B1350" t="str">
            <v>Bacia sifonada de louça sem tampa, linha tradicional, para pessoas com mobilidade reduzida - 6 litros</v>
          </cell>
          <cell r="C1350" t="str">
            <v>un</v>
          </cell>
          <cell r="D1350">
            <v>415.19</v>
          </cell>
          <cell r="E1350">
            <v>28.580000000000002</v>
          </cell>
          <cell r="F1350">
            <v>443.77</v>
          </cell>
        </row>
        <row r="1351">
          <cell r="A1351" t="str">
            <v>301001</v>
          </cell>
          <cell r="B1351" t="str">
            <v>Fechadura com maçaneta para pessoas com mobilidade reduzida, em alumínio</v>
          </cell>
          <cell r="C1351" t="str">
            <v>un</v>
          </cell>
          <cell r="D1351">
            <v>555.82000000000005</v>
          </cell>
          <cell r="E1351">
            <v>31.310000000000002</v>
          </cell>
          <cell r="F1351">
            <v>587.13</v>
          </cell>
        </row>
        <row r="1352">
          <cell r="A1352" t="str">
            <v>301201</v>
          </cell>
          <cell r="B1352" t="str">
            <v>Rampa de acessibilidade pré-fabricada de concreto nas dimensões 2,20 x 1,86 x 1,20 m</v>
          </cell>
          <cell r="C1352" t="str">
            <v>un</v>
          </cell>
          <cell r="D1352">
            <v>568.13</v>
          </cell>
          <cell r="E1352">
            <v>43.550000000000004</v>
          </cell>
          <cell r="F1352">
            <v>611.67999999999995</v>
          </cell>
        </row>
        <row r="1353">
          <cell r="A1353" t="str">
            <v>301401</v>
          </cell>
          <cell r="B1353" t="str">
            <v>Elevador de uso restrito a pessoas com mobilidade reduzida com 02 paradas - uso interno em alvenaria</v>
          </cell>
          <cell r="C1353" t="str">
            <v>cj</v>
          </cell>
          <cell r="D1353">
            <v>53000</v>
          </cell>
          <cell r="E1353">
            <v>0</v>
          </cell>
          <cell r="F1353">
            <v>53000</v>
          </cell>
        </row>
        <row r="1354">
          <cell r="A1354" t="str">
            <v>301402</v>
          </cell>
          <cell r="B1354" t="str">
            <v>Elevador de uso restrito a pessoas com mobilidade reduzida com 03 paradas - uso interno em alvenaria</v>
          </cell>
          <cell r="C1354" t="str">
            <v>cj</v>
          </cell>
          <cell r="D1354">
            <v>56000</v>
          </cell>
          <cell r="E1354">
            <v>0</v>
          </cell>
          <cell r="F1354">
            <v>56000</v>
          </cell>
        </row>
        <row r="1355">
          <cell r="A1355" t="str">
            <v>301403</v>
          </cell>
          <cell r="B1355" t="str">
            <v>Plataforma para elevação até 2,00 m, nas dimensões de 900 x 1400 mm - percurso até 1,00 m de altura</v>
          </cell>
          <cell r="C1355" t="str">
            <v>cj</v>
          </cell>
          <cell r="D1355">
            <v>37066.5</v>
          </cell>
          <cell r="E1355">
            <v>0</v>
          </cell>
          <cell r="F1355">
            <v>37066.5</v>
          </cell>
        </row>
        <row r="1356">
          <cell r="A1356" t="str">
            <v>301404</v>
          </cell>
          <cell r="B1356" t="str">
            <v>Plataforma para elevação até 2,00 m, nas dimensões de 900 x 1400 mm - percurso superior a 1,00 m de altura</v>
          </cell>
          <cell r="C1356" t="str">
            <v>cj</v>
          </cell>
          <cell r="D1356">
            <v>38066.5</v>
          </cell>
          <cell r="E1356">
            <v>0</v>
          </cell>
          <cell r="F1356">
            <v>38066.5</v>
          </cell>
        </row>
        <row r="1357">
          <cell r="A1357" t="str">
            <v>320601</v>
          </cell>
          <cell r="B1357" t="str">
            <v>Lã de vidro e/ou lã de rocha com espessura de 1´</v>
          </cell>
          <cell r="C1357" t="str">
            <v>m²</v>
          </cell>
          <cell r="D1357">
            <v>8.34</v>
          </cell>
          <cell r="E1357">
            <v>1.94</v>
          </cell>
          <cell r="F1357">
            <v>10.28</v>
          </cell>
        </row>
        <row r="1358">
          <cell r="A1358" t="str">
            <v>320603</v>
          </cell>
          <cell r="B1358" t="str">
            <v>Lã de vidro e/ou lã de rocha com espessura de 2´</v>
          </cell>
          <cell r="C1358" t="str">
            <v>m²</v>
          </cell>
          <cell r="D1358">
            <v>13.17</v>
          </cell>
          <cell r="E1358">
            <v>1.94</v>
          </cell>
          <cell r="F1358">
            <v>15.11</v>
          </cell>
        </row>
        <row r="1359">
          <cell r="A1359" t="str">
            <v>320612</v>
          </cell>
          <cell r="B1359" t="str">
            <v>Argila expandida</v>
          </cell>
          <cell r="C1359" t="str">
            <v>m³</v>
          </cell>
          <cell r="D1359">
            <v>241.44</v>
          </cell>
          <cell r="E1359">
            <v>27.19</v>
          </cell>
          <cell r="F1359">
            <v>268.63</v>
          </cell>
        </row>
        <row r="1360">
          <cell r="A1360" t="str">
            <v>320613</v>
          </cell>
          <cell r="B1360" t="str">
            <v>Espuma flexível de poliuretano poliéter/poliéster para absorção acústica, espessura de 5,0 cm</v>
          </cell>
          <cell r="C1360" t="str">
            <v>m²</v>
          </cell>
          <cell r="D1360">
            <v>82.320000000000007</v>
          </cell>
          <cell r="E1360">
            <v>3.5500000000000003</v>
          </cell>
          <cell r="F1360">
            <v>85.87</v>
          </cell>
        </row>
        <row r="1361">
          <cell r="A1361" t="str">
            <v>320615</v>
          </cell>
          <cell r="B1361" t="str">
            <v>Lâmina refletiva revestida em alumínio nas duas faces, com reforço interno, para isolação térmica</v>
          </cell>
          <cell r="C1361" t="str">
            <v>m²</v>
          </cell>
          <cell r="D1361">
            <v>8.6999999999999993</v>
          </cell>
          <cell r="E1361">
            <v>5.1100000000000003</v>
          </cell>
          <cell r="F1361">
            <v>13.81</v>
          </cell>
        </row>
        <row r="1362">
          <cell r="A1362" t="str">
            <v>320623</v>
          </cell>
          <cell r="B1362" t="str">
            <v>Película de controle solar refletiva para aplicação em vidro</v>
          </cell>
          <cell r="C1362" t="str">
            <v>m²</v>
          </cell>
          <cell r="D1362">
            <v>29.810000000000002</v>
          </cell>
          <cell r="E1362">
            <v>0</v>
          </cell>
          <cell r="F1362">
            <v>29.810000000000002</v>
          </cell>
        </row>
        <row r="1363">
          <cell r="A1363" t="str">
            <v>320635</v>
          </cell>
          <cell r="B1363" t="str">
            <v>Membrana isolante térmica e impermeabilizante, acabamento em alumínio e coating acrílico</v>
          </cell>
          <cell r="C1363" t="str">
            <v>m²</v>
          </cell>
          <cell r="D1363">
            <v>8.02</v>
          </cell>
          <cell r="E1363">
            <v>5.1100000000000003</v>
          </cell>
          <cell r="F1363">
            <v>13.13</v>
          </cell>
        </row>
        <row r="1364">
          <cell r="A1364" t="str">
            <v>320704</v>
          </cell>
          <cell r="B1364" t="str">
            <v>Junta plástica de 3/4´ x 1/8´</v>
          </cell>
          <cell r="C1364" t="str">
            <v>m</v>
          </cell>
          <cell r="D1364">
            <v>0.97</v>
          </cell>
          <cell r="E1364">
            <v>3.2</v>
          </cell>
          <cell r="F1364">
            <v>4.17</v>
          </cell>
        </row>
        <row r="1365">
          <cell r="A1365" t="str">
            <v>320706</v>
          </cell>
          <cell r="B1365" t="str">
            <v>Junta de latão bitola de 1/8´</v>
          </cell>
          <cell r="C1365" t="str">
            <v>m</v>
          </cell>
          <cell r="D1365">
            <v>18.2</v>
          </cell>
          <cell r="E1365">
            <v>3.2</v>
          </cell>
          <cell r="F1365">
            <v>21.400000000000002</v>
          </cell>
        </row>
        <row r="1366">
          <cell r="A1366" t="str">
            <v>320709</v>
          </cell>
          <cell r="B1366" t="str">
            <v>Junta de dilatação ou vedação com mastique de silicone, 1,0 x 0,5 cm - inclusive guia de apoio em polietileno</v>
          </cell>
          <cell r="C1366" t="str">
            <v>m</v>
          </cell>
          <cell r="D1366">
            <v>4.3600000000000003</v>
          </cell>
          <cell r="E1366">
            <v>1.47</v>
          </cell>
          <cell r="F1366">
            <v>5.83</v>
          </cell>
        </row>
        <row r="1367">
          <cell r="A1367" t="str">
            <v>320711</v>
          </cell>
          <cell r="B1367" t="str">
            <v>Junta a base de asfalto oxidado a quente</v>
          </cell>
          <cell r="C1367" t="str">
            <v>cm³</v>
          </cell>
          <cell r="D1367">
            <v>0.03</v>
          </cell>
          <cell r="E1367">
            <v>0.03</v>
          </cell>
          <cell r="F1367">
            <v>0.06</v>
          </cell>
        </row>
        <row r="1368">
          <cell r="A1368" t="str">
            <v>320712</v>
          </cell>
          <cell r="B1368" t="str">
            <v>Mangueira plástica flexível para junta de dilatação</v>
          </cell>
          <cell r="C1368" t="str">
            <v>m</v>
          </cell>
          <cell r="D1368">
            <v>2.34</v>
          </cell>
          <cell r="E1368">
            <v>2.35</v>
          </cell>
          <cell r="F1368">
            <v>4.6900000000000004</v>
          </cell>
        </row>
        <row r="1369">
          <cell r="A1369" t="str">
            <v>320716</v>
          </cell>
          <cell r="B1369" t="str">
            <v>Junta de dilatação elástica a base de poliuretano</v>
          </cell>
          <cell r="C1369" t="str">
            <v>cm³</v>
          </cell>
          <cell r="D1369">
            <v>0.08</v>
          </cell>
          <cell r="E1369">
            <v>0.06</v>
          </cell>
          <cell r="F1369">
            <v>0.14000000000000001</v>
          </cell>
        </row>
        <row r="1370">
          <cell r="A1370" t="str">
            <v>320801</v>
          </cell>
          <cell r="B1370" t="str">
            <v>Junta estrutural com poliestireno expandido de alta densidade P-III, espessura de 10 mm</v>
          </cell>
          <cell r="C1370" t="str">
            <v>m²</v>
          </cell>
          <cell r="D1370">
            <v>5.0199999999999996</v>
          </cell>
          <cell r="E1370">
            <v>1.46</v>
          </cell>
          <cell r="F1370">
            <v>6.48</v>
          </cell>
        </row>
        <row r="1371">
          <cell r="A1371" t="str">
            <v>320803</v>
          </cell>
          <cell r="B1371" t="str">
            <v>Junta estrutural com poliestireno expandido de alta densidade P-III, espessura de 20 mm</v>
          </cell>
          <cell r="C1371" t="str">
            <v>m²</v>
          </cell>
          <cell r="D1371">
            <v>10.27</v>
          </cell>
          <cell r="E1371">
            <v>1.46</v>
          </cell>
          <cell r="F1371">
            <v>11.73</v>
          </cell>
        </row>
        <row r="1372">
          <cell r="A1372" t="str">
            <v>320805</v>
          </cell>
          <cell r="B1372" t="str">
            <v>Junta estrutural com perfilado termoplástico em PVC, perfil O-12</v>
          </cell>
          <cell r="C1372" t="str">
            <v>m</v>
          </cell>
          <cell r="D1372">
            <v>32.450000000000003</v>
          </cell>
          <cell r="E1372">
            <v>9.9700000000000006</v>
          </cell>
          <cell r="F1372">
            <v>42.42</v>
          </cell>
        </row>
        <row r="1373">
          <cell r="A1373" t="str">
            <v>320806</v>
          </cell>
          <cell r="B1373" t="str">
            <v>Junta estrutural com perfilado termoplástico em PVC, perfil O-22</v>
          </cell>
          <cell r="C1373" t="str">
            <v>m</v>
          </cell>
          <cell r="D1373">
            <v>42.02</v>
          </cell>
          <cell r="E1373">
            <v>9.9700000000000006</v>
          </cell>
          <cell r="F1373">
            <v>51.99</v>
          </cell>
        </row>
        <row r="1374">
          <cell r="A1374" t="str">
            <v>320807</v>
          </cell>
          <cell r="B1374" t="str">
            <v>Junta estrutural com perfil elastomérico para fissuras, painéis e estruturas em geral, movimentação máxima 15 mm</v>
          </cell>
          <cell r="C1374" t="str">
            <v>m</v>
          </cell>
          <cell r="D1374">
            <v>111.25</v>
          </cell>
          <cell r="E1374">
            <v>0</v>
          </cell>
          <cell r="F1374">
            <v>111.25</v>
          </cell>
        </row>
        <row r="1375">
          <cell r="A1375" t="str">
            <v>320809</v>
          </cell>
          <cell r="B1375" t="str">
            <v>Junta estrutural com perfil elastomérico para fissuras, painéis e estruturas em geral, movimentação máxima 30 mm</v>
          </cell>
          <cell r="C1375" t="str">
            <v>m</v>
          </cell>
          <cell r="D1375">
            <v>183.62</v>
          </cell>
          <cell r="E1375">
            <v>0</v>
          </cell>
          <cell r="F1375">
            <v>183.62</v>
          </cell>
        </row>
        <row r="1376">
          <cell r="A1376" t="str">
            <v>320810</v>
          </cell>
          <cell r="B1376" t="str">
            <v>Junta Jeene JJ 2540 VV com lábios poliméricos</v>
          </cell>
          <cell r="C1376" t="str">
            <v>m</v>
          </cell>
          <cell r="D1376">
            <v>440.3</v>
          </cell>
          <cell r="E1376">
            <v>4.8600000000000003</v>
          </cell>
          <cell r="F1376">
            <v>445.16</v>
          </cell>
        </row>
        <row r="1377">
          <cell r="A1377" t="str">
            <v>320811</v>
          </cell>
          <cell r="B1377" t="str">
            <v>Junta estrutural com perfil elastomérico e lábios poliméricos para obras de arte, movimentação máxima 40 mm</v>
          </cell>
          <cell r="C1377" t="str">
            <v>m</v>
          </cell>
          <cell r="D1377">
            <v>440.3</v>
          </cell>
          <cell r="E1377">
            <v>0</v>
          </cell>
          <cell r="F1377">
            <v>440.3</v>
          </cell>
        </row>
        <row r="1378">
          <cell r="A1378" t="str">
            <v>320813</v>
          </cell>
          <cell r="B1378" t="str">
            <v>Junta estrutural com perfil elastomérico e lábios poliméricos para obras de arte, movimentação máxima 55 mm</v>
          </cell>
          <cell r="C1378" t="str">
            <v>m</v>
          </cell>
          <cell r="D1378">
            <v>592.13</v>
          </cell>
          <cell r="E1378">
            <v>0</v>
          </cell>
          <cell r="F1378">
            <v>592.13</v>
          </cell>
        </row>
        <row r="1379">
          <cell r="A1379" t="str">
            <v>320816</v>
          </cell>
          <cell r="B1379" t="str">
            <v>Junta elástica estrutural de neoprene</v>
          </cell>
          <cell r="C1379" t="str">
            <v>m</v>
          </cell>
          <cell r="D1379">
            <v>139.9</v>
          </cell>
          <cell r="E1379">
            <v>0</v>
          </cell>
          <cell r="F1379">
            <v>139.9</v>
          </cell>
        </row>
        <row r="1380">
          <cell r="A1380" t="str">
            <v>320902</v>
          </cell>
          <cell r="B1380" t="str">
            <v>Chapa de aço em bitolas medias</v>
          </cell>
          <cell r="C1380" t="str">
            <v>kg</v>
          </cell>
          <cell r="D1380">
            <v>3.0300000000000002</v>
          </cell>
          <cell r="E1380">
            <v>6.42</v>
          </cell>
          <cell r="F1380">
            <v>9.4499999999999993</v>
          </cell>
        </row>
        <row r="1381">
          <cell r="A1381" t="str">
            <v>320904</v>
          </cell>
          <cell r="B1381" t="str">
            <v>Apoio em placa de neoprene fretado</v>
          </cell>
          <cell r="C1381" t="str">
            <v>dm³</v>
          </cell>
          <cell r="D1381">
            <v>84.15</v>
          </cell>
          <cell r="E1381">
            <v>4.28</v>
          </cell>
          <cell r="F1381">
            <v>88.43</v>
          </cell>
        </row>
        <row r="1382">
          <cell r="A1382" t="str">
            <v>321005</v>
          </cell>
          <cell r="B1382" t="str">
            <v>Proteção anticorrosiva, a base de resina epóxi com alcatrão, para ramais sob a terra, com DN até 1´</v>
          </cell>
          <cell r="C1382" t="str">
            <v>m</v>
          </cell>
          <cell r="D1382">
            <v>1.8</v>
          </cell>
          <cell r="E1382">
            <v>1.31</v>
          </cell>
          <cell r="F1382">
            <v>3.11</v>
          </cell>
        </row>
        <row r="1383">
          <cell r="A1383" t="str">
            <v>321006</v>
          </cell>
          <cell r="B1383" t="str">
            <v>Proteção anticorrosiva, a base de resina epóxi com alcatrão, para ramais sob a terra, com DN acima de 1´ até 2´</v>
          </cell>
          <cell r="C1383" t="str">
            <v>m</v>
          </cell>
          <cell r="D1383">
            <v>3.6</v>
          </cell>
          <cell r="E1383">
            <v>2.63</v>
          </cell>
          <cell r="F1383">
            <v>6.23</v>
          </cell>
        </row>
        <row r="1384">
          <cell r="A1384" t="str">
            <v>321007</v>
          </cell>
          <cell r="B1384" t="str">
            <v>Proteção anticorrosiva, a base de resina epóxi com alcatrão, para ramais sob a terra, com DN acima de 2´ até 3´</v>
          </cell>
          <cell r="C1384" t="str">
            <v>m</v>
          </cell>
          <cell r="D1384">
            <v>5.39</v>
          </cell>
          <cell r="E1384">
            <v>3.95</v>
          </cell>
          <cell r="F1384">
            <v>9.34</v>
          </cell>
        </row>
        <row r="1385">
          <cell r="A1385" t="str">
            <v>321008</v>
          </cell>
          <cell r="B1385" t="str">
            <v>Proteção anticorrosiva, a base de resina epóxi com alcatrão, para ramais sob a terra, com DN acima de 3´ até 4´</v>
          </cell>
          <cell r="C1385" t="str">
            <v>m</v>
          </cell>
          <cell r="D1385">
            <v>7.19</v>
          </cell>
          <cell r="E1385">
            <v>5.26</v>
          </cell>
          <cell r="F1385">
            <v>12.450000000000001</v>
          </cell>
        </row>
        <row r="1386">
          <cell r="A1386" t="str">
            <v>321009</v>
          </cell>
          <cell r="B1386" t="str">
            <v>Proteção anticorrosiva, com fita adesiva, para ramais sob a terra, com DN até 1´</v>
          </cell>
          <cell r="C1386" t="str">
            <v>m</v>
          </cell>
          <cell r="D1386">
            <v>9.66</v>
          </cell>
          <cell r="E1386">
            <v>0.78</v>
          </cell>
          <cell r="F1386">
            <v>10.44</v>
          </cell>
        </row>
        <row r="1387">
          <cell r="A1387" t="str">
            <v>321010</v>
          </cell>
          <cell r="B1387" t="str">
            <v>Proteção anticorrosiva, com fita adesiva, para ramais sob a terra, com DN acima de 1´ até 2´</v>
          </cell>
          <cell r="C1387" t="str">
            <v>m</v>
          </cell>
          <cell r="D1387">
            <v>17.43</v>
          </cell>
          <cell r="E1387">
            <v>1.1000000000000001</v>
          </cell>
          <cell r="F1387">
            <v>18.53</v>
          </cell>
        </row>
        <row r="1388">
          <cell r="A1388" t="str">
            <v>321011</v>
          </cell>
          <cell r="B1388" t="str">
            <v>Proteção anticorrosiva, com fita adesiva, para ramais sob a terra, com DN acima de 2´ até 3´</v>
          </cell>
          <cell r="C1388" t="str">
            <v>m</v>
          </cell>
          <cell r="D1388">
            <v>25.650000000000002</v>
          </cell>
          <cell r="E1388">
            <v>1.41</v>
          </cell>
          <cell r="F1388">
            <v>27.060000000000002</v>
          </cell>
        </row>
        <row r="1389">
          <cell r="A1389" t="str">
            <v>321012</v>
          </cell>
          <cell r="B1389" t="str">
            <v>Proteção anticorrosiva, com fita adesiva, para ramais sob a terra, com DN acima de 3´ até 4´</v>
          </cell>
          <cell r="C1389" t="str">
            <v>m</v>
          </cell>
          <cell r="D1389">
            <v>32.979999999999997</v>
          </cell>
          <cell r="E1389">
            <v>1.72</v>
          </cell>
          <cell r="F1389">
            <v>34.700000000000003</v>
          </cell>
        </row>
        <row r="1390">
          <cell r="A1390" t="str">
            <v>321014</v>
          </cell>
          <cell r="B1390" t="str">
            <v>Proteção anticorrosiva, com fita adesiva, para ramais sob a terra, com DN acima de 5´ até 6´</v>
          </cell>
          <cell r="C1390" t="str">
            <v>m</v>
          </cell>
          <cell r="D1390">
            <v>48.6</v>
          </cell>
          <cell r="E1390">
            <v>3.62</v>
          </cell>
          <cell r="F1390">
            <v>52.22</v>
          </cell>
        </row>
        <row r="1391">
          <cell r="A1391" t="str">
            <v>321016</v>
          </cell>
          <cell r="B1391" t="str">
            <v>Proteção anticorrosiva, a base de resina epóxi com alcatrão, para ramais sob a terra, com DN acima de 5´ até 6´</v>
          </cell>
          <cell r="C1391" t="str">
            <v>m</v>
          </cell>
          <cell r="D1391">
            <v>10.790000000000001</v>
          </cell>
          <cell r="E1391">
            <v>7.9</v>
          </cell>
          <cell r="F1391">
            <v>18.690000000000001</v>
          </cell>
        </row>
        <row r="1392">
          <cell r="A1392" t="str">
            <v>321101</v>
          </cell>
          <cell r="B1392" t="str">
            <v>Calha isolante com lã de vidro e/ou lã de rocha, espessura de 1´, para tubulação de 2´</v>
          </cell>
          <cell r="C1392" t="str">
            <v>m</v>
          </cell>
          <cell r="D1392">
            <v>14.700000000000001</v>
          </cell>
          <cell r="E1392">
            <v>5.49</v>
          </cell>
          <cell r="F1392">
            <v>20.190000000000001</v>
          </cell>
        </row>
        <row r="1393">
          <cell r="A1393" t="str">
            <v>321102</v>
          </cell>
          <cell r="B1393" t="str">
            <v>Calha isolante com lã de vidro e/ou lã de rocha, espessura de 1´, para tubulação de 1 1/2´</v>
          </cell>
          <cell r="C1393" t="str">
            <v>m</v>
          </cell>
          <cell r="D1393">
            <v>13.05</v>
          </cell>
          <cell r="E1393">
            <v>5.49</v>
          </cell>
          <cell r="F1393">
            <v>18.54</v>
          </cell>
        </row>
        <row r="1394">
          <cell r="A1394" t="str">
            <v>321103</v>
          </cell>
          <cell r="B1394" t="str">
            <v>Calha isolante com lã de vidro e/ou lã de rocha, espessura de 1´, para tubulação de 1´</v>
          </cell>
          <cell r="C1394" t="str">
            <v>m</v>
          </cell>
          <cell r="D1394">
            <v>10.99</v>
          </cell>
          <cell r="E1394">
            <v>5.49</v>
          </cell>
          <cell r="F1394">
            <v>16.48</v>
          </cell>
        </row>
        <row r="1395">
          <cell r="A1395" t="str">
            <v>321104</v>
          </cell>
          <cell r="B1395" t="str">
            <v>Calha isolante com lã de vidro e/ou lã de rocha, espessura de 1´, para tubulação de 3/4´</v>
          </cell>
          <cell r="C1395" t="str">
            <v>m</v>
          </cell>
          <cell r="D1395">
            <v>10.6</v>
          </cell>
          <cell r="E1395">
            <v>5.49</v>
          </cell>
          <cell r="F1395">
            <v>16.09</v>
          </cell>
        </row>
        <row r="1396">
          <cell r="A1396" t="str">
            <v>321105</v>
          </cell>
          <cell r="B1396" t="str">
            <v>Calha isolante com lã de vidro e/ou lã de rocha, espessura de 1´, para tubulação de 1/2´</v>
          </cell>
          <cell r="C1396" t="str">
            <v>m</v>
          </cell>
          <cell r="D1396">
            <v>9.5500000000000007</v>
          </cell>
          <cell r="E1396">
            <v>5.49</v>
          </cell>
          <cell r="F1396">
            <v>15.040000000000001</v>
          </cell>
        </row>
        <row r="1397">
          <cell r="A1397" t="str">
            <v>321106</v>
          </cell>
          <cell r="B1397" t="str">
            <v>Calha isolante com lã de vidro e/ou lã de rocha, espessura de 1´, para tubulação de 1 1/4´</v>
          </cell>
          <cell r="C1397" t="str">
            <v>m</v>
          </cell>
          <cell r="D1397">
            <v>11.94</v>
          </cell>
          <cell r="E1397">
            <v>5.49</v>
          </cell>
          <cell r="F1397">
            <v>17.43</v>
          </cell>
        </row>
        <row r="1398">
          <cell r="A1398" t="str">
            <v>321107</v>
          </cell>
          <cell r="B1398" t="str">
            <v>Calha isolante com lã de vidro e/ou lã de rocha, espessura de 1´, para tubulação de 2 1/2´</v>
          </cell>
          <cell r="C1398" t="str">
            <v>m</v>
          </cell>
          <cell r="D1398">
            <v>17.73</v>
          </cell>
          <cell r="E1398">
            <v>5.49</v>
          </cell>
          <cell r="F1398">
            <v>23.22</v>
          </cell>
        </row>
        <row r="1399">
          <cell r="A1399" t="str">
            <v>321108</v>
          </cell>
          <cell r="B1399" t="str">
            <v>Calha isolante com lã de vidro e/ou lã de rocha, espessura de 1´, para tubulação de 3´</v>
          </cell>
          <cell r="C1399" t="str">
            <v>m</v>
          </cell>
          <cell r="D1399">
            <v>20.38</v>
          </cell>
          <cell r="E1399">
            <v>5.49</v>
          </cell>
          <cell r="F1399">
            <v>25.87</v>
          </cell>
        </row>
        <row r="1400">
          <cell r="A1400" t="str">
            <v>321109</v>
          </cell>
          <cell r="B1400" t="str">
            <v>Calha isolante com lã de vidro e/ou lã de rocha, espessura de 1´, para tubulação de 4´</v>
          </cell>
          <cell r="C1400" t="str">
            <v>m</v>
          </cell>
          <cell r="D1400">
            <v>23.27</v>
          </cell>
          <cell r="E1400">
            <v>5.49</v>
          </cell>
          <cell r="F1400">
            <v>28.76</v>
          </cell>
        </row>
        <row r="1401">
          <cell r="A1401" t="str">
            <v>321115</v>
          </cell>
          <cell r="B1401" t="str">
            <v>Proteção para isolamento térmico em alumínio</v>
          </cell>
          <cell r="C1401" t="str">
            <v>m²</v>
          </cell>
          <cell r="D1401">
            <v>12.72</v>
          </cell>
          <cell r="E1401">
            <v>5.49</v>
          </cell>
          <cell r="F1401">
            <v>18.21</v>
          </cell>
        </row>
        <row r="1402">
          <cell r="A1402" t="str">
            <v>321120</v>
          </cell>
          <cell r="B1402" t="str">
            <v>Isolamento térmico em polietileno expandido, espessura de 5 mm, para tubulação de 1/2´ (15 mm)</v>
          </cell>
          <cell r="C1402" t="str">
            <v>m</v>
          </cell>
          <cell r="D1402">
            <v>0.56999999999999995</v>
          </cell>
          <cell r="E1402">
            <v>5.49</v>
          </cell>
          <cell r="F1402">
            <v>6.0600000000000005</v>
          </cell>
        </row>
        <row r="1403">
          <cell r="A1403" t="str">
            <v>321121</v>
          </cell>
          <cell r="B1403" t="str">
            <v>Isolamento térmico em polietileno expandido, espessura de 5 mm, para tubulação de 3/4´ (22 mm)</v>
          </cell>
          <cell r="C1403" t="str">
            <v>m</v>
          </cell>
          <cell r="D1403">
            <v>0.9</v>
          </cell>
          <cell r="E1403">
            <v>5.49</v>
          </cell>
          <cell r="F1403">
            <v>6.3900000000000006</v>
          </cell>
        </row>
        <row r="1404">
          <cell r="A1404" t="str">
            <v>321122</v>
          </cell>
          <cell r="B1404" t="str">
            <v>Isolamento térmico em polietileno expandido, espessura de 5 mm, para tubulação de 1´ (28 mm)</v>
          </cell>
          <cell r="C1404" t="str">
            <v>m</v>
          </cell>
          <cell r="D1404">
            <v>1.19</v>
          </cell>
          <cell r="E1404">
            <v>5.49</v>
          </cell>
          <cell r="F1404">
            <v>6.68</v>
          </cell>
        </row>
        <row r="1405">
          <cell r="A1405" t="str">
            <v>321123</v>
          </cell>
          <cell r="B1405" t="str">
            <v>Isolamento térmico em polietileno expandido, espessura de 10 mm, para tubulação de 1 1/4´ (35 mm)</v>
          </cell>
          <cell r="C1405" t="str">
            <v>m</v>
          </cell>
          <cell r="D1405">
            <v>3.0100000000000002</v>
          </cell>
          <cell r="E1405">
            <v>5.49</v>
          </cell>
          <cell r="F1405">
            <v>8.5</v>
          </cell>
        </row>
        <row r="1406">
          <cell r="A1406" t="str">
            <v>321124</v>
          </cell>
          <cell r="B1406" t="str">
            <v>Isolamento térmico em polietileno expandido, espessura de 10 mm, para tubulação de 1 1/2´ (42 mm)</v>
          </cell>
          <cell r="C1406" t="str">
            <v>m</v>
          </cell>
          <cell r="D1406">
            <v>3.67</v>
          </cell>
          <cell r="E1406">
            <v>5.49</v>
          </cell>
          <cell r="F1406">
            <v>9.16</v>
          </cell>
        </row>
        <row r="1407">
          <cell r="A1407" t="str">
            <v>321125</v>
          </cell>
          <cell r="B1407" t="str">
            <v>Isolamento térmico em polietileno expandido, espessura de 10 mm, para tubulação de 2´ (54 mm)</v>
          </cell>
          <cell r="C1407" t="str">
            <v>m</v>
          </cell>
          <cell r="D1407">
            <v>4.29</v>
          </cell>
          <cell r="E1407">
            <v>5.49</v>
          </cell>
          <cell r="F1407">
            <v>9.7799999999999994</v>
          </cell>
        </row>
        <row r="1408">
          <cell r="A1408" t="str">
            <v>321126</v>
          </cell>
          <cell r="B1408" t="str">
            <v>Isolamento térmico em polietileno expandido, espessura de 10 mm, para tubulação de 2 1/2´ (66 mm)</v>
          </cell>
          <cell r="C1408" t="str">
            <v>m</v>
          </cell>
          <cell r="D1408">
            <v>5.72</v>
          </cell>
          <cell r="E1408">
            <v>5.49</v>
          </cell>
          <cell r="F1408">
            <v>11.21</v>
          </cell>
        </row>
        <row r="1409">
          <cell r="A1409" t="str">
            <v>321127</v>
          </cell>
          <cell r="B1409" t="str">
            <v>Isolamento térmico em espuma elastomérica, espessura de 9 a 12 mm, para tubulação de 1/4´ (cobre)</v>
          </cell>
          <cell r="C1409" t="str">
            <v>m</v>
          </cell>
          <cell r="D1409">
            <v>3.13</v>
          </cell>
          <cell r="E1409">
            <v>5.49</v>
          </cell>
          <cell r="F1409">
            <v>8.6199999999999992</v>
          </cell>
        </row>
        <row r="1410">
          <cell r="A1410" t="str">
            <v>321128</v>
          </cell>
          <cell r="B1410" t="str">
            <v>Isolamento térmico em espuma elastomérica, espessura de 9 a 12 mm, para tubulação de 1/2´ (cobre)</v>
          </cell>
          <cell r="C1410" t="str">
            <v>m</v>
          </cell>
          <cell r="D1410">
            <v>3.3000000000000003</v>
          </cell>
          <cell r="E1410">
            <v>5.49</v>
          </cell>
          <cell r="F1410">
            <v>8.7899999999999991</v>
          </cell>
        </row>
        <row r="1411">
          <cell r="A1411" t="str">
            <v>321129</v>
          </cell>
          <cell r="B1411" t="str">
            <v>Isolamento térmico em espuma elastomérica, espessura de 9 a 12 mm, para tubulação de 5/8´ (cobre) ou 1/4´ (ferro)</v>
          </cell>
          <cell r="C1411" t="str">
            <v>m</v>
          </cell>
          <cell r="D1411">
            <v>3.62</v>
          </cell>
          <cell r="E1411">
            <v>5.49</v>
          </cell>
          <cell r="F1411">
            <v>9.11</v>
          </cell>
        </row>
        <row r="1412">
          <cell r="A1412" t="str">
            <v>321130</v>
          </cell>
          <cell r="B1412" t="str">
            <v>Isolamento térmico em espuma elastomérica, espessura de 9 a 12 mm, para tubulação de 1´ (cobre)</v>
          </cell>
          <cell r="C1412" t="str">
            <v>m</v>
          </cell>
          <cell r="D1412">
            <v>4.4400000000000004</v>
          </cell>
          <cell r="E1412">
            <v>5.49</v>
          </cell>
          <cell r="F1412">
            <v>9.93</v>
          </cell>
        </row>
        <row r="1413">
          <cell r="A1413" t="str">
            <v>321131</v>
          </cell>
          <cell r="B1413" t="str">
            <v>Isolamento térmico em espuma elastomérica, espessura de 19 a 26 mm, para tubulação de 7/8´ (cobre) ou 1/2´ (ferro)</v>
          </cell>
          <cell r="C1413" t="str">
            <v>m</v>
          </cell>
          <cell r="D1413">
            <v>8.7899999999999991</v>
          </cell>
          <cell r="E1413">
            <v>5.49</v>
          </cell>
          <cell r="F1413">
            <v>14.280000000000001</v>
          </cell>
        </row>
        <row r="1414">
          <cell r="A1414" t="str">
            <v>321132</v>
          </cell>
          <cell r="B1414" t="str">
            <v>Isolamento térmico em espuma elastomérica, espessura de 19 a 26 mm, para tubulação de 1 1/8´ (cobre) ou 3/4´ (ferro)</v>
          </cell>
          <cell r="C1414" t="str">
            <v>m</v>
          </cell>
          <cell r="D1414">
            <v>10.61</v>
          </cell>
          <cell r="E1414">
            <v>5.49</v>
          </cell>
          <cell r="F1414">
            <v>16.100000000000001</v>
          </cell>
        </row>
        <row r="1415">
          <cell r="A1415" t="str">
            <v>321133</v>
          </cell>
          <cell r="B1415" t="str">
            <v>Isolamento térmico em espuma elastomérica, espessura de 19 a 26 mm, para tubulação de 1 3/8´ (cobre) ou 1´ (ferro)</v>
          </cell>
          <cell r="C1415" t="str">
            <v>m</v>
          </cell>
          <cell r="D1415">
            <v>12.370000000000001</v>
          </cell>
          <cell r="E1415">
            <v>5.49</v>
          </cell>
          <cell r="F1415">
            <v>17.86</v>
          </cell>
        </row>
        <row r="1416">
          <cell r="A1416" t="str">
            <v>321134</v>
          </cell>
          <cell r="B1416" t="str">
            <v>Isolamento térmico em espuma elastomérica, espessura de 19 a 26 mm, para tubulação de 1 5/8´ (cobre) ou 1 1/4´ (ferro)</v>
          </cell>
          <cell r="C1416" t="str">
            <v>m</v>
          </cell>
          <cell r="D1416">
            <v>14.66</v>
          </cell>
          <cell r="E1416">
            <v>5.49</v>
          </cell>
          <cell r="F1416">
            <v>20.149999999999999</v>
          </cell>
        </row>
        <row r="1417">
          <cell r="A1417" t="str">
            <v>321135</v>
          </cell>
          <cell r="B1417" t="str">
            <v>Isolamento térmico em espuma elastomérica, espessura de 19 a 26 mm, para tubulação de 1 1/2´ (ferro)</v>
          </cell>
          <cell r="C1417" t="str">
            <v>m</v>
          </cell>
          <cell r="D1417">
            <v>16.59</v>
          </cell>
          <cell r="E1417">
            <v>5.49</v>
          </cell>
          <cell r="F1417">
            <v>22.080000000000002</v>
          </cell>
        </row>
        <row r="1418">
          <cell r="A1418" t="str">
            <v>321136</v>
          </cell>
          <cell r="B1418" t="str">
            <v>Isolamento térmico em espuma elastomérica, espessura de 19 a 26 mm, para tubulação de 2´ (ferro)</v>
          </cell>
          <cell r="C1418" t="str">
            <v>m</v>
          </cell>
          <cell r="D1418">
            <v>20</v>
          </cell>
          <cell r="E1418">
            <v>5.49</v>
          </cell>
          <cell r="F1418">
            <v>25.490000000000002</v>
          </cell>
        </row>
        <row r="1419">
          <cell r="A1419" t="str">
            <v>321137</v>
          </cell>
          <cell r="B1419" t="str">
            <v>Isolamento térmico em espuma elastomérica, espessura de 19 a 26 mm, para tubulação de 2 1/2´ (ferro)</v>
          </cell>
          <cell r="C1419" t="str">
            <v>m</v>
          </cell>
          <cell r="D1419">
            <v>24.94</v>
          </cell>
          <cell r="E1419">
            <v>5.49</v>
          </cell>
          <cell r="F1419">
            <v>30.43</v>
          </cell>
        </row>
        <row r="1420">
          <cell r="A1420" t="str">
            <v>321138</v>
          </cell>
          <cell r="B1420" t="str">
            <v>Isolamento térmico em espuma elastomérica, espessura de 19 a 26 mm, para tubulação de 3 1/2´ (cobre) ou 3´ (ferro)</v>
          </cell>
          <cell r="C1420" t="str">
            <v>m</v>
          </cell>
          <cell r="D1420">
            <v>28.05</v>
          </cell>
          <cell r="E1420">
            <v>5.49</v>
          </cell>
          <cell r="F1420">
            <v>33.54</v>
          </cell>
        </row>
        <row r="1421">
          <cell r="A1421" t="str">
            <v>321139</v>
          </cell>
          <cell r="B1421" t="str">
            <v>Isolamento térmico em espuma elastomérica, espessura de 19 a 26 mm, para tubulação de 4´ (ferro)</v>
          </cell>
          <cell r="C1421" t="str">
            <v>m</v>
          </cell>
          <cell r="D1421">
            <v>36.880000000000003</v>
          </cell>
          <cell r="E1421">
            <v>5.49</v>
          </cell>
          <cell r="F1421">
            <v>42.37</v>
          </cell>
        </row>
        <row r="1422">
          <cell r="A1422" t="str">
            <v>321140</v>
          </cell>
          <cell r="B1422" t="str">
            <v>Isolamento térmico em espuma elastomérica, espessura de 19 a 26 mm, para tubulação de 5´ (ferro)</v>
          </cell>
          <cell r="C1422" t="str">
            <v>m</v>
          </cell>
          <cell r="D1422">
            <v>46.4</v>
          </cell>
          <cell r="E1422">
            <v>5.49</v>
          </cell>
          <cell r="F1422">
            <v>51.89</v>
          </cell>
        </row>
        <row r="1423">
          <cell r="A1423" t="str">
            <v>321141</v>
          </cell>
          <cell r="B1423" t="str">
            <v>Isolamento térmico em espuma elastomérica, espessura de 19 a 26 mm, para tubulação de 6´ (ferro)</v>
          </cell>
          <cell r="C1423" t="str">
            <v>m</v>
          </cell>
          <cell r="D1423">
            <v>58.25</v>
          </cell>
          <cell r="E1423">
            <v>5.49</v>
          </cell>
          <cell r="F1423">
            <v>63.74</v>
          </cell>
        </row>
        <row r="1424">
          <cell r="A1424" t="str">
            <v>321142</v>
          </cell>
          <cell r="B1424" t="str">
            <v>Manta em espuma elastomérica, espessura de 19 a 26 mm, para isolamento térmico de tubulação acima de 6´</v>
          </cell>
          <cell r="C1424" t="str">
            <v>m²</v>
          </cell>
          <cell r="D1424">
            <v>82.69</v>
          </cell>
          <cell r="E1424">
            <v>9.98</v>
          </cell>
          <cell r="F1424">
            <v>92.67</v>
          </cell>
        </row>
        <row r="1425">
          <cell r="A1425" t="str">
            <v>321503</v>
          </cell>
          <cell r="B1425" t="str">
            <v>Impermeabilização em manta asfáltica com armadura, tipo III-B, espessura de 3 mm</v>
          </cell>
          <cell r="C1425" t="str">
            <v>m²</v>
          </cell>
          <cell r="D1425">
            <v>26.97</v>
          </cell>
          <cell r="E1425">
            <v>9.36</v>
          </cell>
          <cell r="F1425">
            <v>36.33</v>
          </cell>
        </row>
        <row r="1426">
          <cell r="A1426" t="str">
            <v>321504</v>
          </cell>
          <cell r="B1426" t="str">
            <v>Impermeabilização em manta asfáltica com armadura, tipo III-B, espessura de 4 mm</v>
          </cell>
          <cell r="C1426" t="str">
            <v>m²</v>
          </cell>
          <cell r="D1426">
            <v>29.560000000000002</v>
          </cell>
          <cell r="E1426">
            <v>9.36</v>
          </cell>
          <cell r="F1426">
            <v>38.92</v>
          </cell>
        </row>
        <row r="1427">
          <cell r="A1427" t="str">
            <v>321505</v>
          </cell>
          <cell r="B1427" t="str">
            <v>Impermeabilização em manta asfáltica plastomérica com armadura, tipo III, espessura de 3 mm, face exposta em ardósia cinza</v>
          </cell>
          <cell r="C1427" t="str">
            <v>m²</v>
          </cell>
          <cell r="D1427">
            <v>33.69</v>
          </cell>
          <cell r="E1427">
            <v>9.36</v>
          </cell>
          <cell r="F1427">
            <v>43.050000000000004</v>
          </cell>
        </row>
        <row r="1428">
          <cell r="A1428" t="str">
            <v>321508</v>
          </cell>
          <cell r="B1428" t="str">
            <v>Impermeabilização em manta asfáltica tipo III-B, espessura de 3 mm, face exposta em geotêxtil, com membrana acrílica</v>
          </cell>
          <cell r="C1428" t="str">
            <v>m²</v>
          </cell>
          <cell r="D1428">
            <v>64.37</v>
          </cell>
          <cell r="E1428">
            <v>11.78</v>
          </cell>
          <cell r="F1428">
            <v>76.150000000000006</v>
          </cell>
        </row>
        <row r="1429">
          <cell r="A1429" t="str">
            <v>321510</v>
          </cell>
          <cell r="B1429" t="str">
            <v>Impermeabilização em manta asfáltica plastomérica com armadura, tipo III, espessura de 4 mm, face exposta em geotêxtil com membrana acrílica</v>
          </cell>
          <cell r="C1429" t="str">
            <v>m²</v>
          </cell>
          <cell r="D1429">
            <v>66.55</v>
          </cell>
          <cell r="E1429">
            <v>11.78</v>
          </cell>
          <cell r="F1429">
            <v>78.33</v>
          </cell>
        </row>
        <row r="1430">
          <cell r="A1430" t="str">
            <v>321524</v>
          </cell>
          <cell r="B1430" t="str">
            <v>Impermeabilização com manta asfáltica tipo III, anti raiz, espessura de 4 mm</v>
          </cell>
          <cell r="C1430" t="str">
            <v>m²</v>
          </cell>
          <cell r="D1430">
            <v>76.16</v>
          </cell>
          <cell r="E1430">
            <v>0</v>
          </cell>
          <cell r="F1430">
            <v>76.16</v>
          </cell>
        </row>
        <row r="1431">
          <cell r="A1431" t="str">
            <v>321601</v>
          </cell>
          <cell r="B1431" t="str">
            <v>Impermeabilização em pintura de asfalto oxidado com solventes orgânicos, sobre massa</v>
          </cell>
          <cell r="C1431" t="str">
            <v>m²</v>
          </cell>
          <cell r="D1431">
            <v>3.6</v>
          </cell>
          <cell r="E1431">
            <v>3.88</v>
          </cell>
          <cell r="F1431">
            <v>7.48</v>
          </cell>
        </row>
        <row r="1432">
          <cell r="A1432" t="str">
            <v>321602</v>
          </cell>
          <cell r="B1432" t="str">
            <v>Impermeabilização em pintura de asfalto oxidado com solventes orgânicos, sobre metal</v>
          </cell>
          <cell r="C1432" t="str">
            <v>m²</v>
          </cell>
          <cell r="D1432">
            <v>2.52</v>
          </cell>
          <cell r="E1432">
            <v>3.88</v>
          </cell>
          <cell r="F1432">
            <v>6.4</v>
          </cell>
        </row>
        <row r="1433">
          <cell r="A1433" t="str">
            <v>321603</v>
          </cell>
          <cell r="B1433" t="str">
            <v>Impermeabilização em membrana de asfalto modificado com elastômeros, na cor preta</v>
          </cell>
          <cell r="C1433" t="str">
            <v>m²</v>
          </cell>
          <cell r="D1433">
            <v>21.1</v>
          </cell>
          <cell r="E1433">
            <v>3.88</v>
          </cell>
          <cell r="F1433">
            <v>24.98</v>
          </cell>
        </row>
        <row r="1434">
          <cell r="A1434" t="str">
            <v>321604</v>
          </cell>
          <cell r="B1434" t="str">
            <v>Impermeabilização em membrana de asfalto modificado com elastômeros, na cor preta e reforço em tela poliéster</v>
          </cell>
          <cell r="C1434" t="str">
            <v>m²</v>
          </cell>
          <cell r="D1434">
            <v>31.3</v>
          </cell>
          <cell r="E1434">
            <v>10.74</v>
          </cell>
          <cell r="F1434">
            <v>42.04</v>
          </cell>
        </row>
        <row r="1435">
          <cell r="A1435" t="str">
            <v>321605</v>
          </cell>
          <cell r="B1435" t="str">
            <v>Impermeabilização em membrana à base de polímeros acrílicos, na cor branca</v>
          </cell>
          <cell r="C1435" t="str">
            <v>m²</v>
          </cell>
          <cell r="D1435">
            <v>24.330000000000002</v>
          </cell>
          <cell r="E1435">
            <v>3.88</v>
          </cell>
          <cell r="F1435">
            <v>28.21</v>
          </cell>
        </row>
        <row r="1436">
          <cell r="A1436" t="str">
            <v>321606</v>
          </cell>
          <cell r="B1436" t="str">
            <v>Impermeabilização em membrana à base de polímeros acrílicos, na cor branca e reforço em tela poliéster</v>
          </cell>
          <cell r="C1436" t="str">
            <v>m²</v>
          </cell>
          <cell r="D1436">
            <v>35.82</v>
          </cell>
          <cell r="E1436">
            <v>10.74</v>
          </cell>
          <cell r="F1436">
            <v>46.56</v>
          </cell>
        </row>
        <row r="1437">
          <cell r="A1437" t="str">
            <v>321607</v>
          </cell>
          <cell r="B1437" t="str">
            <v>Impermeabilização em membrana à base de resina termoplástica e cimentos aditivados com reforço em tela poliéster</v>
          </cell>
          <cell r="C1437" t="str">
            <v>m²</v>
          </cell>
          <cell r="D1437">
            <v>27.060000000000002</v>
          </cell>
          <cell r="E1437">
            <v>12.68</v>
          </cell>
          <cell r="F1437">
            <v>39.74</v>
          </cell>
        </row>
        <row r="1438">
          <cell r="A1438" t="str">
            <v>321701</v>
          </cell>
          <cell r="B1438" t="str">
            <v>Impermeabilização em argamassa impermeável com aditivo hidrófugo</v>
          </cell>
          <cell r="C1438" t="str">
            <v>m³</v>
          </cell>
          <cell r="D1438">
            <v>262.52</v>
          </cell>
          <cell r="E1438">
            <v>167.66</v>
          </cell>
          <cell r="F1438">
            <v>430.18</v>
          </cell>
        </row>
        <row r="1439">
          <cell r="A1439" t="str">
            <v>321703</v>
          </cell>
          <cell r="B1439" t="str">
            <v>Impermeabilização em argamassa polimérica para umidade e água de percolação</v>
          </cell>
          <cell r="C1439" t="str">
            <v>m²</v>
          </cell>
          <cell r="D1439">
            <v>7.96</v>
          </cell>
          <cell r="E1439">
            <v>4.09</v>
          </cell>
          <cell r="F1439">
            <v>12.05</v>
          </cell>
        </row>
        <row r="1440">
          <cell r="A1440" t="str">
            <v>321704</v>
          </cell>
          <cell r="B1440" t="str">
            <v>Impermeabilização em argamassa polimérica com reforço em tela poliéster para pressão hidrostática positiva</v>
          </cell>
          <cell r="C1440" t="str">
            <v>m²</v>
          </cell>
          <cell r="D1440">
            <v>17.68</v>
          </cell>
          <cell r="E1440">
            <v>8.18</v>
          </cell>
          <cell r="F1440">
            <v>25.86</v>
          </cell>
        </row>
        <row r="1441">
          <cell r="A1441" t="str">
            <v>321705</v>
          </cell>
          <cell r="B1441" t="str">
            <v>Impermeabilização com cimento cristalizante para umidade e água de percolação</v>
          </cell>
          <cell r="C1441" t="str">
            <v>m²</v>
          </cell>
          <cell r="D1441">
            <v>6.92</v>
          </cell>
          <cell r="E1441">
            <v>4.09</v>
          </cell>
          <cell r="F1441">
            <v>11.01</v>
          </cell>
        </row>
        <row r="1442">
          <cell r="A1442" t="str">
            <v>321706</v>
          </cell>
          <cell r="B1442" t="str">
            <v>Impermeabilização com cimento cristalizante para pressão hidrostática positiva</v>
          </cell>
          <cell r="C1442" t="str">
            <v>m²</v>
          </cell>
          <cell r="D1442">
            <v>13.84</v>
          </cell>
          <cell r="E1442">
            <v>8.18</v>
          </cell>
          <cell r="F1442">
            <v>22.02</v>
          </cell>
        </row>
        <row r="1443">
          <cell r="A1443" t="str">
            <v>321707</v>
          </cell>
          <cell r="B1443" t="str">
            <v>Impermeabilização anticorrosiva em membrana epoxídica com alcatrão de hulha, sobre massa</v>
          </cell>
          <cell r="C1443" t="str">
            <v>m²</v>
          </cell>
          <cell r="D1443">
            <v>21.42</v>
          </cell>
          <cell r="E1443">
            <v>4.09</v>
          </cell>
          <cell r="F1443">
            <v>25.51</v>
          </cell>
        </row>
        <row r="1444">
          <cell r="A1444" t="str">
            <v>322001</v>
          </cell>
          <cell r="B1444" t="str">
            <v>Recolocação de argila expandida</v>
          </cell>
          <cell r="C1444" t="str">
            <v>m³</v>
          </cell>
          <cell r="D1444">
            <v>0</v>
          </cell>
          <cell r="E1444">
            <v>38.840000000000003</v>
          </cell>
          <cell r="F1444">
            <v>38.840000000000003</v>
          </cell>
        </row>
        <row r="1445">
          <cell r="A1445" t="str">
            <v>322002</v>
          </cell>
          <cell r="B1445" t="str">
            <v>Aplicação de papel KRAFT</v>
          </cell>
          <cell r="C1445" t="str">
            <v>m²</v>
          </cell>
          <cell r="D1445">
            <v>1.33</v>
          </cell>
          <cell r="E1445">
            <v>1.94</v>
          </cell>
          <cell r="F1445">
            <v>3.27</v>
          </cell>
        </row>
        <row r="1446">
          <cell r="A1446" t="str">
            <v>322005</v>
          </cell>
          <cell r="B1446" t="str">
            <v>Tela em polietileno, malha hexagonal de 1/2´, para armadura de argamassa</v>
          </cell>
          <cell r="C1446" t="str">
            <v>m²</v>
          </cell>
          <cell r="D1446">
            <v>1.68</v>
          </cell>
          <cell r="E1446">
            <v>1.94</v>
          </cell>
          <cell r="F1446">
            <v>3.62</v>
          </cell>
        </row>
        <row r="1447">
          <cell r="A1447" t="str">
            <v>322006</v>
          </cell>
          <cell r="B1447" t="str">
            <v>Tela galvanizada fio 24 BWG, malha hexagonal de 1/2´, para armadura de argamassa</v>
          </cell>
          <cell r="C1447" t="str">
            <v>m²</v>
          </cell>
          <cell r="D1447">
            <v>6.59</v>
          </cell>
          <cell r="E1447">
            <v>1.94</v>
          </cell>
          <cell r="F1447">
            <v>8.5299999999999994</v>
          </cell>
        </row>
        <row r="1448">
          <cell r="A1448" t="str">
            <v>330104</v>
          </cell>
          <cell r="B1448" t="str">
            <v>Estucamento e lixamento de concreto deteriorado</v>
          </cell>
          <cell r="C1448" t="str">
            <v>m²</v>
          </cell>
          <cell r="D1448">
            <v>4.7300000000000004</v>
          </cell>
          <cell r="E1448">
            <v>16.62</v>
          </cell>
          <cell r="F1448">
            <v>21.35</v>
          </cell>
        </row>
        <row r="1449">
          <cell r="A1449" t="str">
            <v>330105</v>
          </cell>
          <cell r="B1449" t="str">
            <v>Estucamento e lixamento de concreto</v>
          </cell>
          <cell r="C1449" t="str">
            <v>m²</v>
          </cell>
          <cell r="D1449">
            <v>2.34</v>
          </cell>
          <cell r="E1449">
            <v>16.62</v>
          </cell>
          <cell r="F1449">
            <v>18.96</v>
          </cell>
        </row>
        <row r="1450">
          <cell r="A1450" t="str">
            <v>330106</v>
          </cell>
          <cell r="B1450" t="str">
            <v>Imunizante para madeira</v>
          </cell>
          <cell r="C1450" t="str">
            <v>m²</v>
          </cell>
          <cell r="D1450">
            <v>3.0300000000000002</v>
          </cell>
          <cell r="E1450">
            <v>3.65</v>
          </cell>
          <cell r="F1450">
            <v>6.68</v>
          </cell>
        </row>
        <row r="1451">
          <cell r="A1451" t="str">
            <v>330128</v>
          </cell>
          <cell r="B1451" t="str">
            <v>Reparo de trincas rasas até 5,0 mm de largura, na massa</v>
          </cell>
          <cell r="C1451" t="str">
            <v>m</v>
          </cell>
          <cell r="D1451">
            <v>11.77</v>
          </cell>
          <cell r="E1451">
            <v>10.73</v>
          </cell>
          <cell r="F1451">
            <v>22.5</v>
          </cell>
        </row>
        <row r="1452">
          <cell r="A1452" t="str">
            <v>330135</v>
          </cell>
          <cell r="B1452" t="str">
            <v>Preparo de base para superfície metálica com fundo anti-oxidante</v>
          </cell>
          <cell r="C1452" t="str">
            <v>m²</v>
          </cell>
          <cell r="D1452">
            <v>3.9</v>
          </cell>
          <cell r="E1452">
            <v>4.04</v>
          </cell>
          <cell r="F1452">
            <v>7.94</v>
          </cell>
        </row>
        <row r="1453">
          <cell r="A1453" t="str">
            <v>330206</v>
          </cell>
          <cell r="B1453" t="str">
            <v>Massa corrida a base de PVA</v>
          </cell>
          <cell r="C1453" t="str">
            <v>m²</v>
          </cell>
          <cell r="D1453">
            <v>1.4000000000000001</v>
          </cell>
          <cell r="E1453">
            <v>5.22</v>
          </cell>
          <cell r="F1453">
            <v>6.62</v>
          </cell>
        </row>
        <row r="1454">
          <cell r="A1454" t="str">
            <v>330208</v>
          </cell>
          <cell r="B1454" t="str">
            <v>Massa corrida à base de resina acrílica</v>
          </cell>
          <cell r="C1454" t="str">
            <v>m²</v>
          </cell>
          <cell r="D1454">
            <v>2.27</v>
          </cell>
          <cell r="E1454">
            <v>5.22</v>
          </cell>
          <cell r="F1454">
            <v>7.49</v>
          </cell>
        </row>
        <row r="1455">
          <cell r="A1455" t="str">
            <v>330210</v>
          </cell>
          <cell r="B1455" t="str">
            <v>Massa corrida a óleo em esquadrias de madeira</v>
          </cell>
          <cell r="C1455" t="str">
            <v>m²</v>
          </cell>
          <cell r="D1455">
            <v>7.9300000000000006</v>
          </cell>
          <cell r="E1455">
            <v>7.05</v>
          </cell>
          <cell r="F1455">
            <v>14.98</v>
          </cell>
        </row>
        <row r="1456">
          <cell r="A1456" t="str">
            <v>330212</v>
          </cell>
          <cell r="B1456" t="str">
            <v>Massa corrida a óleo em superfície rebocada</v>
          </cell>
          <cell r="C1456" t="str">
            <v>m²</v>
          </cell>
          <cell r="D1456">
            <v>7.86</v>
          </cell>
          <cell r="E1456">
            <v>5.22</v>
          </cell>
          <cell r="F1456">
            <v>13.08</v>
          </cell>
        </row>
        <row r="1457">
          <cell r="A1457" t="str">
            <v>330304</v>
          </cell>
          <cell r="B1457" t="str">
            <v>Caiação em massa</v>
          </cell>
          <cell r="C1457" t="str">
            <v>m²</v>
          </cell>
          <cell r="D1457">
            <v>0.46</v>
          </cell>
          <cell r="E1457">
            <v>5.37</v>
          </cell>
          <cell r="F1457">
            <v>5.83</v>
          </cell>
        </row>
        <row r="1458">
          <cell r="A1458" t="str">
            <v>330322</v>
          </cell>
          <cell r="B1458" t="str">
            <v>Tinta látex em elemento vazado</v>
          </cell>
          <cell r="C1458" t="str">
            <v>m²</v>
          </cell>
          <cell r="D1458">
            <v>2.42</v>
          </cell>
          <cell r="E1458">
            <v>11.34</v>
          </cell>
          <cell r="F1458">
            <v>13.76</v>
          </cell>
        </row>
        <row r="1459">
          <cell r="A1459" t="str">
            <v>330330</v>
          </cell>
          <cell r="B1459" t="str">
            <v>Mineral impermeável</v>
          </cell>
          <cell r="C1459" t="str">
            <v>m²</v>
          </cell>
          <cell r="D1459">
            <v>1.9100000000000001</v>
          </cell>
          <cell r="E1459">
            <v>6.72</v>
          </cell>
          <cell r="F1459">
            <v>8.6300000000000008</v>
          </cell>
        </row>
        <row r="1460">
          <cell r="A1460" t="str">
            <v>330335</v>
          </cell>
          <cell r="B1460" t="str">
            <v>Pintura especial em esmalte para lousa cor verde</v>
          </cell>
          <cell r="C1460" t="str">
            <v>m²</v>
          </cell>
          <cell r="D1460">
            <v>3.41</v>
          </cell>
          <cell r="E1460">
            <v>9.66</v>
          </cell>
          <cell r="F1460">
            <v>13.07</v>
          </cell>
        </row>
        <row r="1461">
          <cell r="A1461" t="str">
            <v>330371</v>
          </cell>
          <cell r="B1461" t="str">
            <v>Verniz acrílico a base de solvente</v>
          </cell>
          <cell r="C1461" t="str">
            <v>m²</v>
          </cell>
          <cell r="D1461">
            <v>6.57</v>
          </cell>
          <cell r="E1461">
            <v>6.72</v>
          </cell>
          <cell r="F1461">
            <v>13.290000000000001</v>
          </cell>
        </row>
        <row r="1462">
          <cell r="A1462" t="str">
            <v>330374</v>
          </cell>
          <cell r="B1462" t="str">
            <v>Resina acrílica plastificante</v>
          </cell>
          <cell r="C1462" t="str">
            <v>m²</v>
          </cell>
          <cell r="D1462">
            <v>8.73</v>
          </cell>
          <cell r="E1462">
            <v>5.37</v>
          </cell>
          <cell r="F1462">
            <v>14.1</v>
          </cell>
        </row>
        <row r="1463">
          <cell r="A1463" t="str">
            <v>330375</v>
          </cell>
          <cell r="B1463" t="str">
            <v>Verniz acrílico</v>
          </cell>
          <cell r="C1463" t="str">
            <v>m²</v>
          </cell>
          <cell r="D1463">
            <v>7.15</v>
          </cell>
          <cell r="E1463">
            <v>9.19</v>
          </cell>
          <cell r="F1463">
            <v>16.34</v>
          </cell>
        </row>
        <row r="1464">
          <cell r="A1464" t="str">
            <v>330376</v>
          </cell>
          <cell r="B1464" t="str">
            <v>Hidrorrepelente incolor para fachada à base de silano-siloxano oligomérico disperso em água</v>
          </cell>
          <cell r="C1464" t="str">
            <v>m²</v>
          </cell>
          <cell r="D1464">
            <v>6.46</v>
          </cell>
          <cell r="E1464">
            <v>6.72</v>
          </cell>
          <cell r="F1464">
            <v>13.18</v>
          </cell>
        </row>
        <row r="1465">
          <cell r="A1465" t="str">
            <v>330377</v>
          </cell>
          <cell r="B1465" t="str">
            <v>Hidrorrepelente incolor para fachada à base de silano-siloxano oligomérico disperso em solvente</v>
          </cell>
          <cell r="C1465" t="str">
            <v>m²</v>
          </cell>
          <cell r="D1465">
            <v>11.25</v>
          </cell>
          <cell r="E1465">
            <v>6.72</v>
          </cell>
          <cell r="F1465">
            <v>17.97</v>
          </cell>
        </row>
        <row r="1466">
          <cell r="A1466" t="str">
            <v>330378</v>
          </cell>
          <cell r="B1466" t="str">
            <v>Verniz de proteção antipichação</v>
          </cell>
          <cell r="C1466" t="str">
            <v>m²</v>
          </cell>
          <cell r="D1466">
            <v>12.71</v>
          </cell>
          <cell r="E1466">
            <v>9.19</v>
          </cell>
          <cell r="F1466">
            <v>21.900000000000002</v>
          </cell>
        </row>
        <row r="1467">
          <cell r="A1467" t="str">
            <v>330501</v>
          </cell>
          <cell r="B1467" t="str">
            <v>Verniz fungicida para madeira</v>
          </cell>
          <cell r="C1467" t="str">
            <v>m²</v>
          </cell>
          <cell r="D1467">
            <v>3.69</v>
          </cell>
          <cell r="E1467">
            <v>6.72</v>
          </cell>
          <cell r="F1467">
            <v>10.41</v>
          </cell>
        </row>
        <row r="1468">
          <cell r="A1468" t="str">
            <v>330502</v>
          </cell>
          <cell r="B1468" t="str">
            <v>Enceramento de superfície de madeira à boneca</v>
          </cell>
          <cell r="C1468" t="str">
            <v>m²</v>
          </cell>
          <cell r="D1468">
            <v>8.1300000000000008</v>
          </cell>
          <cell r="E1468">
            <v>9.8000000000000007</v>
          </cell>
          <cell r="F1468">
            <v>17.93</v>
          </cell>
        </row>
        <row r="1469">
          <cell r="A1469" t="str">
            <v>330512</v>
          </cell>
          <cell r="B1469" t="str">
            <v>Esmalte em rodapés, baguetes ou molduras de madeira</v>
          </cell>
          <cell r="C1469" t="str">
            <v>m</v>
          </cell>
          <cell r="D1469">
            <v>1.34</v>
          </cell>
          <cell r="E1469">
            <v>1.22</v>
          </cell>
          <cell r="F1469">
            <v>2.56</v>
          </cell>
        </row>
        <row r="1470">
          <cell r="A1470" t="str">
            <v>330533</v>
          </cell>
          <cell r="B1470" t="str">
            <v>Verniz em superfície de madeira</v>
          </cell>
          <cell r="C1470" t="str">
            <v>m²</v>
          </cell>
          <cell r="D1470">
            <v>3.94</v>
          </cell>
          <cell r="E1470">
            <v>7.65</v>
          </cell>
          <cell r="F1470">
            <v>11.59</v>
          </cell>
        </row>
        <row r="1471">
          <cell r="A1471" t="str">
            <v>330536</v>
          </cell>
          <cell r="B1471" t="str">
            <v>Verniz em rodapés, baguetes ou molduras de madeira</v>
          </cell>
          <cell r="C1471" t="str">
            <v>m</v>
          </cell>
          <cell r="D1471">
            <v>1.04</v>
          </cell>
          <cell r="E1471">
            <v>0.97</v>
          </cell>
          <cell r="F1471">
            <v>2.0099999999999998</v>
          </cell>
        </row>
        <row r="1472">
          <cell r="A1472" t="str">
            <v>330602</v>
          </cell>
          <cell r="B1472" t="str">
            <v>Acrílico para quadras e pisos cimentados</v>
          </cell>
          <cell r="C1472" t="str">
            <v>m²</v>
          </cell>
          <cell r="D1472">
            <v>1.95</v>
          </cell>
          <cell r="E1472">
            <v>9.19</v>
          </cell>
          <cell r="F1472">
            <v>11.14</v>
          </cell>
        </row>
        <row r="1473">
          <cell r="A1473" t="str">
            <v>330710</v>
          </cell>
          <cell r="B1473" t="str">
            <v>Esmalte em estrutura metálica</v>
          </cell>
          <cell r="C1473" t="str">
            <v>m²</v>
          </cell>
          <cell r="D1473">
            <v>7.54</v>
          </cell>
          <cell r="E1473">
            <v>10.76</v>
          </cell>
          <cell r="F1473">
            <v>18.3</v>
          </cell>
        </row>
        <row r="1474">
          <cell r="A1474" t="str">
            <v>330713</v>
          </cell>
          <cell r="B1474" t="str">
            <v>Epóxi bicomponente em estruturas metálicas</v>
          </cell>
          <cell r="C1474" t="str">
            <v>kg</v>
          </cell>
          <cell r="D1474">
            <v>2.92</v>
          </cell>
          <cell r="E1474">
            <v>0</v>
          </cell>
          <cell r="F1474">
            <v>2.92</v>
          </cell>
        </row>
        <row r="1475">
          <cell r="A1475" t="str">
            <v>330714</v>
          </cell>
          <cell r="B1475" t="str">
            <v>Esmalte alquídico em estrutura metálica</v>
          </cell>
          <cell r="C1475" t="str">
            <v>kg</v>
          </cell>
          <cell r="D1475">
            <v>2.4900000000000002</v>
          </cell>
          <cell r="E1475">
            <v>0</v>
          </cell>
          <cell r="F1475">
            <v>2.4900000000000002</v>
          </cell>
        </row>
        <row r="1476">
          <cell r="A1476" t="str">
            <v>330731</v>
          </cell>
          <cell r="B1476" t="str">
            <v>Pintura intumescente para estrutura metálica, TRRF = 60 minutos</v>
          </cell>
          <cell r="C1476" t="str">
            <v>m²</v>
          </cell>
          <cell r="D1476">
            <v>85.16</v>
          </cell>
          <cell r="E1476">
            <v>0</v>
          </cell>
          <cell r="F1476">
            <v>85.16</v>
          </cell>
        </row>
        <row r="1477">
          <cell r="A1477" t="str">
            <v>330902</v>
          </cell>
          <cell r="B1477" t="str">
            <v>Borracha clorada para faixas demarcatórias</v>
          </cell>
          <cell r="C1477" t="str">
            <v>m</v>
          </cell>
          <cell r="D1477">
            <v>1.28</v>
          </cell>
          <cell r="E1477">
            <v>0.69000000000000006</v>
          </cell>
          <cell r="F1477">
            <v>1.97</v>
          </cell>
        </row>
        <row r="1478">
          <cell r="A1478" t="str">
            <v>331001</v>
          </cell>
          <cell r="B1478" t="str">
            <v>Tinta látex antimofo em massa, inclusive preparo</v>
          </cell>
          <cell r="C1478" t="str">
            <v>m²</v>
          </cell>
          <cell r="D1478">
            <v>3.18</v>
          </cell>
          <cell r="E1478">
            <v>9.19</v>
          </cell>
          <cell r="F1478">
            <v>12.370000000000001</v>
          </cell>
        </row>
        <row r="1479">
          <cell r="A1479" t="str">
            <v>331002</v>
          </cell>
          <cell r="B1479" t="str">
            <v>Tinta látex em massa, inclusive preparo</v>
          </cell>
          <cell r="C1479" t="str">
            <v>m²</v>
          </cell>
          <cell r="D1479">
            <v>3.94</v>
          </cell>
          <cell r="E1479">
            <v>9.19</v>
          </cell>
          <cell r="F1479">
            <v>13.13</v>
          </cell>
        </row>
        <row r="1480">
          <cell r="A1480" t="str">
            <v>331003</v>
          </cell>
          <cell r="B1480" t="str">
            <v>Tinta acrílica antimofo em massa, inclusive preparo</v>
          </cell>
          <cell r="C1480" t="str">
            <v>m²</v>
          </cell>
          <cell r="D1480">
            <v>5.07</v>
          </cell>
          <cell r="E1480">
            <v>9.19</v>
          </cell>
          <cell r="F1480">
            <v>14.26</v>
          </cell>
        </row>
        <row r="1481">
          <cell r="A1481" t="str">
            <v>331004</v>
          </cell>
          <cell r="B1481" t="str">
            <v>Esmalte em massa, inclusive preparo</v>
          </cell>
          <cell r="C1481" t="str">
            <v>m²</v>
          </cell>
          <cell r="D1481">
            <v>5.18</v>
          </cell>
          <cell r="E1481">
            <v>9.19</v>
          </cell>
          <cell r="F1481">
            <v>14.370000000000001</v>
          </cell>
        </row>
        <row r="1482">
          <cell r="A1482" t="str">
            <v>331005</v>
          </cell>
          <cell r="B1482" t="str">
            <v>Tinta acrílica em massa, inclusive preparo</v>
          </cell>
          <cell r="C1482" t="str">
            <v>m²</v>
          </cell>
          <cell r="D1482">
            <v>4.8</v>
          </cell>
          <cell r="E1482">
            <v>9.19</v>
          </cell>
          <cell r="F1482">
            <v>13.99</v>
          </cell>
        </row>
        <row r="1483">
          <cell r="A1483" t="str">
            <v>331006</v>
          </cell>
          <cell r="B1483" t="str">
            <v>Epóxi em massa, inclusive preparo</v>
          </cell>
          <cell r="C1483" t="str">
            <v>m²</v>
          </cell>
          <cell r="D1483">
            <v>26.51</v>
          </cell>
          <cell r="E1483">
            <v>19.309999999999999</v>
          </cell>
          <cell r="F1483">
            <v>45.82</v>
          </cell>
        </row>
        <row r="1484">
          <cell r="A1484" t="str">
            <v>331007</v>
          </cell>
          <cell r="B1484" t="str">
            <v>Borracha clorada em massa, inclusive preparo</v>
          </cell>
          <cell r="C1484" t="str">
            <v>m²</v>
          </cell>
          <cell r="D1484">
            <v>13.99</v>
          </cell>
          <cell r="E1484">
            <v>9.19</v>
          </cell>
          <cell r="F1484">
            <v>23.18</v>
          </cell>
        </row>
        <row r="1485">
          <cell r="A1485" t="str">
            <v>331010</v>
          </cell>
          <cell r="B1485" t="str">
            <v>Textura acrílica para uso interno / externo, inclusive preparo</v>
          </cell>
          <cell r="C1485" t="str">
            <v>m²</v>
          </cell>
          <cell r="D1485">
            <v>6.01</v>
          </cell>
          <cell r="E1485">
            <v>12.88</v>
          </cell>
          <cell r="F1485">
            <v>18.89</v>
          </cell>
        </row>
        <row r="1486">
          <cell r="A1486" t="str">
            <v>331101</v>
          </cell>
          <cell r="B1486" t="str">
            <v>Alumínio em superfície metálica, inclusive preparo</v>
          </cell>
          <cell r="C1486" t="str">
            <v>m²</v>
          </cell>
          <cell r="D1486">
            <v>7.76</v>
          </cell>
          <cell r="E1486">
            <v>12.88</v>
          </cell>
          <cell r="F1486">
            <v>20.64</v>
          </cell>
        </row>
        <row r="1487">
          <cell r="A1487" t="str">
            <v>331102</v>
          </cell>
          <cell r="B1487" t="str">
            <v>Esmalte em superfície metálica, inclusive preparo</v>
          </cell>
          <cell r="C1487" t="str">
            <v>m²</v>
          </cell>
          <cell r="D1487">
            <v>7.65</v>
          </cell>
          <cell r="E1487">
            <v>12.88</v>
          </cell>
          <cell r="F1487">
            <v>20.53</v>
          </cell>
        </row>
        <row r="1488">
          <cell r="A1488" t="str">
            <v>331103</v>
          </cell>
          <cell r="B1488" t="str">
            <v>Alumínio em superfície galvanizada e/ou alumínio, inclusive preparo</v>
          </cell>
          <cell r="C1488" t="str">
            <v>m²</v>
          </cell>
          <cell r="D1488">
            <v>7.82</v>
          </cell>
          <cell r="E1488">
            <v>12.88</v>
          </cell>
          <cell r="F1488">
            <v>20.7</v>
          </cell>
        </row>
        <row r="1489">
          <cell r="A1489" t="str">
            <v>331104</v>
          </cell>
          <cell r="B1489" t="str">
            <v>Esmalte em superfície galvanizada e/ou de alumínio, inclusive preparo</v>
          </cell>
          <cell r="C1489" t="str">
            <v>m²</v>
          </cell>
          <cell r="D1489">
            <v>7.47</v>
          </cell>
          <cell r="E1489">
            <v>12.88</v>
          </cell>
          <cell r="F1489">
            <v>20.350000000000001</v>
          </cell>
        </row>
        <row r="1490">
          <cell r="A1490" t="str">
            <v>331201</v>
          </cell>
          <cell r="B1490" t="str">
            <v>Esmalte em superfície de madeira, inclusive preparo</v>
          </cell>
          <cell r="C1490" t="str">
            <v>m²</v>
          </cell>
          <cell r="D1490">
            <v>6.75</v>
          </cell>
          <cell r="E1490">
            <v>12.88</v>
          </cell>
          <cell r="F1490">
            <v>19.63</v>
          </cell>
        </row>
        <row r="1491">
          <cell r="A1491" t="str">
            <v>340101</v>
          </cell>
          <cell r="B1491" t="str">
            <v>Terra vegetal orgânica comum</v>
          </cell>
          <cell r="C1491" t="str">
            <v>m³</v>
          </cell>
          <cell r="D1491">
            <v>94.23</v>
          </cell>
          <cell r="E1491">
            <v>24.28</v>
          </cell>
          <cell r="F1491">
            <v>118.51</v>
          </cell>
        </row>
        <row r="1492">
          <cell r="A1492" t="str">
            <v>340102</v>
          </cell>
          <cell r="B1492" t="str">
            <v>Limpeza e regularização de áreas para ajardinamento (jardins e canteiros)</v>
          </cell>
          <cell r="C1492" t="str">
            <v>m²</v>
          </cell>
          <cell r="D1492">
            <v>0</v>
          </cell>
          <cell r="E1492">
            <v>0.97</v>
          </cell>
          <cell r="F1492">
            <v>0.97</v>
          </cell>
        </row>
        <row r="1493">
          <cell r="A1493" t="str">
            <v>340202</v>
          </cell>
          <cell r="B1493" t="str">
            <v>Plantio de grama batatais em placas (praças e áreas abertas)</v>
          </cell>
          <cell r="C1493" t="str">
            <v>m²</v>
          </cell>
          <cell r="D1493">
            <v>4.68</v>
          </cell>
          <cell r="E1493">
            <v>1.57</v>
          </cell>
          <cell r="F1493">
            <v>6.25</v>
          </cell>
        </row>
        <row r="1494">
          <cell r="A1494" t="str">
            <v>340204</v>
          </cell>
          <cell r="B1494" t="str">
            <v>Plantio de grama batatais em placas (jardins e canteiros)</v>
          </cell>
          <cell r="C1494" t="str">
            <v>m²</v>
          </cell>
          <cell r="D1494">
            <v>4.3</v>
          </cell>
          <cell r="E1494">
            <v>2.35</v>
          </cell>
          <cell r="F1494">
            <v>6.65</v>
          </cell>
        </row>
        <row r="1495">
          <cell r="A1495" t="str">
            <v>340207</v>
          </cell>
          <cell r="B1495" t="str">
            <v>Forração com Lírio Amarelo, mínimo 18 mudas / m² - h= 0,50 m</v>
          </cell>
          <cell r="C1495" t="str">
            <v>m²</v>
          </cell>
          <cell r="D1495">
            <v>39.24</v>
          </cell>
          <cell r="E1495">
            <v>2.96</v>
          </cell>
          <cell r="F1495">
            <v>42.2</v>
          </cell>
        </row>
        <row r="1496">
          <cell r="A1496" t="str">
            <v>340208</v>
          </cell>
          <cell r="B1496" t="str">
            <v>Plantio de grama São Carlos em placas (jardins e canteiros)</v>
          </cell>
          <cell r="C1496" t="str">
            <v>m²</v>
          </cell>
          <cell r="D1496">
            <v>6.6000000000000005</v>
          </cell>
          <cell r="E1496">
            <v>2.35</v>
          </cell>
          <cell r="F1496">
            <v>8.9499999999999993</v>
          </cell>
        </row>
        <row r="1497">
          <cell r="A1497" t="str">
            <v>340209</v>
          </cell>
          <cell r="B1497" t="str">
            <v>Forração com Hera Inglesa, mínimo 18 mudas / m² - h= 0,15 m</v>
          </cell>
          <cell r="C1497" t="str">
            <v>m²</v>
          </cell>
          <cell r="D1497">
            <v>20.52</v>
          </cell>
          <cell r="E1497">
            <v>2.96</v>
          </cell>
          <cell r="F1497">
            <v>23.48</v>
          </cell>
        </row>
        <row r="1498">
          <cell r="A1498" t="str">
            <v>340210</v>
          </cell>
          <cell r="B1498" t="str">
            <v>Plantio de grama esmeralda em placas (jardins e canteiros)</v>
          </cell>
          <cell r="C1498" t="str">
            <v>m²</v>
          </cell>
          <cell r="D1498">
            <v>4.9000000000000004</v>
          </cell>
          <cell r="E1498">
            <v>2.35</v>
          </cell>
          <cell r="F1498">
            <v>7.25</v>
          </cell>
        </row>
        <row r="1499">
          <cell r="A1499" t="str">
            <v>340211</v>
          </cell>
          <cell r="B1499" t="str">
            <v>Forração com clorofito, mínimo de 20 mudas / m² - h= 0,15 m</v>
          </cell>
          <cell r="C1499" t="str">
            <v>m²</v>
          </cell>
          <cell r="D1499">
            <v>21.56</v>
          </cell>
          <cell r="E1499">
            <v>2.96</v>
          </cell>
          <cell r="F1499">
            <v>24.52</v>
          </cell>
        </row>
        <row r="1500">
          <cell r="A1500" t="str">
            <v>340240</v>
          </cell>
          <cell r="B1500" t="str">
            <v>Plantio de grama pelo processo hidrossemeadura</v>
          </cell>
          <cell r="C1500" t="str">
            <v>m²</v>
          </cell>
          <cell r="D1500">
            <v>2.7</v>
          </cell>
          <cell r="E1500">
            <v>0</v>
          </cell>
          <cell r="F1500">
            <v>2.7</v>
          </cell>
        </row>
        <row r="1501">
          <cell r="A1501" t="str">
            <v>340302</v>
          </cell>
          <cell r="B1501" t="str">
            <v>Arbusto Azaléa - h= 0,60 a 0,80 m</v>
          </cell>
          <cell r="C1501" t="str">
            <v>un</v>
          </cell>
          <cell r="D1501">
            <v>22.29</v>
          </cell>
          <cell r="E1501">
            <v>1.68</v>
          </cell>
          <cell r="F1501">
            <v>23.97</v>
          </cell>
        </row>
        <row r="1502">
          <cell r="A1502" t="str">
            <v>340312</v>
          </cell>
          <cell r="B1502" t="str">
            <v>Arbusto Moréia - h= 0,50 m</v>
          </cell>
          <cell r="C1502" t="str">
            <v>un</v>
          </cell>
          <cell r="D1502">
            <v>17.86</v>
          </cell>
          <cell r="E1502">
            <v>1.68</v>
          </cell>
          <cell r="F1502">
            <v>19.54</v>
          </cell>
        </row>
        <row r="1503">
          <cell r="A1503" t="str">
            <v>340313</v>
          </cell>
          <cell r="B1503" t="str">
            <v>Arbusto Alamanda - h= 0,60 a 0,80 m</v>
          </cell>
          <cell r="C1503" t="str">
            <v>un</v>
          </cell>
          <cell r="D1503">
            <v>17.399999999999999</v>
          </cell>
          <cell r="E1503">
            <v>1.68</v>
          </cell>
          <cell r="F1503">
            <v>19.079999999999998</v>
          </cell>
        </row>
        <row r="1504">
          <cell r="A1504" t="str">
            <v>340315</v>
          </cell>
          <cell r="B1504" t="str">
            <v>Arbusto Curcúligo - h= 0,60 a 0,80 m</v>
          </cell>
          <cell r="C1504" t="str">
            <v>un</v>
          </cell>
          <cell r="D1504">
            <v>18.59</v>
          </cell>
          <cell r="E1504">
            <v>1.68</v>
          </cell>
          <cell r="F1504">
            <v>20.27</v>
          </cell>
        </row>
        <row r="1505">
          <cell r="A1505" t="str">
            <v>340405</v>
          </cell>
          <cell r="B1505" t="str">
            <v>Árvore ornamental tipo Pata de Vaca - h= 2,00 m</v>
          </cell>
          <cell r="C1505" t="str">
            <v>un</v>
          </cell>
          <cell r="D1505">
            <v>41.480000000000004</v>
          </cell>
          <cell r="E1505">
            <v>14.8</v>
          </cell>
          <cell r="F1505">
            <v>56.28</v>
          </cell>
        </row>
        <row r="1506">
          <cell r="A1506" t="str">
            <v>340413</v>
          </cell>
          <cell r="B1506" t="str">
            <v>Árvore ornamental tipo Ipê Amarelo - h= 2,00 m</v>
          </cell>
          <cell r="C1506" t="str">
            <v>un</v>
          </cell>
          <cell r="D1506">
            <v>47.6</v>
          </cell>
          <cell r="E1506">
            <v>14.8</v>
          </cell>
          <cell r="F1506">
            <v>62.4</v>
          </cell>
        </row>
        <row r="1507">
          <cell r="A1507" t="str">
            <v>340416</v>
          </cell>
          <cell r="B1507" t="str">
            <v>Árvore ornamental tipo Areca Bambu - h= 2,00 m</v>
          </cell>
          <cell r="C1507" t="str">
            <v>un</v>
          </cell>
          <cell r="D1507">
            <v>51.56</v>
          </cell>
          <cell r="E1507">
            <v>14.8</v>
          </cell>
          <cell r="F1507">
            <v>66.36</v>
          </cell>
        </row>
        <row r="1508">
          <cell r="A1508" t="str">
            <v>340428</v>
          </cell>
          <cell r="B1508" t="str">
            <v>Árvore ornamental tipo Manaca-da-serra</v>
          </cell>
          <cell r="C1508" t="str">
            <v>un</v>
          </cell>
          <cell r="D1508">
            <v>133.33000000000001</v>
          </cell>
          <cell r="E1508">
            <v>7.1000000000000005</v>
          </cell>
          <cell r="F1508">
            <v>140.43</v>
          </cell>
        </row>
        <row r="1509">
          <cell r="A1509" t="str">
            <v>340436</v>
          </cell>
          <cell r="B1509" t="str">
            <v>Árvore ornamental tipo coqueiro Jerivá - h= 4,00 m</v>
          </cell>
          <cell r="C1509" t="str">
            <v>un</v>
          </cell>
          <cell r="D1509">
            <v>154.62</v>
          </cell>
          <cell r="E1509">
            <v>1.6500000000000001</v>
          </cell>
          <cell r="F1509">
            <v>156.27000000000001</v>
          </cell>
        </row>
        <row r="1510">
          <cell r="A1510" t="str">
            <v>340437</v>
          </cell>
          <cell r="B1510" t="str">
            <v>Árvore ornamental tipo Quaresmeira (Tibouchina granulosa) - h= 1,50 / 2,00 m</v>
          </cell>
          <cell r="C1510" t="str">
            <v>un</v>
          </cell>
          <cell r="D1510">
            <v>32.340000000000003</v>
          </cell>
          <cell r="E1510">
            <v>14.8</v>
          </cell>
          <cell r="F1510">
            <v>47.14</v>
          </cell>
        </row>
        <row r="1511">
          <cell r="A1511" t="str">
            <v>340501</v>
          </cell>
          <cell r="B1511" t="str">
            <v>Cerca em arame farpado com mourões de eucalipto</v>
          </cell>
          <cell r="C1511" t="str">
            <v>m</v>
          </cell>
          <cell r="D1511">
            <v>19.87</v>
          </cell>
          <cell r="E1511">
            <v>15.14</v>
          </cell>
          <cell r="F1511">
            <v>35.01</v>
          </cell>
        </row>
        <row r="1512">
          <cell r="A1512" t="str">
            <v>340502</v>
          </cell>
          <cell r="B1512" t="str">
            <v>Cerca em arame farpado com mourões de concreto</v>
          </cell>
          <cell r="C1512" t="str">
            <v>m</v>
          </cell>
          <cell r="D1512">
            <v>14.09</v>
          </cell>
          <cell r="E1512">
            <v>15.59</v>
          </cell>
          <cell r="F1512">
            <v>29.68</v>
          </cell>
        </row>
        <row r="1513">
          <cell r="A1513" t="str">
            <v>340503</v>
          </cell>
          <cell r="B1513" t="str">
            <v>Cerca em arame farpado com mourões de concreto, com ponta inclinada</v>
          </cell>
          <cell r="C1513" t="str">
            <v>m</v>
          </cell>
          <cell r="D1513">
            <v>21.080000000000002</v>
          </cell>
          <cell r="E1513">
            <v>15.59</v>
          </cell>
          <cell r="F1513">
            <v>36.67</v>
          </cell>
        </row>
        <row r="1514">
          <cell r="A1514" t="str">
            <v>340505</v>
          </cell>
          <cell r="B1514" t="str">
            <v>Cerca em tela de aço galvanizado de 2´, montantes em mourões de concreto com ponta inclinada e arame farpado</v>
          </cell>
          <cell r="C1514" t="str">
            <v>m</v>
          </cell>
          <cell r="D1514">
            <v>68.3</v>
          </cell>
          <cell r="E1514">
            <v>24.8</v>
          </cell>
          <cell r="F1514">
            <v>93.100000000000009</v>
          </cell>
        </row>
        <row r="1515">
          <cell r="A1515" t="str">
            <v>340508</v>
          </cell>
          <cell r="B1515" t="str">
            <v>Alambrado em tela de aço galvanizado de 2´, montantes metálicos e arame farpado, até 4,00 m de altura</v>
          </cell>
          <cell r="C1515" t="str">
            <v>m²</v>
          </cell>
          <cell r="D1515">
            <v>104.84</v>
          </cell>
          <cell r="E1515">
            <v>0</v>
          </cell>
          <cell r="F1515">
            <v>104.84</v>
          </cell>
        </row>
        <row r="1516">
          <cell r="A1516" t="str">
            <v>340511</v>
          </cell>
          <cell r="B1516" t="str">
            <v>Alambrado em tela de aço galvanizado de 2´, montantes metálicos e arame farpado, acima de 4,00 m de altura</v>
          </cell>
          <cell r="C1516" t="str">
            <v>m²</v>
          </cell>
          <cell r="D1516">
            <v>76.31</v>
          </cell>
          <cell r="E1516">
            <v>0</v>
          </cell>
          <cell r="F1516">
            <v>76.31</v>
          </cell>
        </row>
        <row r="1517">
          <cell r="A1517" t="str">
            <v>340512</v>
          </cell>
          <cell r="B1517" t="str">
            <v>Alambrado em tela de aço galvanizado de 1´, montantes metálicos e arame farpado</v>
          </cell>
          <cell r="C1517" t="str">
            <v>m²</v>
          </cell>
          <cell r="D1517">
            <v>87.61</v>
          </cell>
          <cell r="E1517">
            <v>0</v>
          </cell>
          <cell r="F1517">
            <v>87.61</v>
          </cell>
        </row>
        <row r="1518">
          <cell r="A1518" t="str">
            <v>340517</v>
          </cell>
          <cell r="B1518" t="str">
            <v>Barreira de proteção perimetral em aço inoxidável AISI 430, dupla</v>
          </cell>
          <cell r="C1518" t="str">
            <v>m</v>
          </cell>
          <cell r="D1518">
            <v>27.54</v>
          </cell>
          <cell r="E1518">
            <v>0</v>
          </cell>
          <cell r="F1518">
            <v>27.54</v>
          </cell>
        </row>
        <row r="1519">
          <cell r="A1519" t="str">
            <v>340519</v>
          </cell>
          <cell r="B1519" t="str">
            <v>Cerca em arame farpado com mourões de concreto com ponta inclinada, 12 fiadas</v>
          </cell>
          <cell r="C1519" t="str">
            <v>m</v>
          </cell>
          <cell r="D1519">
            <v>22.44</v>
          </cell>
          <cell r="E1519">
            <v>15.59</v>
          </cell>
          <cell r="F1519">
            <v>38.03</v>
          </cell>
        </row>
        <row r="1520">
          <cell r="A1520" t="str">
            <v>340521</v>
          </cell>
          <cell r="B1520" t="str">
            <v>Alambrado em tela de aço galvanizado de 2´, montantes metálicos com extremo superior duplo e arame farpado, acima de 4,00 m de altura</v>
          </cell>
          <cell r="C1520" t="str">
            <v>m²</v>
          </cell>
          <cell r="D1520">
            <v>103.51</v>
          </cell>
          <cell r="E1520">
            <v>0</v>
          </cell>
          <cell r="F1520">
            <v>103.51</v>
          </cell>
        </row>
        <row r="1521">
          <cell r="A1521" t="str">
            <v>340526</v>
          </cell>
          <cell r="B1521" t="str">
            <v>Gradil em aço galvanizado eletrofundido, malha 65 x 132 mm, e pintura eletrostática</v>
          </cell>
          <cell r="C1521" t="str">
            <v>m²</v>
          </cell>
          <cell r="D1521">
            <v>158.29</v>
          </cell>
          <cell r="E1521">
            <v>31.89</v>
          </cell>
          <cell r="F1521">
            <v>190.18</v>
          </cell>
        </row>
        <row r="1522">
          <cell r="A1522" t="str">
            <v>340527</v>
          </cell>
          <cell r="B1522" t="str">
            <v>Alambrado em tela de aço galvanizado de 2´, montantes metálicos retos</v>
          </cell>
          <cell r="C1522" t="str">
            <v>m²</v>
          </cell>
          <cell r="D1522">
            <v>75.58</v>
          </cell>
          <cell r="E1522">
            <v>0</v>
          </cell>
          <cell r="F1522">
            <v>75.58</v>
          </cell>
        </row>
        <row r="1523">
          <cell r="A1523" t="str">
            <v>340529</v>
          </cell>
          <cell r="B1523" t="str">
            <v>Portão de abrir em grade de aço galvanizado eletrofundida, malha 65 x 132 mm, e pintura eletrostática</v>
          </cell>
          <cell r="C1523" t="str">
            <v>m²</v>
          </cell>
          <cell r="D1523">
            <v>930.25</v>
          </cell>
          <cell r="E1523">
            <v>47.47</v>
          </cell>
          <cell r="F1523">
            <v>977.72</v>
          </cell>
        </row>
        <row r="1524">
          <cell r="A1524" t="str">
            <v>340530</v>
          </cell>
          <cell r="B1524" t="str">
            <v>Portão de correr em grade de aço galvanizado eletrofundida, malha 65 x 132 mm, e pintura eletrostática</v>
          </cell>
          <cell r="C1524" t="str">
            <v>m²</v>
          </cell>
          <cell r="D1524">
            <v>604.05999999999995</v>
          </cell>
          <cell r="E1524">
            <v>47.47</v>
          </cell>
          <cell r="F1524">
            <v>651.53</v>
          </cell>
        </row>
        <row r="1525">
          <cell r="A1525" t="str">
            <v>340531</v>
          </cell>
          <cell r="B1525" t="str">
            <v>Gradil de ferro perfilado, tipo parque</v>
          </cell>
          <cell r="C1525" t="str">
            <v>m²</v>
          </cell>
          <cell r="D1525">
            <v>170.77</v>
          </cell>
          <cell r="E1525">
            <v>12.530000000000001</v>
          </cell>
          <cell r="F1525">
            <v>183.3</v>
          </cell>
        </row>
        <row r="1526">
          <cell r="A1526" t="str">
            <v>340532</v>
          </cell>
          <cell r="B1526" t="str">
            <v>Portão de ferro perfilado, tipo parque</v>
          </cell>
          <cell r="C1526" t="str">
            <v>m²</v>
          </cell>
          <cell r="D1526">
            <v>267.04000000000002</v>
          </cell>
          <cell r="E1526">
            <v>13.780000000000001</v>
          </cell>
          <cell r="F1526">
            <v>280.82</v>
          </cell>
        </row>
        <row r="1527">
          <cell r="A1527" t="str">
            <v>340533</v>
          </cell>
          <cell r="B1527" t="str">
            <v>Cerca de arame liso com mourões de concreto reto</v>
          </cell>
          <cell r="C1527" t="str">
            <v>m</v>
          </cell>
          <cell r="D1527">
            <v>18.46</v>
          </cell>
          <cell r="E1527">
            <v>12.450000000000001</v>
          </cell>
          <cell r="F1527">
            <v>30.91</v>
          </cell>
        </row>
        <row r="1528">
          <cell r="A1528" t="str">
            <v>340535</v>
          </cell>
          <cell r="B1528" t="str">
            <v>Portão de abrir em gradil eletrofundido, malha 5 x 15 cm</v>
          </cell>
          <cell r="C1528" t="str">
            <v>m²</v>
          </cell>
          <cell r="D1528">
            <v>665.25</v>
          </cell>
          <cell r="E1528">
            <v>37.369999999999997</v>
          </cell>
          <cell r="F1528">
            <v>702.62</v>
          </cell>
        </row>
        <row r="1529">
          <cell r="A1529" t="str">
            <v>340536</v>
          </cell>
          <cell r="B1529" t="str">
            <v>Gradil tela eletrosoldado, malha de 5 x 15cm, galvanizado</v>
          </cell>
          <cell r="C1529" t="str">
            <v>m²</v>
          </cell>
          <cell r="D1529">
            <v>65.69</v>
          </cell>
          <cell r="E1529">
            <v>46.53</v>
          </cell>
          <cell r="F1529">
            <v>112.22</v>
          </cell>
        </row>
        <row r="1530">
          <cell r="A1530" t="str">
            <v>340537</v>
          </cell>
          <cell r="B1530" t="str">
            <v>Fechamento de divisa - mourão com placas pré moldadas</v>
          </cell>
          <cell r="C1530" t="str">
            <v>m</v>
          </cell>
          <cell r="D1530">
            <v>73.95</v>
          </cell>
          <cell r="E1530">
            <v>25.18</v>
          </cell>
          <cell r="F1530">
            <v>99.13</v>
          </cell>
        </row>
        <row r="1531">
          <cell r="A1531" t="str">
            <v>340778</v>
          </cell>
          <cell r="B1531" t="str">
            <v>Árvore tipo Aroeira salsa - h= 2,00 m</v>
          </cell>
          <cell r="C1531" t="str">
            <v>un</v>
          </cell>
          <cell r="D1531">
            <v>106.41</v>
          </cell>
          <cell r="E1531">
            <v>1.6500000000000001</v>
          </cell>
          <cell r="F1531">
            <v>108.06</v>
          </cell>
        </row>
        <row r="1532">
          <cell r="A1532" t="str">
            <v>341241</v>
          </cell>
          <cell r="B1532" t="str">
            <v>Árvore do tipo Falso barbatimão - h = 2,00m</v>
          </cell>
          <cell r="C1532" t="str">
            <v>un</v>
          </cell>
          <cell r="D1532">
            <v>113.07000000000001</v>
          </cell>
          <cell r="E1532">
            <v>1.6500000000000001</v>
          </cell>
          <cell r="F1532">
            <v>114.72</v>
          </cell>
        </row>
        <row r="1533">
          <cell r="A1533" t="str">
            <v>342005</v>
          </cell>
          <cell r="B1533" t="str">
            <v>Tela de arame galvanizado fio nº 22 BWG, malha de 2´, tipo galinheiro</v>
          </cell>
          <cell r="C1533" t="str">
            <v>m²</v>
          </cell>
          <cell r="D1533">
            <v>3.39</v>
          </cell>
          <cell r="E1533">
            <v>3.73</v>
          </cell>
          <cell r="F1533">
            <v>7.12</v>
          </cell>
        </row>
        <row r="1534">
          <cell r="A1534" t="str">
            <v>342008</v>
          </cell>
          <cell r="B1534" t="str">
            <v>Tela de aço galvanizado fio nº 10 BWG, malha de 2´, tipo alambrado de segurança</v>
          </cell>
          <cell r="C1534" t="str">
            <v>m²</v>
          </cell>
          <cell r="D1534">
            <v>27.44</v>
          </cell>
          <cell r="E1534">
            <v>5.12</v>
          </cell>
          <cell r="F1534">
            <v>32.56</v>
          </cell>
        </row>
        <row r="1535">
          <cell r="A1535" t="str">
            <v>342011</v>
          </cell>
          <cell r="B1535" t="str">
            <v>Recolocação de barreira de proteção perimetral, simples ou dupla</v>
          </cell>
          <cell r="C1535" t="str">
            <v>m</v>
          </cell>
          <cell r="D1535">
            <v>7.24</v>
          </cell>
          <cell r="E1535">
            <v>0</v>
          </cell>
          <cell r="F1535">
            <v>7.24</v>
          </cell>
        </row>
        <row r="1536">
          <cell r="A1536" t="str">
            <v>342012</v>
          </cell>
          <cell r="B1536" t="str">
            <v>Seixo rolado</v>
          </cell>
          <cell r="C1536" t="str">
            <v>m³</v>
          </cell>
          <cell r="D1536">
            <v>305.2</v>
          </cell>
          <cell r="E1536">
            <v>38.840000000000003</v>
          </cell>
          <cell r="F1536">
            <v>344.04</v>
          </cell>
        </row>
        <row r="1537">
          <cell r="A1537" t="str">
            <v>342016</v>
          </cell>
          <cell r="B1537" t="str">
            <v>Recolocação de alambrado, com altura até 4,50 m</v>
          </cell>
          <cell r="C1537" t="str">
            <v>m²</v>
          </cell>
          <cell r="D1537">
            <v>0.73</v>
          </cell>
          <cell r="E1537">
            <v>7.76</v>
          </cell>
          <cell r="F1537">
            <v>8.49</v>
          </cell>
        </row>
        <row r="1538">
          <cell r="A1538" t="str">
            <v>342017</v>
          </cell>
          <cell r="B1538" t="str">
            <v>Recolocação de alambrado, com altura acima de 4,50 m</v>
          </cell>
          <cell r="C1538" t="str">
            <v>m²</v>
          </cell>
          <cell r="D1538">
            <v>0.76</v>
          </cell>
          <cell r="E1538">
            <v>10.39</v>
          </cell>
          <cell r="F1538">
            <v>11.15</v>
          </cell>
        </row>
        <row r="1539">
          <cell r="A1539" t="str">
            <v>342038</v>
          </cell>
          <cell r="B1539" t="str">
            <v>Suporte para apoio de bicicletas em tubo de aço galvanizado, diâmetro de 2 1/2´</v>
          </cell>
          <cell r="C1539" t="str">
            <v>un</v>
          </cell>
          <cell r="D1539">
            <v>142.94999999999999</v>
          </cell>
          <cell r="E1539">
            <v>85.23</v>
          </cell>
          <cell r="F1539">
            <v>228.18</v>
          </cell>
        </row>
        <row r="1540">
          <cell r="A1540" t="str">
            <v>350107</v>
          </cell>
          <cell r="B1540" t="str">
            <v>Tela de arame galvanizado fio nº 12 BWG, malha de 2´</v>
          </cell>
          <cell r="C1540" t="str">
            <v>m²</v>
          </cell>
          <cell r="D1540">
            <v>17.8</v>
          </cell>
          <cell r="E1540">
            <v>3.22</v>
          </cell>
          <cell r="F1540">
            <v>21.02</v>
          </cell>
        </row>
        <row r="1541">
          <cell r="A1541" t="str">
            <v>350115</v>
          </cell>
          <cell r="B1541" t="str">
            <v>Trave oficial completa com rede para futebol de salão</v>
          </cell>
          <cell r="C1541" t="str">
            <v>cj</v>
          </cell>
          <cell r="D1541">
            <v>772.72</v>
          </cell>
          <cell r="E1541">
            <v>77.3</v>
          </cell>
          <cell r="F1541">
            <v>850.02</v>
          </cell>
        </row>
        <row r="1542">
          <cell r="A1542" t="str">
            <v>350116</v>
          </cell>
          <cell r="B1542" t="str">
            <v>Tabela completa com suporte e rede para basquete</v>
          </cell>
          <cell r="C1542" t="str">
            <v>un</v>
          </cell>
          <cell r="D1542">
            <v>909.63</v>
          </cell>
          <cell r="E1542">
            <v>955.12</v>
          </cell>
          <cell r="F1542">
            <v>1864.75</v>
          </cell>
        </row>
        <row r="1543">
          <cell r="A1543" t="str">
            <v>350117</v>
          </cell>
          <cell r="B1543" t="str">
            <v>Poste oficial completo com rede para voleibol</v>
          </cell>
          <cell r="C1543" t="str">
            <v>cj</v>
          </cell>
          <cell r="D1543">
            <v>659.75</v>
          </cell>
          <cell r="E1543">
            <v>77.3</v>
          </cell>
          <cell r="F1543">
            <v>737.05000000000007</v>
          </cell>
        </row>
        <row r="1544">
          <cell r="A1544" t="str">
            <v>350155</v>
          </cell>
          <cell r="B1544" t="str">
            <v>Piso em fibra de polipropileno corrugado para quadra de esportes, inclusive pintura</v>
          </cell>
          <cell r="C1544" t="str">
            <v>m²</v>
          </cell>
          <cell r="D1544">
            <v>55.92</v>
          </cell>
          <cell r="E1544">
            <v>14.780000000000001</v>
          </cell>
          <cell r="F1544">
            <v>70.7</v>
          </cell>
        </row>
        <row r="1545">
          <cell r="A1545" t="str">
            <v>350306</v>
          </cell>
          <cell r="B1545" t="str">
            <v>Cancela manual, metálica, com barreira até 3,50 m</v>
          </cell>
          <cell r="C1545" t="str">
            <v>un</v>
          </cell>
          <cell r="D1545">
            <v>1506.25</v>
          </cell>
          <cell r="E1545">
            <v>31.18</v>
          </cell>
          <cell r="F1545">
            <v>1537.43</v>
          </cell>
        </row>
        <row r="1546">
          <cell r="A1546" t="str">
            <v>350402</v>
          </cell>
          <cell r="B1546" t="str">
            <v>Banco contínuo em concreto vazado</v>
          </cell>
          <cell r="C1546" t="str">
            <v>m</v>
          </cell>
          <cell r="D1546">
            <v>49.43</v>
          </cell>
          <cell r="E1546">
            <v>45.81</v>
          </cell>
          <cell r="F1546">
            <v>95.24</v>
          </cell>
        </row>
        <row r="1547">
          <cell r="A1547" t="str">
            <v>350412</v>
          </cell>
          <cell r="B1547" t="str">
            <v>Banco em concreto pré-moldado, dimensões 150 x 45 x 45 cm</v>
          </cell>
          <cell r="C1547" t="str">
            <v>un</v>
          </cell>
          <cell r="D1547">
            <v>264.76</v>
          </cell>
          <cell r="E1547">
            <v>10.4</v>
          </cell>
          <cell r="F1547">
            <v>275.16000000000003</v>
          </cell>
        </row>
        <row r="1548">
          <cell r="A1548" t="str">
            <v>350413</v>
          </cell>
          <cell r="B1548" t="str">
            <v>Banco de madeira sobre alvenaria</v>
          </cell>
          <cell r="C1548" t="str">
            <v>m²</v>
          </cell>
          <cell r="D1548">
            <v>76.83</v>
          </cell>
          <cell r="E1548">
            <v>27.59</v>
          </cell>
          <cell r="F1548">
            <v>104.42</v>
          </cell>
        </row>
        <row r="1549">
          <cell r="A1549" t="str">
            <v>350520</v>
          </cell>
          <cell r="B1549" t="str">
            <v>Centro de atividades em madeira rústica</v>
          </cell>
          <cell r="C1549" t="str">
            <v>cj</v>
          </cell>
          <cell r="D1549">
            <v>2647.76</v>
          </cell>
          <cell r="E1549">
            <v>102.67</v>
          </cell>
          <cell r="F1549">
            <v>2750.43</v>
          </cell>
        </row>
        <row r="1550">
          <cell r="A1550" t="str">
            <v>350521</v>
          </cell>
          <cell r="B1550" t="str">
            <v>Balanço duplo em madeira rústica</v>
          </cell>
          <cell r="C1550" t="str">
            <v>cj</v>
          </cell>
          <cell r="D1550">
            <v>1123.68</v>
          </cell>
          <cell r="E1550">
            <v>102.67</v>
          </cell>
          <cell r="F1550">
            <v>1226.3499999999999</v>
          </cell>
        </row>
        <row r="1551">
          <cell r="A1551" t="str">
            <v>350522</v>
          </cell>
          <cell r="B1551" t="str">
            <v>Gangorra dupla em madeira rústica</v>
          </cell>
          <cell r="C1551" t="str">
            <v>cj</v>
          </cell>
          <cell r="D1551">
            <v>838.47</v>
          </cell>
          <cell r="E1551">
            <v>102.67</v>
          </cell>
          <cell r="F1551">
            <v>941.14</v>
          </cell>
        </row>
        <row r="1552">
          <cell r="A1552" t="str">
            <v>350524</v>
          </cell>
          <cell r="B1552" t="str">
            <v>Gira-gira em ferro com assento de madeira (8 lugares)</v>
          </cell>
          <cell r="C1552" t="str">
            <v>cj</v>
          </cell>
          <cell r="D1552">
            <v>1044.32</v>
          </cell>
          <cell r="E1552">
            <v>102.67</v>
          </cell>
          <cell r="F1552">
            <v>1146.99</v>
          </cell>
        </row>
        <row r="1553">
          <cell r="A1553" t="str">
            <v>350702</v>
          </cell>
          <cell r="B1553" t="str">
            <v>Plataforma com 3 mastros galvanizados, h= 7,00 m</v>
          </cell>
          <cell r="C1553" t="str">
            <v>cj</v>
          </cell>
          <cell r="D1553">
            <v>2506.84</v>
          </cell>
          <cell r="E1553">
            <v>163.31</v>
          </cell>
          <cell r="F1553">
            <v>2670.15</v>
          </cell>
        </row>
        <row r="1554">
          <cell r="A1554" t="str">
            <v>350703</v>
          </cell>
          <cell r="B1554" t="str">
            <v>Plataforma com 3 mastros galvanizados, h= 9,00 m</v>
          </cell>
          <cell r="C1554" t="str">
            <v>cj</v>
          </cell>
          <cell r="D1554">
            <v>3164.56</v>
          </cell>
          <cell r="E1554">
            <v>163.31</v>
          </cell>
          <cell r="F1554">
            <v>3327.87</v>
          </cell>
        </row>
        <row r="1555">
          <cell r="A1555" t="str">
            <v>350706</v>
          </cell>
          <cell r="B1555" t="str">
            <v>Mastro para bandeira galvanizado, h= 9,00 m</v>
          </cell>
          <cell r="C1555" t="str">
            <v>un</v>
          </cell>
          <cell r="D1555">
            <v>1043.21</v>
          </cell>
          <cell r="E1555">
            <v>24.22</v>
          </cell>
          <cell r="F1555">
            <v>1067.43</v>
          </cell>
        </row>
        <row r="1556">
          <cell r="A1556" t="str">
            <v>350707</v>
          </cell>
          <cell r="B1556" t="str">
            <v>Mastro para bandeira galvanizado, h= 7,00 m</v>
          </cell>
          <cell r="C1556" t="str">
            <v>un</v>
          </cell>
          <cell r="D1556">
            <v>823.99</v>
          </cell>
          <cell r="E1556">
            <v>24.22</v>
          </cell>
          <cell r="F1556">
            <v>848.21</v>
          </cell>
        </row>
        <row r="1557">
          <cell r="A1557" t="str">
            <v>352001</v>
          </cell>
          <cell r="B1557" t="str">
            <v>Tela em poliamida (nylon), malha 10 x 10 cm, fio 2 mm</v>
          </cell>
          <cell r="C1557" t="str">
            <v>m²</v>
          </cell>
          <cell r="D1557">
            <v>8.3699999999999992</v>
          </cell>
          <cell r="E1557">
            <v>0</v>
          </cell>
          <cell r="F1557">
            <v>8.3699999999999992</v>
          </cell>
        </row>
        <row r="1558">
          <cell r="A1558" t="str">
            <v>360124</v>
          </cell>
          <cell r="B1558" t="str">
            <v>Cubículo de média tensão, para uso ao tempo, classe 25 kV</v>
          </cell>
          <cell r="C1558" t="str">
            <v>cj</v>
          </cell>
          <cell r="D1558">
            <v>77678.240000000005</v>
          </cell>
          <cell r="E1558">
            <v>122.07000000000001</v>
          </cell>
          <cell r="F1558">
            <v>77800.31</v>
          </cell>
        </row>
        <row r="1559">
          <cell r="A1559" t="str">
            <v>360125</v>
          </cell>
          <cell r="B1559" t="str">
            <v>Cubículo de média tensão, para uso ao tempo, classe 15 kV</v>
          </cell>
          <cell r="C1559" t="str">
            <v>cj</v>
          </cell>
          <cell r="D1559">
            <v>55503.24</v>
          </cell>
          <cell r="E1559">
            <v>122.07000000000001</v>
          </cell>
          <cell r="F1559">
            <v>55625.31</v>
          </cell>
        </row>
        <row r="1560">
          <cell r="A1560" t="str">
            <v>360126</v>
          </cell>
          <cell r="B1560" t="str">
            <v>Cubículo de entrada e medição para uso abrigado, classe 15 kV</v>
          </cell>
          <cell r="C1560" t="str">
            <v>un</v>
          </cell>
          <cell r="D1560">
            <v>59962.239999999998</v>
          </cell>
          <cell r="E1560">
            <v>244.14000000000001</v>
          </cell>
          <cell r="F1560">
            <v>60206.380000000005</v>
          </cell>
        </row>
        <row r="1561">
          <cell r="A1561" t="str">
            <v>360301</v>
          </cell>
          <cell r="B1561" t="str">
            <v>Caixa de medição tipo II (300 x 560 x 200) mm, padrão concessionárias</v>
          </cell>
          <cell r="C1561" t="str">
            <v>un</v>
          </cell>
          <cell r="D1561">
            <v>75.150000000000006</v>
          </cell>
          <cell r="E1561">
            <v>79.84</v>
          </cell>
          <cell r="F1561">
            <v>154.99</v>
          </cell>
        </row>
        <row r="1562">
          <cell r="A1562" t="str">
            <v>360302</v>
          </cell>
          <cell r="B1562" t="str">
            <v>Caixa de medição polifásica (500 x 600 x 200) mm, padrão concessionárias</v>
          </cell>
          <cell r="C1562" t="str">
            <v>un</v>
          </cell>
          <cell r="D1562">
            <v>123.32000000000001</v>
          </cell>
          <cell r="E1562">
            <v>79.84</v>
          </cell>
          <cell r="F1562">
            <v>203.16</v>
          </cell>
        </row>
        <row r="1563">
          <cell r="A1563" t="str">
            <v>360303</v>
          </cell>
          <cell r="B1563" t="str">
            <v>Caixa de medição externa tipo ´L´ (900 x 600 x 270) mm, padrão Eletropaulo</v>
          </cell>
          <cell r="C1563" t="str">
            <v>un</v>
          </cell>
          <cell r="D1563">
            <v>270.89999999999998</v>
          </cell>
          <cell r="E1563">
            <v>90.960000000000008</v>
          </cell>
          <cell r="F1563">
            <v>361.86</v>
          </cell>
        </row>
        <row r="1564">
          <cell r="A1564" t="str">
            <v>360305</v>
          </cell>
          <cell r="B1564" t="str">
            <v>Caixa de medição externa tipo ´N´ (1300 x 1200 x 270) mm, padrão Eletropaulo</v>
          </cell>
          <cell r="C1564" t="str">
            <v>un</v>
          </cell>
          <cell r="D1564">
            <v>982.63</v>
          </cell>
          <cell r="E1564">
            <v>90.960000000000008</v>
          </cell>
          <cell r="F1564">
            <v>1073.5899999999999</v>
          </cell>
        </row>
        <row r="1565">
          <cell r="A1565" t="str">
            <v>360306</v>
          </cell>
          <cell r="B1565" t="str">
            <v>Caixa de medição externa tipo ´M´ (900 x 1200 x 270) mm, padrão Eletropaulo</v>
          </cell>
          <cell r="C1565" t="str">
            <v>un</v>
          </cell>
          <cell r="D1565">
            <v>677.52</v>
          </cell>
          <cell r="E1565">
            <v>90.960000000000008</v>
          </cell>
          <cell r="F1565">
            <v>768.48</v>
          </cell>
        </row>
        <row r="1566">
          <cell r="A1566" t="str">
            <v>360308</v>
          </cell>
          <cell r="B1566" t="str">
            <v>Caixa para seccionadora tipo ´T´ (900 x 600 x 250) mm, padrão Eletropaulo</v>
          </cell>
          <cell r="C1566" t="str">
            <v>un</v>
          </cell>
          <cell r="D1566">
            <v>251.59</v>
          </cell>
          <cell r="E1566">
            <v>68.22</v>
          </cell>
          <cell r="F1566">
            <v>319.81</v>
          </cell>
        </row>
        <row r="1567">
          <cell r="A1567" t="str">
            <v>360309</v>
          </cell>
          <cell r="B1567" t="str">
            <v>Caixa de medição interna tipo ´A1´ (1000 x 1000 x 300) mm, padrão Eletropaulo</v>
          </cell>
          <cell r="C1567" t="str">
            <v>un</v>
          </cell>
          <cell r="D1567">
            <v>928.66</v>
          </cell>
          <cell r="E1567">
            <v>95.91</v>
          </cell>
          <cell r="F1567">
            <v>1024.57</v>
          </cell>
        </row>
        <row r="1568">
          <cell r="A1568" t="str">
            <v>360312</v>
          </cell>
          <cell r="B1568" t="str">
            <v>Caixa de proteção para transformador de corrente, (1000 x 750 x 300) mm, padrão CPFL</v>
          </cell>
          <cell r="C1568" t="str">
            <v>un</v>
          </cell>
          <cell r="D1568">
            <v>337.18</v>
          </cell>
          <cell r="E1568">
            <v>90.960000000000008</v>
          </cell>
          <cell r="F1568">
            <v>428.14</v>
          </cell>
        </row>
        <row r="1569">
          <cell r="A1569" t="str">
            <v>360313</v>
          </cell>
          <cell r="B1569" t="str">
            <v>Caixa de proteção dos bornes do medidor, (300 x 250 x 90) mm, padrão CPFL</v>
          </cell>
          <cell r="C1569" t="str">
            <v>un</v>
          </cell>
          <cell r="D1569">
            <v>31.060000000000002</v>
          </cell>
          <cell r="E1569">
            <v>45.480000000000004</v>
          </cell>
          <cell r="F1569">
            <v>76.540000000000006</v>
          </cell>
        </row>
        <row r="1570">
          <cell r="A1570" t="str">
            <v>360315</v>
          </cell>
          <cell r="B1570" t="str">
            <v>Caixa de entrada tipo ´E´ (560 x 350 x 210) mm - padrão Eletropaulo</v>
          </cell>
          <cell r="C1570" t="str">
            <v>un</v>
          </cell>
          <cell r="D1570">
            <v>116.32000000000001</v>
          </cell>
          <cell r="E1570">
            <v>79.84</v>
          </cell>
          <cell r="F1570">
            <v>196.16</v>
          </cell>
        </row>
        <row r="1571">
          <cell r="A1571" t="str">
            <v>360316</v>
          </cell>
          <cell r="B1571" t="str">
            <v>Caixa base lateral tipo ´N´ (130 x 40 x 25) cm</v>
          </cell>
          <cell r="C1571" t="str">
            <v>un</v>
          </cell>
          <cell r="D1571">
            <v>255.83</v>
          </cell>
          <cell r="E1571">
            <v>90.960000000000008</v>
          </cell>
          <cell r="F1571">
            <v>346.79</v>
          </cell>
        </row>
        <row r="1572">
          <cell r="A1572" t="str">
            <v>360401</v>
          </cell>
          <cell r="B1572" t="str">
            <v>Suporte para 1 isolador de baixa tensão</v>
          </cell>
          <cell r="C1572" t="str">
            <v>un</v>
          </cell>
          <cell r="D1572">
            <v>8.02</v>
          </cell>
          <cell r="E1572">
            <v>6.82</v>
          </cell>
          <cell r="F1572">
            <v>14.84</v>
          </cell>
        </row>
        <row r="1573">
          <cell r="A1573" t="str">
            <v>360403</v>
          </cell>
          <cell r="B1573" t="str">
            <v>Suporte para 2 isoladores de baixa tensão</v>
          </cell>
          <cell r="C1573" t="str">
            <v>un</v>
          </cell>
          <cell r="D1573">
            <v>16.12</v>
          </cell>
          <cell r="E1573">
            <v>6.82</v>
          </cell>
          <cell r="F1573">
            <v>22.94</v>
          </cell>
        </row>
        <row r="1574">
          <cell r="A1574" t="str">
            <v>360405</v>
          </cell>
          <cell r="B1574" t="str">
            <v>Suporte para 3 isoladores de baixa tensão</v>
          </cell>
          <cell r="C1574" t="str">
            <v>un</v>
          </cell>
          <cell r="D1574">
            <v>26.330000000000002</v>
          </cell>
          <cell r="E1574">
            <v>6.82</v>
          </cell>
          <cell r="F1574">
            <v>33.15</v>
          </cell>
        </row>
        <row r="1575">
          <cell r="A1575" t="str">
            <v>360407</v>
          </cell>
          <cell r="B1575" t="str">
            <v>Suporte para 4 isoladores de baixa tensão</v>
          </cell>
          <cell r="C1575" t="str">
            <v>un</v>
          </cell>
          <cell r="D1575">
            <v>36.54</v>
          </cell>
          <cell r="E1575">
            <v>6.82</v>
          </cell>
          <cell r="F1575">
            <v>43.36</v>
          </cell>
        </row>
        <row r="1576">
          <cell r="A1576" t="str">
            <v>360501</v>
          </cell>
          <cell r="B1576" t="str">
            <v>Isolador tipo roldana para baixa tensão de 76 x 79 mm</v>
          </cell>
          <cell r="C1576" t="str">
            <v>un</v>
          </cell>
          <cell r="D1576">
            <v>10.89</v>
          </cell>
          <cell r="E1576">
            <v>4.55</v>
          </cell>
          <cell r="F1576">
            <v>15.44</v>
          </cell>
        </row>
        <row r="1577">
          <cell r="A1577" t="str">
            <v>360502</v>
          </cell>
          <cell r="B1577" t="str">
            <v>Isolador tipo castanha incluindo grampo de sustentação</v>
          </cell>
          <cell r="C1577" t="str">
            <v>un</v>
          </cell>
          <cell r="D1577">
            <v>5.5</v>
          </cell>
          <cell r="E1577">
            <v>4.55</v>
          </cell>
          <cell r="F1577">
            <v>10.050000000000001</v>
          </cell>
        </row>
        <row r="1578">
          <cell r="A1578" t="str">
            <v>360503</v>
          </cell>
          <cell r="B1578" t="str">
            <v>Isolador tipo disco para 23 kV (poste)</v>
          </cell>
          <cell r="C1578" t="str">
            <v>un</v>
          </cell>
          <cell r="D1578">
            <v>48.75</v>
          </cell>
          <cell r="E1578">
            <v>6.78</v>
          </cell>
          <cell r="F1578">
            <v>55.53</v>
          </cell>
        </row>
        <row r="1579">
          <cell r="A1579" t="str">
            <v>360504</v>
          </cell>
          <cell r="B1579" t="str">
            <v>Isolador tipo disco para 15 kV de 6´ - 150 mm</v>
          </cell>
          <cell r="C1579" t="str">
            <v>un</v>
          </cell>
          <cell r="D1579">
            <v>28.51</v>
          </cell>
          <cell r="E1579">
            <v>4.55</v>
          </cell>
          <cell r="F1579">
            <v>33.06</v>
          </cell>
        </row>
        <row r="1580">
          <cell r="A1580" t="str">
            <v>360507</v>
          </cell>
          <cell r="B1580" t="str">
            <v>Isolador tipo pino para 25 kV, inclusive pino (poste)</v>
          </cell>
          <cell r="C1580" t="str">
            <v>un</v>
          </cell>
          <cell r="D1580">
            <v>28.37</v>
          </cell>
          <cell r="E1580">
            <v>17.059999999999999</v>
          </cell>
          <cell r="F1580">
            <v>45.43</v>
          </cell>
        </row>
        <row r="1581">
          <cell r="A1581" t="str">
            <v>360508</v>
          </cell>
          <cell r="B1581" t="str">
            <v>Isolador tipo pino para 15 kV, inclusive pino (poste)</v>
          </cell>
          <cell r="C1581" t="str">
            <v>un</v>
          </cell>
          <cell r="D1581">
            <v>22.04</v>
          </cell>
          <cell r="E1581">
            <v>17.059999999999999</v>
          </cell>
          <cell r="F1581">
            <v>39.1</v>
          </cell>
        </row>
        <row r="1582">
          <cell r="A1582" t="str">
            <v>360510</v>
          </cell>
          <cell r="B1582" t="str">
            <v>Isolador pedestal para 15 kV</v>
          </cell>
          <cell r="C1582" t="str">
            <v>un</v>
          </cell>
          <cell r="D1582">
            <v>48.68</v>
          </cell>
          <cell r="E1582">
            <v>4.55</v>
          </cell>
          <cell r="F1582">
            <v>53.230000000000004</v>
          </cell>
        </row>
        <row r="1583">
          <cell r="A1583" t="str">
            <v>360511</v>
          </cell>
          <cell r="B1583" t="str">
            <v>Isolador pedestal para 25 kV</v>
          </cell>
          <cell r="C1583" t="str">
            <v>un</v>
          </cell>
          <cell r="D1583">
            <v>65.2</v>
          </cell>
          <cell r="E1583">
            <v>4.55</v>
          </cell>
          <cell r="F1583">
            <v>69.75</v>
          </cell>
        </row>
        <row r="1584">
          <cell r="A1584" t="str">
            <v>360601</v>
          </cell>
          <cell r="B1584" t="str">
            <v>Terminal modular (mufla) unipolar interno para cabo até 120 mm²/25 kV</v>
          </cell>
          <cell r="C1584" t="str">
            <v>cj</v>
          </cell>
          <cell r="D1584">
            <v>259.19</v>
          </cell>
          <cell r="E1584">
            <v>11.370000000000001</v>
          </cell>
          <cell r="F1584">
            <v>270.56</v>
          </cell>
        </row>
        <row r="1585">
          <cell r="A1585" t="str">
            <v>360603</v>
          </cell>
          <cell r="B1585" t="str">
            <v>Terminal modular (mufla) unipolar externo para cabo até 70 mm²/25 kV</v>
          </cell>
          <cell r="C1585" t="str">
            <v>cj</v>
          </cell>
          <cell r="D1585">
            <v>267.73</v>
          </cell>
          <cell r="E1585">
            <v>11.370000000000001</v>
          </cell>
          <cell r="F1585">
            <v>279.10000000000002</v>
          </cell>
        </row>
        <row r="1586">
          <cell r="A1586" t="str">
            <v>360606</v>
          </cell>
          <cell r="B1586" t="str">
            <v>Terminal modular (mufla) unipolar externo para cabo até 70 mm²/15 kV</v>
          </cell>
          <cell r="C1586" t="str">
            <v>cj</v>
          </cell>
          <cell r="D1586">
            <v>269.67</v>
          </cell>
          <cell r="E1586">
            <v>11.370000000000001</v>
          </cell>
          <cell r="F1586">
            <v>281.04000000000002</v>
          </cell>
        </row>
        <row r="1587">
          <cell r="A1587" t="str">
            <v>360608</v>
          </cell>
          <cell r="B1587" t="str">
            <v>Terminal modular (mufla) unipolar interno para cabo até 70 mm²/15 kV</v>
          </cell>
          <cell r="C1587" t="str">
            <v>cj</v>
          </cell>
          <cell r="D1587">
            <v>234.24</v>
          </cell>
          <cell r="E1587">
            <v>11.370000000000001</v>
          </cell>
          <cell r="F1587">
            <v>245.61</v>
          </cell>
        </row>
        <row r="1588">
          <cell r="A1588" t="str">
            <v>360701</v>
          </cell>
          <cell r="B1588" t="str">
            <v>Pára-raios de distribuição, classe 12 kV/5 kA, completo, encapsulado com polímero</v>
          </cell>
          <cell r="C1588" t="str">
            <v>un</v>
          </cell>
          <cell r="D1588">
            <v>122.64</v>
          </cell>
          <cell r="E1588">
            <v>10.72</v>
          </cell>
          <cell r="F1588">
            <v>133.36000000000001</v>
          </cell>
        </row>
        <row r="1589">
          <cell r="A1589" t="str">
            <v>360703</v>
          </cell>
          <cell r="B1589" t="str">
            <v>Pára-raios de distribuição, classe 12 kV/10 kA, completo, encapsulado com polímero</v>
          </cell>
          <cell r="C1589" t="str">
            <v>un</v>
          </cell>
          <cell r="D1589">
            <v>106.77</v>
          </cell>
          <cell r="E1589">
            <v>10.72</v>
          </cell>
          <cell r="F1589">
            <v>117.49000000000001</v>
          </cell>
        </row>
        <row r="1590">
          <cell r="A1590" t="str">
            <v>360705</v>
          </cell>
          <cell r="B1590" t="str">
            <v>Pára-raios de distribuição, classe 15 kV/5 kA, completo, encapsulado com polímero</v>
          </cell>
          <cell r="C1590" t="str">
            <v>un</v>
          </cell>
          <cell r="D1590">
            <v>120.4</v>
          </cell>
          <cell r="E1590">
            <v>10.72</v>
          </cell>
          <cell r="F1590">
            <v>131.12</v>
          </cell>
        </row>
        <row r="1591">
          <cell r="A1591" t="str">
            <v>360706</v>
          </cell>
          <cell r="B1591" t="str">
            <v>Pára-raios de distribuição, classe 15 kV/10 kA, completo, encapsulado com polímero</v>
          </cell>
          <cell r="C1591" t="str">
            <v>un</v>
          </cell>
          <cell r="D1591">
            <v>119.57000000000001</v>
          </cell>
          <cell r="E1591">
            <v>10.72</v>
          </cell>
          <cell r="F1591">
            <v>130.29</v>
          </cell>
        </row>
        <row r="1592">
          <cell r="A1592" t="str">
            <v>360707</v>
          </cell>
          <cell r="B1592" t="str">
            <v>Pára-raios de distribuição, classe 21 kV/5 kA, completo, encapsulado com polímero</v>
          </cell>
          <cell r="C1592" t="str">
            <v>un</v>
          </cell>
          <cell r="D1592">
            <v>163.5</v>
          </cell>
          <cell r="E1592">
            <v>10.72</v>
          </cell>
          <cell r="F1592">
            <v>174.22</v>
          </cell>
        </row>
        <row r="1593">
          <cell r="A1593" t="str">
            <v>360801</v>
          </cell>
          <cell r="B1593" t="str">
            <v>Grupo gerador com potência de 40/36 kVA, 220/127 V ou 380/220 V e fator de potência de 0,8 indutivo, completo, inclusive painel e conjunto de baterias</v>
          </cell>
          <cell r="C1593" t="str">
            <v>un</v>
          </cell>
          <cell r="D1593">
            <v>37876.629999999997</v>
          </cell>
          <cell r="E1593">
            <v>476.95</v>
          </cell>
          <cell r="F1593">
            <v>38353.58</v>
          </cell>
        </row>
        <row r="1594">
          <cell r="A1594" t="str">
            <v>360803</v>
          </cell>
          <cell r="B1594" t="str">
            <v>Grupo gerador com potência de 250/228 kVA, 220/127 V ou 380/220 V e fator de potência de 0,8 indutivo, completo, inclusive painel e conjunto de baterias</v>
          </cell>
          <cell r="C1594" t="str">
            <v>un</v>
          </cell>
          <cell r="D1594">
            <v>95441</v>
          </cell>
          <cell r="E1594">
            <v>891.68000000000006</v>
          </cell>
          <cell r="F1594">
            <v>96332.680000000008</v>
          </cell>
        </row>
        <row r="1595">
          <cell r="A1595" t="str">
            <v>360804</v>
          </cell>
          <cell r="B1595" t="str">
            <v>Grupo gerador com potência de 350/320 kVA, 220/127 V ou 380/220 V e fator de potência de 0,8 indutivo, completo, inclusive painel e conjunto de baterias</v>
          </cell>
          <cell r="C1595" t="str">
            <v>un</v>
          </cell>
          <cell r="D1595">
            <v>132190</v>
          </cell>
          <cell r="E1595">
            <v>891.68000000000006</v>
          </cell>
          <cell r="F1595">
            <v>133081.68</v>
          </cell>
        </row>
        <row r="1596">
          <cell r="A1596" t="str">
            <v>360805</v>
          </cell>
          <cell r="B1596" t="str">
            <v>Grupo gerador com potência de 80-73/88-81 kVA, 220/127 V ou 380/220 V e fator de potência de 0,8 indutivo, completo, inclusive painel e conjunto de baterias</v>
          </cell>
          <cell r="C1596" t="str">
            <v>un</v>
          </cell>
          <cell r="D1596">
            <v>47898.8</v>
          </cell>
          <cell r="E1596">
            <v>891.68000000000006</v>
          </cell>
          <cell r="F1596">
            <v>48790.48</v>
          </cell>
        </row>
        <row r="1597">
          <cell r="A1597" t="str">
            <v>360806</v>
          </cell>
          <cell r="B1597" t="str">
            <v>Grupo gerador com potência de 165/150 kVA, 220/127 V ou 380/220 V e fator de potência de 0,8 indutivo, completo, inclusive painel e conjunto de baterias</v>
          </cell>
          <cell r="C1597" t="str">
            <v>un</v>
          </cell>
          <cell r="D1597">
            <v>61871</v>
          </cell>
          <cell r="E1597">
            <v>891.68000000000006</v>
          </cell>
          <cell r="F1597">
            <v>62762.68</v>
          </cell>
        </row>
        <row r="1598">
          <cell r="A1598" t="str">
            <v>360807</v>
          </cell>
          <cell r="B1598" t="str">
            <v>Grupo gerador com potência de 450/400 kVA, 220/127 V ou 380/220 V e fator de potência de 0,8 indutivo, completo, inclusive painel e conjunto de baterias</v>
          </cell>
          <cell r="C1598" t="str">
            <v>un</v>
          </cell>
          <cell r="D1598">
            <v>148568.63</v>
          </cell>
          <cell r="E1598">
            <v>891.68000000000006</v>
          </cell>
          <cell r="F1598">
            <v>149460.31</v>
          </cell>
        </row>
        <row r="1599">
          <cell r="A1599" t="str">
            <v>360809</v>
          </cell>
          <cell r="B1599" t="str">
            <v>Grupo gerador com potência de 25/22 kVA, 220/127 V ou 380/220 V e fator de potência de 0,8 indutivo, completo, inclusive painel e conjunto de baterias</v>
          </cell>
          <cell r="C1599" t="str">
            <v>un</v>
          </cell>
          <cell r="D1599">
            <v>41792</v>
          </cell>
          <cell r="E1599">
            <v>476.95</v>
          </cell>
          <cell r="F1599">
            <v>42268.950000000004</v>
          </cell>
        </row>
        <row r="1600">
          <cell r="A1600" t="str">
            <v>360810</v>
          </cell>
          <cell r="B1600" t="str">
            <v>Grupo gerador com potência de 54-48/55-50 kVA, 220/127 V ou 380/220 V e fator de potência de 0,8 indutivo, completo, inclusive painel e conjunto de baterias</v>
          </cell>
          <cell r="C1600" t="str">
            <v>un</v>
          </cell>
          <cell r="D1600">
            <v>40447.22</v>
          </cell>
          <cell r="E1600">
            <v>476.95</v>
          </cell>
          <cell r="F1600">
            <v>40924.17</v>
          </cell>
        </row>
        <row r="1601">
          <cell r="A1601" t="str">
            <v>360811</v>
          </cell>
          <cell r="B1601" t="str">
            <v>Grupo gerador com potência de 180/168 kVA, 220/127 V ou 380/220 V e fator de potência de 0,8 indutivo, completo, inclusive painel e conjunto de baterias</v>
          </cell>
          <cell r="C1601" t="str">
            <v>un</v>
          </cell>
          <cell r="D1601">
            <v>75595.100000000006</v>
          </cell>
          <cell r="E1601">
            <v>891.68000000000006</v>
          </cell>
          <cell r="F1601">
            <v>76486.78</v>
          </cell>
        </row>
        <row r="1602">
          <cell r="A1602" t="str">
            <v>360829</v>
          </cell>
          <cell r="B1602" t="str">
            <v>Grupo gerador com potência de 563/513 kVA, 220/127 V ou 380/220V, completo, inclusive conjunto de baterias</v>
          </cell>
          <cell r="C1602" t="str">
            <v>un</v>
          </cell>
          <cell r="D1602">
            <v>182200</v>
          </cell>
          <cell r="E1602">
            <v>987.07</v>
          </cell>
          <cell r="F1602">
            <v>183187.07</v>
          </cell>
        </row>
        <row r="1603">
          <cell r="A1603" t="str">
            <v>360835</v>
          </cell>
          <cell r="B1603" t="str">
            <v>Grupo gerador carenado, potência de 150/120 kVA, tensão de saída 220/127 V, fator de potência de 0,8 indutivo, conjunto de baterias - completo</v>
          </cell>
          <cell r="C1603" t="str">
            <v>cj</v>
          </cell>
          <cell r="D1603">
            <v>60194.75</v>
          </cell>
          <cell r="E1603">
            <v>476.95</v>
          </cell>
          <cell r="F1603">
            <v>60671.700000000004</v>
          </cell>
        </row>
        <row r="1604">
          <cell r="A1604" t="str">
            <v>360902</v>
          </cell>
          <cell r="B1604" t="str">
            <v>Transformador de potência trifásico de 225 kVA, classe 15 kV, a óleo</v>
          </cell>
          <cell r="C1604" t="str">
            <v>un</v>
          </cell>
          <cell r="D1604">
            <v>12702.89</v>
          </cell>
          <cell r="E1604">
            <v>476.95</v>
          </cell>
          <cell r="F1604">
            <v>13179.84</v>
          </cell>
        </row>
        <row r="1605">
          <cell r="A1605" t="str">
            <v>360903</v>
          </cell>
          <cell r="B1605" t="str">
            <v>Transformador de potência trifásico de 75 kVA, classe 1,2 kV, a seco</v>
          </cell>
          <cell r="C1605" t="str">
            <v>un</v>
          </cell>
          <cell r="D1605">
            <v>8743.56</v>
          </cell>
          <cell r="E1605">
            <v>190.78</v>
          </cell>
          <cell r="F1605">
            <v>8934.34</v>
          </cell>
        </row>
        <row r="1606">
          <cell r="A1606" t="str">
            <v>360905</v>
          </cell>
          <cell r="B1606" t="str">
            <v>Transformador de potência trifásico de 150 kVA, classe 15 kV, a óleo</v>
          </cell>
          <cell r="C1606" t="str">
            <v>un</v>
          </cell>
          <cell r="D1606">
            <v>8936</v>
          </cell>
          <cell r="E1606">
            <v>476.95</v>
          </cell>
          <cell r="F1606">
            <v>9412.9500000000007</v>
          </cell>
        </row>
        <row r="1607">
          <cell r="A1607" t="str">
            <v>360906</v>
          </cell>
          <cell r="B1607" t="str">
            <v>Transformador de potência trifásico de 500 kVA, classe 15 kV, a seco</v>
          </cell>
          <cell r="C1607" t="str">
            <v>un</v>
          </cell>
          <cell r="D1607">
            <v>38132.15</v>
          </cell>
          <cell r="E1607">
            <v>763.12</v>
          </cell>
          <cell r="F1607">
            <v>38895.269999999997</v>
          </cell>
        </row>
        <row r="1608">
          <cell r="A1608" t="str">
            <v>360907</v>
          </cell>
          <cell r="B1608" t="str">
            <v>Transformador de potência trifásico de 1000 kVA, classe 15 kV, a seco com cabine</v>
          </cell>
          <cell r="C1608" t="str">
            <v>un</v>
          </cell>
          <cell r="D1608">
            <v>64793.919999999998</v>
          </cell>
          <cell r="E1608">
            <v>763.12</v>
          </cell>
          <cell r="F1608">
            <v>65557.039999999994</v>
          </cell>
        </row>
        <row r="1609">
          <cell r="A1609" t="str">
            <v>360910</v>
          </cell>
          <cell r="B1609" t="str">
            <v>Transformador de potência trifásico de 5 kVA, classe 0,6 kV, a seco com cabine</v>
          </cell>
          <cell r="C1609" t="str">
            <v>un</v>
          </cell>
          <cell r="D1609">
            <v>1659.72</v>
          </cell>
          <cell r="E1609">
            <v>190.78</v>
          </cell>
          <cell r="F1609">
            <v>1850.5</v>
          </cell>
        </row>
        <row r="1610">
          <cell r="A1610" t="str">
            <v>360911</v>
          </cell>
          <cell r="B1610" t="str">
            <v>Transformador de potência trifásico de 7,5 kVA, classe 0,6 kV, a seco com cabine</v>
          </cell>
          <cell r="C1610" t="str">
            <v>un</v>
          </cell>
          <cell r="D1610">
            <v>1961.47</v>
          </cell>
          <cell r="E1610">
            <v>190.78</v>
          </cell>
          <cell r="F1610">
            <v>2152.25</v>
          </cell>
        </row>
        <row r="1611">
          <cell r="A1611" t="str">
            <v>360913</v>
          </cell>
          <cell r="B1611" t="str">
            <v>Transformador de potência trifásico de 15 kVA, classe 1,2 kV, a seco com cabine</v>
          </cell>
          <cell r="C1611" t="str">
            <v>un</v>
          </cell>
          <cell r="D1611">
            <v>4376.1400000000003</v>
          </cell>
          <cell r="E1611">
            <v>190.78</v>
          </cell>
          <cell r="F1611">
            <v>4566.92</v>
          </cell>
        </row>
        <row r="1612">
          <cell r="A1612" t="str">
            <v>360915</v>
          </cell>
          <cell r="B1612" t="str">
            <v>Transformador de potência trifásico de 75 kVA, classe 15 kV, a óleo</v>
          </cell>
          <cell r="C1612" t="str">
            <v>un</v>
          </cell>
          <cell r="D1612">
            <v>5830.93</v>
          </cell>
          <cell r="E1612">
            <v>476.95</v>
          </cell>
          <cell r="F1612">
            <v>6307.88</v>
          </cell>
        </row>
        <row r="1613">
          <cell r="A1613" t="str">
            <v>360916</v>
          </cell>
          <cell r="B1613" t="str">
            <v>Transformador de potência trifásico de 225 kVA, classe 23 kV, a óleo</v>
          </cell>
          <cell r="C1613" t="str">
            <v>un</v>
          </cell>
          <cell r="D1613">
            <v>13501.48</v>
          </cell>
          <cell r="E1613">
            <v>476.95</v>
          </cell>
          <cell r="F1613">
            <v>13978.43</v>
          </cell>
        </row>
        <row r="1614">
          <cell r="A1614" t="str">
            <v>360917</v>
          </cell>
          <cell r="B1614" t="str">
            <v>Transformador de potência trifásico de 300 kVA, classe 15 kV, a óleo</v>
          </cell>
          <cell r="C1614" t="str">
            <v>un</v>
          </cell>
          <cell r="D1614">
            <v>14626.2</v>
          </cell>
          <cell r="E1614">
            <v>476.95</v>
          </cell>
          <cell r="F1614">
            <v>15103.15</v>
          </cell>
        </row>
        <row r="1615">
          <cell r="A1615" t="str">
            <v>360918</v>
          </cell>
          <cell r="B1615" t="str">
            <v>Transformador de potência trifásico de 112,5 kVA, classe 15 kV, a óleo</v>
          </cell>
          <cell r="C1615" t="str">
            <v>un</v>
          </cell>
          <cell r="D1615">
            <v>7209.58</v>
          </cell>
          <cell r="E1615">
            <v>476.95</v>
          </cell>
          <cell r="F1615">
            <v>7686.53</v>
          </cell>
        </row>
        <row r="1616">
          <cell r="A1616" t="str">
            <v>360922</v>
          </cell>
          <cell r="B1616" t="str">
            <v>Transformador de potência trifásico de 500 kVA, classe 15 kV, a seco com cabine</v>
          </cell>
          <cell r="C1616" t="str">
            <v>un</v>
          </cell>
          <cell r="D1616">
            <v>47372.97</v>
          </cell>
          <cell r="E1616">
            <v>763.12</v>
          </cell>
          <cell r="F1616">
            <v>48136.090000000004</v>
          </cell>
        </row>
        <row r="1617">
          <cell r="A1617" t="str">
            <v>360923</v>
          </cell>
          <cell r="B1617" t="str">
            <v>Transformador de potência trifásico de 30 kVA, classe 1,2 KV, a seco com cabine</v>
          </cell>
          <cell r="C1617" t="str">
            <v>un</v>
          </cell>
          <cell r="D1617">
            <v>5858.29</v>
          </cell>
          <cell r="E1617">
            <v>190.78</v>
          </cell>
          <cell r="F1617">
            <v>6049.07</v>
          </cell>
        </row>
        <row r="1618">
          <cell r="A1618" t="str">
            <v>360925</v>
          </cell>
          <cell r="B1618" t="str">
            <v>Transformador de potência trifásico de 500 kVA, classe 15 kV, a óleo</v>
          </cell>
          <cell r="C1618" t="str">
            <v>un</v>
          </cell>
          <cell r="D1618">
            <v>24069.040000000001</v>
          </cell>
          <cell r="E1618">
            <v>763.12</v>
          </cell>
          <cell r="F1618">
            <v>24832.16</v>
          </cell>
        </row>
        <row r="1619">
          <cell r="A1619" t="str">
            <v>360930</v>
          </cell>
          <cell r="B1619" t="str">
            <v>Transformador de potência trifásico de 750 kVA, classe 15 kV, a óleo</v>
          </cell>
          <cell r="C1619" t="str">
            <v>un</v>
          </cell>
          <cell r="D1619">
            <v>32178.55</v>
          </cell>
          <cell r="E1619">
            <v>763.12</v>
          </cell>
          <cell r="F1619">
            <v>32941.67</v>
          </cell>
        </row>
        <row r="1620">
          <cell r="A1620" t="str">
            <v>360936</v>
          </cell>
          <cell r="B1620" t="str">
            <v>Transformador de potência trifásico de 750 kVA, classe 15 kV, a seco</v>
          </cell>
          <cell r="C1620" t="str">
            <v>un</v>
          </cell>
          <cell r="D1620">
            <v>58924.54</v>
          </cell>
          <cell r="E1620">
            <v>763.12</v>
          </cell>
          <cell r="F1620">
            <v>59687.66</v>
          </cell>
        </row>
        <row r="1621">
          <cell r="A1621" t="str">
            <v>360937</v>
          </cell>
          <cell r="B1621" t="str">
            <v>Transformador de potência trifásico de 300 kVA, classe 15 kV, a seco</v>
          </cell>
          <cell r="C1621" t="str">
            <v>un</v>
          </cell>
          <cell r="D1621">
            <v>36950.019999999997</v>
          </cell>
          <cell r="E1621">
            <v>476.95</v>
          </cell>
          <cell r="F1621">
            <v>37426.97</v>
          </cell>
        </row>
        <row r="1622">
          <cell r="A1622" t="str">
            <v>360941</v>
          </cell>
          <cell r="B1622" t="str">
            <v>Transformador de potência trifásico de 45 kVA, classe 15 kV, a seco</v>
          </cell>
          <cell r="C1622" t="str">
            <v>un</v>
          </cell>
          <cell r="D1622">
            <v>9970</v>
          </cell>
          <cell r="E1622">
            <v>476.95</v>
          </cell>
          <cell r="F1622">
            <v>10446.950000000001</v>
          </cell>
        </row>
        <row r="1623">
          <cell r="A1623" t="str">
            <v>360948</v>
          </cell>
          <cell r="B1623" t="str">
            <v>Transformador trifásico a seco de 112,5 kVA, encapsulado em resina epóxi sob vácuo</v>
          </cell>
          <cell r="C1623" t="str">
            <v>un</v>
          </cell>
          <cell r="D1623">
            <v>15007.98</v>
          </cell>
          <cell r="E1623">
            <v>476.95</v>
          </cell>
          <cell r="F1623">
            <v>15484.93</v>
          </cell>
        </row>
        <row r="1624">
          <cell r="A1624" t="str">
            <v>360949</v>
          </cell>
          <cell r="B1624" t="str">
            <v>Transformador trifásico a seco de 150 kVA, encapsulado em resina epóxi sob vácuo</v>
          </cell>
          <cell r="C1624" t="str">
            <v>un</v>
          </cell>
          <cell r="D1624">
            <v>17501.39</v>
          </cell>
          <cell r="E1624">
            <v>476.95</v>
          </cell>
          <cell r="F1624">
            <v>17978.34</v>
          </cell>
        </row>
        <row r="1625">
          <cell r="A1625" t="str">
            <v>360967</v>
          </cell>
          <cell r="B1625" t="str">
            <v>Transformador de potência trifásico 45kVA, classe 24,2kV, encapsulado a vácuo em resina epóxi</v>
          </cell>
          <cell r="C1625" t="str">
            <v>un</v>
          </cell>
          <cell r="D1625">
            <v>18693.669999999998</v>
          </cell>
          <cell r="E1625">
            <v>190.78</v>
          </cell>
          <cell r="F1625">
            <v>18884.45</v>
          </cell>
        </row>
        <row r="1626">
          <cell r="A1626" t="str">
            <v>360968</v>
          </cell>
          <cell r="B1626" t="str">
            <v>Transformador de potência trifásico 750kVA, classe 24,2kV, encapsulado a vácuo em resina epóxi</v>
          </cell>
          <cell r="C1626" t="str">
            <v>un</v>
          </cell>
          <cell r="D1626">
            <v>51760</v>
          </cell>
          <cell r="E1626">
            <v>763.12</v>
          </cell>
          <cell r="F1626">
            <v>52523.12</v>
          </cell>
        </row>
        <row r="1627">
          <cell r="A1627" t="str">
            <v>360969</v>
          </cell>
          <cell r="B1627" t="str">
            <v>Transformador de potência trifásico de 300 kVA, classe 25kV, a óleo</v>
          </cell>
          <cell r="C1627" t="str">
            <v>un</v>
          </cell>
          <cell r="D1627">
            <v>13490</v>
          </cell>
          <cell r="E1627">
            <v>476.95</v>
          </cell>
          <cell r="F1627">
            <v>13966.95</v>
          </cell>
        </row>
        <row r="1628">
          <cell r="A1628" t="str">
            <v>360970</v>
          </cell>
          <cell r="B1628" t="str">
            <v>Transformador de potência trifásico de 500 kVA, classe 25kV, encapsulado a vácuo em resina epóxi</v>
          </cell>
          <cell r="C1628" t="str">
            <v>un</v>
          </cell>
          <cell r="D1628">
            <v>38833.33</v>
          </cell>
          <cell r="E1628">
            <v>763.12</v>
          </cell>
          <cell r="F1628">
            <v>39596.449999999997</v>
          </cell>
        </row>
        <row r="1629">
          <cell r="A1629" t="str">
            <v>362001</v>
          </cell>
          <cell r="B1629" t="str">
            <v>Vergalhão de cobre eletrolítico, diâmetro de 3/8´</v>
          </cell>
          <cell r="C1629" t="str">
            <v>m</v>
          </cell>
          <cell r="D1629">
            <v>22.88</v>
          </cell>
          <cell r="E1629">
            <v>9.1</v>
          </cell>
          <cell r="F1629">
            <v>31.98</v>
          </cell>
        </row>
        <row r="1630">
          <cell r="A1630" t="str">
            <v>362003</v>
          </cell>
          <cell r="B1630" t="str">
            <v>União angular para vergalhão, diâmetro de 3/8´</v>
          </cell>
          <cell r="C1630" t="str">
            <v>un</v>
          </cell>
          <cell r="D1630">
            <v>16.87</v>
          </cell>
          <cell r="E1630">
            <v>4.55</v>
          </cell>
          <cell r="F1630">
            <v>21.42</v>
          </cell>
        </row>
        <row r="1631">
          <cell r="A1631" t="str">
            <v>362004</v>
          </cell>
          <cell r="B1631" t="str">
            <v>Bobina mínima para disjuntor (a óleo)</v>
          </cell>
          <cell r="C1631" t="str">
            <v>un</v>
          </cell>
          <cell r="D1631">
            <v>828.57</v>
          </cell>
          <cell r="E1631">
            <v>31.11</v>
          </cell>
          <cell r="F1631">
            <v>859.68000000000006</v>
          </cell>
        </row>
        <row r="1632">
          <cell r="A1632" t="str">
            <v>362005</v>
          </cell>
          <cell r="B1632" t="str">
            <v>Terminal para vergalhão, diâmetro de 3/8´</v>
          </cell>
          <cell r="C1632" t="str">
            <v>un</v>
          </cell>
          <cell r="D1632">
            <v>9.18</v>
          </cell>
          <cell r="E1632">
            <v>4.55</v>
          </cell>
          <cell r="F1632">
            <v>13.73</v>
          </cell>
        </row>
        <row r="1633">
          <cell r="A1633" t="str">
            <v>362006</v>
          </cell>
          <cell r="B1633" t="str">
            <v>Braçadeira para fixação de eletroduto, até 4´</v>
          </cell>
          <cell r="C1633" t="str">
            <v>un</v>
          </cell>
          <cell r="D1633">
            <v>1.32</v>
          </cell>
          <cell r="E1633">
            <v>3.41</v>
          </cell>
          <cell r="F1633">
            <v>4.7300000000000004</v>
          </cell>
        </row>
        <row r="1634">
          <cell r="A1634" t="str">
            <v>362007</v>
          </cell>
          <cell r="B1634" t="str">
            <v>Prensa vergalhão ´T´, diâmetro de 3/8´</v>
          </cell>
          <cell r="C1634" t="str">
            <v>un</v>
          </cell>
          <cell r="D1634">
            <v>8.24</v>
          </cell>
          <cell r="E1634">
            <v>4.55</v>
          </cell>
          <cell r="F1634">
            <v>12.790000000000001</v>
          </cell>
        </row>
        <row r="1635">
          <cell r="A1635" t="str">
            <v>362009</v>
          </cell>
          <cell r="B1635" t="str">
            <v>Vara para manobra em cabine em fibra de vidro, para tensão até 36 kV</v>
          </cell>
          <cell r="C1635" t="str">
            <v>un</v>
          </cell>
          <cell r="D1635">
            <v>255.97</v>
          </cell>
          <cell r="E1635">
            <v>0.47000000000000003</v>
          </cell>
          <cell r="F1635">
            <v>256.44</v>
          </cell>
        </row>
        <row r="1636">
          <cell r="A1636" t="str">
            <v>362010</v>
          </cell>
          <cell r="B1636" t="str">
            <v>Bucha para passagem interna/externa com isolação para 15 kV</v>
          </cell>
          <cell r="C1636" t="str">
            <v>un</v>
          </cell>
          <cell r="D1636">
            <v>177.23</v>
          </cell>
          <cell r="E1636">
            <v>11.370000000000001</v>
          </cell>
          <cell r="F1636">
            <v>188.6</v>
          </cell>
        </row>
        <row r="1637">
          <cell r="A1637" t="str">
            <v>362012</v>
          </cell>
          <cell r="B1637" t="str">
            <v>Chapa de ferro de 1,50 x 0,50 m para bucha de passagem</v>
          </cell>
          <cell r="C1637" t="str">
            <v>un</v>
          </cell>
          <cell r="D1637">
            <v>79.22</v>
          </cell>
          <cell r="E1637">
            <v>11.370000000000001</v>
          </cell>
          <cell r="F1637">
            <v>90.59</v>
          </cell>
        </row>
        <row r="1638">
          <cell r="A1638" t="str">
            <v>362014</v>
          </cell>
          <cell r="B1638" t="str">
            <v>Cruzeta de madeira de 2400 mm</v>
          </cell>
          <cell r="C1638" t="str">
            <v>un</v>
          </cell>
          <cell r="D1638">
            <v>94.17</v>
          </cell>
          <cell r="E1638">
            <v>64.28</v>
          </cell>
          <cell r="F1638">
            <v>158.44999999999999</v>
          </cell>
        </row>
        <row r="1639">
          <cell r="A1639" t="str">
            <v>362015</v>
          </cell>
          <cell r="B1639" t="str">
            <v>Cruzeta de madeira de 90 x 115 x 3500 mm</v>
          </cell>
          <cell r="C1639" t="str">
            <v>un</v>
          </cell>
          <cell r="D1639">
            <v>125.24000000000001</v>
          </cell>
          <cell r="E1639">
            <v>64.28</v>
          </cell>
          <cell r="F1639">
            <v>189.52</v>
          </cell>
        </row>
        <row r="1640">
          <cell r="A1640" t="str">
            <v>362018</v>
          </cell>
          <cell r="B1640" t="str">
            <v>Luva isolante de borracha, acima de 10 até 20 kV</v>
          </cell>
          <cell r="C1640" t="str">
            <v>par</v>
          </cell>
          <cell r="D1640">
            <v>498.64</v>
          </cell>
          <cell r="E1640">
            <v>0.47000000000000003</v>
          </cell>
          <cell r="F1640">
            <v>499.11</v>
          </cell>
        </row>
        <row r="1641">
          <cell r="A1641" t="str">
            <v>362019</v>
          </cell>
          <cell r="B1641" t="str">
            <v>Luva isolante de borracha, acima de 20 até 30 kV</v>
          </cell>
          <cell r="C1641" t="str">
            <v>par</v>
          </cell>
          <cell r="D1641">
            <v>1173.56</v>
          </cell>
          <cell r="E1641">
            <v>0.47000000000000003</v>
          </cell>
          <cell r="F1641">
            <v>1174.03</v>
          </cell>
        </row>
        <row r="1642">
          <cell r="A1642" t="str">
            <v>362020</v>
          </cell>
          <cell r="B1642" t="str">
            <v>Mão francesa de 700 mm</v>
          </cell>
          <cell r="C1642" t="str">
            <v>un</v>
          </cell>
          <cell r="D1642">
            <v>11.83</v>
          </cell>
          <cell r="E1642">
            <v>22.740000000000002</v>
          </cell>
          <cell r="F1642">
            <v>34.57</v>
          </cell>
        </row>
        <row r="1643">
          <cell r="A1643" t="str">
            <v>362021</v>
          </cell>
          <cell r="B1643" t="str">
            <v>Luva isolante de borracha, até 10 kV</v>
          </cell>
          <cell r="C1643" t="str">
            <v>par</v>
          </cell>
          <cell r="D1643">
            <v>353.34000000000003</v>
          </cell>
          <cell r="E1643">
            <v>0.47000000000000003</v>
          </cell>
          <cell r="F1643">
            <v>353.81</v>
          </cell>
        </row>
        <row r="1644">
          <cell r="A1644" t="str">
            <v>362022</v>
          </cell>
          <cell r="B1644" t="str">
            <v>Mudança de tap do transformador</v>
          </cell>
          <cell r="C1644" t="str">
            <v>un</v>
          </cell>
          <cell r="D1644">
            <v>0</v>
          </cell>
          <cell r="E1644">
            <v>128.56</v>
          </cell>
          <cell r="F1644">
            <v>128.56</v>
          </cell>
        </row>
        <row r="1645">
          <cell r="A1645" t="str">
            <v>362023</v>
          </cell>
          <cell r="B1645" t="str">
            <v>Luva isolante de borracha, acima de 30 até 40 kV</v>
          </cell>
          <cell r="C1645" t="str">
            <v>par</v>
          </cell>
          <cell r="D1645">
            <v>1174.53</v>
          </cell>
          <cell r="E1645">
            <v>0.47000000000000003</v>
          </cell>
          <cell r="F1645">
            <v>1175</v>
          </cell>
        </row>
        <row r="1646">
          <cell r="A1646" t="str">
            <v>362024</v>
          </cell>
          <cell r="B1646" t="str">
            <v>Óleo para disjuntor</v>
          </cell>
          <cell r="C1646" t="str">
            <v>l</v>
          </cell>
          <cell r="D1646">
            <v>9.26</v>
          </cell>
          <cell r="E1646">
            <v>0.38</v>
          </cell>
          <cell r="F1646">
            <v>9.64</v>
          </cell>
        </row>
        <row r="1647">
          <cell r="A1647" t="str">
            <v>362026</v>
          </cell>
          <cell r="B1647" t="str">
            <v>Óleo para transformador</v>
          </cell>
          <cell r="C1647" t="str">
            <v>l</v>
          </cell>
          <cell r="D1647">
            <v>9.26</v>
          </cell>
          <cell r="E1647">
            <v>0.56000000000000005</v>
          </cell>
          <cell r="F1647">
            <v>9.82</v>
          </cell>
        </row>
        <row r="1648">
          <cell r="A1648" t="str">
            <v>362028</v>
          </cell>
          <cell r="B1648" t="str">
            <v>Placa de advertência ´Perigo Alta Tensão´ em cabine primária, nas dimensões 400 x 300 mm, chapa 18</v>
          </cell>
          <cell r="C1648" t="str">
            <v>un</v>
          </cell>
          <cell r="D1648">
            <v>48.6</v>
          </cell>
          <cell r="E1648">
            <v>4.7</v>
          </cell>
          <cell r="F1648">
            <v>53.300000000000004</v>
          </cell>
        </row>
        <row r="1649">
          <cell r="A1649" t="str">
            <v>362033</v>
          </cell>
          <cell r="B1649" t="str">
            <v>Luva de couro para proteção de luva isolante</v>
          </cell>
          <cell r="C1649" t="str">
            <v>par</v>
          </cell>
          <cell r="D1649">
            <v>23.740000000000002</v>
          </cell>
          <cell r="E1649">
            <v>0.47000000000000003</v>
          </cell>
          <cell r="F1649">
            <v>24.21</v>
          </cell>
        </row>
        <row r="1650">
          <cell r="A1650" t="str">
            <v>362034</v>
          </cell>
          <cell r="B1650" t="str">
            <v>Sela para cruzeta de madeira</v>
          </cell>
          <cell r="C1650" t="str">
            <v>un</v>
          </cell>
          <cell r="D1650">
            <v>6.8500000000000005</v>
          </cell>
          <cell r="E1650">
            <v>32.14</v>
          </cell>
          <cell r="F1650">
            <v>38.99</v>
          </cell>
        </row>
        <row r="1651">
          <cell r="A1651" t="str">
            <v>362035</v>
          </cell>
          <cell r="B1651" t="str">
            <v>Caixa porta luvas em madeira, com tampa</v>
          </cell>
          <cell r="C1651" t="str">
            <v>un</v>
          </cell>
          <cell r="D1651">
            <v>25.71</v>
          </cell>
          <cell r="E1651">
            <v>0.47000000000000003</v>
          </cell>
          <cell r="F1651">
            <v>26.18</v>
          </cell>
        </row>
        <row r="1652">
          <cell r="A1652" t="str">
            <v>362036</v>
          </cell>
          <cell r="B1652" t="str">
            <v>Suporte de transformador em poste ou estaleiro</v>
          </cell>
          <cell r="C1652" t="str">
            <v>un</v>
          </cell>
          <cell r="D1652">
            <v>66.12</v>
          </cell>
          <cell r="E1652">
            <v>64.28</v>
          </cell>
          <cell r="F1652">
            <v>130.4</v>
          </cell>
        </row>
        <row r="1653">
          <cell r="A1653" t="str">
            <v>362037</v>
          </cell>
          <cell r="B1653" t="str">
            <v>Caixa inviolável para secundário do transformador</v>
          </cell>
          <cell r="C1653" t="str">
            <v>un</v>
          </cell>
          <cell r="D1653">
            <v>152.75</v>
          </cell>
          <cell r="E1653">
            <v>4.55</v>
          </cell>
          <cell r="F1653">
            <v>157.30000000000001</v>
          </cell>
        </row>
        <row r="1654">
          <cell r="A1654" t="str">
            <v>362039</v>
          </cell>
          <cell r="B1654" t="str">
            <v>Estrado de borracha de 100 x 100 cm, isolante até 68 kV</v>
          </cell>
          <cell r="C1654" t="str">
            <v>un</v>
          </cell>
          <cell r="D1654">
            <v>256.10000000000002</v>
          </cell>
          <cell r="E1654">
            <v>0.47000000000000003</v>
          </cell>
          <cell r="F1654">
            <v>256.57</v>
          </cell>
        </row>
        <row r="1655">
          <cell r="A1655" t="str">
            <v>362054</v>
          </cell>
          <cell r="B1655" t="str">
            <v>Cruzeta metálica de 2400 mm, para fixação de mufla ou para-raios</v>
          </cell>
          <cell r="C1655" t="str">
            <v>un</v>
          </cell>
          <cell r="D1655">
            <v>284.94</v>
          </cell>
          <cell r="E1655">
            <v>64.28</v>
          </cell>
          <cell r="F1655">
            <v>349.22</v>
          </cell>
        </row>
        <row r="1656">
          <cell r="A1656" t="str">
            <v>370102</v>
          </cell>
          <cell r="B1656" t="str">
            <v>Quadro Telebrás de embutir de 200 x 200 x 120 mm</v>
          </cell>
          <cell r="C1656" t="str">
            <v>un</v>
          </cell>
          <cell r="D1656">
            <v>30.69</v>
          </cell>
          <cell r="E1656">
            <v>39.92</v>
          </cell>
          <cell r="F1656">
            <v>70.61</v>
          </cell>
        </row>
        <row r="1657">
          <cell r="A1657" t="str">
            <v>370108</v>
          </cell>
          <cell r="B1657" t="str">
            <v>Quadro Telebrás de embutir de 400 x 400 x 120 mm</v>
          </cell>
          <cell r="C1657" t="str">
            <v>un</v>
          </cell>
          <cell r="D1657">
            <v>63.34</v>
          </cell>
          <cell r="E1657">
            <v>55.58</v>
          </cell>
          <cell r="F1657">
            <v>118.92</v>
          </cell>
        </row>
        <row r="1658">
          <cell r="A1658" t="str">
            <v>370112</v>
          </cell>
          <cell r="B1658" t="str">
            <v>Quadro Telebrás de embutir de 600 x 600 x 120 mm</v>
          </cell>
          <cell r="C1658" t="str">
            <v>un</v>
          </cell>
          <cell r="D1658">
            <v>112.96000000000001</v>
          </cell>
          <cell r="E1658">
            <v>71.239999999999995</v>
          </cell>
          <cell r="F1658">
            <v>184.20000000000002</v>
          </cell>
        </row>
        <row r="1659">
          <cell r="A1659" t="str">
            <v>370116</v>
          </cell>
          <cell r="B1659" t="str">
            <v>Quadro Telebrás de embutir de 800 x 800 x 120 mm</v>
          </cell>
          <cell r="C1659" t="str">
            <v>un</v>
          </cell>
          <cell r="D1659">
            <v>180.73</v>
          </cell>
          <cell r="E1659">
            <v>88.23</v>
          </cell>
          <cell r="F1659">
            <v>268.95999999999998</v>
          </cell>
        </row>
        <row r="1660">
          <cell r="A1660" t="str">
            <v>370122</v>
          </cell>
          <cell r="B1660" t="str">
            <v>Quadro Telebrás de embutir de 1200 x 1200 x 120 mm</v>
          </cell>
          <cell r="C1660" t="str">
            <v>un</v>
          </cell>
          <cell r="D1660">
            <v>373.66</v>
          </cell>
          <cell r="E1660">
            <v>118.24000000000001</v>
          </cell>
          <cell r="F1660">
            <v>491.90000000000003</v>
          </cell>
        </row>
        <row r="1661">
          <cell r="A1661" t="str">
            <v>370202</v>
          </cell>
          <cell r="B1661" t="str">
            <v>Quadro Telebrás de sobrepor de 200 x 200 x 120 mm</v>
          </cell>
          <cell r="C1661" t="str">
            <v>un</v>
          </cell>
          <cell r="D1661">
            <v>30.52</v>
          </cell>
          <cell r="E1661">
            <v>34.11</v>
          </cell>
          <cell r="F1661">
            <v>64.63</v>
          </cell>
        </row>
        <row r="1662">
          <cell r="A1662" t="str">
            <v>370206</v>
          </cell>
          <cell r="B1662" t="str">
            <v>Quadro Telebrás de sobrepor de 400 x 400 x 120 mm</v>
          </cell>
          <cell r="C1662" t="str">
            <v>un</v>
          </cell>
          <cell r="D1662">
            <v>66.25</v>
          </cell>
          <cell r="E1662">
            <v>45.480000000000004</v>
          </cell>
          <cell r="F1662">
            <v>111.73</v>
          </cell>
        </row>
        <row r="1663">
          <cell r="A1663" t="str">
            <v>370210</v>
          </cell>
          <cell r="B1663" t="str">
            <v>Quadro Telebrás de sobrepor de 600 x 600 x 120 mm</v>
          </cell>
          <cell r="C1663" t="str">
            <v>un</v>
          </cell>
          <cell r="D1663">
            <v>133.77000000000001</v>
          </cell>
          <cell r="E1663">
            <v>56.85</v>
          </cell>
          <cell r="F1663">
            <v>190.62</v>
          </cell>
        </row>
        <row r="1664">
          <cell r="A1664" t="str">
            <v>370214</v>
          </cell>
          <cell r="B1664" t="str">
            <v>Quadro Telebrás de sobrepor de 800 x 800 x 120 mm</v>
          </cell>
          <cell r="C1664" t="str">
            <v>un</v>
          </cell>
          <cell r="D1664">
            <v>208.29</v>
          </cell>
          <cell r="E1664">
            <v>68.22</v>
          </cell>
          <cell r="F1664">
            <v>276.51</v>
          </cell>
        </row>
        <row r="1665">
          <cell r="A1665" t="str">
            <v>370320</v>
          </cell>
          <cell r="B1665" t="str">
            <v>Quadro de distribuição universal de embutir, para disjuntores 16 DIN / 12 Bolt-on - 150 A - sem componentes</v>
          </cell>
          <cell r="C1665" t="str">
            <v>un</v>
          </cell>
          <cell r="D1665">
            <v>164.3</v>
          </cell>
          <cell r="E1665">
            <v>69</v>
          </cell>
          <cell r="F1665">
            <v>233.3</v>
          </cell>
        </row>
        <row r="1666">
          <cell r="A1666" t="str">
            <v>370321</v>
          </cell>
          <cell r="B1666" t="str">
            <v>Quadro de distribuição universal de embutir, para disjuntores 24 DIN / 18 Bolt-on - 150 A - sem componentes</v>
          </cell>
          <cell r="C1666" t="str">
            <v>un</v>
          </cell>
          <cell r="D1666">
            <v>199.13</v>
          </cell>
          <cell r="E1666">
            <v>69</v>
          </cell>
          <cell r="F1666">
            <v>268.13</v>
          </cell>
        </row>
        <row r="1667">
          <cell r="A1667" t="str">
            <v>370322</v>
          </cell>
          <cell r="B1667" t="str">
            <v>Quadro de distribuição universal de embutir, para disjuntores 34 DIN / 24 Bolt-on - 150 A - sem componentes</v>
          </cell>
          <cell r="C1667" t="str">
            <v>un</v>
          </cell>
          <cell r="D1667">
            <v>231.31</v>
          </cell>
          <cell r="E1667">
            <v>86.25</v>
          </cell>
          <cell r="F1667">
            <v>317.56</v>
          </cell>
        </row>
        <row r="1668">
          <cell r="A1668" t="str">
            <v>370323</v>
          </cell>
          <cell r="B1668" t="str">
            <v>Quadro de distribuição universal de embutir, para disjuntores 44 DIN / 32 Bolt-on - 150 A - sem componentes</v>
          </cell>
          <cell r="C1668" t="str">
            <v>un</v>
          </cell>
          <cell r="D1668">
            <v>251.28</v>
          </cell>
          <cell r="E1668">
            <v>86.25</v>
          </cell>
          <cell r="F1668">
            <v>337.53000000000003</v>
          </cell>
        </row>
        <row r="1669">
          <cell r="A1669" t="str">
            <v>370324</v>
          </cell>
          <cell r="B1669" t="str">
            <v>Quadro de distribuição universal de embutir, para disjuntores 56 DIN / 40 Bolt-on - 225 A - sem componentes</v>
          </cell>
          <cell r="C1669" t="str">
            <v>un</v>
          </cell>
          <cell r="D1669">
            <v>379.19</v>
          </cell>
          <cell r="E1669">
            <v>103.5</v>
          </cell>
          <cell r="F1669">
            <v>482.69</v>
          </cell>
        </row>
        <row r="1670">
          <cell r="A1670" t="str">
            <v>370325</v>
          </cell>
          <cell r="B1670" t="str">
            <v>Quadro de distribuição universal de embutir, para disjuntores 70 DIN / 50 Bolt-on - 225 A - sem componentes</v>
          </cell>
          <cell r="C1670" t="str">
            <v>un</v>
          </cell>
          <cell r="D1670">
            <v>492.87</v>
          </cell>
          <cell r="E1670">
            <v>103.5</v>
          </cell>
          <cell r="F1670">
            <v>596.37</v>
          </cell>
        </row>
        <row r="1671">
          <cell r="A1671" t="str">
            <v>370425</v>
          </cell>
          <cell r="B1671" t="str">
            <v>Quadro de distribuição universal de sobrepor, para disjuntores 16 DIN / 12 Bolt-on - 150 A - sem componentes</v>
          </cell>
          <cell r="C1671" t="str">
            <v>un</v>
          </cell>
          <cell r="D1671">
            <v>209.29</v>
          </cell>
          <cell r="E1671">
            <v>51.75</v>
          </cell>
          <cell r="F1671">
            <v>261.04000000000002</v>
          </cell>
        </row>
        <row r="1672">
          <cell r="A1672" t="str">
            <v>370426</v>
          </cell>
          <cell r="B1672" t="str">
            <v>Quadro de distribuição universal de sobrepor, para disjuntores 24 DIN / 18 Bolt-on - 150 A - sem componentes</v>
          </cell>
          <cell r="C1672" t="str">
            <v>un</v>
          </cell>
          <cell r="D1672">
            <v>258.37</v>
          </cell>
          <cell r="E1672">
            <v>51.75</v>
          </cell>
          <cell r="F1672">
            <v>310.12</v>
          </cell>
        </row>
        <row r="1673">
          <cell r="A1673" t="str">
            <v>370427</v>
          </cell>
          <cell r="B1673" t="str">
            <v>Quadro de distribuição universal de sobrepor, para disjuntores 34 DIN / 24 Bolt-on - 150 A - sem componentes</v>
          </cell>
          <cell r="C1673" t="str">
            <v>un</v>
          </cell>
          <cell r="D1673">
            <v>285.49</v>
          </cell>
          <cell r="E1673">
            <v>69</v>
          </cell>
          <cell r="F1673">
            <v>354.49</v>
          </cell>
        </row>
        <row r="1674">
          <cell r="A1674" t="str">
            <v>370428</v>
          </cell>
          <cell r="B1674" t="str">
            <v>Quadro de distribuição universal de sobrepor, para disjuntores 44 DIN / 32 Bolt-on - 150 A - sem componentes</v>
          </cell>
          <cell r="C1674" t="str">
            <v>un</v>
          </cell>
          <cell r="D1674">
            <v>320.31</v>
          </cell>
          <cell r="E1674">
            <v>69</v>
          </cell>
          <cell r="F1674">
            <v>389.31</v>
          </cell>
        </row>
        <row r="1675">
          <cell r="A1675" t="str">
            <v>370429</v>
          </cell>
          <cell r="B1675" t="str">
            <v>Quadro de distribuição universal de sobrepor, para disjuntores 56 DIN / 40 Bolt-on - 225 A - sem componentes</v>
          </cell>
          <cell r="C1675" t="str">
            <v>un</v>
          </cell>
          <cell r="D1675">
            <v>428.86</v>
          </cell>
          <cell r="E1675">
            <v>86.25</v>
          </cell>
          <cell r="F1675">
            <v>515.11</v>
          </cell>
        </row>
        <row r="1676">
          <cell r="A1676" t="str">
            <v>370430</v>
          </cell>
          <cell r="B1676" t="str">
            <v>Quadro de distribuição universal de sobrepor, para disjuntores 70 DIN / 50 Bolt-on - 225 A - sem componentes</v>
          </cell>
          <cell r="C1676" t="str">
            <v>un</v>
          </cell>
          <cell r="D1676">
            <v>612.51</v>
          </cell>
          <cell r="E1676">
            <v>86.25</v>
          </cell>
          <cell r="F1676">
            <v>698.76</v>
          </cell>
        </row>
        <row r="1677">
          <cell r="A1677" t="str">
            <v>370501</v>
          </cell>
          <cell r="B1677" t="str">
            <v>Quadro de comando completo para conjunto motor-bomba submersível de poço profundo até 6HP, 220 / 380 V</v>
          </cell>
          <cell r="C1677" t="str">
            <v>un</v>
          </cell>
          <cell r="D1677">
            <v>1426.51</v>
          </cell>
          <cell r="E1677">
            <v>66.95</v>
          </cell>
          <cell r="F1677">
            <v>1493.46</v>
          </cell>
        </row>
        <row r="1678">
          <cell r="A1678" t="str">
            <v>370502</v>
          </cell>
          <cell r="B1678" t="str">
            <v>Quadro de comando completo para conjunto motor-bomba submersível de poço profundo acima de 6 HP até 12,5 HP, 220 V</v>
          </cell>
          <cell r="C1678" t="str">
            <v>un</v>
          </cell>
          <cell r="D1678">
            <v>2341.2800000000002</v>
          </cell>
          <cell r="E1678">
            <v>66.95</v>
          </cell>
          <cell r="F1678">
            <v>2408.23</v>
          </cell>
        </row>
        <row r="1679">
          <cell r="A1679" t="str">
            <v>370503</v>
          </cell>
          <cell r="B1679" t="str">
            <v>Quadro de comando completo para conjunto motor-bomba submersível de poço profundo acima de 12,5 HP até 20 HP, 220 V</v>
          </cell>
          <cell r="C1679" t="str">
            <v>un</v>
          </cell>
          <cell r="D1679">
            <v>4458.8500000000004</v>
          </cell>
          <cell r="E1679">
            <v>66.95</v>
          </cell>
          <cell r="F1679">
            <v>4525.8</v>
          </cell>
        </row>
        <row r="1680">
          <cell r="A1680" t="str">
            <v>370504</v>
          </cell>
          <cell r="B1680" t="str">
            <v>Quadro de comando completo para conjunto motor-bomba submersível de poço profundo acima de 20 HP até 50 HP, 220 V</v>
          </cell>
          <cell r="C1680" t="str">
            <v>un</v>
          </cell>
          <cell r="D1680">
            <v>6191.63</v>
          </cell>
          <cell r="E1680">
            <v>66.95</v>
          </cell>
          <cell r="F1680">
            <v>6258.58</v>
          </cell>
        </row>
        <row r="1681">
          <cell r="A1681" t="str">
            <v>370505</v>
          </cell>
          <cell r="B1681" t="str">
            <v>Quadro de comando completo para conjunto motor-bomba submersível de poço profundo acima de 6 HP até 15 HP, 380 V</v>
          </cell>
          <cell r="C1681" t="str">
            <v>un</v>
          </cell>
          <cell r="D1681">
            <v>1441.27</v>
          </cell>
          <cell r="E1681">
            <v>66.95</v>
          </cell>
          <cell r="F1681">
            <v>1508.22</v>
          </cell>
        </row>
        <row r="1682">
          <cell r="A1682" t="str">
            <v>370506</v>
          </cell>
          <cell r="B1682" t="str">
            <v>Quadro de comando completo para conjunto motor-bomba submersível de poço profundo acima de 15 HP até 50 HP, 380 V</v>
          </cell>
          <cell r="C1682" t="str">
            <v>un</v>
          </cell>
          <cell r="D1682">
            <v>4873.95</v>
          </cell>
          <cell r="E1682">
            <v>66.95</v>
          </cell>
          <cell r="F1682">
            <v>4940.8999999999996</v>
          </cell>
        </row>
        <row r="1683">
          <cell r="A1683" t="str">
            <v>370507</v>
          </cell>
          <cell r="B1683" t="str">
            <v>Quadro de comando completo para conjunto motor-bomba submersível de poço profundo acima de 50 HP até 150 HP, 220 / 380 / 440 V</v>
          </cell>
          <cell r="C1683" t="str">
            <v>un</v>
          </cell>
          <cell r="D1683">
            <v>10921.16</v>
          </cell>
          <cell r="E1683">
            <v>100.43</v>
          </cell>
          <cell r="F1683">
            <v>11021.59</v>
          </cell>
        </row>
        <row r="1684">
          <cell r="A1684" t="str">
            <v>370508</v>
          </cell>
          <cell r="B1684" t="str">
            <v>Quadro de comando completo para conjunto motor-bomba submersível de poço profundo acima de 15 HP até 50 HP, 440 V</v>
          </cell>
          <cell r="C1684" t="str">
            <v>un</v>
          </cell>
          <cell r="D1684">
            <v>4849.24</v>
          </cell>
          <cell r="E1684">
            <v>66.95</v>
          </cell>
          <cell r="F1684">
            <v>4916.1899999999996</v>
          </cell>
        </row>
        <row r="1685">
          <cell r="A1685" t="str">
            <v>370601</v>
          </cell>
          <cell r="B1685" t="str">
            <v>Painel monobloco autoportante em chapa de aço de 2,0 mm de espessura, com proteção mínima IP 54 - sem componentes</v>
          </cell>
          <cell r="C1685" t="str">
            <v>m²</v>
          </cell>
          <cell r="D1685">
            <v>725.11</v>
          </cell>
          <cell r="E1685">
            <v>61.04</v>
          </cell>
          <cell r="F1685">
            <v>786.15</v>
          </cell>
        </row>
        <row r="1686">
          <cell r="A1686" t="str">
            <v>371001</v>
          </cell>
          <cell r="B1686" t="str">
            <v>Barramento de cobre nu</v>
          </cell>
          <cell r="C1686" t="str">
            <v>kg</v>
          </cell>
          <cell r="D1686">
            <v>39.380000000000003</v>
          </cell>
          <cell r="E1686">
            <v>4</v>
          </cell>
          <cell r="F1686">
            <v>43.38</v>
          </cell>
        </row>
        <row r="1687">
          <cell r="A1687" t="str">
            <v>371102</v>
          </cell>
          <cell r="B1687" t="str">
            <v>Base de fusível Diazed completa para 25 A</v>
          </cell>
          <cell r="C1687" t="str">
            <v>un</v>
          </cell>
          <cell r="D1687">
            <v>14.64</v>
          </cell>
          <cell r="E1687">
            <v>6.82</v>
          </cell>
          <cell r="F1687">
            <v>21.46</v>
          </cell>
        </row>
        <row r="1688">
          <cell r="A1688" t="str">
            <v>371104</v>
          </cell>
          <cell r="B1688" t="str">
            <v>Base de fusível Diazed completa para 63 A</v>
          </cell>
          <cell r="C1688" t="str">
            <v>un</v>
          </cell>
          <cell r="D1688">
            <v>19.11</v>
          </cell>
          <cell r="E1688">
            <v>11.370000000000001</v>
          </cell>
          <cell r="F1688">
            <v>30.48</v>
          </cell>
        </row>
        <row r="1689">
          <cell r="A1689" t="str">
            <v>371106</v>
          </cell>
          <cell r="B1689" t="str">
            <v>Base de fusível NH até 125 A, com fusível</v>
          </cell>
          <cell r="C1689" t="str">
            <v>un</v>
          </cell>
          <cell r="D1689">
            <v>20.52</v>
          </cell>
          <cell r="E1689">
            <v>22.740000000000002</v>
          </cell>
          <cell r="F1689">
            <v>43.26</v>
          </cell>
        </row>
        <row r="1690">
          <cell r="A1690" t="str">
            <v>371108</v>
          </cell>
          <cell r="B1690" t="str">
            <v>Base de fusível NH até 250 A, com fusível</v>
          </cell>
          <cell r="C1690" t="str">
            <v>un</v>
          </cell>
          <cell r="D1690">
            <v>63.81</v>
          </cell>
          <cell r="E1690">
            <v>22.740000000000002</v>
          </cell>
          <cell r="F1690">
            <v>86.55</v>
          </cell>
        </row>
        <row r="1691">
          <cell r="A1691" t="str">
            <v>371110</v>
          </cell>
          <cell r="B1691" t="str">
            <v>Base de fusível NH até 400 A, com fusível</v>
          </cell>
          <cell r="C1691" t="str">
            <v>un</v>
          </cell>
          <cell r="D1691">
            <v>98.86</v>
          </cell>
          <cell r="E1691">
            <v>22.740000000000002</v>
          </cell>
          <cell r="F1691">
            <v>121.60000000000001</v>
          </cell>
        </row>
        <row r="1692">
          <cell r="A1692" t="str">
            <v>371112</v>
          </cell>
          <cell r="B1692" t="str">
            <v>Base de fusível tripolar de 15 kV</v>
          </cell>
          <cell r="C1692" t="str">
            <v>un</v>
          </cell>
          <cell r="D1692">
            <v>451.46000000000004</v>
          </cell>
          <cell r="E1692">
            <v>27.29</v>
          </cell>
          <cell r="F1692">
            <v>478.75</v>
          </cell>
        </row>
        <row r="1693">
          <cell r="A1693" t="str">
            <v>371113</v>
          </cell>
          <cell r="B1693" t="str">
            <v>Base de fusível tripolar de 25 kV</v>
          </cell>
          <cell r="C1693" t="str">
            <v>un</v>
          </cell>
          <cell r="D1693">
            <v>587.5</v>
          </cell>
          <cell r="E1693">
            <v>27.29</v>
          </cell>
          <cell r="F1693">
            <v>614.79</v>
          </cell>
        </row>
        <row r="1694">
          <cell r="A1694" t="str">
            <v>371114</v>
          </cell>
          <cell r="B1694" t="str">
            <v>Base de fusível unipolar de 15 kV</v>
          </cell>
          <cell r="C1694" t="str">
            <v>un</v>
          </cell>
          <cell r="D1694">
            <v>180.68</v>
          </cell>
          <cell r="E1694">
            <v>27.29</v>
          </cell>
          <cell r="F1694">
            <v>207.97</v>
          </cell>
        </row>
        <row r="1695">
          <cell r="A1695" t="str">
            <v>371202</v>
          </cell>
          <cell r="B1695" t="str">
            <v>Fusível tipo NH 00 de 6 A até 160 A</v>
          </cell>
          <cell r="C1695" t="str">
            <v>un</v>
          </cell>
          <cell r="D1695">
            <v>8.07</v>
          </cell>
          <cell r="E1695">
            <v>4.55</v>
          </cell>
          <cell r="F1695">
            <v>12.620000000000001</v>
          </cell>
        </row>
        <row r="1696">
          <cell r="A1696" t="str">
            <v>371204</v>
          </cell>
          <cell r="B1696" t="str">
            <v>Fusível tipo NH 1 de 36 A até 250 A</v>
          </cell>
          <cell r="C1696" t="str">
            <v>un</v>
          </cell>
          <cell r="D1696">
            <v>21.55</v>
          </cell>
          <cell r="E1696">
            <v>4.55</v>
          </cell>
          <cell r="F1696">
            <v>26.1</v>
          </cell>
        </row>
        <row r="1697">
          <cell r="A1697" t="str">
            <v>371206</v>
          </cell>
          <cell r="B1697" t="str">
            <v>Fusível tipo NH 2 de 224 A até 400 A</v>
          </cell>
          <cell r="C1697" t="str">
            <v>un</v>
          </cell>
          <cell r="D1697">
            <v>35.31</v>
          </cell>
          <cell r="E1697">
            <v>4.55</v>
          </cell>
          <cell r="F1697">
            <v>39.86</v>
          </cell>
        </row>
        <row r="1698">
          <cell r="A1698" t="str">
            <v>371208</v>
          </cell>
          <cell r="B1698" t="str">
            <v>Fusível tipo NH 3 de 400 A até 630 A</v>
          </cell>
          <cell r="C1698" t="str">
            <v>un</v>
          </cell>
          <cell r="D1698">
            <v>52.79</v>
          </cell>
          <cell r="E1698">
            <v>4.55</v>
          </cell>
          <cell r="F1698">
            <v>57.34</v>
          </cell>
        </row>
        <row r="1699">
          <cell r="A1699" t="str">
            <v>371210</v>
          </cell>
          <cell r="B1699" t="str">
            <v>Fusível tipo NH 4 de 800 A até 1250 A</v>
          </cell>
          <cell r="C1699" t="str">
            <v>un</v>
          </cell>
          <cell r="D1699">
            <v>246.07</v>
          </cell>
          <cell r="E1699">
            <v>4.55</v>
          </cell>
          <cell r="F1699">
            <v>250.62</v>
          </cell>
        </row>
        <row r="1700">
          <cell r="A1700" t="str">
            <v>371212</v>
          </cell>
          <cell r="B1700" t="str">
            <v>Fusível tipo HH para 15 kV de 2,5 A até 50 A</v>
          </cell>
          <cell r="C1700" t="str">
            <v>un</v>
          </cell>
          <cell r="D1700">
            <v>175.8</v>
          </cell>
          <cell r="E1700">
            <v>4.55</v>
          </cell>
          <cell r="F1700">
            <v>180.35</v>
          </cell>
        </row>
        <row r="1701">
          <cell r="A1701" t="str">
            <v>371213</v>
          </cell>
          <cell r="B1701" t="str">
            <v>Fusível tipo HH para 25 kV de 6 A até 63 A</v>
          </cell>
          <cell r="C1701" t="str">
            <v>un</v>
          </cell>
          <cell r="D1701">
            <v>247.11</v>
          </cell>
          <cell r="E1701">
            <v>4.55</v>
          </cell>
          <cell r="F1701">
            <v>251.66</v>
          </cell>
        </row>
        <row r="1702">
          <cell r="A1702" t="str">
            <v>371214</v>
          </cell>
          <cell r="B1702" t="str">
            <v>Fusível tipo HH para 15 kV de 60 A até 100 A</v>
          </cell>
          <cell r="C1702" t="str">
            <v>un</v>
          </cell>
          <cell r="D1702">
            <v>266.58</v>
          </cell>
          <cell r="E1702">
            <v>4.55</v>
          </cell>
          <cell r="F1702">
            <v>271.13</v>
          </cell>
        </row>
        <row r="1703">
          <cell r="A1703" t="str">
            <v>371220</v>
          </cell>
          <cell r="B1703" t="str">
            <v>Fusível diazed retardado de 2 A até 25 A</v>
          </cell>
          <cell r="C1703" t="str">
            <v>un</v>
          </cell>
          <cell r="D1703">
            <v>1.1000000000000001</v>
          </cell>
          <cell r="E1703">
            <v>4.55</v>
          </cell>
          <cell r="F1703">
            <v>5.65</v>
          </cell>
        </row>
        <row r="1704">
          <cell r="A1704" t="str">
            <v>371222</v>
          </cell>
          <cell r="B1704" t="str">
            <v>Fusível diazed retardado de 35 A até 63 A</v>
          </cell>
          <cell r="C1704" t="str">
            <v>un</v>
          </cell>
          <cell r="D1704">
            <v>1.51</v>
          </cell>
          <cell r="E1704">
            <v>4.55</v>
          </cell>
          <cell r="F1704">
            <v>6.0600000000000005</v>
          </cell>
        </row>
        <row r="1705">
          <cell r="A1705" t="str">
            <v>371230</v>
          </cell>
          <cell r="B1705" t="str">
            <v>Fusível em vidro para ´TP´ de 0,5 A</v>
          </cell>
          <cell r="C1705" t="str">
            <v>un</v>
          </cell>
          <cell r="D1705">
            <v>29.45</v>
          </cell>
          <cell r="E1705">
            <v>1.1399999999999999</v>
          </cell>
          <cell r="F1705">
            <v>30.59</v>
          </cell>
        </row>
        <row r="1706">
          <cell r="A1706" t="str">
            <v>371350</v>
          </cell>
          <cell r="B1706" t="str">
            <v>Disjuntor fixo PVO trifásico, 25 kV, 630 A x 600 MVA, 50/60 Hz, com acessórios</v>
          </cell>
          <cell r="C1706" t="str">
            <v>un</v>
          </cell>
          <cell r="D1706">
            <v>22846.19</v>
          </cell>
          <cell r="E1706">
            <v>144.12</v>
          </cell>
          <cell r="F1706">
            <v>22990.31</v>
          </cell>
        </row>
        <row r="1707">
          <cell r="A1707" t="str">
            <v>371351</v>
          </cell>
          <cell r="B1707" t="str">
            <v>Disjuntor fixo PVO trifásico, 17,5 kV, 630 A x 350 MVA, 50/60 Hz, com acessórios</v>
          </cell>
          <cell r="C1707" t="str">
            <v>un</v>
          </cell>
          <cell r="D1707">
            <v>12760.800000000001</v>
          </cell>
          <cell r="E1707">
            <v>144.12</v>
          </cell>
          <cell r="F1707">
            <v>12904.92</v>
          </cell>
        </row>
        <row r="1708">
          <cell r="A1708" t="str">
            <v>371352</v>
          </cell>
          <cell r="B1708" t="str">
            <v>Disjuntor a seco aberto trifásico, 600 V de 800 A, 50/60 Hz, com acessórios</v>
          </cell>
          <cell r="C1708" t="str">
            <v>un</v>
          </cell>
          <cell r="D1708">
            <v>12828.9</v>
          </cell>
          <cell r="E1708">
            <v>128.56</v>
          </cell>
          <cell r="F1708">
            <v>12957.460000000001</v>
          </cell>
        </row>
        <row r="1709">
          <cell r="A1709" t="str">
            <v>371353</v>
          </cell>
          <cell r="B1709" t="str">
            <v>Disjuntor fixo PVO trifásico, 15 kV, 630 A x 350 MVA, com relé de proteção de sobrecorrente e transformadores de corrente</v>
          </cell>
          <cell r="C1709" t="str">
            <v>cj</v>
          </cell>
          <cell r="D1709">
            <v>23293.15</v>
          </cell>
          <cell r="E1709">
            <v>190.53</v>
          </cell>
          <cell r="F1709">
            <v>23483.68</v>
          </cell>
        </row>
        <row r="1710">
          <cell r="A1710" t="str">
            <v>371355</v>
          </cell>
          <cell r="B1710" t="str">
            <v>Disjuntor em caixa aberta tripolar extraível, 500V de 3200A, com acessórios</v>
          </cell>
          <cell r="C1710" t="str">
            <v>un</v>
          </cell>
          <cell r="D1710">
            <v>33445.5</v>
          </cell>
          <cell r="E1710">
            <v>22.740000000000002</v>
          </cell>
          <cell r="F1710">
            <v>33468.239999999998</v>
          </cell>
        </row>
        <row r="1711">
          <cell r="A1711" t="str">
            <v>371357</v>
          </cell>
          <cell r="B1711" t="str">
            <v>Disjuntor em caixa aberta tripolar extraível, 500V de 4000A, com acessórios</v>
          </cell>
          <cell r="C1711" t="str">
            <v>un</v>
          </cell>
          <cell r="D1711">
            <v>59948.07</v>
          </cell>
          <cell r="E1711">
            <v>22.740000000000002</v>
          </cell>
          <cell r="F1711">
            <v>59970.81</v>
          </cell>
        </row>
        <row r="1712">
          <cell r="A1712" t="str">
            <v>371359</v>
          </cell>
          <cell r="B1712" t="str">
            <v>Disjuntor em caixa aberta tripolar extraível, 500V de 5000A, com acessórios</v>
          </cell>
          <cell r="C1712" t="str">
            <v>un</v>
          </cell>
          <cell r="D1712">
            <v>76626.16</v>
          </cell>
          <cell r="E1712">
            <v>22.740000000000002</v>
          </cell>
          <cell r="F1712">
            <v>76648.899999999994</v>
          </cell>
        </row>
        <row r="1713">
          <cell r="A1713" t="str">
            <v>371360</v>
          </cell>
          <cell r="B1713" t="str">
            <v>Disjuntor termomagnético, unipolar 127/220 V, corrente de 10 A até 30 A</v>
          </cell>
          <cell r="C1713" t="str">
            <v>un</v>
          </cell>
          <cell r="D1713">
            <v>6.65</v>
          </cell>
          <cell r="E1713">
            <v>6.82</v>
          </cell>
          <cell r="F1713">
            <v>13.47</v>
          </cell>
        </row>
        <row r="1714">
          <cell r="A1714" t="str">
            <v>371361</v>
          </cell>
          <cell r="B1714" t="str">
            <v>Disjuntor termomagnético, unipolar 127/220 V, corrente de 35 A até 50 A</v>
          </cell>
          <cell r="C1714" t="str">
            <v>un</v>
          </cell>
          <cell r="D1714">
            <v>10.98</v>
          </cell>
          <cell r="E1714">
            <v>6.82</v>
          </cell>
          <cell r="F1714">
            <v>17.8</v>
          </cell>
        </row>
        <row r="1715">
          <cell r="A1715" t="str">
            <v>371362</v>
          </cell>
          <cell r="B1715" t="str">
            <v>Disjuntor termomagnético, unipolar 127/220 V, corrente de 60 A até 70 A</v>
          </cell>
          <cell r="C1715" t="str">
            <v>un</v>
          </cell>
          <cell r="D1715">
            <v>16.45</v>
          </cell>
          <cell r="E1715">
            <v>6.82</v>
          </cell>
          <cell r="F1715">
            <v>23.27</v>
          </cell>
        </row>
        <row r="1716">
          <cell r="A1716" t="str">
            <v>371363</v>
          </cell>
          <cell r="B1716" t="str">
            <v>Disjuntor termomagnético, bipolar 220/380 V, corrente de 10 A até 50 A</v>
          </cell>
          <cell r="C1716" t="str">
            <v>un</v>
          </cell>
          <cell r="D1716">
            <v>37.28</v>
          </cell>
          <cell r="E1716">
            <v>13.64</v>
          </cell>
          <cell r="F1716">
            <v>50.92</v>
          </cell>
        </row>
        <row r="1717">
          <cell r="A1717" t="str">
            <v>371364</v>
          </cell>
          <cell r="B1717" t="str">
            <v>Disjuntor termomagnético, bipolar 220/380 V, corrente de 60 A até 100 A</v>
          </cell>
          <cell r="C1717" t="str">
            <v>un</v>
          </cell>
          <cell r="D1717">
            <v>53.050000000000004</v>
          </cell>
          <cell r="E1717">
            <v>13.64</v>
          </cell>
          <cell r="F1717">
            <v>66.69</v>
          </cell>
        </row>
        <row r="1718">
          <cell r="A1718" t="str">
            <v>371365</v>
          </cell>
          <cell r="B1718" t="str">
            <v>Disjuntor termomagnético, tripolar 220/380 V, corrente de 10 A até 50 A</v>
          </cell>
          <cell r="C1718" t="str">
            <v>un</v>
          </cell>
          <cell r="D1718">
            <v>45.93</v>
          </cell>
          <cell r="E1718">
            <v>20.47</v>
          </cell>
          <cell r="F1718">
            <v>66.400000000000006</v>
          </cell>
        </row>
        <row r="1719">
          <cell r="A1719" t="str">
            <v>371366</v>
          </cell>
          <cell r="B1719" t="str">
            <v>Disjuntor termomagnético, tripolar 220/380 V, corrente de 60 A até 100 A</v>
          </cell>
          <cell r="C1719" t="str">
            <v>un</v>
          </cell>
          <cell r="D1719">
            <v>66.13</v>
          </cell>
          <cell r="E1719">
            <v>20.47</v>
          </cell>
          <cell r="F1719">
            <v>86.600000000000009</v>
          </cell>
        </row>
        <row r="1720">
          <cell r="A1720" t="str">
            <v>371369</v>
          </cell>
          <cell r="B1720" t="str">
            <v>Disjuntor série universal, em caixa moldada, térmico e magnético fixos, bipolar 480 V, corrente de 60 A até 100 A</v>
          </cell>
          <cell r="C1720" t="str">
            <v>un</v>
          </cell>
          <cell r="D1720">
            <v>223.45000000000002</v>
          </cell>
          <cell r="E1720">
            <v>22.740000000000002</v>
          </cell>
          <cell r="F1720">
            <v>246.19</v>
          </cell>
        </row>
        <row r="1721">
          <cell r="A1721" t="str">
            <v>371370</v>
          </cell>
          <cell r="B1721" t="str">
            <v>Disjuntor série universal, em caixa moldada, térmico e magnético fixos, bipolar 480/600 V, corrente de 125 A</v>
          </cell>
          <cell r="C1721" t="str">
            <v>un</v>
          </cell>
          <cell r="D1721">
            <v>391.73</v>
          </cell>
          <cell r="E1721">
            <v>22.740000000000002</v>
          </cell>
          <cell r="F1721">
            <v>414.47</v>
          </cell>
        </row>
        <row r="1722">
          <cell r="A1722" t="str">
            <v>371372</v>
          </cell>
          <cell r="B1722" t="str">
            <v>Disjuntor série universal, em caixa moldada, térmico fixo e magnético ajustável, tripolar 600 V, corrente de 300 A até 400 A</v>
          </cell>
          <cell r="C1722" t="str">
            <v>un</v>
          </cell>
          <cell r="D1722">
            <v>1395.2</v>
          </cell>
          <cell r="E1722">
            <v>45.480000000000004</v>
          </cell>
          <cell r="F1722">
            <v>1440.68</v>
          </cell>
        </row>
        <row r="1723">
          <cell r="A1723" t="str">
            <v>371373</v>
          </cell>
          <cell r="B1723" t="str">
            <v>Disjuntor série universal, em caixa moldada, térmico fixo e magnético ajustável, tripolar 600 V, corrente de 500 A até 630 A</v>
          </cell>
          <cell r="C1723" t="str">
            <v>un</v>
          </cell>
          <cell r="D1723">
            <v>2291.6799999999998</v>
          </cell>
          <cell r="E1723">
            <v>45.480000000000004</v>
          </cell>
          <cell r="F1723">
            <v>2337.16</v>
          </cell>
        </row>
        <row r="1724">
          <cell r="A1724" t="str">
            <v>371374</v>
          </cell>
          <cell r="B1724" t="str">
            <v>Disjuntor série universal, em caixa moldada, térmico fixo e magnético ajustável, tripolar 600 V, corrente de 700 A até 800 A</v>
          </cell>
          <cell r="C1724" t="str">
            <v>un</v>
          </cell>
          <cell r="D1724">
            <v>4137.6899999999996</v>
          </cell>
          <cell r="E1724">
            <v>45.480000000000004</v>
          </cell>
          <cell r="F1724">
            <v>4183.17</v>
          </cell>
        </row>
        <row r="1725">
          <cell r="A1725" t="str">
            <v>371376</v>
          </cell>
          <cell r="B1725" t="str">
            <v>Disjuntor em caixa moldada, térmico e magnético ajustáveis, tripolar 630 A/690 V, faixa de ajuste de 440 até 630 A</v>
          </cell>
          <cell r="C1725" t="str">
            <v>un</v>
          </cell>
          <cell r="D1725">
            <v>2646.29</v>
          </cell>
          <cell r="E1725">
            <v>45.480000000000004</v>
          </cell>
          <cell r="F1725">
            <v>2691.77</v>
          </cell>
        </row>
        <row r="1726">
          <cell r="A1726" t="str">
            <v>371377</v>
          </cell>
          <cell r="B1726" t="str">
            <v>Disjuntor em caixa moldada, térmico e magnético ajustáveis, tripolar 1250 A/690 V, faixa de ajuste de 800 até 1250 A</v>
          </cell>
          <cell r="C1726" t="str">
            <v>un</v>
          </cell>
          <cell r="D1726">
            <v>7780.27</v>
          </cell>
          <cell r="E1726">
            <v>45.480000000000004</v>
          </cell>
          <cell r="F1726">
            <v>7825.75</v>
          </cell>
        </row>
        <row r="1727">
          <cell r="A1727" t="str">
            <v>371378</v>
          </cell>
          <cell r="B1727" t="str">
            <v>Disjuntor em caixa moldada, térmico e magnético ajustáveis, tripolar 1600 A/690 V, faixa de ajuste de 1000 até 1600 A</v>
          </cell>
          <cell r="C1727" t="str">
            <v>un</v>
          </cell>
          <cell r="D1727">
            <v>10548.25</v>
          </cell>
          <cell r="E1727">
            <v>45.480000000000004</v>
          </cell>
          <cell r="F1727">
            <v>10593.73</v>
          </cell>
        </row>
        <row r="1728">
          <cell r="A1728" t="str">
            <v>371380</v>
          </cell>
          <cell r="B1728" t="str">
            <v>Mini-disjuntor termomagnético, unipolar 127/220 V, corrente de 10 A até 32 A</v>
          </cell>
          <cell r="C1728" t="str">
            <v>un</v>
          </cell>
          <cell r="D1728">
            <v>5.37</v>
          </cell>
          <cell r="E1728">
            <v>4.55</v>
          </cell>
          <cell r="F1728">
            <v>9.92</v>
          </cell>
        </row>
        <row r="1729">
          <cell r="A1729" t="str">
            <v>371381</v>
          </cell>
          <cell r="B1729" t="str">
            <v>Mini-disjuntor termomagnético, unipolar 127/220 V, corrente de 40 A até 50 A</v>
          </cell>
          <cell r="C1729" t="str">
            <v>un</v>
          </cell>
          <cell r="D1729">
            <v>7.86</v>
          </cell>
          <cell r="E1729">
            <v>4.55</v>
          </cell>
          <cell r="F1729">
            <v>12.41</v>
          </cell>
        </row>
        <row r="1730">
          <cell r="A1730" t="str">
            <v>371382</v>
          </cell>
          <cell r="B1730" t="str">
            <v>Mini-disjuntor termomagnético, unipolar 127/220 V, corrente de 63 A</v>
          </cell>
          <cell r="C1730" t="str">
            <v>un</v>
          </cell>
          <cell r="D1730">
            <v>11.43</v>
          </cell>
          <cell r="E1730">
            <v>4.55</v>
          </cell>
          <cell r="F1730">
            <v>15.98</v>
          </cell>
        </row>
        <row r="1731">
          <cell r="A1731" t="str">
            <v>371384</v>
          </cell>
          <cell r="B1731" t="str">
            <v>Mini-disjuntor termomagnético, bipolar 220/380 V, corrente de 10 A até 32 A</v>
          </cell>
          <cell r="C1731" t="str">
            <v>un</v>
          </cell>
          <cell r="D1731">
            <v>25.37</v>
          </cell>
          <cell r="E1731">
            <v>4.55</v>
          </cell>
          <cell r="F1731">
            <v>29.92</v>
          </cell>
        </row>
        <row r="1732">
          <cell r="A1732" t="str">
            <v>371385</v>
          </cell>
          <cell r="B1732" t="str">
            <v>Mini-disjuntor termomagnético, bipolar 220/380 V, corrente de 40 A até 50 A</v>
          </cell>
          <cell r="C1732" t="str">
            <v>un</v>
          </cell>
          <cell r="D1732">
            <v>29.16</v>
          </cell>
          <cell r="E1732">
            <v>4.55</v>
          </cell>
          <cell r="F1732">
            <v>33.71</v>
          </cell>
        </row>
        <row r="1733">
          <cell r="A1733" t="str">
            <v>371386</v>
          </cell>
          <cell r="B1733" t="str">
            <v>Mini-disjuntor termomagnético, bipolar 220/380 V, corrente de 63 A</v>
          </cell>
          <cell r="C1733" t="str">
            <v>un</v>
          </cell>
          <cell r="D1733">
            <v>36.020000000000003</v>
          </cell>
          <cell r="E1733">
            <v>4.55</v>
          </cell>
          <cell r="F1733">
            <v>40.57</v>
          </cell>
        </row>
        <row r="1734">
          <cell r="A1734" t="str">
            <v>371387</v>
          </cell>
          <cell r="B1734" t="str">
            <v>Mini-disjuntor termomagnético, bipolar 400 V, corrente de 80 A até 100 A</v>
          </cell>
          <cell r="C1734" t="str">
            <v>un</v>
          </cell>
          <cell r="D1734">
            <v>369.03000000000003</v>
          </cell>
          <cell r="E1734">
            <v>4.55</v>
          </cell>
          <cell r="F1734">
            <v>373.58</v>
          </cell>
        </row>
        <row r="1735">
          <cell r="A1735" t="str">
            <v>371388</v>
          </cell>
          <cell r="B1735" t="str">
            <v>Mini-disjuntor termomagnético, tripolar 220/380 V, corrente de 10 A até 32 A</v>
          </cell>
          <cell r="C1735" t="str">
            <v>un</v>
          </cell>
          <cell r="D1735">
            <v>33.11</v>
          </cell>
          <cell r="E1735">
            <v>4.55</v>
          </cell>
          <cell r="F1735">
            <v>37.659999999999997</v>
          </cell>
        </row>
        <row r="1736">
          <cell r="A1736" t="str">
            <v>371389</v>
          </cell>
          <cell r="B1736" t="str">
            <v>Mini-disjuntor termomagnético, tripolar 220/380 V, corrente de 40 A até 50 A</v>
          </cell>
          <cell r="C1736" t="str">
            <v>un</v>
          </cell>
          <cell r="D1736">
            <v>35.840000000000003</v>
          </cell>
          <cell r="E1736">
            <v>4.55</v>
          </cell>
          <cell r="F1736">
            <v>40.39</v>
          </cell>
        </row>
        <row r="1737">
          <cell r="A1737" t="str">
            <v>371390</v>
          </cell>
          <cell r="B1737" t="str">
            <v>Mini-disjuntor termomagnético, tripolar 220/380 V, corrente de 63 A</v>
          </cell>
          <cell r="C1737" t="str">
            <v>un</v>
          </cell>
          <cell r="D1737">
            <v>43.84</v>
          </cell>
          <cell r="E1737">
            <v>4.55</v>
          </cell>
          <cell r="F1737">
            <v>48.39</v>
          </cell>
        </row>
        <row r="1738">
          <cell r="A1738" t="str">
            <v>371391</v>
          </cell>
          <cell r="B1738" t="str">
            <v>Mini-disjuntor termomagnético, tripolar 400 V, corrente de 80 A até 125 A</v>
          </cell>
          <cell r="C1738" t="str">
            <v>un</v>
          </cell>
          <cell r="D1738">
            <v>588.34</v>
          </cell>
          <cell r="E1738">
            <v>4.55</v>
          </cell>
          <cell r="F1738">
            <v>592.89</v>
          </cell>
        </row>
        <row r="1739">
          <cell r="A1739" t="str">
            <v>371392</v>
          </cell>
          <cell r="B1739" t="str">
            <v>Disjuntor em caixa moldada, térmico ajustável e magnético fixo, tripolar 2000 A / 1200 V, faixa de ajuste de 1600 até 2000 A</v>
          </cell>
          <cell r="C1739" t="str">
            <v>un</v>
          </cell>
          <cell r="D1739">
            <v>15077.43</v>
          </cell>
          <cell r="E1739">
            <v>45.480000000000004</v>
          </cell>
          <cell r="F1739">
            <v>15122.91</v>
          </cell>
        </row>
        <row r="1740">
          <cell r="A1740" t="str">
            <v>371393</v>
          </cell>
          <cell r="B1740" t="str">
            <v>Disjuntor em caixa moldada, térmico ajustável e magnético fixo, tripolar 2500 A / 1200 V, faixa de ajuste de 2000 até 2500 A</v>
          </cell>
          <cell r="C1740" t="str">
            <v>un</v>
          </cell>
          <cell r="D1740">
            <v>20976.14</v>
          </cell>
          <cell r="E1740">
            <v>45.480000000000004</v>
          </cell>
          <cell r="F1740">
            <v>21021.62</v>
          </cell>
        </row>
        <row r="1741">
          <cell r="A1741" t="str">
            <v>371394</v>
          </cell>
          <cell r="B1741" t="str">
            <v>Disjuntor em caixa aberta tripolar extraível, 500 V de 6300 A, com acessórios</v>
          </cell>
          <cell r="C1741" t="str">
            <v>un</v>
          </cell>
          <cell r="D1741">
            <v>149094.04</v>
          </cell>
          <cell r="E1741">
            <v>22.740000000000002</v>
          </cell>
          <cell r="F1741">
            <v>149116.78</v>
          </cell>
        </row>
        <row r="1742">
          <cell r="A1742" t="str">
            <v>371405</v>
          </cell>
          <cell r="B1742" t="str">
            <v>Chave comutadora, reversão sob carga, tetrapolar, sem porta fusível, para 100 A</v>
          </cell>
          <cell r="C1742" t="str">
            <v>un</v>
          </cell>
          <cell r="D1742">
            <v>1406.65</v>
          </cell>
          <cell r="E1742">
            <v>22.740000000000002</v>
          </cell>
          <cell r="F1742">
            <v>1429.39</v>
          </cell>
        </row>
        <row r="1743">
          <cell r="A1743" t="str">
            <v>371430</v>
          </cell>
          <cell r="B1743" t="str">
            <v>Chave seccionadora sob carga, tripolar, acionamento rotativo, com prolongador, sem porta-fusível, de 160 A</v>
          </cell>
          <cell r="C1743" t="str">
            <v>un</v>
          </cell>
          <cell r="D1743">
            <v>708.27</v>
          </cell>
          <cell r="E1743">
            <v>18.190000000000001</v>
          </cell>
          <cell r="F1743">
            <v>726.46</v>
          </cell>
        </row>
        <row r="1744">
          <cell r="A1744" t="str">
            <v>371431</v>
          </cell>
          <cell r="B1744" t="str">
            <v>Chave seccionadora sob carga, tripolar, acionamento rotativo, com prolongador, sem porta-fusível, de 250 A</v>
          </cell>
          <cell r="C1744" t="str">
            <v>un</v>
          </cell>
          <cell r="D1744">
            <v>748.87</v>
          </cell>
          <cell r="E1744">
            <v>18.190000000000001</v>
          </cell>
          <cell r="F1744">
            <v>767.06000000000006</v>
          </cell>
        </row>
        <row r="1745">
          <cell r="A1745" t="str">
            <v>371432</v>
          </cell>
          <cell r="B1745" t="str">
            <v>Chave seccionadora sob carga, tripolar, acionamento rotativo, com prolongador, sem porta-fusível, de 400 A</v>
          </cell>
          <cell r="C1745" t="str">
            <v>un</v>
          </cell>
          <cell r="D1745">
            <v>876.45</v>
          </cell>
          <cell r="E1745">
            <v>22.740000000000002</v>
          </cell>
          <cell r="F1745">
            <v>899.19</v>
          </cell>
        </row>
        <row r="1746">
          <cell r="A1746" t="str">
            <v>371433</v>
          </cell>
          <cell r="B1746" t="str">
            <v>Chave seccionadora sob carga, tripolar, acionamento rotativo, com prolongador, sem porta-fusível, de 630 A</v>
          </cell>
          <cell r="C1746" t="str">
            <v>un</v>
          </cell>
          <cell r="D1746">
            <v>1092.45</v>
          </cell>
          <cell r="E1746">
            <v>27.29</v>
          </cell>
          <cell r="F1746">
            <v>1119.74</v>
          </cell>
        </row>
        <row r="1747">
          <cell r="A1747" t="str">
            <v>371434</v>
          </cell>
          <cell r="B1747" t="str">
            <v>Chave seccionadora sob carga, tripolar, acionamento rotativo, com prolongador, sem porta-fusível, de 1000 A</v>
          </cell>
          <cell r="C1747" t="str">
            <v>un</v>
          </cell>
          <cell r="D1747">
            <v>2013.1200000000001</v>
          </cell>
          <cell r="E1747">
            <v>34.11</v>
          </cell>
          <cell r="F1747">
            <v>2047.23</v>
          </cell>
        </row>
        <row r="1748">
          <cell r="A1748" t="str">
            <v>371435</v>
          </cell>
          <cell r="B1748" t="str">
            <v>Chave seccionadora sob carga, tripolar, acionamento rotativo, com prolongador, sem porta-fusível, de 1250 A</v>
          </cell>
          <cell r="C1748" t="str">
            <v>un</v>
          </cell>
          <cell r="D1748">
            <v>3820.96</v>
          </cell>
          <cell r="E1748">
            <v>34.11</v>
          </cell>
          <cell r="F1748">
            <v>3855.07</v>
          </cell>
        </row>
        <row r="1749">
          <cell r="A1749" t="str">
            <v>371441</v>
          </cell>
          <cell r="B1749" t="str">
            <v>Chave seccionadora sob carga, tripolar, acionamento rotativo, com prolongador e porta-fusível até NH-00-125 A - sem fusíveis</v>
          </cell>
          <cell r="C1749" t="str">
            <v>un</v>
          </cell>
          <cell r="D1749">
            <v>806.61</v>
          </cell>
          <cell r="E1749">
            <v>18.190000000000001</v>
          </cell>
          <cell r="F1749">
            <v>824.80000000000007</v>
          </cell>
        </row>
        <row r="1750">
          <cell r="A1750" t="str">
            <v>371442</v>
          </cell>
          <cell r="B1750" t="str">
            <v>Chave seccionadora sob carga, tripolar, acionamento rotativo, com prolongador e porta-fusível até NH-00-160 A - sem fusíveis</v>
          </cell>
          <cell r="C1750" t="str">
            <v>un</v>
          </cell>
          <cell r="D1750">
            <v>850.32</v>
          </cell>
          <cell r="E1750">
            <v>18.190000000000001</v>
          </cell>
          <cell r="F1750">
            <v>868.51</v>
          </cell>
        </row>
        <row r="1751">
          <cell r="A1751" t="str">
            <v>371443</v>
          </cell>
          <cell r="B1751" t="str">
            <v>Chave seccionadora sob carga, tripolar, acionamento rotativo, com prolongador e porta-fusível até NH-1-250 A - sem fusíveis</v>
          </cell>
          <cell r="C1751" t="str">
            <v>un</v>
          </cell>
          <cell r="D1751">
            <v>1463.59</v>
          </cell>
          <cell r="E1751">
            <v>18.190000000000001</v>
          </cell>
          <cell r="F1751">
            <v>1481.78</v>
          </cell>
        </row>
        <row r="1752">
          <cell r="A1752" t="str">
            <v>371444</v>
          </cell>
          <cell r="B1752" t="str">
            <v>Chave seccionadora sob carga, tripolar, acionamento rotativo, com prolongador e porta-fusível até NH-2-400 A - sem fusíveis</v>
          </cell>
          <cell r="C1752" t="str">
            <v>un</v>
          </cell>
          <cell r="D1752">
            <v>1635.66</v>
          </cell>
          <cell r="E1752">
            <v>22.740000000000002</v>
          </cell>
          <cell r="F1752">
            <v>1658.4</v>
          </cell>
        </row>
        <row r="1753">
          <cell r="A1753" t="str">
            <v>371445</v>
          </cell>
          <cell r="B1753" t="str">
            <v>Chave seccionadora sob carga, tripolar, acionamento rotativo, com prolongador e porta-fusível até NH-3-630 A - sem fusíveis</v>
          </cell>
          <cell r="C1753" t="str">
            <v>un</v>
          </cell>
          <cell r="D1753">
            <v>3125.06</v>
          </cell>
          <cell r="E1753">
            <v>27.29</v>
          </cell>
          <cell r="F1753">
            <v>3152.35</v>
          </cell>
        </row>
        <row r="1754">
          <cell r="A1754" t="str">
            <v>371450</v>
          </cell>
          <cell r="B1754" t="str">
            <v>Chave seccionadora sob carga, tripolar, acionamento tipo punho, com porta-fusível até NH-00-160 A - sem fusíveis</v>
          </cell>
          <cell r="C1754" t="str">
            <v>un</v>
          </cell>
          <cell r="D1754">
            <v>155.68</v>
          </cell>
          <cell r="E1754">
            <v>18.190000000000001</v>
          </cell>
          <cell r="F1754">
            <v>173.87</v>
          </cell>
        </row>
        <row r="1755">
          <cell r="A1755" t="str">
            <v>371451</v>
          </cell>
          <cell r="B1755" t="str">
            <v>Chave seccionadora sob carga, tripolar, acionamento tipo punho, com porta-fusível até NH-1-250 A - sem fusíveis</v>
          </cell>
          <cell r="C1755" t="str">
            <v>un</v>
          </cell>
          <cell r="D1755">
            <v>271.5</v>
          </cell>
          <cell r="E1755">
            <v>18.190000000000001</v>
          </cell>
          <cell r="F1755">
            <v>289.69</v>
          </cell>
        </row>
        <row r="1756">
          <cell r="A1756" t="str">
            <v>371452</v>
          </cell>
          <cell r="B1756" t="str">
            <v>Chave seccionadora sob carga, tripolar, acionamento tipo punho, com porta-fusível até NH-2-400 A - sem fusíveis</v>
          </cell>
          <cell r="C1756" t="str">
            <v>un</v>
          </cell>
          <cell r="D1756">
            <v>413.14</v>
          </cell>
          <cell r="E1756">
            <v>22.740000000000002</v>
          </cell>
          <cell r="F1756">
            <v>435.88</v>
          </cell>
        </row>
        <row r="1757">
          <cell r="A1757" t="str">
            <v>371453</v>
          </cell>
          <cell r="B1757" t="str">
            <v>Chave seccionadora sob carga, tripolar, acionamento tipo punho, com porta-fusível até NH-3-630 A - sem fusíveis</v>
          </cell>
          <cell r="C1757" t="str">
            <v>un</v>
          </cell>
          <cell r="D1757">
            <v>707.55000000000007</v>
          </cell>
          <cell r="E1757">
            <v>27.29</v>
          </cell>
          <cell r="F1757">
            <v>734.84</v>
          </cell>
        </row>
        <row r="1758">
          <cell r="A1758" t="str">
            <v>371460</v>
          </cell>
          <cell r="B1758" t="str">
            <v>Chave comutadora, reversão sob carga, tripolar, sem porta fusível, para 400 A</v>
          </cell>
          <cell r="C1758" t="str">
            <v>un</v>
          </cell>
          <cell r="D1758">
            <v>2388.1</v>
          </cell>
          <cell r="E1758">
            <v>27.29</v>
          </cell>
          <cell r="F1758">
            <v>2415.39</v>
          </cell>
        </row>
        <row r="1759">
          <cell r="A1759" t="str">
            <v>371461</v>
          </cell>
          <cell r="B1759" t="str">
            <v>Chave comutadora, reversão sob carga, tripolar, sem porta fusível, para 600/630 A</v>
          </cell>
          <cell r="C1759" t="str">
            <v>un</v>
          </cell>
          <cell r="D1759">
            <v>3473.9900000000002</v>
          </cell>
          <cell r="E1759">
            <v>34.11</v>
          </cell>
          <cell r="F1759">
            <v>3508.1</v>
          </cell>
        </row>
        <row r="1760">
          <cell r="A1760" t="str">
            <v>371462</v>
          </cell>
          <cell r="B1760" t="str">
            <v>Chave comutadora, reversão sob carga, tripolar, sem porta fusível, para 1000 A</v>
          </cell>
          <cell r="C1760" t="str">
            <v>un</v>
          </cell>
          <cell r="D1760">
            <v>5051.1099999999997</v>
          </cell>
          <cell r="E1760">
            <v>40.93</v>
          </cell>
          <cell r="F1760">
            <v>5092.04</v>
          </cell>
        </row>
        <row r="1761">
          <cell r="A1761" t="str">
            <v>371464</v>
          </cell>
          <cell r="B1761" t="str">
            <v>Chave comutadora, reversão sob carga, tetrapolar, sem porta fusível, para 630 A, 690 V</v>
          </cell>
          <cell r="C1761" t="str">
            <v>un</v>
          </cell>
          <cell r="D1761">
            <v>4604.1400000000003</v>
          </cell>
          <cell r="E1761">
            <v>53.85</v>
          </cell>
          <cell r="F1761">
            <v>4657.99</v>
          </cell>
        </row>
        <row r="1762">
          <cell r="A1762" t="str">
            <v>371480</v>
          </cell>
          <cell r="B1762" t="str">
            <v>Barra de contato para chave seccionadora tipo NH00-160 A</v>
          </cell>
          <cell r="C1762" t="str">
            <v>un</v>
          </cell>
          <cell r="D1762">
            <v>7.1400000000000006</v>
          </cell>
          <cell r="E1762">
            <v>4.55</v>
          </cell>
          <cell r="F1762">
            <v>11.69</v>
          </cell>
        </row>
        <row r="1763">
          <cell r="A1763" t="str">
            <v>371481</v>
          </cell>
          <cell r="B1763" t="str">
            <v>Barra de contato para chave seccionadora tipo NH1-250 A</v>
          </cell>
          <cell r="C1763" t="str">
            <v>un</v>
          </cell>
          <cell r="D1763">
            <v>15.83</v>
          </cell>
          <cell r="E1763">
            <v>4.55</v>
          </cell>
          <cell r="F1763">
            <v>20.38</v>
          </cell>
        </row>
        <row r="1764">
          <cell r="A1764" t="str">
            <v>371482</v>
          </cell>
          <cell r="B1764" t="str">
            <v>Barra de contato para chave seccionadora tipo NH2-400 A</v>
          </cell>
          <cell r="C1764" t="str">
            <v>un</v>
          </cell>
          <cell r="D1764">
            <v>20.96</v>
          </cell>
          <cell r="E1764">
            <v>4.55</v>
          </cell>
          <cell r="F1764">
            <v>25.51</v>
          </cell>
        </row>
        <row r="1765">
          <cell r="A1765" t="str">
            <v>371483</v>
          </cell>
          <cell r="B1765" t="str">
            <v>Barra de contato para chave seccionadora tipo NH3-630 A</v>
          </cell>
          <cell r="C1765" t="str">
            <v>un</v>
          </cell>
          <cell r="D1765">
            <v>29.26</v>
          </cell>
          <cell r="E1765">
            <v>4.55</v>
          </cell>
          <cell r="F1765">
            <v>33.81</v>
          </cell>
        </row>
        <row r="1766">
          <cell r="A1766" t="str">
            <v>371491</v>
          </cell>
          <cell r="B1766" t="str">
            <v>Chave seccionadora tripolar, abertura sob carga seca até 160 A / 600 V</v>
          </cell>
          <cell r="C1766" t="str">
            <v>un</v>
          </cell>
          <cell r="D1766">
            <v>207.87</v>
          </cell>
          <cell r="E1766">
            <v>18.190000000000001</v>
          </cell>
          <cell r="F1766">
            <v>226.06</v>
          </cell>
        </row>
        <row r="1767">
          <cell r="A1767" t="str">
            <v>371511</v>
          </cell>
          <cell r="B1767" t="str">
            <v>Chave seccionadora tripolar sob carga para 400 A - 25 kV - com prolongador</v>
          </cell>
          <cell r="C1767" t="str">
            <v>un</v>
          </cell>
          <cell r="D1767">
            <v>1380.78</v>
          </cell>
          <cell r="E1767">
            <v>111.98</v>
          </cell>
          <cell r="F1767">
            <v>1492.76</v>
          </cell>
        </row>
        <row r="1768">
          <cell r="A1768" t="str">
            <v>371512</v>
          </cell>
          <cell r="B1768" t="str">
            <v>Chave seccionadora tripolar sob carga para 400 A - 15 kV - com prolongador</v>
          </cell>
          <cell r="C1768" t="str">
            <v>un</v>
          </cell>
          <cell r="D1768">
            <v>1015.7</v>
          </cell>
          <cell r="E1768">
            <v>111.98</v>
          </cell>
          <cell r="F1768">
            <v>1127.68</v>
          </cell>
        </row>
        <row r="1769">
          <cell r="A1769" t="str">
            <v>371514</v>
          </cell>
          <cell r="B1769" t="str">
            <v>Chave seccionadora tripolar sob carga para 600/630 A - 15 kV - com prolongador</v>
          </cell>
          <cell r="C1769" t="str">
            <v>un</v>
          </cell>
          <cell r="D1769">
            <v>1040.95</v>
          </cell>
          <cell r="E1769">
            <v>111.98</v>
          </cell>
          <cell r="F1769">
            <v>1152.93</v>
          </cell>
        </row>
        <row r="1770">
          <cell r="A1770" t="str">
            <v>371515</v>
          </cell>
          <cell r="B1770" t="str">
            <v>Chave fusível base ´C´ para 15 kV/100 A, com capacidade de ruptura até 10 kA, com fusível</v>
          </cell>
          <cell r="C1770" t="str">
            <v>un</v>
          </cell>
          <cell r="D1770">
            <v>145.66999999999999</v>
          </cell>
          <cell r="E1770">
            <v>41.47</v>
          </cell>
          <cell r="F1770">
            <v>187.14000000000001</v>
          </cell>
        </row>
        <row r="1771">
          <cell r="A1771" t="str">
            <v>371516</v>
          </cell>
          <cell r="B1771" t="str">
            <v>Chave fusível base ´C´ para 15 kV/200 A, com capacidade de ruptura até 10 kA, com fusível</v>
          </cell>
          <cell r="C1771" t="str">
            <v>un</v>
          </cell>
          <cell r="D1771">
            <v>178.48</v>
          </cell>
          <cell r="E1771">
            <v>41.47</v>
          </cell>
          <cell r="F1771">
            <v>219.95000000000002</v>
          </cell>
        </row>
        <row r="1772">
          <cell r="A1772" t="str">
            <v>371517</v>
          </cell>
          <cell r="B1772" t="str">
            <v>Chave fusível base ´C´ para 25 kV/100 A, com capacidade de ruptura até 6,3 kA, com fusível</v>
          </cell>
          <cell r="C1772" t="str">
            <v>un</v>
          </cell>
          <cell r="D1772">
            <v>192.98000000000002</v>
          </cell>
          <cell r="E1772">
            <v>41.47</v>
          </cell>
          <cell r="F1772">
            <v>234.45000000000002</v>
          </cell>
        </row>
        <row r="1773">
          <cell r="A1773" t="str">
            <v>371520</v>
          </cell>
          <cell r="B1773" t="str">
            <v>Chave seccionadora tripolar seca para 400 A - 15 kV - com prolongador</v>
          </cell>
          <cell r="C1773" t="str">
            <v>un</v>
          </cell>
          <cell r="D1773">
            <v>682.09</v>
          </cell>
          <cell r="E1773">
            <v>111.98</v>
          </cell>
          <cell r="F1773">
            <v>794.07</v>
          </cell>
        </row>
        <row r="1774">
          <cell r="A1774" t="str">
            <v>371521</v>
          </cell>
          <cell r="B1774" t="str">
            <v>Chave seccionadora tripolar seca para 600 / 630 A - 15 kV - com prolongador</v>
          </cell>
          <cell r="C1774" t="str">
            <v>un</v>
          </cell>
          <cell r="D1774">
            <v>814.46</v>
          </cell>
          <cell r="E1774">
            <v>111.98</v>
          </cell>
          <cell r="F1774">
            <v>926.44</v>
          </cell>
        </row>
        <row r="1775">
          <cell r="A1775" t="str">
            <v>371522</v>
          </cell>
          <cell r="B1775" t="str">
            <v>Chave seccionadora tripolar seca para 400 A - 25 kV - com prolongador</v>
          </cell>
          <cell r="C1775" t="str">
            <v>un</v>
          </cell>
          <cell r="D1775">
            <v>887.96</v>
          </cell>
          <cell r="E1775">
            <v>111.98</v>
          </cell>
          <cell r="F1775">
            <v>999.94</v>
          </cell>
        </row>
        <row r="1776">
          <cell r="A1776" t="str">
            <v>371706</v>
          </cell>
          <cell r="B1776" t="str">
            <v>Dispositivo diferencial residual de 25 A x 30 mA - 2 pólos</v>
          </cell>
          <cell r="C1776" t="str">
            <v>un</v>
          </cell>
          <cell r="D1776">
            <v>97.54</v>
          </cell>
          <cell r="E1776">
            <v>5.69</v>
          </cell>
          <cell r="F1776">
            <v>103.23</v>
          </cell>
        </row>
        <row r="1777">
          <cell r="A1777" t="str">
            <v>371707</v>
          </cell>
          <cell r="B1777" t="str">
            <v>Dispositivo diferencial residual de 40 A x 30 mA - 2 pólos</v>
          </cell>
          <cell r="C1777" t="str">
            <v>un</v>
          </cell>
          <cell r="D1777">
            <v>101.15</v>
          </cell>
          <cell r="E1777">
            <v>5.69</v>
          </cell>
          <cell r="F1777">
            <v>106.84</v>
          </cell>
        </row>
        <row r="1778">
          <cell r="A1778" t="str">
            <v>371708</v>
          </cell>
          <cell r="B1778" t="str">
            <v>Dispositivo diferencial residual de 40 A x 30 mA - 4 pólos</v>
          </cell>
          <cell r="C1778" t="str">
            <v>un</v>
          </cell>
          <cell r="D1778">
            <v>122.18</v>
          </cell>
          <cell r="E1778">
            <v>5.69</v>
          </cell>
          <cell r="F1778">
            <v>127.87</v>
          </cell>
        </row>
        <row r="1779">
          <cell r="A1779" t="str">
            <v>371709</v>
          </cell>
          <cell r="B1779" t="str">
            <v>Dispositivo diferencial residual de 63 A x 30 mA - 4 pólos</v>
          </cell>
          <cell r="C1779" t="str">
            <v>un</v>
          </cell>
          <cell r="D1779">
            <v>147.43</v>
          </cell>
          <cell r="E1779">
            <v>5.69</v>
          </cell>
          <cell r="F1779">
            <v>153.12</v>
          </cell>
        </row>
        <row r="1780">
          <cell r="A1780" t="str">
            <v>371710</v>
          </cell>
          <cell r="B1780" t="str">
            <v>Dispositivo diferencial residual de 80 A x 30 mA - 4 pólos</v>
          </cell>
          <cell r="C1780" t="str">
            <v>un</v>
          </cell>
          <cell r="D1780">
            <v>239.72</v>
          </cell>
          <cell r="E1780">
            <v>5.69</v>
          </cell>
          <cell r="F1780">
            <v>245.41</v>
          </cell>
        </row>
        <row r="1781">
          <cell r="A1781" t="str">
            <v>371711</v>
          </cell>
          <cell r="B1781" t="str">
            <v>Dispositivo diferencial residual de 100 A x 30 mA - 4 pólos</v>
          </cell>
          <cell r="C1781" t="str">
            <v>un</v>
          </cell>
          <cell r="D1781">
            <v>247.02</v>
          </cell>
          <cell r="E1781">
            <v>5.69</v>
          </cell>
          <cell r="F1781">
            <v>252.71</v>
          </cell>
        </row>
        <row r="1782">
          <cell r="A1782" t="str">
            <v>371712</v>
          </cell>
          <cell r="B1782" t="str">
            <v>Dispositivo diferencial residual de 25 A x 30 mA - 4 pólos</v>
          </cell>
          <cell r="C1782" t="str">
            <v>un</v>
          </cell>
          <cell r="D1782">
            <v>119.59</v>
          </cell>
          <cell r="E1782">
            <v>5.69</v>
          </cell>
          <cell r="F1782">
            <v>125.28</v>
          </cell>
        </row>
        <row r="1783">
          <cell r="A1783" t="str">
            <v>371713</v>
          </cell>
          <cell r="B1783" t="str">
            <v>Dispositivo diferencial residual de 25 A x 300 mA - 4 pólos</v>
          </cell>
          <cell r="C1783" t="str">
            <v>un</v>
          </cell>
          <cell r="D1783">
            <v>136.21</v>
          </cell>
          <cell r="E1783">
            <v>5.69</v>
          </cell>
          <cell r="F1783">
            <v>141.9</v>
          </cell>
        </row>
        <row r="1784">
          <cell r="A1784" t="str">
            <v>371718</v>
          </cell>
          <cell r="B1784" t="str">
            <v>Dispositivo diferencial residual de 125 A x 30 mA - 4 pólos</v>
          </cell>
          <cell r="C1784" t="str">
            <v>un</v>
          </cell>
          <cell r="D1784">
            <v>603.82000000000005</v>
          </cell>
          <cell r="E1784">
            <v>5.69</v>
          </cell>
          <cell r="F1784">
            <v>609.51</v>
          </cell>
        </row>
        <row r="1785">
          <cell r="A1785" t="str">
            <v>371801</v>
          </cell>
          <cell r="B1785" t="str">
            <v>Transformador de potencial monofásico até 1000 VA classe 15 kV, a seco, com fusíveis</v>
          </cell>
          <cell r="C1785" t="str">
            <v>un</v>
          </cell>
          <cell r="D1785">
            <v>1340.14</v>
          </cell>
          <cell r="E1785">
            <v>35.04</v>
          </cell>
          <cell r="F1785">
            <v>1375.18</v>
          </cell>
        </row>
        <row r="1786">
          <cell r="A1786" t="str">
            <v>371802</v>
          </cell>
          <cell r="B1786" t="str">
            <v>Transformador de potencial monofásico até 2000 VA classe 15 kV, a seco, com fusíveis</v>
          </cell>
          <cell r="C1786" t="str">
            <v>un</v>
          </cell>
          <cell r="D1786">
            <v>1812.52</v>
          </cell>
          <cell r="E1786">
            <v>35.04</v>
          </cell>
          <cell r="F1786">
            <v>1847.56</v>
          </cell>
        </row>
        <row r="1787">
          <cell r="A1787" t="str">
            <v>371803</v>
          </cell>
          <cell r="B1787" t="str">
            <v>Transformador de potencial monofásico até 500 VA classe 15 kV, a seco, sem fusíveis</v>
          </cell>
          <cell r="C1787" t="str">
            <v>un</v>
          </cell>
          <cell r="D1787">
            <v>1107.08</v>
          </cell>
          <cell r="E1787">
            <v>35.04</v>
          </cell>
          <cell r="F1787">
            <v>1142.1199999999999</v>
          </cell>
        </row>
        <row r="1788">
          <cell r="A1788" t="str">
            <v>371804</v>
          </cell>
          <cell r="B1788" t="str">
            <v>Transformador de potencial monofásico até 1000 VA classe 25 kV, a seco, com fusíveis</v>
          </cell>
          <cell r="C1788" t="str">
            <v>un</v>
          </cell>
          <cell r="D1788">
            <v>1893.58</v>
          </cell>
          <cell r="E1788">
            <v>35.04</v>
          </cell>
          <cell r="F1788">
            <v>1928.6200000000001</v>
          </cell>
        </row>
        <row r="1789">
          <cell r="A1789" t="str">
            <v>371901</v>
          </cell>
          <cell r="B1789" t="str">
            <v>Transformador de corrente 800-5 A, janela</v>
          </cell>
          <cell r="C1789" t="str">
            <v>un</v>
          </cell>
          <cell r="D1789">
            <v>121.12</v>
          </cell>
          <cell r="E1789">
            <v>35.04</v>
          </cell>
          <cell r="F1789">
            <v>156.16</v>
          </cell>
        </row>
        <row r="1790">
          <cell r="A1790" t="str">
            <v>371902</v>
          </cell>
          <cell r="B1790" t="str">
            <v>Transformador de corrente 200-5 A até 600-5 A, janela</v>
          </cell>
          <cell r="C1790" t="str">
            <v>un</v>
          </cell>
          <cell r="D1790">
            <v>115.48</v>
          </cell>
          <cell r="E1790">
            <v>35.04</v>
          </cell>
          <cell r="F1790">
            <v>150.52000000000001</v>
          </cell>
        </row>
        <row r="1791">
          <cell r="A1791" t="str">
            <v>371903</v>
          </cell>
          <cell r="B1791" t="str">
            <v>Transformador de corrente 1000-5 A até 1500-5 A, janela</v>
          </cell>
          <cell r="C1791" t="str">
            <v>un</v>
          </cell>
          <cell r="D1791">
            <v>241.15</v>
          </cell>
          <cell r="E1791">
            <v>35.04</v>
          </cell>
          <cell r="F1791">
            <v>276.19</v>
          </cell>
        </row>
        <row r="1792">
          <cell r="A1792" t="str">
            <v>371906</v>
          </cell>
          <cell r="B1792" t="str">
            <v>Transformador de corrente 50-5 A até 150-5 A, janela</v>
          </cell>
          <cell r="C1792" t="str">
            <v>un</v>
          </cell>
          <cell r="D1792">
            <v>79.930000000000007</v>
          </cell>
          <cell r="E1792">
            <v>35.04</v>
          </cell>
          <cell r="F1792">
            <v>114.97</v>
          </cell>
        </row>
        <row r="1793">
          <cell r="A1793" t="str">
            <v>371908</v>
          </cell>
          <cell r="B1793" t="str">
            <v>Transformador de corrente 2000-5 A até 2500-5 A - janela</v>
          </cell>
          <cell r="C1793" t="str">
            <v>un</v>
          </cell>
          <cell r="D1793">
            <v>663.5</v>
          </cell>
          <cell r="E1793">
            <v>35.04</v>
          </cell>
          <cell r="F1793">
            <v>698.54</v>
          </cell>
        </row>
        <row r="1794">
          <cell r="A1794" t="str">
            <v>372001</v>
          </cell>
          <cell r="B1794" t="str">
            <v>Isolador em epóxi de 1 kV para barramento</v>
          </cell>
          <cell r="C1794" t="str">
            <v>un</v>
          </cell>
          <cell r="D1794">
            <v>12.16</v>
          </cell>
          <cell r="E1794">
            <v>3.41</v>
          </cell>
          <cell r="F1794">
            <v>15.57</v>
          </cell>
        </row>
        <row r="1795">
          <cell r="A1795" t="str">
            <v>372003</v>
          </cell>
          <cell r="B1795" t="str">
            <v>Régua de bornes para 9 pólos de 600 V / 50 A</v>
          </cell>
          <cell r="C1795" t="str">
            <v>un</v>
          </cell>
          <cell r="D1795">
            <v>11.22</v>
          </cell>
          <cell r="E1795">
            <v>1.1399999999999999</v>
          </cell>
          <cell r="F1795">
            <v>12.36</v>
          </cell>
        </row>
        <row r="1796">
          <cell r="A1796" t="str">
            <v>372004</v>
          </cell>
          <cell r="B1796" t="str">
            <v>Palheta plástica para disjuntores faltantes</v>
          </cell>
          <cell r="C1796" t="str">
            <v>un</v>
          </cell>
          <cell r="D1796">
            <v>0.6</v>
          </cell>
          <cell r="E1796">
            <v>1.1399999999999999</v>
          </cell>
          <cell r="F1796">
            <v>1.74</v>
          </cell>
        </row>
        <row r="1797">
          <cell r="A1797" t="str">
            <v>372008</v>
          </cell>
          <cell r="B1797" t="str">
            <v>Barra de neutro e/ou terra</v>
          </cell>
          <cell r="C1797" t="str">
            <v>un</v>
          </cell>
          <cell r="D1797">
            <v>8.49</v>
          </cell>
          <cell r="E1797">
            <v>3.41</v>
          </cell>
          <cell r="F1797">
            <v>11.9</v>
          </cell>
        </row>
        <row r="1798">
          <cell r="A1798" t="str">
            <v>372009</v>
          </cell>
          <cell r="B1798" t="str">
            <v>Recolocação de chave seccionadora tripolar de 125 A até 650 A, sem base fusível</v>
          </cell>
          <cell r="C1798" t="str">
            <v>un</v>
          </cell>
          <cell r="D1798">
            <v>0</v>
          </cell>
          <cell r="E1798">
            <v>11.370000000000001</v>
          </cell>
          <cell r="F1798">
            <v>11.370000000000001</v>
          </cell>
        </row>
        <row r="1799">
          <cell r="A1799" t="str">
            <v>372010</v>
          </cell>
          <cell r="B1799" t="str">
            <v>Recolocação de fundo de quadro de distribuição, sem componentes</v>
          </cell>
          <cell r="C1799" t="str">
            <v>m²</v>
          </cell>
          <cell r="D1799">
            <v>0</v>
          </cell>
          <cell r="E1799">
            <v>16.07</v>
          </cell>
          <cell r="F1799">
            <v>16.07</v>
          </cell>
        </row>
        <row r="1800">
          <cell r="A1800" t="str">
            <v>372011</v>
          </cell>
          <cell r="B1800" t="str">
            <v>Recolocação de quadro de distribuição de sobrepor, sem componentes</v>
          </cell>
          <cell r="C1800" t="str">
            <v>m²</v>
          </cell>
          <cell r="D1800">
            <v>0</v>
          </cell>
          <cell r="E1800">
            <v>32.14</v>
          </cell>
          <cell r="F1800">
            <v>32.14</v>
          </cell>
        </row>
        <row r="1801">
          <cell r="A1801" t="str">
            <v>372013</v>
          </cell>
          <cell r="B1801" t="str">
            <v>Banco de medição para transformadores TC/TP, padrão Eletropaulo e/ou Cesp</v>
          </cell>
          <cell r="C1801" t="str">
            <v>un</v>
          </cell>
          <cell r="D1801">
            <v>319.13</v>
          </cell>
          <cell r="E1801">
            <v>0.97</v>
          </cell>
          <cell r="F1801">
            <v>320.10000000000002</v>
          </cell>
        </row>
        <row r="1802">
          <cell r="A1802" t="str">
            <v>372014</v>
          </cell>
          <cell r="B1802" t="str">
            <v>Suporte fixo para transformadores de potencial</v>
          </cell>
          <cell r="C1802" t="str">
            <v>un</v>
          </cell>
          <cell r="D1802">
            <v>61.96</v>
          </cell>
          <cell r="E1802">
            <v>2.4300000000000002</v>
          </cell>
          <cell r="F1802">
            <v>64.39</v>
          </cell>
        </row>
        <row r="1803">
          <cell r="A1803" t="str">
            <v>372015</v>
          </cell>
          <cell r="B1803" t="str">
            <v>Placa de montagem em chapa de aço de 2,65 mm (12 MSG)</v>
          </cell>
          <cell r="C1803" t="str">
            <v>m²</v>
          </cell>
          <cell r="D1803">
            <v>250.23000000000002</v>
          </cell>
          <cell r="E1803">
            <v>16.07</v>
          </cell>
          <cell r="F1803">
            <v>266.3</v>
          </cell>
        </row>
        <row r="1804">
          <cell r="A1804" t="str">
            <v>372019</v>
          </cell>
          <cell r="B1804" t="str">
            <v>Inversor de frequência para variação de velocidade em motores, potência de 0,25 a 20 cv</v>
          </cell>
          <cell r="C1804" t="str">
            <v>un</v>
          </cell>
          <cell r="D1804">
            <v>3782.5</v>
          </cell>
          <cell r="E1804">
            <v>25.71</v>
          </cell>
          <cell r="F1804">
            <v>3808.21</v>
          </cell>
        </row>
        <row r="1805">
          <cell r="A1805" t="str">
            <v>372021</v>
          </cell>
          <cell r="B1805" t="str">
            <v>Punho de manobra com articulador de acionamento</v>
          </cell>
          <cell r="C1805" t="str">
            <v>un</v>
          </cell>
          <cell r="D1805">
            <v>321.31</v>
          </cell>
          <cell r="E1805">
            <v>11.370000000000001</v>
          </cell>
          <cell r="F1805">
            <v>332.68</v>
          </cell>
        </row>
        <row r="1806">
          <cell r="A1806" t="str">
            <v>372101</v>
          </cell>
          <cell r="B1806" t="str">
            <v>Capacitor de potência trifásico de 10 kVAr, 220 V/60 Hz, para correção de fator de potência</v>
          </cell>
          <cell r="C1806" t="str">
            <v>un</v>
          </cell>
          <cell r="D1806">
            <v>457.04</v>
          </cell>
          <cell r="E1806">
            <v>11.370000000000001</v>
          </cell>
          <cell r="F1806">
            <v>468.41</v>
          </cell>
        </row>
        <row r="1807">
          <cell r="A1807" t="str">
            <v>372201</v>
          </cell>
          <cell r="B1807" t="str">
            <v>Transformador monofásico de comando de 200 VA classe 0,6 kV, a seco</v>
          </cell>
          <cell r="C1807" t="str">
            <v>un</v>
          </cell>
          <cell r="D1807">
            <v>211.52</v>
          </cell>
          <cell r="E1807">
            <v>35.04</v>
          </cell>
          <cell r="F1807">
            <v>246.56</v>
          </cell>
        </row>
        <row r="1808">
          <cell r="A1808" t="str">
            <v>372403</v>
          </cell>
          <cell r="B1808" t="str">
            <v>Supressor de surto monofásico, Fase-Terra, In &gt; ou = 20 kA, Imax. de surto de 65 até 80 kA</v>
          </cell>
          <cell r="C1808" t="str">
            <v>un</v>
          </cell>
          <cell r="D1808">
            <v>122.10000000000001</v>
          </cell>
          <cell r="E1808">
            <v>13.5</v>
          </cell>
          <cell r="F1808">
            <v>135.6</v>
          </cell>
        </row>
        <row r="1809">
          <cell r="A1809" t="str">
            <v>372404</v>
          </cell>
          <cell r="B1809" t="str">
            <v>Supressor de surto monofásico, Neutro-Terra, In &gt; ou = 20 kA, Imax. de surto de 65 até 80 kA</v>
          </cell>
          <cell r="C1809" t="str">
            <v>un</v>
          </cell>
          <cell r="D1809">
            <v>121.26</v>
          </cell>
          <cell r="E1809">
            <v>13.5</v>
          </cell>
          <cell r="F1809">
            <v>134.76</v>
          </cell>
        </row>
        <row r="1810">
          <cell r="A1810" t="str">
            <v>372502</v>
          </cell>
          <cell r="B1810" t="str">
            <v>Disjuntor fixo a vácuo de 15 a 17,5 kV, equipado com motorização de fechamento, com relê de proteção</v>
          </cell>
          <cell r="C1810" t="str">
            <v>cj</v>
          </cell>
          <cell r="D1810">
            <v>36943.82</v>
          </cell>
          <cell r="E1810">
            <v>53.85</v>
          </cell>
          <cell r="F1810">
            <v>36997.67</v>
          </cell>
        </row>
        <row r="1811">
          <cell r="A1811" t="str">
            <v>372509</v>
          </cell>
          <cell r="B1811" t="str">
            <v>Disjuntor em caixa moldada tripolar, térmico e magnético fixos, tensão de isolamento 480/690 V, de 10 A a 60 A</v>
          </cell>
          <cell r="C1811" t="str">
            <v>un</v>
          </cell>
          <cell r="D1811">
            <v>207.99</v>
          </cell>
          <cell r="E1811">
            <v>38.299999999999997</v>
          </cell>
          <cell r="F1811">
            <v>246.29</v>
          </cell>
        </row>
        <row r="1812">
          <cell r="A1812" t="str">
            <v>372510</v>
          </cell>
          <cell r="B1812" t="str">
            <v>Disjuntor em caixa moldada tripolar, térmico e magnético fixos, tensão de isolamento 480/690 V, de 70 A até 150 A</v>
          </cell>
          <cell r="C1812" t="str">
            <v>un</v>
          </cell>
          <cell r="D1812">
            <v>272.77999999999997</v>
          </cell>
          <cell r="E1812">
            <v>38.299999999999997</v>
          </cell>
          <cell r="F1812">
            <v>311.08</v>
          </cell>
        </row>
        <row r="1813">
          <cell r="A1813" t="str">
            <v>372511</v>
          </cell>
          <cell r="B1813" t="str">
            <v>Disjuntor em caixa moldada tripolar, térmico e magnético fixos, tensão de isolamento 415/690 V, de 175 A a 250 A</v>
          </cell>
          <cell r="C1813" t="str">
            <v>un</v>
          </cell>
          <cell r="D1813">
            <v>469.67</v>
          </cell>
          <cell r="E1813">
            <v>38.299999999999997</v>
          </cell>
          <cell r="F1813">
            <v>507.97</v>
          </cell>
        </row>
        <row r="1814">
          <cell r="A1814" t="str">
            <v>372520</v>
          </cell>
          <cell r="B1814" t="str">
            <v>Disjuntor em caixa moldada bipolar, térmico e magnético fixos - 480 V - de 10 A a 50 A para 120/240 Vca - 25 KA e para 380/440 Vca - 18 KA</v>
          </cell>
          <cell r="C1814" t="str">
            <v>un</v>
          </cell>
          <cell r="D1814">
            <v>223.83</v>
          </cell>
          <cell r="E1814">
            <v>38.299999999999997</v>
          </cell>
          <cell r="F1814">
            <v>262.13</v>
          </cell>
        </row>
        <row r="1815">
          <cell r="A1815" t="str">
            <v>372521</v>
          </cell>
          <cell r="B1815" t="str">
            <v>Disjuntor em caixa moldada bipolar, térmico e magnético fixos - 600V - de 150A para 120/240Vca - 25 KA e para 380/440Vca - 18 KA</v>
          </cell>
          <cell r="C1815" t="str">
            <v>un</v>
          </cell>
          <cell r="D1815">
            <v>391.73</v>
          </cell>
          <cell r="E1815">
            <v>38.299999999999997</v>
          </cell>
          <cell r="F1815">
            <v>430.03000000000003</v>
          </cell>
        </row>
        <row r="1816">
          <cell r="A1816" t="str">
            <v>380102</v>
          </cell>
          <cell r="B1816" t="str">
            <v>Eletroduto de PVC rígido roscável de 1/2´ - com acessórios</v>
          </cell>
          <cell r="C1816" t="str">
            <v>m</v>
          </cell>
          <cell r="D1816">
            <v>1.9100000000000001</v>
          </cell>
          <cell r="E1816">
            <v>9.1</v>
          </cell>
          <cell r="F1816">
            <v>11.01</v>
          </cell>
        </row>
        <row r="1817">
          <cell r="A1817" t="str">
            <v>380104</v>
          </cell>
          <cell r="B1817" t="str">
            <v>Eletroduto de PVC rígido roscável de 3/4´ - com acessórios</v>
          </cell>
          <cell r="C1817" t="str">
            <v>m</v>
          </cell>
          <cell r="D1817">
            <v>2.57</v>
          </cell>
          <cell r="E1817">
            <v>11.370000000000001</v>
          </cell>
          <cell r="F1817">
            <v>13.94</v>
          </cell>
        </row>
        <row r="1818">
          <cell r="A1818" t="str">
            <v>380106</v>
          </cell>
          <cell r="B1818" t="str">
            <v>Eletroduto de PVC rígido roscável de 1´ - com acessórios</v>
          </cell>
          <cell r="C1818" t="str">
            <v>m</v>
          </cell>
          <cell r="D1818">
            <v>3.31</v>
          </cell>
          <cell r="E1818">
            <v>13.64</v>
          </cell>
          <cell r="F1818">
            <v>16.95</v>
          </cell>
        </row>
        <row r="1819">
          <cell r="A1819" t="str">
            <v>380108</v>
          </cell>
          <cell r="B1819" t="str">
            <v>Eletroduto de PVC rígido roscável de 1 1/4´ - com acessórios</v>
          </cell>
          <cell r="C1819" t="str">
            <v>m</v>
          </cell>
          <cell r="D1819">
            <v>5.0999999999999996</v>
          </cell>
          <cell r="E1819">
            <v>15.92</v>
          </cell>
          <cell r="F1819">
            <v>21.02</v>
          </cell>
        </row>
        <row r="1820">
          <cell r="A1820" t="str">
            <v>380110</v>
          </cell>
          <cell r="B1820" t="str">
            <v>Eletroduto de PVC rígido roscável de 1 1/2´ - com acessórios</v>
          </cell>
          <cell r="C1820" t="str">
            <v>m</v>
          </cell>
          <cell r="D1820">
            <v>6.6400000000000006</v>
          </cell>
          <cell r="E1820">
            <v>18.190000000000001</v>
          </cell>
          <cell r="F1820">
            <v>24.830000000000002</v>
          </cell>
        </row>
        <row r="1821">
          <cell r="A1821" t="str">
            <v>380112</v>
          </cell>
          <cell r="B1821" t="str">
            <v>Eletroduto de PVC rígido roscável de 2´ - com acessórios</v>
          </cell>
          <cell r="C1821" t="str">
            <v>m</v>
          </cell>
          <cell r="D1821">
            <v>7.47</v>
          </cell>
          <cell r="E1821">
            <v>20.47</v>
          </cell>
          <cell r="F1821">
            <v>27.94</v>
          </cell>
        </row>
        <row r="1822">
          <cell r="A1822" t="str">
            <v>380114</v>
          </cell>
          <cell r="B1822" t="str">
            <v>Eletroduto de PVC rígido roscável de 2 1/2´ - com acessórios</v>
          </cell>
          <cell r="C1822" t="str">
            <v>m</v>
          </cell>
          <cell r="D1822">
            <v>14.48</v>
          </cell>
          <cell r="E1822">
            <v>22.740000000000002</v>
          </cell>
          <cell r="F1822">
            <v>37.22</v>
          </cell>
        </row>
        <row r="1823">
          <cell r="A1823" t="str">
            <v>380116</v>
          </cell>
          <cell r="B1823" t="str">
            <v>Eletroduto de PVC rígido roscável de 3´ - com acessórios</v>
          </cell>
          <cell r="C1823" t="str">
            <v>m</v>
          </cell>
          <cell r="D1823">
            <v>19.12</v>
          </cell>
          <cell r="E1823">
            <v>25.01</v>
          </cell>
          <cell r="F1823">
            <v>44.13</v>
          </cell>
        </row>
        <row r="1824">
          <cell r="A1824" t="str">
            <v>380118</v>
          </cell>
          <cell r="B1824" t="str">
            <v>Eletroduto de PVC rígido roscável de 4´ - com acessórios</v>
          </cell>
          <cell r="C1824" t="str">
            <v>m</v>
          </cell>
          <cell r="D1824">
            <v>27.7</v>
          </cell>
          <cell r="E1824">
            <v>29.560000000000002</v>
          </cell>
          <cell r="F1824">
            <v>57.26</v>
          </cell>
        </row>
        <row r="1825">
          <cell r="A1825" t="str">
            <v>380402</v>
          </cell>
          <cell r="B1825" t="str">
            <v>Eletroduto de ferro galvanizado, médio de 1/2´ - com acessórios</v>
          </cell>
          <cell r="C1825" t="str">
            <v>m</v>
          </cell>
          <cell r="D1825">
            <v>3.73</v>
          </cell>
          <cell r="E1825">
            <v>11.370000000000001</v>
          </cell>
          <cell r="F1825">
            <v>15.1</v>
          </cell>
        </row>
        <row r="1826">
          <cell r="A1826" t="str">
            <v>380404</v>
          </cell>
          <cell r="B1826" t="str">
            <v>Eletroduto de ferro galvanizado, médio de 3/4´ - com acessórios</v>
          </cell>
          <cell r="C1826" t="str">
            <v>m</v>
          </cell>
          <cell r="D1826">
            <v>4.5999999999999996</v>
          </cell>
          <cell r="E1826">
            <v>13.64</v>
          </cell>
          <cell r="F1826">
            <v>18.239999999999998</v>
          </cell>
        </row>
        <row r="1827">
          <cell r="A1827" t="str">
            <v>380406</v>
          </cell>
          <cell r="B1827" t="str">
            <v>Eletroduto de ferro galvanizado, médio de 1´ - com acessórios</v>
          </cell>
          <cell r="C1827" t="str">
            <v>m</v>
          </cell>
          <cell r="D1827">
            <v>5.87</v>
          </cell>
          <cell r="E1827">
            <v>15.92</v>
          </cell>
          <cell r="F1827">
            <v>21.79</v>
          </cell>
        </row>
        <row r="1828">
          <cell r="A1828" t="str">
            <v>380408</v>
          </cell>
          <cell r="B1828" t="str">
            <v>Eletroduto de ferro galvanizado, médio de 1 1/4´ - com acessórios</v>
          </cell>
          <cell r="C1828" t="str">
            <v>m</v>
          </cell>
          <cell r="D1828">
            <v>8.59</v>
          </cell>
          <cell r="E1828">
            <v>18.190000000000001</v>
          </cell>
          <cell r="F1828">
            <v>26.78</v>
          </cell>
        </row>
        <row r="1829">
          <cell r="A1829" t="str">
            <v>380410</v>
          </cell>
          <cell r="B1829" t="str">
            <v>Eletroduto de ferro galvanizado, médio de 1 1/2´ - com acessórios</v>
          </cell>
          <cell r="C1829" t="str">
            <v>m</v>
          </cell>
          <cell r="D1829">
            <v>10.119999999999999</v>
          </cell>
          <cell r="E1829">
            <v>20.47</v>
          </cell>
          <cell r="F1829">
            <v>30.59</v>
          </cell>
        </row>
        <row r="1830">
          <cell r="A1830" t="str">
            <v>380412</v>
          </cell>
          <cell r="B1830" t="str">
            <v>Eletroduto de ferro galvanizado, médio de 2´ - com acessórios</v>
          </cell>
          <cell r="C1830" t="str">
            <v>m</v>
          </cell>
          <cell r="D1830">
            <v>12.94</v>
          </cell>
          <cell r="E1830">
            <v>22.740000000000002</v>
          </cell>
          <cell r="F1830">
            <v>35.68</v>
          </cell>
        </row>
        <row r="1831">
          <cell r="A1831" t="str">
            <v>380414</v>
          </cell>
          <cell r="B1831" t="str">
            <v>Eletroduto de ferro galvanizado, médio de 2 1/2´ - com acessórios</v>
          </cell>
          <cell r="C1831" t="str">
            <v>m</v>
          </cell>
          <cell r="D1831">
            <v>21.63</v>
          </cell>
          <cell r="E1831">
            <v>27.29</v>
          </cell>
          <cell r="F1831">
            <v>48.92</v>
          </cell>
        </row>
        <row r="1832">
          <cell r="A1832" t="str">
            <v>380416</v>
          </cell>
          <cell r="B1832" t="str">
            <v>Eletroduto de ferro galvanizado, médio de 3´ - com acessórios</v>
          </cell>
          <cell r="C1832" t="str">
            <v>m</v>
          </cell>
          <cell r="D1832">
            <v>25.71</v>
          </cell>
          <cell r="E1832">
            <v>34.11</v>
          </cell>
          <cell r="F1832">
            <v>59.82</v>
          </cell>
        </row>
        <row r="1833">
          <cell r="A1833" t="str">
            <v>380418</v>
          </cell>
          <cell r="B1833" t="str">
            <v>Eletroduto de ferro galvanizado, médio de 4´ - com acessórios</v>
          </cell>
          <cell r="C1833" t="str">
            <v>m</v>
          </cell>
          <cell r="D1833">
            <v>36.54</v>
          </cell>
          <cell r="E1833">
            <v>40.93</v>
          </cell>
          <cell r="F1833">
            <v>77.47</v>
          </cell>
        </row>
        <row r="1834">
          <cell r="A1834" t="str">
            <v>380502</v>
          </cell>
          <cell r="B1834" t="str">
            <v>Eletroduto de ferro galvanizado, pesado de 1/2´ - com acessórios</v>
          </cell>
          <cell r="C1834" t="str">
            <v>m</v>
          </cell>
          <cell r="D1834">
            <v>5.22</v>
          </cell>
          <cell r="E1834">
            <v>11.370000000000001</v>
          </cell>
          <cell r="F1834">
            <v>16.59</v>
          </cell>
        </row>
        <row r="1835">
          <cell r="A1835" t="str">
            <v>380504</v>
          </cell>
          <cell r="B1835" t="str">
            <v>Eletroduto de ferro galvanizado, pesado de 3/4´ - com acessórios</v>
          </cell>
          <cell r="C1835" t="str">
            <v>m</v>
          </cell>
          <cell r="D1835">
            <v>7.09</v>
          </cell>
          <cell r="E1835">
            <v>13.64</v>
          </cell>
          <cell r="F1835">
            <v>20.73</v>
          </cell>
        </row>
        <row r="1836">
          <cell r="A1836" t="str">
            <v>380506</v>
          </cell>
          <cell r="B1836" t="str">
            <v>Eletroduto de ferro galvanizado, pesado de 1´ - com acessórios</v>
          </cell>
          <cell r="C1836" t="str">
            <v>m</v>
          </cell>
          <cell r="D1836">
            <v>8.36</v>
          </cell>
          <cell r="E1836">
            <v>15.92</v>
          </cell>
          <cell r="F1836">
            <v>24.28</v>
          </cell>
        </row>
        <row r="1837">
          <cell r="A1837" t="str">
            <v>380509</v>
          </cell>
          <cell r="B1837" t="str">
            <v>Eletroduto de ferro galvanizado, pesado de 1 1/4´ - com acessórios</v>
          </cell>
          <cell r="C1837" t="str">
            <v>m</v>
          </cell>
          <cell r="D1837">
            <v>13.780000000000001</v>
          </cell>
          <cell r="E1837">
            <v>18.190000000000001</v>
          </cell>
          <cell r="F1837">
            <v>31.970000000000002</v>
          </cell>
        </row>
        <row r="1838">
          <cell r="A1838" t="str">
            <v>380510</v>
          </cell>
          <cell r="B1838" t="str">
            <v>Eletroduto de ferro galvanizado, pesado de 1 1/2´ - com acessórios</v>
          </cell>
          <cell r="C1838" t="str">
            <v>m</v>
          </cell>
          <cell r="D1838">
            <v>16.47</v>
          </cell>
          <cell r="E1838">
            <v>20.47</v>
          </cell>
          <cell r="F1838">
            <v>36.94</v>
          </cell>
        </row>
        <row r="1839">
          <cell r="A1839" t="str">
            <v>380512</v>
          </cell>
          <cell r="B1839" t="str">
            <v>Eletroduto de ferro galvanizado, pesado de 2´ - com acessórios</v>
          </cell>
          <cell r="C1839" t="str">
            <v>m</v>
          </cell>
          <cell r="D1839">
            <v>20.62</v>
          </cell>
          <cell r="E1839">
            <v>22.740000000000002</v>
          </cell>
          <cell r="F1839">
            <v>43.36</v>
          </cell>
        </row>
        <row r="1840">
          <cell r="A1840" t="str">
            <v>380514</v>
          </cell>
          <cell r="B1840" t="str">
            <v>Eletroduto de ferro galvanizado, pesado de 2 1/2´ - com acessórios</v>
          </cell>
          <cell r="C1840" t="str">
            <v>m</v>
          </cell>
          <cell r="D1840">
            <v>29.86</v>
          </cell>
          <cell r="E1840">
            <v>27.29</v>
          </cell>
          <cell r="F1840">
            <v>57.15</v>
          </cell>
        </row>
        <row r="1841">
          <cell r="A1841" t="str">
            <v>380516</v>
          </cell>
          <cell r="B1841" t="str">
            <v>Eletroduto de ferro galvanizado, pesado de 3´ - com acessórios</v>
          </cell>
          <cell r="C1841" t="str">
            <v>m</v>
          </cell>
          <cell r="D1841">
            <v>35.14</v>
          </cell>
          <cell r="E1841">
            <v>34.11</v>
          </cell>
          <cell r="F1841">
            <v>69.25</v>
          </cell>
        </row>
        <row r="1842">
          <cell r="A1842" t="str">
            <v>380518</v>
          </cell>
          <cell r="B1842" t="str">
            <v>Eletroduto de ferro galvanizado, pesado de 4´ - com acessórios</v>
          </cell>
          <cell r="C1842" t="str">
            <v>m</v>
          </cell>
          <cell r="D1842">
            <v>47.63</v>
          </cell>
          <cell r="E1842">
            <v>40.93</v>
          </cell>
          <cell r="F1842">
            <v>88.56</v>
          </cell>
        </row>
        <row r="1843">
          <cell r="A1843" t="str">
            <v>380602</v>
          </cell>
          <cell r="B1843" t="str">
            <v>Eletroduto de ferro galvanizado a quente, pesado de 1/2´ - com acessórios</v>
          </cell>
          <cell r="C1843" t="str">
            <v>m</v>
          </cell>
          <cell r="D1843">
            <v>7.32</v>
          </cell>
          <cell r="E1843">
            <v>11.370000000000001</v>
          </cell>
          <cell r="F1843">
            <v>18.690000000000001</v>
          </cell>
        </row>
        <row r="1844">
          <cell r="A1844" t="str">
            <v>380604</v>
          </cell>
          <cell r="B1844" t="str">
            <v>Eletroduto de ferro galvanizado a quente, pesado de 3/4´ - com acessórios</v>
          </cell>
          <cell r="C1844" t="str">
            <v>m</v>
          </cell>
          <cell r="D1844">
            <v>8.84</v>
          </cell>
          <cell r="E1844">
            <v>13.64</v>
          </cell>
          <cell r="F1844">
            <v>22.48</v>
          </cell>
        </row>
        <row r="1845">
          <cell r="A1845" t="str">
            <v>380606</v>
          </cell>
          <cell r="B1845" t="str">
            <v>Eletroduto de ferro galvanizado a quente, pesado de 1´ - com acessórios</v>
          </cell>
          <cell r="C1845" t="str">
            <v>m</v>
          </cell>
          <cell r="D1845">
            <v>11</v>
          </cell>
          <cell r="E1845">
            <v>15.92</v>
          </cell>
          <cell r="F1845">
            <v>26.92</v>
          </cell>
        </row>
        <row r="1846">
          <cell r="A1846" t="str">
            <v>380608</v>
          </cell>
          <cell r="B1846" t="str">
            <v>Eletroduto de ferro galvanizado a quente, pesado de 1 1/4´ - com acessórios</v>
          </cell>
          <cell r="C1846" t="str">
            <v>m</v>
          </cell>
          <cell r="D1846">
            <v>16.22</v>
          </cell>
          <cell r="E1846">
            <v>18.190000000000001</v>
          </cell>
          <cell r="F1846">
            <v>34.409999999999997</v>
          </cell>
        </row>
        <row r="1847">
          <cell r="A1847" t="str">
            <v>380610</v>
          </cell>
          <cell r="B1847" t="str">
            <v>Eletroduto de ferro galvanizado a quente, pesado de 1 1/2´ - com acessórios</v>
          </cell>
          <cell r="C1847" t="str">
            <v>m</v>
          </cell>
          <cell r="D1847">
            <v>20.13</v>
          </cell>
          <cell r="E1847">
            <v>20.47</v>
          </cell>
          <cell r="F1847">
            <v>40.6</v>
          </cell>
        </row>
        <row r="1848">
          <cell r="A1848" t="str">
            <v>380612</v>
          </cell>
          <cell r="B1848" t="str">
            <v>Eletroduto de ferro galvanizado a quente, pesado de 2´ - com acessórios</v>
          </cell>
          <cell r="C1848" t="str">
            <v>m</v>
          </cell>
          <cell r="D1848">
            <v>24.900000000000002</v>
          </cell>
          <cell r="E1848">
            <v>22.740000000000002</v>
          </cell>
          <cell r="F1848">
            <v>47.64</v>
          </cell>
        </row>
        <row r="1849">
          <cell r="A1849" t="str">
            <v>380614</v>
          </cell>
          <cell r="B1849" t="str">
            <v>Eletroduto de ferro galvanizado a quente, pesado de 2 1/2´ - com acessórios</v>
          </cell>
          <cell r="C1849" t="str">
            <v>m</v>
          </cell>
          <cell r="D1849">
            <v>35.299999999999997</v>
          </cell>
          <cell r="E1849">
            <v>27.29</v>
          </cell>
          <cell r="F1849">
            <v>62.59</v>
          </cell>
        </row>
        <row r="1850">
          <cell r="A1850" t="str">
            <v>380616</v>
          </cell>
          <cell r="B1850" t="str">
            <v>Eletroduto de ferro galvanizado a quente, pesado de 3´ - com acessórios</v>
          </cell>
          <cell r="C1850" t="str">
            <v>m</v>
          </cell>
          <cell r="D1850">
            <v>43.88</v>
          </cell>
          <cell r="E1850">
            <v>34.11</v>
          </cell>
          <cell r="F1850">
            <v>77.989999999999995</v>
          </cell>
        </row>
        <row r="1851">
          <cell r="A1851" t="str">
            <v>380618</v>
          </cell>
          <cell r="B1851" t="str">
            <v>Eletroduto de ferro galvanizado a quente, pesado de 4´ - com acessórios</v>
          </cell>
          <cell r="C1851" t="str">
            <v>m</v>
          </cell>
          <cell r="D1851">
            <v>54.78</v>
          </cell>
          <cell r="E1851">
            <v>40.93</v>
          </cell>
          <cell r="F1851">
            <v>95.710000000000008</v>
          </cell>
        </row>
        <row r="1852">
          <cell r="A1852" t="str">
            <v>380701</v>
          </cell>
          <cell r="B1852" t="str">
            <v>Caixa para tomada fixo perfil, de encaixe rápido, com tampa</v>
          </cell>
          <cell r="C1852" t="str">
            <v>un</v>
          </cell>
          <cell r="D1852">
            <v>1.58</v>
          </cell>
          <cell r="E1852">
            <v>5.69</v>
          </cell>
          <cell r="F1852">
            <v>7.2700000000000005</v>
          </cell>
        </row>
        <row r="1853">
          <cell r="A1853" t="str">
            <v>380703</v>
          </cell>
          <cell r="B1853" t="str">
            <v>Grampo tipo ´C´ diâmetro 3/8`, com balancim tamanho grande</v>
          </cell>
          <cell r="C1853" t="str">
            <v>cj</v>
          </cell>
          <cell r="D1853">
            <v>3.8200000000000003</v>
          </cell>
          <cell r="E1853">
            <v>5.69</v>
          </cell>
          <cell r="F1853">
            <v>9.51</v>
          </cell>
        </row>
        <row r="1854">
          <cell r="A1854" t="str">
            <v>380709</v>
          </cell>
          <cell r="B1854" t="str">
            <v>Tampa de pressão para perfilado de 38 x 38 mm, em aço galvanizado, chapa nº 14 MSG</v>
          </cell>
          <cell r="C1854" t="str">
            <v>m</v>
          </cell>
          <cell r="D1854">
            <v>2.7800000000000002</v>
          </cell>
          <cell r="E1854">
            <v>1.1399999999999999</v>
          </cell>
          <cell r="F1854">
            <v>3.92</v>
          </cell>
        </row>
        <row r="1855">
          <cell r="A1855" t="str">
            <v>380710</v>
          </cell>
          <cell r="B1855" t="str">
            <v>Perfilado perfurado 38 x 38 mm em aço galvanizado, chapa nº 14 MSG - com acessórios</v>
          </cell>
          <cell r="C1855" t="str">
            <v>m</v>
          </cell>
          <cell r="D1855">
            <v>19.57</v>
          </cell>
          <cell r="E1855">
            <v>5.69</v>
          </cell>
          <cell r="F1855">
            <v>25.26</v>
          </cell>
        </row>
        <row r="1856">
          <cell r="A1856" t="str">
            <v>380711</v>
          </cell>
          <cell r="B1856" t="str">
            <v>Perfilado liso 38 x 38 mm em aço galvanizado, chapa nº 14 MSG - com acessórios</v>
          </cell>
          <cell r="C1856" t="str">
            <v>m</v>
          </cell>
          <cell r="D1856">
            <v>16.16</v>
          </cell>
          <cell r="E1856">
            <v>5.69</v>
          </cell>
          <cell r="F1856">
            <v>21.85</v>
          </cell>
        </row>
        <row r="1857">
          <cell r="A1857" t="str">
            <v>380712</v>
          </cell>
          <cell r="B1857" t="str">
            <v>Saída final, diâmetro de 3/4´</v>
          </cell>
          <cell r="C1857" t="str">
            <v>un</v>
          </cell>
          <cell r="D1857">
            <v>0.61</v>
          </cell>
          <cell r="E1857">
            <v>3.41</v>
          </cell>
          <cell r="F1857">
            <v>4.0199999999999996</v>
          </cell>
        </row>
        <row r="1858">
          <cell r="A1858" t="str">
            <v>380713</v>
          </cell>
          <cell r="B1858" t="str">
            <v>Saída lateral simples, diâmetro de 3/4´</v>
          </cell>
          <cell r="C1858" t="str">
            <v>un</v>
          </cell>
          <cell r="D1858">
            <v>1.17</v>
          </cell>
          <cell r="E1858">
            <v>4.08</v>
          </cell>
          <cell r="F1858">
            <v>5.25</v>
          </cell>
        </row>
        <row r="1859">
          <cell r="A1859" t="str">
            <v>380714</v>
          </cell>
          <cell r="B1859" t="str">
            <v>Saída superior, diâmetro de 3/4´</v>
          </cell>
          <cell r="C1859" t="str">
            <v>un</v>
          </cell>
          <cell r="D1859">
            <v>1.01</v>
          </cell>
          <cell r="E1859">
            <v>3.41</v>
          </cell>
          <cell r="F1859">
            <v>4.42</v>
          </cell>
        </row>
        <row r="1860">
          <cell r="A1860" t="str">
            <v>380715</v>
          </cell>
          <cell r="B1860" t="str">
            <v>Perfilado perfurado 38 x 76 mm em aço galvanizado, chapa nº 14 MSG - com acessórios</v>
          </cell>
          <cell r="C1860" t="str">
            <v>m</v>
          </cell>
          <cell r="D1860">
            <v>24.45</v>
          </cell>
          <cell r="E1860">
            <v>5.69</v>
          </cell>
          <cell r="F1860">
            <v>30.14</v>
          </cell>
        </row>
        <row r="1861">
          <cell r="A1861" t="str">
            <v>380717</v>
          </cell>
          <cell r="B1861" t="str">
            <v>Canaleta em PVC de 20 x 10 mm, inclusive acessórios</v>
          </cell>
          <cell r="C1861" t="str">
            <v>m</v>
          </cell>
          <cell r="D1861">
            <v>1.79</v>
          </cell>
          <cell r="E1861">
            <v>6.82</v>
          </cell>
          <cell r="F1861">
            <v>8.61</v>
          </cell>
        </row>
        <row r="1862">
          <cell r="A1862" t="str">
            <v>380720</v>
          </cell>
          <cell r="B1862" t="str">
            <v>Vergalhão com rosca, porca e arruela de diâmetro 3/8´ (tirante)</v>
          </cell>
          <cell r="C1862" t="str">
            <v>m</v>
          </cell>
          <cell r="D1862">
            <v>3.88</v>
          </cell>
          <cell r="E1862">
            <v>3.21</v>
          </cell>
          <cell r="F1862">
            <v>7.09</v>
          </cell>
        </row>
        <row r="1863">
          <cell r="A1863" t="str">
            <v>380721</v>
          </cell>
          <cell r="B1863" t="str">
            <v>Vergalhão com rosca, porca e arruela de diâmetro 1/4´ (tirante)</v>
          </cell>
          <cell r="C1863" t="str">
            <v>m</v>
          </cell>
          <cell r="D1863">
            <v>1.58</v>
          </cell>
          <cell r="E1863">
            <v>3.21</v>
          </cell>
          <cell r="F1863">
            <v>4.79</v>
          </cell>
        </row>
        <row r="1864">
          <cell r="A1864" t="str">
            <v>380722</v>
          </cell>
          <cell r="B1864" t="str">
            <v>Caixa de derivação ´C´ para perfilado 38 x 38 mm em chapa 18 pré-zincada</v>
          </cell>
          <cell r="C1864" t="str">
            <v>un</v>
          </cell>
          <cell r="D1864">
            <v>7.12</v>
          </cell>
          <cell r="E1864">
            <v>11.370000000000001</v>
          </cell>
          <cell r="F1864">
            <v>18.489999999999998</v>
          </cell>
        </row>
        <row r="1865">
          <cell r="A1865" t="str">
            <v>380723</v>
          </cell>
          <cell r="B1865" t="str">
            <v>Caixa de derivação ´X´ para perfilado 38 x 38 mm em chapa 18 pré-zincada</v>
          </cell>
          <cell r="C1865" t="str">
            <v>un</v>
          </cell>
          <cell r="D1865">
            <v>12.38</v>
          </cell>
          <cell r="E1865">
            <v>17.059999999999999</v>
          </cell>
          <cell r="F1865">
            <v>29.44</v>
          </cell>
        </row>
        <row r="1866">
          <cell r="A1866" t="str">
            <v>380724</v>
          </cell>
          <cell r="B1866" t="str">
            <v>Caixa de derivação ´X´ para perfilado, 2 x 38 mm / 2 x 76 mm</v>
          </cell>
          <cell r="C1866" t="str">
            <v>un</v>
          </cell>
          <cell r="D1866">
            <v>14.540000000000001</v>
          </cell>
          <cell r="E1866">
            <v>17.059999999999999</v>
          </cell>
          <cell r="F1866">
            <v>31.6</v>
          </cell>
        </row>
        <row r="1867">
          <cell r="A1867" t="str">
            <v>380725</v>
          </cell>
          <cell r="B1867" t="str">
            <v>Vergalhão com rosca, porca e arruela de diâmetro 5/16´ (tirante)</v>
          </cell>
          <cell r="C1867" t="str">
            <v>m</v>
          </cell>
          <cell r="D1867">
            <v>2.82</v>
          </cell>
          <cell r="E1867">
            <v>3.21</v>
          </cell>
          <cell r="F1867">
            <v>6.03</v>
          </cell>
        </row>
        <row r="1868">
          <cell r="A1868" t="str">
            <v>380733</v>
          </cell>
          <cell r="B1868" t="str">
            <v>Saída lateral simples, diâmetro 1´</v>
          </cell>
          <cell r="C1868" t="str">
            <v>un</v>
          </cell>
          <cell r="D1868">
            <v>1.31</v>
          </cell>
          <cell r="E1868">
            <v>4.08</v>
          </cell>
          <cell r="F1868">
            <v>5.39</v>
          </cell>
        </row>
        <row r="1869">
          <cell r="A1869" t="str">
            <v>381001</v>
          </cell>
          <cell r="B1869" t="str">
            <v>Duto de piso liso em aço, medindo 2 x 25 x 70 mm, com acessórios</v>
          </cell>
          <cell r="C1869" t="str">
            <v>m</v>
          </cell>
          <cell r="D1869">
            <v>19.09</v>
          </cell>
          <cell r="E1869">
            <v>6.82</v>
          </cell>
          <cell r="F1869">
            <v>25.91</v>
          </cell>
        </row>
        <row r="1870">
          <cell r="A1870" t="str">
            <v>381002</v>
          </cell>
          <cell r="B1870" t="str">
            <v>Duto de piso liso em aço, medindo 3 x 25 x 70 mm, com acessórios</v>
          </cell>
          <cell r="C1870" t="str">
            <v>m</v>
          </cell>
          <cell r="D1870">
            <v>27.7</v>
          </cell>
          <cell r="E1870">
            <v>6.82</v>
          </cell>
          <cell r="F1870">
            <v>34.520000000000003</v>
          </cell>
        </row>
        <row r="1871">
          <cell r="A1871" t="str">
            <v>381003</v>
          </cell>
          <cell r="B1871" t="str">
            <v>Caixa de derivação ou passagem, para cruzamento de duto, medindo 16 x 25 x 70 mm, com cruzadora</v>
          </cell>
          <cell r="C1871" t="str">
            <v>un</v>
          </cell>
          <cell r="D1871">
            <v>102.89</v>
          </cell>
          <cell r="E1871">
            <v>13.64</v>
          </cell>
          <cell r="F1871">
            <v>116.53</v>
          </cell>
        </row>
        <row r="1872">
          <cell r="A1872" t="str">
            <v>381004</v>
          </cell>
          <cell r="B1872" t="str">
            <v>Caixa de derivação ou passagem para cruzamento de duto, medindo 12 x 25 x 70 mm, com cruzadora</v>
          </cell>
          <cell r="C1872" t="str">
            <v>un</v>
          </cell>
          <cell r="D1872">
            <v>77.95</v>
          </cell>
          <cell r="E1872">
            <v>13.64</v>
          </cell>
          <cell r="F1872">
            <v>91.59</v>
          </cell>
        </row>
        <row r="1873">
          <cell r="A1873" t="str">
            <v>381005</v>
          </cell>
          <cell r="B1873" t="str">
            <v>Caixa de derivação ou passagem para cruzamento de duto, medindo 4 x 25 x 70 mm, sem cruzadora</v>
          </cell>
          <cell r="C1873" t="str">
            <v>un</v>
          </cell>
          <cell r="D1873">
            <v>25.84</v>
          </cell>
          <cell r="E1873">
            <v>7.05</v>
          </cell>
          <cell r="F1873">
            <v>32.89</v>
          </cell>
        </row>
        <row r="1874">
          <cell r="A1874" t="str">
            <v>381006</v>
          </cell>
          <cell r="B1874" t="str">
            <v>Caixa de tomada e tampa basculante com rebaixo de 2 x (25 x 70 mm)</v>
          </cell>
          <cell r="C1874" t="str">
            <v>un</v>
          </cell>
          <cell r="D1874">
            <v>73.790000000000006</v>
          </cell>
          <cell r="E1874">
            <v>4.3499999999999996</v>
          </cell>
          <cell r="F1874">
            <v>78.14</v>
          </cell>
        </row>
        <row r="1875">
          <cell r="A1875" t="str">
            <v>381007</v>
          </cell>
          <cell r="B1875" t="str">
            <v>Caixa de tomada e tampa basculante com rebaixo de 3 x (25 x 70 mm)</v>
          </cell>
          <cell r="C1875" t="str">
            <v>un</v>
          </cell>
          <cell r="D1875">
            <v>87.28</v>
          </cell>
          <cell r="E1875">
            <v>4.3499999999999996</v>
          </cell>
          <cell r="F1875">
            <v>91.63</v>
          </cell>
        </row>
        <row r="1876">
          <cell r="A1876" t="str">
            <v>381008</v>
          </cell>
          <cell r="B1876" t="str">
            <v>Caixa de tomada e tampa basculante com rebaixo de 4 x (25 x 70 mm)</v>
          </cell>
          <cell r="C1876" t="str">
            <v>un</v>
          </cell>
          <cell r="D1876">
            <v>161.33000000000001</v>
          </cell>
          <cell r="E1876">
            <v>4.3499999999999996</v>
          </cell>
          <cell r="F1876">
            <v>165.68</v>
          </cell>
        </row>
        <row r="1877">
          <cell r="A1877" t="str">
            <v>381009</v>
          </cell>
          <cell r="B1877" t="str">
            <v>Suporte de tomada para caixas com 2, 3 ou 4 vias</v>
          </cell>
          <cell r="C1877" t="str">
            <v>un</v>
          </cell>
          <cell r="D1877">
            <v>5.59</v>
          </cell>
          <cell r="E1877">
            <v>0.49</v>
          </cell>
          <cell r="F1877">
            <v>6.08</v>
          </cell>
        </row>
        <row r="1878">
          <cell r="A1878" t="str">
            <v>381209</v>
          </cell>
          <cell r="B1878" t="str">
            <v>Leito para cabos, tipo pesado, em aço galvanizado de 400 x 100 mm - com acessórios</v>
          </cell>
          <cell r="C1878" t="str">
            <v>m</v>
          </cell>
          <cell r="D1878">
            <v>55.31</v>
          </cell>
          <cell r="E1878">
            <v>6.82</v>
          </cell>
          <cell r="F1878">
            <v>62.13</v>
          </cell>
        </row>
        <row r="1879">
          <cell r="A1879" t="str">
            <v>381210</v>
          </cell>
          <cell r="B1879" t="str">
            <v>Leito para cabos, tipo pesado, em aço galvanizado de 600 x 100 mm - com acessórios</v>
          </cell>
          <cell r="C1879" t="str">
            <v>m</v>
          </cell>
          <cell r="D1879">
            <v>68.41</v>
          </cell>
          <cell r="E1879">
            <v>6.82</v>
          </cell>
          <cell r="F1879">
            <v>75.23</v>
          </cell>
        </row>
        <row r="1880">
          <cell r="A1880" t="str">
            <v>381211</v>
          </cell>
          <cell r="B1880" t="str">
            <v>Leito para cabos, tipo pesado, em aço galvanizado de 300 x 100 mm - com acessórios</v>
          </cell>
          <cell r="C1880" t="str">
            <v>m</v>
          </cell>
          <cell r="D1880">
            <v>40.1</v>
          </cell>
          <cell r="E1880">
            <v>6.82</v>
          </cell>
          <cell r="F1880">
            <v>46.92</v>
          </cell>
        </row>
        <row r="1881">
          <cell r="A1881" t="str">
            <v>381212</v>
          </cell>
          <cell r="B1881" t="str">
            <v>Leito para cabos, tipo pesado, em aço galvanizado de 500 x 100 mm - com acessórios</v>
          </cell>
          <cell r="C1881" t="str">
            <v>m</v>
          </cell>
          <cell r="D1881">
            <v>62.4</v>
          </cell>
          <cell r="E1881">
            <v>6.82</v>
          </cell>
          <cell r="F1881">
            <v>69.22</v>
          </cell>
        </row>
        <row r="1882">
          <cell r="A1882" t="str">
            <v>381213</v>
          </cell>
          <cell r="B1882" t="str">
            <v>Leito para cabos, tipo pesado, em aço galvanizado de 800 x 100 mm - com acessórios</v>
          </cell>
          <cell r="C1882" t="str">
            <v>m</v>
          </cell>
          <cell r="D1882">
            <v>96.240000000000009</v>
          </cell>
          <cell r="E1882">
            <v>6.82</v>
          </cell>
          <cell r="F1882">
            <v>103.06</v>
          </cell>
        </row>
        <row r="1883">
          <cell r="A1883" t="str">
            <v>381214</v>
          </cell>
          <cell r="B1883" t="str">
            <v>Leito para cabos, tipo pesado, em aço galvanizado de 1000 x 100 mm - com acessórios</v>
          </cell>
          <cell r="C1883" t="str">
            <v>m</v>
          </cell>
          <cell r="D1883">
            <v>110.88</v>
          </cell>
          <cell r="E1883">
            <v>6.82</v>
          </cell>
          <cell r="F1883">
            <v>117.7</v>
          </cell>
        </row>
        <row r="1884">
          <cell r="A1884" t="str">
            <v>381301</v>
          </cell>
          <cell r="B1884" t="str">
            <v>Eletroduto corrugado em polietileno de alta densidade, DN= 30 mm, com acessórios</v>
          </cell>
          <cell r="C1884" t="str">
            <v>m</v>
          </cell>
          <cell r="D1884">
            <v>5.9</v>
          </cell>
          <cell r="E1884">
            <v>0.91</v>
          </cell>
          <cell r="F1884">
            <v>6.8100000000000005</v>
          </cell>
        </row>
        <row r="1885">
          <cell r="A1885" t="str">
            <v>381302</v>
          </cell>
          <cell r="B1885" t="str">
            <v>Eletroduto corrugado em polietileno de alta densidade, DN= 50 mm, com acessórios</v>
          </cell>
          <cell r="C1885" t="str">
            <v>m</v>
          </cell>
          <cell r="D1885">
            <v>10</v>
          </cell>
          <cell r="E1885">
            <v>0.91</v>
          </cell>
          <cell r="F1885">
            <v>10.91</v>
          </cell>
        </row>
        <row r="1886">
          <cell r="A1886" t="str">
            <v>381303</v>
          </cell>
          <cell r="B1886" t="str">
            <v>Eletroduto corrugado em polietileno de alta densidade, DN= 75 mm, com acessórios</v>
          </cell>
          <cell r="C1886" t="str">
            <v>m</v>
          </cell>
          <cell r="D1886">
            <v>14</v>
          </cell>
          <cell r="E1886">
            <v>0.91</v>
          </cell>
          <cell r="F1886">
            <v>14.91</v>
          </cell>
        </row>
        <row r="1887">
          <cell r="A1887" t="str">
            <v>381304</v>
          </cell>
          <cell r="B1887" t="str">
            <v>Eletroduto corrugado em polietileno de alta densidade, DN= 100 mm, com acessórios</v>
          </cell>
          <cell r="C1887" t="str">
            <v>m</v>
          </cell>
          <cell r="D1887">
            <v>19.989999999999998</v>
          </cell>
          <cell r="E1887">
            <v>0.91</v>
          </cell>
          <cell r="F1887">
            <v>20.900000000000002</v>
          </cell>
        </row>
        <row r="1888">
          <cell r="A1888" t="str">
            <v>381305</v>
          </cell>
          <cell r="B1888" t="str">
            <v>Eletroduto corrugado em polietileno de alta densidade, DN= 125 mm, com acessórios</v>
          </cell>
          <cell r="C1888" t="str">
            <v>m</v>
          </cell>
          <cell r="D1888">
            <v>29.86</v>
          </cell>
          <cell r="E1888">
            <v>0.91</v>
          </cell>
          <cell r="F1888">
            <v>30.77</v>
          </cell>
        </row>
        <row r="1889">
          <cell r="A1889" t="str">
            <v>381306</v>
          </cell>
          <cell r="B1889" t="str">
            <v>Eletroduto corrugado em polietileno de alta densidade, DN= 150 mm, com acessórios</v>
          </cell>
          <cell r="C1889" t="str">
            <v>m</v>
          </cell>
          <cell r="D1889">
            <v>46.660000000000004</v>
          </cell>
          <cell r="E1889">
            <v>0.91</v>
          </cell>
          <cell r="F1889">
            <v>47.57</v>
          </cell>
        </row>
        <row r="1890">
          <cell r="A1890" t="str">
            <v>381307</v>
          </cell>
          <cell r="B1890" t="str">
            <v>Eletroduto corrugado em polietileno de alta densidade, DN= 40 mm, com acessórios</v>
          </cell>
          <cell r="C1890" t="str">
            <v>m</v>
          </cell>
          <cell r="D1890">
            <v>7.08</v>
          </cell>
          <cell r="E1890">
            <v>0.91</v>
          </cell>
          <cell r="F1890">
            <v>7.99</v>
          </cell>
        </row>
        <row r="1891">
          <cell r="A1891" t="str">
            <v>381501</v>
          </cell>
          <cell r="B1891" t="str">
            <v>Eletroduto metálico flexível com capa em PVC de 3/4´</v>
          </cell>
          <cell r="C1891" t="str">
            <v>m</v>
          </cell>
          <cell r="D1891">
            <v>3.87</v>
          </cell>
          <cell r="E1891">
            <v>8.0399999999999991</v>
          </cell>
          <cell r="F1891">
            <v>11.91</v>
          </cell>
        </row>
        <row r="1892">
          <cell r="A1892" t="str">
            <v>381502</v>
          </cell>
          <cell r="B1892" t="str">
            <v>Eletroduto metálico flexível com capa em PVC de 1´</v>
          </cell>
          <cell r="C1892" t="str">
            <v>m</v>
          </cell>
          <cell r="D1892">
            <v>5.05</v>
          </cell>
          <cell r="E1892">
            <v>8.0399999999999991</v>
          </cell>
          <cell r="F1892">
            <v>13.09</v>
          </cell>
        </row>
        <row r="1893">
          <cell r="A1893" t="str">
            <v>381503</v>
          </cell>
          <cell r="B1893" t="str">
            <v>Eletroduto metálico flexível com capa em PVC de 1 1/2´</v>
          </cell>
          <cell r="C1893" t="str">
            <v>m</v>
          </cell>
          <cell r="D1893">
            <v>9.8699999999999992</v>
          </cell>
          <cell r="E1893">
            <v>8.0399999999999991</v>
          </cell>
          <cell r="F1893">
            <v>17.91</v>
          </cell>
        </row>
        <row r="1894">
          <cell r="A1894" t="str">
            <v>381504</v>
          </cell>
          <cell r="B1894" t="str">
            <v>Eletroduto metálico flexível com capa em PVC de 2´</v>
          </cell>
          <cell r="C1894" t="str">
            <v>m</v>
          </cell>
          <cell r="D1894">
            <v>12.47</v>
          </cell>
          <cell r="E1894">
            <v>8.0399999999999991</v>
          </cell>
          <cell r="F1894">
            <v>20.51</v>
          </cell>
        </row>
        <row r="1895">
          <cell r="A1895" t="str">
            <v>381511</v>
          </cell>
          <cell r="B1895" t="str">
            <v>Terminal macho fixo em latão zincado de 3/4´</v>
          </cell>
          <cell r="C1895" t="str">
            <v>un</v>
          </cell>
          <cell r="D1895">
            <v>6.8100000000000005</v>
          </cell>
          <cell r="E1895">
            <v>1.57</v>
          </cell>
          <cell r="F1895">
            <v>8.3800000000000008</v>
          </cell>
        </row>
        <row r="1896">
          <cell r="A1896" t="str">
            <v>381512</v>
          </cell>
          <cell r="B1896" t="str">
            <v>Terminal macho fixo em latão zincado de 1´</v>
          </cell>
          <cell r="C1896" t="str">
            <v>un</v>
          </cell>
          <cell r="D1896">
            <v>10.97</v>
          </cell>
          <cell r="E1896">
            <v>1.57</v>
          </cell>
          <cell r="F1896">
            <v>12.540000000000001</v>
          </cell>
        </row>
        <row r="1897">
          <cell r="A1897" t="str">
            <v>381513</v>
          </cell>
          <cell r="B1897" t="str">
            <v>Terminal macho fixo em latão zincado de 1 1/2´</v>
          </cell>
          <cell r="C1897" t="str">
            <v>un</v>
          </cell>
          <cell r="D1897">
            <v>22.580000000000002</v>
          </cell>
          <cell r="E1897">
            <v>1.57</v>
          </cell>
          <cell r="F1897">
            <v>24.150000000000002</v>
          </cell>
        </row>
        <row r="1898">
          <cell r="A1898" t="str">
            <v>381514</v>
          </cell>
          <cell r="B1898" t="str">
            <v>Terminal macho fixo em latão zincado de 2´</v>
          </cell>
          <cell r="C1898" t="str">
            <v>un</v>
          </cell>
          <cell r="D1898">
            <v>32.21</v>
          </cell>
          <cell r="E1898">
            <v>1.57</v>
          </cell>
          <cell r="F1898">
            <v>33.78</v>
          </cell>
        </row>
        <row r="1899">
          <cell r="A1899" t="str">
            <v>381531</v>
          </cell>
          <cell r="B1899" t="str">
            <v>Terminal macho giratório em latão zincado de 3/4´</v>
          </cell>
          <cell r="C1899" t="str">
            <v>un</v>
          </cell>
          <cell r="D1899">
            <v>7.3500000000000005</v>
          </cell>
          <cell r="E1899">
            <v>1.57</v>
          </cell>
          <cell r="F1899">
            <v>8.92</v>
          </cell>
        </row>
        <row r="1900">
          <cell r="A1900" t="str">
            <v>381532</v>
          </cell>
          <cell r="B1900" t="str">
            <v>Terminal macho giratório em latão zincado de 1´</v>
          </cell>
          <cell r="C1900" t="str">
            <v>un</v>
          </cell>
          <cell r="D1900">
            <v>12.84</v>
          </cell>
          <cell r="E1900">
            <v>1.57</v>
          </cell>
          <cell r="F1900">
            <v>14.41</v>
          </cell>
        </row>
        <row r="1901">
          <cell r="A1901" t="str">
            <v>381533</v>
          </cell>
          <cell r="B1901" t="str">
            <v>Terminal macho giratório em latão zincado de 1 1/2´</v>
          </cell>
          <cell r="C1901" t="str">
            <v>un</v>
          </cell>
          <cell r="D1901">
            <v>27.68</v>
          </cell>
          <cell r="E1901">
            <v>1.57</v>
          </cell>
          <cell r="F1901">
            <v>29.25</v>
          </cell>
        </row>
        <row r="1902">
          <cell r="A1902" t="str">
            <v>381534</v>
          </cell>
          <cell r="B1902" t="str">
            <v>Terminal macho giratório em latão zincado de 2´</v>
          </cell>
          <cell r="C1902" t="str">
            <v>un</v>
          </cell>
          <cell r="D1902">
            <v>36.03</v>
          </cell>
          <cell r="E1902">
            <v>1.57</v>
          </cell>
          <cell r="F1902">
            <v>37.6</v>
          </cell>
        </row>
        <row r="1903">
          <cell r="A1903" t="str">
            <v>381603</v>
          </cell>
          <cell r="B1903" t="str">
            <v>Rodapé técnico triplo, e tampa com pintura eletrostática</v>
          </cell>
          <cell r="C1903" t="str">
            <v>m</v>
          </cell>
          <cell r="D1903">
            <v>32.630000000000003</v>
          </cell>
          <cell r="E1903">
            <v>6.82</v>
          </cell>
          <cell r="F1903">
            <v>39.450000000000003</v>
          </cell>
        </row>
        <row r="1904">
          <cell r="A1904" t="str">
            <v>381606</v>
          </cell>
          <cell r="B1904" t="str">
            <v>Curva horizontal tripla de 90°, interna ou externa, e tampa com pintura eletrostática</v>
          </cell>
          <cell r="C1904" t="str">
            <v>un</v>
          </cell>
          <cell r="D1904">
            <v>17.45</v>
          </cell>
          <cell r="E1904">
            <v>11.370000000000001</v>
          </cell>
          <cell r="F1904">
            <v>28.82</v>
          </cell>
        </row>
        <row r="1905">
          <cell r="A1905" t="str">
            <v>381608</v>
          </cell>
          <cell r="B1905" t="str">
            <v>Tê triplo de 90°, horizontal ou vertical, e tampa com pintura eletrostática</v>
          </cell>
          <cell r="C1905" t="str">
            <v>un</v>
          </cell>
          <cell r="D1905">
            <v>20.830000000000002</v>
          </cell>
          <cell r="E1905">
            <v>11.370000000000001</v>
          </cell>
          <cell r="F1905">
            <v>32.200000000000003</v>
          </cell>
        </row>
        <row r="1906">
          <cell r="A1906" t="str">
            <v>381609</v>
          </cell>
          <cell r="B1906" t="str">
            <v>Caixa para tomadas: de energia, RJ, sobressalente, interruptor ou espelho, com pintura eletrostática, para rodapé técnico triplo</v>
          </cell>
          <cell r="C1906" t="str">
            <v>un</v>
          </cell>
          <cell r="D1906">
            <v>12.94</v>
          </cell>
          <cell r="E1906">
            <v>4.3499999999999996</v>
          </cell>
          <cell r="F1906">
            <v>17.29</v>
          </cell>
        </row>
        <row r="1907">
          <cell r="A1907" t="str">
            <v>381611</v>
          </cell>
          <cell r="B1907" t="str">
            <v>Caixa de derivação embutida ou externa com pintura eletrostática, para rodapé técnico triplo</v>
          </cell>
          <cell r="C1907" t="str">
            <v>un</v>
          </cell>
          <cell r="D1907">
            <v>25.560000000000002</v>
          </cell>
          <cell r="E1907">
            <v>11.370000000000001</v>
          </cell>
          <cell r="F1907">
            <v>36.93</v>
          </cell>
        </row>
        <row r="1908">
          <cell r="A1908" t="str">
            <v>381613</v>
          </cell>
          <cell r="B1908" t="str">
            <v>Caixa para tomadas: energia, RJ, sobressalente, interruptor ou espelho, com pintura eletrostática, para rodapé técnico duplo</v>
          </cell>
          <cell r="C1908" t="str">
            <v>un</v>
          </cell>
          <cell r="D1908">
            <v>11.31</v>
          </cell>
          <cell r="E1908">
            <v>4.3499999999999996</v>
          </cell>
          <cell r="F1908">
            <v>15.66</v>
          </cell>
        </row>
        <row r="1909">
          <cell r="A1909" t="str">
            <v>381614</v>
          </cell>
          <cell r="B1909" t="str">
            <v>Terminal de fechamento ou mata junta com pintura eletrostática, para rodapé técnico triplo</v>
          </cell>
          <cell r="C1909" t="str">
            <v>un</v>
          </cell>
          <cell r="D1909">
            <v>3.95</v>
          </cell>
          <cell r="E1909">
            <v>3.41</v>
          </cell>
          <cell r="F1909">
            <v>7.36</v>
          </cell>
        </row>
        <row r="1910">
          <cell r="A1910" t="str">
            <v>381615</v>
          </cell>
          <cell r="B1910" t="str">
            <v>Rodapé técnico duplo, e tampa com pintura eletrostática</v>
          </cell>
          <cell r="C1910" t="str">
            <v>m</v>
          </cell>
          <cell r="D1910">
            <v>25.97</v>
          </cell>
          <cell r="E1910">
            <v>6.82</v>
          </cell>
          <cell r="F1910">
            <v>32.79</v>
          </cell>
        </row>
        <row r="1911">
          <cell r="A1911" t="str">
            <v>381616</v>
          </cell>
          <cell r="B1911" t="str">
            <v>Curva vertical dupla de 90°, interna ou externa, e tampa com pintura eletrostática</v>
          </cell>
          <cell r="C1911" t="str">
            <v>un</v>
          </cell>
          <cell r="D1911">
            <v>27.14</v>
          </cell>
          <cell r="E1911">
            <v>11.370000000000001</v>
          </cell>
          <cell r="F1911">
            <v>38.51</v>
          </cell>
        </row>
        <row r="1912">
          <cell r="A1912" t="str">
            <v>381619</v>
          </cell>
          <cell r="B1912" t="str">
            <v>Terminal de fechamento ou mata junta com pintura eletrostática, para rodapé técnico duplo</v>
          </cell>
          <cell r="C1912" t="str">
            <v>un</v>
          </cell>
          <cell r="D1912">
            <v>5.09</v>
          </cell>
          <cell r="E1912">
            <v>3.41</v>
          </cell>
          <cell r="F1912">
            <v>8.5</v>
          </cell>
        </row>
        <row r="1913">
          <cell r="A1913" t="str">
            <v>381620</v>
          </cell>
          <cell r="B1913" t="str">
            <v>Curva horizontal dupla de 90°, interna ou externa, e tampa com pintura eletrostática</v>
          </cell>
          <cell r="C1913" t="str">
            <v>un</v>
          </cell>
          <cell r="D1913">
            <v>15.15</v>
          </cell>
          <cell r="E1913">
            <v>11.370000000000001</v>
          </cell>
          <cell r="F1913">
            <v>26.52</v>
          </cell>
        </row>
        <row r="1914">
          <cell r="A1914" t="str">
            <v>381623</v>
          </cell>
          <cell r="B1914" t="str">
            <v>Curva vertical tripla de 90°, interna ou externa, e tampa com pintura eletrostática</v>
          </cell>
          <cell r="C1914" t="str">
            <v>un</v>
          </cell>
          <cell r="D1914">
            <v>26.98</v>
          </cell>
          <cell r="E1914">
            <v>11.370000000000001</v>
          </cell>
          <cell r="F1914">
            <v>38.35</v>
          </cell>
        </row>
        <row r="1915">
          <cell r="A1915" t="str">
            <v>381625</v>
          </cell>
          <cell r="B1915" t="str">
            <v>Poste condutor métálico para distrubuição, com suporte para tomadas elétricas e RJ, com pintura eletrostática, altura de 3,00 m</v>
          </cell>
          <cell r="C1915" t="str">
            <v>un</v>
          </cell>
          <cell r="D1915">
            <v>257.86</v>
          </cell>
          <cell r="E1915">
            <v>15.4</v>
          </cell>
          <cell r="F1915">
            <v>273.26</v>
          </cell>
        </row>
        <row r="1916">
          <cell r="A1916" t="str">
            <v>381626</v>
          </cell>
          <cell r="B1916" t="str">
            <v>Tê duplo de 90°, horizontal ou vertical, e tampa com pintura eletrostática</v>
          </cell>
          <cell r="C1916" t="str">
            <v>un</v>
          </cell>
          <cell r="D1916">
            <v>16.22</v>
          </cell>
          <cell r="E1916">
            <v>11.370000000000001</v>
          </cell>
          <cell r="F1916">
            <v>27.59</v>
          </cell>
        </row>
        <row r="1917">
          <cell r="A1917" t="str">
            <v>381627</v>
          </cell>
          <cell r="B1917" t="str">
            <v>Caixa de derivação embutida ou externa para rodapé técnico duplo</v>
          </cell>
          <cell r="C1917" t="str">
            <v>un</v>
          </cell>
          <cell r="D1917">
            <v>19.96</v>
          </cell>
          <cell r="E1917">
            <v>11.370000000000001</v>
          </cell>
          <cell r="F1917">
            <v>31.330000000000002</v>
          </cell>
        </row>
        <row r="1918">
          <cell r="A1918" t="str">
            <v>381901</v>
          </cell>
          <cell r="B1918" t="str">
            <v>Eletroduto de PVC corrugado flexível leve, diâmetro externo de 16 mm</v>
          </cell>
          <cell r="C1918" t="str">
            <v>m</v>
          </cell>
          <cell r="D1918">
            <v>1.1000000000000001</v>
          </cell>
          <cell r="E1918">
            <v>6.82</v>
          </cell>
          <cell r="F1918">
            <v>7.92</v>
          </cell>
        </row>
        <row r="1919">
          <cell r="A1919" t="str">
            <v>381902</v>
          </cell>
          <cell r="B1919" t="str">
            <v>Eletroduto de PVC corrugado flexível leve, diâmetro externo de 20 mm</v>
          </cell>
          <cell r="C1919" t="str">
            <v>m</v>
          </cell>
          <cell r="D1919">
            <v>1.3900000000000001</v>
          </cell>
          <cell r="E1919">
            <v>6.82</v>
          </cell>
          <cell r="F1919">
            <v>8.2100000000000009</v>
          </cell>
        </row>
        <row r="1920">
          <cell r="A1920" t="str">
            <v>381903</v>
          </cell>
          <cell r="B1920" t="str">
            <v>Eletroduto de PVC corrugado flexível leve, diâmetro externo de 25 mm</v>
          </cell>
          <cell r="C1920" t="str">
            <v>m</v>
          </cell>
          <cell r="D1920">
            <v>1.44</v>
          </cell>
          <cell r="E1920">
            <v>6.82</v>
          </cell>
          <cell r="F1920">
            <v>8.26</v>
          </cell>
        </row>
        <row r="1921">
          <cell r="A1921" t="str">
            <v>381904</v>
          </cell>
          <cell r="B1921" t="str">
            <v>Eletroduto de PVC corrugado flexível leve, diâmetro externo de 32 mm</v>
          </cell>
          <cell r="C1921" t="str">
            <v>m</v>
          </cell>
          <cell r="D1921">
            <v>2.16</v>
          </cell>
          <cell r="E1921">
            <v>6.82</v>
          </cell>
          <cell r="F1921">
            <v>8.98</v>
          </cell>
        </row>
        <row r="1922">
          <cell r="A1922" t="str">
            <v>381920</v>
          </cell>
          <cell r="B1922" t="str">
            <v>Eletroduto de PVC corrugado flexível reforçado, diâmetro externo de 20 mm</v>
          </cell>
          <cell r="C1922" t="str">
            <v>m</v>
          </cell>
          <cell r="D1922">
            <v>1.35</v>
          </cell>
          <cell r="E1922">
            <v>6.82</v>
          </cell>
          <cell r="F1922">
            <v>8.17</v>
          </cell>
        </row>
        <row r="1923">
          <cell r="A1923" t="str">
            <v>381921</v>
          </cell>
          <cell r="B1923" t="str">
            <v>Eletroduto de PVC corrugado flexível reforçado, diâmetro externo de 25 mm</v>
          </cell>
          <cell r="C1923" t="str">
            <v>m</v>
          </cell>
          <cell r="D1923">
            <v>1.75</v>
          </cell>
          <cell r="E1923">
            <v>6.82</v>
          </cell>
          <cell r="F1923">
            <v>8.57</v>
          </cell>
        </row>
        <row r="1924">
          <cell r="A1924" t="str">
            <v>381922</v>
          </cell>
          <cell r="B1924" t="str">
            <v>Eletroduto de PVC corrugado flexível reforçado, diâmetro externo de 32 mm</v>
          </cell>
          <cell r="C1924" t="str">
            <v>m</v>
          </cell>
          <cell r="D1924">
            <v>2.2400000000000002</v>
          </cell>
          <cell r="E1924">
            <v>6.82</v>
          </cell>
          <cell r="F1924">
            <v>9.06</v>
          </cell>
        </row>
        <row r="1925">
          <cell r="A1925" t="str">
            <v>382111</v>
          </cell>
          <cell r="B1925" t="str">
            <v>Eletrocalha lisa galvanizada a fogo, 50 x 50 mm, com acessórios</v>
          </cell>
          <cell r="C1925" t="str">
            <v>m</v>
          </cell>
          <cell r="D1925">
            <v>15.9</v>
          </cell>
          <cell r="E1925">
            <v>11.370000000000001</v>
          </cell>
          <cell r="F1925">
            <v>27.27</v>
          </cell>
        </row>
        <row r="1926">
          <cell r="A1926" t="str">
            <v>382112</v>
          </cell>
          <cell r="B1926" t="str">
            <v>Eletrocalha lisa galvanizada a fogo, 100 x 50 mm, com acessórios</v>
          </cell>
          <cell r="C1926" t="str">
            <v>m</v>
          </cell>
          <cell r="D1926">
            <v>21.2</v>
          </cell>
          <cell r="E1926">
            <v>11.370000000000001</v>
          </cell>
          <cell r="F1926">
            <v>32.57</v>
          </cell>
        </row>
        <row r="1927">
          <cell r="A1927" t="str">
            <v>382113</v>
          </cell>
          <cell r="B1927" t="str">
            <v>Eletrocalha lisa galvanizada a fogo, 150 x 50 mm, com acessórios</v>
          </cell>
          <cell r="C1927" t="str">
            <v>m</v>
          </cell>
          <cell r="D1927">
            <v>26.490000000000002</v>
          </cell>
          <cell r="E1927">
            <v>11.370000000000001</v>
          </cell>
          <cell r="F1927">
            <v>37.86</v>
          </cell>
        </row>
        <row r="1928">
          <cell r="A1928" t="str">
            <v>382114</v>
          </cell>
          <cell r="B1928" t="str">
            <v>Eletrocalha lisa galvanizada a fogo, 200 x 50 mm, com acessórios</v>
          </cell>
          <cell r="C1928" t="str">
            <v>m</v>
          </cell>
          <cell r="D1928">
            <v>31.8</v>
          </cell>
          <cell r="E1928">
            <v>11.370000000000001</v>
          </cell>
          <cell r="F1928">
            <v>43.17</v>
          </cell>
        </row>
        <row r="1929">
          <cell r="A1929" t="str">
            <v>382115</v>
          </cell>
          <cell r="B1929" t="str">
            <v>Eletrocalha lisa galvanizada a fogo, 250 x 50 mm, com acessórios</v>
          </cell>
          <cell r="C1929" t="str">
            <v>m</v>
          </cell>
          <cell r="D1929">
            <v>37.1</v>
          </cell>
          <cell r="E1929">
            <v>11.370000000000001</v>
          </cell>
          <cell r="F1929">
            <v>48.47</v>
          </cell>
        </row>
        <row r="1930">
          <cell r="A1930" t="str">
            <v>382131</v>
          </cell>
          <cell r="B1930" t="str">
            <v>Eletrocalha lisa galvanizada a fogo, 100 x 100 mm, com acessórios</v>
          </cell>
          <cell r="C1930" t="str">
            <v>m</v>
          </cell>
          <cell r="D1930">
            <v>31.8</v>
          </cell>
          <cell r="E1930">
            <v>17.059999999999999</v>
          </cell>
          <cell r="F1930">
            <v>48.86</v>
          </cell>
        </row>
        <row r="1931">
          <cell r="A1931" t="str">
            <v>382132</v>
          </cell>
          <cell r="B1931" t="str">
            <v>Eletrocalha lisa galvanizada a fogo, 150 x 100 mm, com acessórios</v>
          </cell>
          <cell r="C1931" t="str">
            <v>m</v>
          </cell>
          <cell r="D1931">
            <v>37.1</v>
          </cell>
          <cell r="E1931">
            <v>17.059999999999999</v>
          </cell>
          <cell r="F1931">
            <v>54.160000000000004</v>
          </cell>
        </row>
        <row r="1932">
          <cell r="A1932" t="str">
            <v>382133</v>
          </cell>
          <cell r="B1932" t="str">
            <v>Eletrocalha lisa galvanizada a fogo, 200 x 100 mm, com acessórios</v>
          </cell>
          <cell r="C1932" t="str">
            <v>m</v>
          </cell>
          <cell r="D1932">
            <v>42.39</v>
          </cell>
          <cell r="E1932">
            <v>17.059999999999999</v>
          </cell>
          <cell r="F1932">
            <v>59.45</v>
          </cell>
        </row>
        <row r="1933">
          <cell r="A1933" t="str">
            <v>382134</v>
          </cell>
          <cell r="B1933" t="str">
            <v>Eletrocalha lisa galvanizada a fogo, 250 x 100 mm, com acessórios</v>
          </cell>
          <cell r="C1933" t="str">
            <v>m</v>
          </cell>
          <cell r="D1933">
            <v>47.7</v>
          </cell>
          <cell r="E1933">
            <v>17.059999999999999</v>
          </cell>
          <cell r="F1933">
            <v>64.760000000000005</v>
          </cell>
        </row>
        <row r="1934">
          <cell r="A1934" t="str">
            <v>382135</v>
          </cell>
          <cell r="B1934" t="str">
            <v>Eletrocalha lisa galvanizada a fogo, 300 x 100 mm, com acessórios</v>
          </cell>
          <cell r="C1934" t="str">
            <v>m</v>
          </cell>
          <cell r="D1934">
            <v>53</v>
          </cell>
          <cell r="E1934">
            <v>22.740000000000002</v>
          </cell>
          <cell r="F1934">
            <v>75.739999999999995</v>
          </cell>
        </row>
        <row r="1935">
          <cell r="A1935" t="str">
            <v>382136</v>
          </cell>
          <cell r="B1935" t="str">
            <v>Eletrocalha lisa galvanizada a fogo, 400 x 100 mm, com acessórios</v>
          </cell>
          <cell r="C1935" t="str">
            <v>m</v>
          </cell>
          <cell r="D1935">
            <v>79.459999999999994</v>
          </cell>
          <cell r="E1935">
            <v>22.740000000000002</v>
          </cell>
          <cell r="F1935">
            <v>102.2</v>
          </cell>
        </row>
        <row r="1936">
          <cell r="A1936" t="str">
            <v>382137</v>
          </cell>
          <cell r="B1936" t="str">
            <v>Eletrocalha lisa galvanizada a fogo, 500 x 100 mm, com acessórios</v>
          </cell>
          <cell r="C1936" t="str">
            <v>m</v>
          </cell>
          <cell r="D1936">
            <v>92.69</v>
          </cell>
          <cell r="E1936">
            <v>22.740000000000002</v>
          </cell>
          <cell r="F1936">
            <v>115.43</v>
          </cell>
        </row>
        <row r="1937">
          <cell r="A1937" t="str">
            <v>382192</v>
          </cell>
          <cell r="B1937" t="str">
            <v>Eletrocalha perfurada galvanizada a fogo, 100 x 50 mm, com acessórios</v>
          </cell>
          <cell r="C1937" t="str">
            <v>m</v>
          </cell>
          <cell r="D1937">
            <v>22.830000000000002</v>
          </cell>
          <cell r="E1937">
            <v>11.370000000000001</v>
          </cell>
          <cell r="F1937">
            <v>34.200000000000003</v>
          </cell>
        </row>
        <row r="1938">
          <cell r="A1938" t="str">
            <v>382193</v>
          </cell>
          <cell r="B1938" t="str">
            <v>Eletrocalha perfurada galvanizada a fogo, 150 x 50 mm, com acessórios</v>
          </cell>
          <cell r="C1938" t="str">
            <v>m</v>
          </cell>
          <cell r="D1938">
            <v>28.54</v>
          </cell>
          <cell r="E1938">
            <v>11.370000000000001</v>
          </cell>
          <cell r="F1938">
            <v>39.909999999999997</v>
          </cell>
        </row>
        <row r="1939">
          <cell r="A1939" t="str">
            <v>382194</v>
          </cell>
          <cell r="B1939" t="str">
            <v>Eletrocalha perfurada galvanizada a fogo, 200 x 50 mm, com acessórios</v>
          </cell>
          <cell r="C1939" t="str">
            <v>m</v>
          </cell>
          <cell r="D1939">
            <v>34.229999999999997</v>
          </cell>
          <cell r="E1939">
            <v>11.370000000000001</v>
          </cell>
          <cell r="F1939">
            <v>45.6</v>
          </cell>
        </row>
        <row r="1940">
          <cell r="A1940" t="str">
            <v>382195</v>
          </cell>
          <cell r="B1940" t="str">
            <v>Eletrocalha perfurada galvanizada a fogo, 250 x 50 mm, com acessórios</v>
          </cell>
          <cell r="C1940" t="str">
            <v>m</v>
          </cell>
          <cell r="D1940">
            <v>39.96</v>
          </cell>
          <cell r="E1940">
            <v>11.370000000000001</v>
          </cell>
          <cell r="F1940">
            <v>51.33</v>
          </cell>
        </row>
        <row r="1941">
          <cell r="A1941" t="str">
            <v>382212</v>
          </cell>
          <cell r="B1941" t="str">
            <v>Eletrocalha perfurada galvanizada a fogo, 150x100mm, com acessórios</v>
          </cell>
          <cell r="C1941" t="str">
            <v>m</v>
          </cell>
          <cell r="D1941">
            <v>39.94</v>
          </cell>
          <cell r="E1941">
            <v>17.059999999999999</v>
          </cell>
          <cell r="F1941">
            <v>57</v>
          </cell>
        </row>
        <row r="1942">
          <cell r="A1942" t="str">
            <v>382213</v>
          </cell>
          <cell r="B1942" t="str">
            <v>Eletrocalha perfurada galvanizada a fogo, 200x100mm, com acessórios</v>
          </cell>
          <cell r="C1942" t="str">
            <v>m</v>
          </cell>
          <cell r="D1942">
            <v>45.64</v>
          </cell>
          <cell r="E1942">
            <v>17.059999999999999</v>
          </cell>
          <cell r="F1942">
            <v>62.7</v>
          </cell>
        </row>
        <row r="1943">
          <cell r="A1943" t="str">
            <v>382214</v>
          </cell>
          <cell r="B1943" t="str">
            <v>Eletrocalha perfurada galvanizada a fogo, 250x100mm, com acessórios</v>
          </cell>
          <cell r="C1943" t="str">
            <v>m</v>
          </cell>
          <cell r="D1943">
            <v>51.35</v>
          </cell>
          <cell r="E1943">
            <v>17.059999999999999</v>
          </cell>
          <cell r="F1943">
            <v>68.41</v>
          </cell>
        </row>
        <row r="1944">
          <cell r="A1944" t="str">
            <v>382215</v>
          </cell>
          <cell r="B1944" t="str">
            <v>Eletrocalha perfurada galvanizada a fogo, 300x100mm, com acessórios</v>
          </cell>
          <cell r="C1944" t="str">
            <v>m</v>
          </cell>
          <cell r="D1944">
            <v>57.06</v>
          </cell>
          <cell r="E1944">
            <v>22.740000000000002</v>
          </cell>
          <cell r="F1944">
            <v>79.8</v>
          </cell>
        </row>
        <row r="1945">
          <cell r="A1945" t="str">
            <v>382216</v>
          </cell>
          <cell r="B1945" t="str">
            <v>Eletrocalha perfurada galvanizada a fogo, 400x100mm, com acessórios</v>
          </cell>
          <cell r="C1945" t="str">
            <v>m</v>
          </cell>
          <cell r="D1945">
            <v>85.03</v>
          </cell>
          <cell r="E1945">
            <v>22.740000000000002</v>
          </cell>
          <cell r="F1945">
            <v>107.77</v>
          </cell>
        </row>
        <row r="1946">
          <cell r="A1946" t="str">
            <v>382217</v>
          </cell>
          <cell r="B1946" t="str">
            <v>Eletrocalha perfurada galvanizada a fogo, 500x100mm, com acessórios</v>
          </cell>
          <cell r="C1946" t="str">
            <v>m</v>
          </cell>
          <cell r="D1946">
            <v>99.22</v>
          </cell>
          <cell r="E1946">
            <v>22.740000000000002</v>
          </cell>
          <cell r="F1946">
            <v>121.96000000000001</v>
          </cell>
        </row>
        <row r="1947">
          <cell r="A1947" t="str">
            <v>382218</v>
          </cell>
          <cell r="B1947" t="str">
            <v>Eletrocalha perfurada galvanizada a fogo, 700x100mm, com acessórios</v>
          </cell>
          <cell r="C1947" t="str">
            <v>m</v>
          </cell>
          <cell r="D1947">
            <v>139.88999999999999</v>
          </cell>
          <cell r="E1947">
            <v>22.740000000000002</v>
          </cell>
          <cell r="F1947">
            <v>162.63</v>
          </cell>
        </row>
        <row r="1948">
          <cell r="A1948" t="str">
            <v>382261</v>
          </cell>
          <cell r="B1948" t="str">
            <v>Tampa de encaixe para eletrocalha, galvanizada a fogo, L= 50mm</v>
          </cell>
          <cell r="C1948" t="str">
            <v>m</v>
          </cell>
          <cell r="D1948">
            <v>7.55</v>
          </cell>
          <cell r="E1948">
            <v>1.1399999999999999</v>
          </cell>
          <cell r="F1948">
            <v>8.69</v>
          </cell>
        </row>
        <row r="1949">
          <cell r="A1949" t="str">
            <v>382262</v>
          </cell>
          <cell r="B1949" t="str">
            <v>Tampa de encaixe para eletrocalha, galvanizada a fogo, L= 100mm</v>
          </cell>
          <cell r="C1949" t="str">
            <v>m</v>
          </cell>
          <cell r="D1949">
            <v>12.73</v>
          </cell>
          <cell r="E1949">
            <v>1.1399999999999999</v>
          </cell>
          <cell r="F1949">
            <v>13.870000000000001</v>
          </cell>
        </row>
        <row r="1950">
          <cell r="A1950" t="str">
            <v>382263</v>
          </cell>
          <cell r="B1950" t="str">
            <v>Tampa de encaixe para eletrocalha, galvanizada a fogo, L= 150mm</v>
          </cell>
          <cell r="C1950" t="str">
            <v>m</v>
          </cell>
          <cell r="D1950">
            <v>17.97</v>
          </cell>
          <cell r="E1950">
            <v>1.1399999999999999</v>
          </cell>
          <cell r="F1950">
            <v>19.11</v>
          </cell>
        </row>
        <row r="1951">
          <cell r="A1951" t="str">
            <v>382264</v>
          </cell>
          <cell r="B1951" t="str">
            <v>Tampa de encaixe para eletrocalha, galvanizada a fogo, L= 200mm</v>
          </cell>
          <cell r="C1951" t="str">
            <v>m</v>
          </cell>
          <cell r="D1951">
            <v>23.69</v>
          </cell>
          <cell r="E1951">
            <v>1.1399999999999999</v>
          </cell>
          <cell r="F1951">
            <v>24.830000000000002</v>
          </cell>
        </row>
        <row r="1952">
          <cell r="A1952" t="str">
            <v>382265</v>
          </cell>
          <cell r="B1952" t="str">
            <v>Tampa de encaixe para eletrocalha, galvanizada a fogo, L= 250mm</v>
          </cell>
          <cell r="C1952" t="str">
            <v>m</v>
          </cell>
          <cell r="D1952">
            <v>29.07</v>
          </cell>
          <cell r="E1952">
            <v>1.1399999999999999</v>
          </cell>
          <cell r="F1952">
            <v>30.21</v>
          </cell>
        </row>
        <row r="1953">
          <cell r="A1953" t="str">
            <v>382266</v>
          </cell>
          <cell r="B1953" t="str">
            <v>Tampa de encaixe para eletrocalha, galvanizada a fogo, L= 300mm</v>
          </cell>
          <cell r="C1953" t="str">
            <v>m</v>
          </cell>
          <cell r="D1953">
            <v>33.880000000000003</v>
          </cell>
          <cell r="E1953">
            <v>1.1399999999999999</v>
          </cell>
          <cell r="F1953">
            <v>35.020000000000003</v>
          </cell>
        </row>
        <row r="1954">
          <cell r="A1954" t="str">
            <v>382267</v>
          </cell>
          <cell r="B1954" t="str">
            <v>Tampa de encaixe para eletrocalha, galvanizada a fogo, L= 400mm</v>
          </cell>
          <cell r="C1954" t="str">
            <v>m</v>
          </cell>
          <cell r="D1954">
            <v>45.07</v>
          </cell>
          <cell r="E1954">
            <v>1.1399999999999999</v>
          </cell>
          <cell r="F1954">
            <v>46.21</v>
          </cell>
        </row>
        <row r="1955">
          <cell r="A1955" t="str">
            <v>382268</v>
          </cell>
          <cell r="B1955" t="str">
            <v>Tampa de encaixe para eletrocalha, galvanizada a fogo, L= 500mm</v>
          </cell>
          <cell r="C1955" t="str">
            <v>m</v>
          </cell>
          <cell r="D1955">
            <v>55.74</v>
          </cell>
          <cell r="E1955">
            <v>1.1399999999999999</v>
          </cell>
          <cell r="F1955">
            <v>56.88</v>
          </cell>
        </row>
        <row r="1956">
          <cell r="A1956" t="str">
            <v>382269</v>
          </cell>
          <cell r="B1956" t="str">
            <v>Tampa de encaixe para eletrocalha, galvanizada a fogo, L= 700mm</v>
          </cell>
          <cell r="C1956" t="str">
            <v>m</v>
          </cell>
          <cell r="D1956">
            <v>77.08</v>
          </cell>
          <cell r="E1956">
            <v>1.1399999999999999</v>
          </cell>
          <cell r="F1956">
            <v>78.22</v>
          </cell>
        </row>
        <row r="1957">
          <cell r="A1957" t="str">
            <v>382301</v>
          </cell>
          <cell r="B1957" t="str">
            <v>Suporte para eletrocalha, galvanizado a fogo, 50x50mm</v>
          </cell>
          <cell r="C1957" t="str">
            <v>un</v>
          </cell>
          <cell r="D1957">
            <v>2.37</v>
          </cell>
          <cell r="E1957">
            <v>5.69</v>
          </cell>
          <cell r="F1957">
            <v>8.06</v>
          </cell>
        </row>
        <row r="1958">
          <cell r="A1958" t="str">
            <v>382302</v>
          </cell>
          <cell r="B1958" t="str">
            <v>Suporte para eletrocalha, galvanizado a fogo, 100x50mm</v>
          </cell>
          <cell r="C1958" t="str">
            <v>un</v>
          </cell>
          <cell r="D1958">
            <v>2.99</v>
          </cell>
          <cell r="E1958">
            <v>5.69</v>
          </cell>
          <cell r="F1958">
            <v>8.68</v>
          </cell>
        </row>
        <row r="1959">
          <cell r="A1959" t="str">
            <v>382303</v>
          </cell>
          <cell r="B1959" t="str">
            <v>Suporte para eletrocalha, galvanizado a fogo, 150x50mm</v>
          </cell>
          <cell r="C1959" t="str">
            <v>un</v>
          </cell>
          <cell r="D1959">
            <v>3.88</v>
          </cell>
          <cell r="E1959">
            <v>5.69</v>
          </cell>
          <cell r="F1959">
            <v>9.57</v>
          </cell>
        </row>
        <row r="1960">
          <cell r="A1960" t="str">
            <v>382304</v>
          </cell>
          <cell r="B1960" t="str">
            <v>Suporte para eletrocalha, galvanizado a fogo, 200x50mm</v>
          </cell>
          <cell r="C1960" t="str">
            <v>un</v>
          </cell>
          <cell r="D1960">
            <v>4.8</v>
          </cell>
          <cell r="E1960">
            <v>5.69</v>
          </cell>
          <cell r="F1960">
            <v>10.49</v>
          </cell>
        </row>
        <row r="1961">
          <cell r="A1961" t="str">
            <v>382305</v>
          </cell>
          <cell r="B1961" t="str">
            <v>Suporte para eletrocalha, galvanizado a fogo, 250x50mm</v>
          </cell>
          <cell r="C1961" t="str">
            <v>un</v>
          </cell>
          <cell r="D1961">
            <v>5.8</v>
          </cell>
          <cell r="E1961">
            <v>5.69</v>
          </cell>
          <cell r="F1961">
            <v>11.49</v>
          </cell>
        </row>
        <row r="1962">
          <cell r="A1962" t="str">
            <v>382306</v>
          </cell>
          <cell r="B1962" t="str">
            <v>Suporte para eletrocalha, galvanizado a fogo, 300x50mm</v>
          </cell>
          <cell r="C1962" t="str">
            <v>un</v>
          </cell>
          <cell r="D1962">
            <v>6.43</v>
          </cell>
          <cell r="E1962">
            <v>5.69</v>
          </cell>
          <cell r="F1962">
            <v>12.120000000000001</v>
          </cell>
        </row>
        <row r="1963">
          <cell r="A1963" t="str">
            <v>382307</v>
          </cell>
          <cell r="B1963" t="str">
            <v>Suporte para eletrocalha, galvanizado a fogo, 400x50mm</v>
          </cell>
          <cell r="C1963" t="str">
            <v>un</v>
          </cell>
          <cell r="D1963">
            <v>8.34</v>
          </cell>
          <cell r="E1963">
            <v>5.69</v>
          </cell>
          <cell r="F1963">
            <v>14.030000000000001</v>
          </cell>
        </row>
        <row r="1964">
          <cell r="A1964" t="str">
            <v>382311</v>
          </cell>
          <cell r="B1964" t="str">
            <v>Suporte para eletrocalha, galvanizado a fogo, 100x100mm</v>
          </cell>
          <cell r="C1964" t="str">
            <v>un</v>
          </cell>
          <cell r="D1964">
            <v>3.74</v>
          </cell>
          <cell r="E1964">
            <v>5.69</v>
          </cell>
          <cell r="F1964">
            <v>9.43</v>
          </cell>
        </row>
        <row r="1965">
          <cell r="A1965" t="str">
            <v>382312</v>
          </cell>
          <cell r="B1965" t="str">
            <v>Suporte para eletrocalha, galvanizado a fogo, 150x100mm</v>
          </cell>
          <cell r="C1965" t="str">
            <v>un</v>
          </cell>
          <cell r="D1965">
            <v>4.6399999999999997</v>
          </cell>
          <cell r="E1965">
            <v>5.69</v>
          </cell>
          <cell r="F1965">
            <v>10.33</v>
          </cell>
        </row>
        <row r="1966">
          <cell r="A1966" t="str">
            <v>382313</v>
          </cell>
          <cell r="B1966" t="str">
            <v>Suporte para eletrocalha, galvanizado a fogo, 200x100mm</v>
          </cell>
          <cell r="C1966" t="str">
            <v>un</v>
          </cell>
          <cell r="D1966">
            <v>5.47</v>
          </cell>
          <cell r="E1966">
            <v>5.69</v>
          </cell>
          <cell r="F1966">
            <v>11.16</v>
          </cell>
        </row>
        <row r="1967">
          <cell r="A1967" t="str">
            <v>382314</v>
          </cell>
          <cell r="B1967" t="str">
            <v>Suporte para eletrocalha, galvanizado a fogo, 250x100mm</v>
          </cell>
          <cell r="C1967" t="str">
            <v>un</v>
          </cell>
          <cell r="D1967">
            <v>6.76</v>
          </cell>
          <cell r="E1967">
            <v>5.69</v>
          </cell>
          <cell r="F1967">
            <v>12.450000000000001</v>
          </cell>
        </row>
        <row r="1968">
          <cell r="A1968" t="str">
            <v>382315</v>
          </cell>
          <cell r="B1968" t="str">
            <v>Suporte para eletrocalha, galvanizado a fogo, 300x100mm</v>
          </cell>
          <cell r="C1968" t="str">
            <v>un</v>
          </cell>
          <cell r="D1968">
            <v>7.0200000000000005</v>
          </cell>
          <cell r="E1968">
            <v>5.69</v>
          </cell>
          <cell r="F1968">
            <v>12.71</v>
          </cell>
        </row>
        <row r="1969">
          <cell r="A1969" t="str">
            <v>382316</v>
          </cell>
          <cell r="B1969" t="str">
            <v>Suporte para eletrocalha, galvanizado a fogo, 400x100mm</v>
          </cell>
          <cell r="C1969" t="str">
            <v>un</v>
          </cell>
          <cell r="D1969">
            <v>9.0500000000000007</v>
          </cell>
          <cell r="E1969">
            <v>5.69</v>
          </cell>
          <cell r="F1969">
            <v>14.74</v>
          </cell>
        </row>
        <row r="1970">
          <cell r="A1970" t="str">
            <v>382317</v>
          </cell>
          <cell r="B1970" t="str">
            <v>Suporte para eletrocalha, galvanizado a fogo, 500x100mm</v>
          </cell>
          <cell r="C1970" t="str">
            <v>un</v>
          </cell>
          <cell r="D1970">
            <v>10.870000000000001</v>
          </cell>
          <cell r="E1970">
            <v>5.69</v>
          </cell>
          <cell r="F1970">
            <v>16.559999999999999</v>
          </cell>
        </row>
        <row r="1971">
          <cell r="A1971" t="str">
            <v>382318</v>
          </cell>
          <cell r="B1971" t="str">
            <v>Suporte para eletrocalha, galvanizado a fogo, 700x100mm</v>
          </cell>
          <cell r="C1971" t="str">
            <v>un</v>
          </cell>
          <cell r="D1971">
            <v>15.3</v>
          </cell>
          <cell r="E1971">
            <v>5.69</v>
          </cell>
          <cell r="F1971">
            <v>20.990000000000002</v>
          </cell>
        </row>
        <row r="1972">
          <cell r="A1972" t="str">
            <v>382321</v>
          </cell>
          <cell r="B1972" t="str">
            <v>Mão francesa simples, galvanizada a fogo, L= 200mm</v>
          </cell>
          <cell r="C1972" t="str">
            <v>un</v>
          </cell>
          <cell r="D1972">
            <v>6.8</v>
          </cell>
          <cell r="E1972">
            <v>5.69</v>
          </cell>
          <cell r="F1972">
            <v>12.49</v>
          </cell>
        </row>
        <row r="1973">
          <cell r="A1973" t="str">
            <v>382322</v>
          </cell>
          <cell r="B1973" t="str">
            <v>Mão francesa simples, galvanizada a fogo, L= 300mm</v>
          </cell>
          <cell r="C1973" t="str">
            <v>un</v>
          </cell>
          <cell r="D1973">
            <v>8.74</v>
          </cell>
          <cell r="E1973">
            <v>5.69</v>
          </cell>
          <cell r="F1973">
            <v>14.43</v>
          </cell>
        </row>
        <row r="1974">
          <cell r="A1974" t="str">
            <v>382323</v>
          </cell>
          <cell r="B1974" t="str">
            <v>Mão francesa simples, galvanizada a fogo, L= 400mm</v>
          </cell>
          <cell r="C1974" t="str">
            <v>un</v>
          </cell>
          <cell r="D1974">
            <v>10.65</v>
          </cell>
          <cell r="E1974">
            <v>5.69</v>
          </cell>
          <cell r="F1974">
            <v>16.34</v>
          </cell>
        </row>
        <row r="1975">
          <cell r="A1975" t="str">
            <v>382324</v>
          </cell>
          <cell r="B1975" t="str">
            <v>Mão francesa simples, galvanizada a fogo, L= 500mm</v>
          </cell>
          <cell r="C1975" t="str">
            <v>un</v>
          </cell>
          <cell r="D1975">
            <v>13.26</v>
          </cell>
          <cell r="E1975">
            <v>5.69</v>
          </cell>
          <cell r="F1975">
            <v>18.95</v>
          </cell>
        </row>
        <row r="1976">
          <cell r="A1976" t="str">
            <v>382331</v>
          </cell>
          <cell r="B1976" t="str">
            <v>Mão francesa dupla, galvanizada a fogo, L= 300mm</v>
          </cell>
          <cell r="C1976" t="str">
            <v>un</v>
          </cell>
          <cell r="D1976">
            <v>16.329999999999998</v>
          </cell>
          <cell r="E1976">
            <v>7.96</v>
          </cell>
          <cell r="F1976">
            <v>24.29</v>
          </cell>
        </row>
        <row r="1977">
          <cell r="A1977" t="str">
            <v>382332</v>
          </cell>
          <cell r="B1977" t="str">
            <v>Mão francesa dupla, galvanizada a fogo, L= 400mm</v>
          </cell>
          <cell r="C1977" t="str">
            <v>un</v>
          </cell>
          <cell r="D1977">
            <v>20.88</v>
          </cell>
          <cell r="E1977">
            <v>7.96</v>
          </cell>
          <cell r="F1977">
            <v>28.84</v>
          </cell>
        </row>
        <row r="1978">
          <cell r="A1978" t="str">
            <v>382333</v>
          </cell>
          <cell r="B1978" t="str">
            <v>Mão francesa dupla, galvanizada a fogo, L= 500mm</v>
          </cell>
          <cell r="C1978" t="str">
            <v>un</v>
          </cell>
          <cell r="D1978">
            <v>25.91</v>
          </cell>
          <cell r="E1978">
            <v>7.96</v>
          </cell>
          <cell r="F1978">
            <v>33.869999999999997</v>
          </cell>
        </row>
        <row r="1979">
          <cell r="A1979" t="str">
            <v>382335</v>
          </cell>
          <cell r="B1979" t="str">
            <v>Mão francesa dupla, galvanizada a fogo, L= 700mm</v>
          </cell>
          <cell r="C1979" t="str">
            <v>un</v>
          </cell>
          <cell r="D1979">
            <v>34.32</v>
          </cell>
          <cell r="E1979">
            <v>7.96</v>
          </cell>
          <cell r="F1979">
            <v>42.28</v>
          </cell>
        </row>
        <row r="1980">
          <cell r="A1980" t="str">
            <v>382341</v>
          </cell>
          <cell r="B1980" t="str">
            <v>Mão francesa reforçada, galvanizada a fogo, L= 900mm</v>
          </cell>
          <cell r="C1980" t="str">
            <v>un</v>
          </cell>
          <cell r="D1980">
            <v>49.51</v>
          </cell>
          <cell r="E1980">
            <v>11.370000000000001</v>
          </cell>
          <cell r="F1980">
            <v>60.88</v>
          </cell>
        </row>
        <row r="1981">
          <cell r="A1981" t="str">
            <v>390201</v>
          </cell>
          <cell r="B1981" t="str">
            <v>Cabo de cobre de 1,5 mm², isolamento 750 V - isolação em PVC 70°C</v>
          </cell>
          <cell r="C1981" t="str">
            <v>m</v>
          </cell>
          <cell r="D1981">
            <v>0.56999999999999995</v>
          </cell>
          <cell r="E1981">
            <v>0.91</v>
          </cell>
          <cell r="F1981">
            <v>1.48</v>
          </cell>
        </row>
        <row r="1982">
          <cell r="A1982" t="str">
            <v>390203</v>
          </cell>
          <cell r="B1982" t="str">
            <v>Cabo de cobre de 6 mm², isolamento 750 V - isolação em PVC 70°C</v>
          </cell>
          <cell r="C1982" t="str">
            <v>m</v>
          </cell>
          <cell r="D1982">
            <v>1.97</v>
          </cell>
          <cell r="E1982">
            <v>1.59</v>
          </cell>
          <cell r="F1982">
            <v>3.56</v>
          </cell>
        </row>
        <row r="1983">
          <cell r="A1983" t="str">
            <v>390204</v>
          </cell>
          <cell r="B1983" t="str">
            <v>Cabo de cobre de 10 mm², isolamento 750 V - isolação em PVC 70°C</v>
          </cell>
          <cell r="C1983" t="str">
            <v>m</v>
          </cell>
          <cell r="D1983">
            <v>3.5</v>
          </cell>
          <cell r="E1983">
            <v>1.82</v>
          </cell>
          <cell r="F1983">
            <v>5.32</v>
          </cell>
        </row>
        <row r="1984">
          <cell r="A1984" t="str">
            <v>390205</v>
          </cell>
          <cell r="B1984" t="str">
            <v>Cabo de cobre de 16 mm², isolamento 750 V - isolação em PVC 70°C</v>
          </cell>
          <cell r="C1984" t="str">
            <v>m</v>
          </cell>
          <cell r="D1984">
            <v>5.51</v>
          </cell>
          <cell r="E1984">
            <v>2.0499999999999998</v>
          </cell>
          <cell r="F1984">
            <v>7.5600000000000005</v>
          </cell>
        </row>
        <row r="1985">
          <cell r="A1985" t="str">
            <v>390206</v>
          </cell>
          <cell r="B1985" t="str">
            <v>Cabo de cobre de 25 mm², isolamento 750 V - isolação em PVC 70°C</v>
          </cell>
          <cell r="C1985" t="str">
            <v>m</v>
          </cell>
          <cell r="D1985">
            <v>8.6</v>
          </cell>
          <cell r="E1985">
            <v>2.27</v>
          </cell>
          <cell r="F1985">
            <v>10.870000000000001</v>
          </cell>
        </row>
        <row r="1986">
          <cell r="A1986" t="str">
            <v>390207</v>
          </cell>
          <cell r="B1986" t="str">
            <v>Cabo de cobre de 35 mm², isolamento 750 V - isolação em PVC 70°C</v>
          </cell>
          <cell r="C1986" t="str">
            <v>m</v>
          </cell>
          <cell r="D1986">
            <v>11.93</v>
          </cell>
          <cell r="E1986">
            <v>3.41</v>
          </cell>
          <cell r="F1986">
            <v>15.34</v>
          </cell>
        </row>
        <row r="1987">
          <cell r="A1987" t="str">
            <v>390208</v>
          </cell>
          <cell r="B1987" t="str">
            <v>Cabo de cobre de 50 mm², isolamento 750 V - isolação em PVC 70°C</v>
          </cell>
          <cell r="C1987" t="str">
            <v>m</v>
          </cell>
          <cell r="D1987">
            <v>16.59</v>
          </cell>
          <cell r="E1987">
            <v>4.55</v>
          </cell>
          <cell r="F1987">
            <v>21.14</v>
          </cell>
        </row>
        <row r="1988">
          <cell r="A1988" t="str">
            <v>390209</v>
          </cell>
          <cell r="B1988" t="str">
            <v>Cabo de cobre de 70 mm², isolamento 750 V - isolação em PVC 70°C</v>
          </cell>
          <cell r="C1988" t="str">
            <v>m</v>
          </cell>
          <cell r="D1988">
            <v>24.7</v>
          </cell>
          <cell r="E1988">
            <v>5.69</v>
          </cell>
          <cell r="F1988">
            <v>30.39</v>
          </cell>
        </row>
        <row r="1989">
          <cell r="A1989" t="str">
            <v>390210</v>
          </cell>
          <cell r="B1989" t="str">
            <v>Cabo de cobre de 95 mm², isolamento 750 V - isolação em PVC 70°C</v>
          </cell>
          <cell r="C1989" t="str">
            <v>m</v>
          </cell>
          <cell r="D1989">
            <v>34.49</v>
          </cell>
          <cell r="E1989">
            <v>6.82</v>
          </cell>
          <cell r="F1989">
            <v>41.31</v>
          </cell>
        </row>
        <row r="1990">
          <cell r="A1990" t="str">
            <v>390211</v>
          </cell>
          <cell r="B1990" t="str">
            <v>Cabo de cobre de 120 mm², isolamento 750 V - isolação em PVC 70°C</v>
          </cell>
          <cell r="C1990" t="str">
            <v>m</v>
          </cell>
          <cell r="D1990">
            <v>42.84</v>
          </cell>
          <cell r="E1990">
            <v>7.96</v>
          </cell>
          <cell r="F1990">
            <v>50.800000000000004</v>
          </cell>
        </row>
        <row r="1991">
          <cell r="A1991" t="str">
            <v>390212</v>
          </cell>
          <cell r="B1991" t="str">
            <v>Cabo de cobre de 150 mm², isolamento 750 V - isolação em PVC 70°C</v>
          </cell>
          <cell r="C1991" t="str">
            <v>m</v>
          </cell>
          <cell r="D1991">
            <v>51.57</v>
          </cell>
          <cell r="E1991">
            <v>9.1</v>
          </cell>
          <cell r="F1991">
            <v>60.67</v>
          </cell>
        </row>
        <row r="1992">
          <cell r="A1992" t="str">
            <v>390213</v>
          </cell>
          <cell r="B1992" t="str">
            <v>Cabo de cobre de 185 mm², isolamento 750 V - isolação em PVC 70°C</v>
          </cell>
          <cell r="C1992" t="str">
            <v>m</v>
          </cell>
          <cell r="D1992">
            <v>66.09</v>
          </cell>
          <cell r="E1992">
            <v>10.23</v>
          </cell>
          <cell r="F1992">
            <v>76.319999999999993</v>
          </cell>
        </row>
        <row r="1993">
          <cell r="A1993" t="str">
            <v>390214</v>
          </cell>
          <cell r="B1993" t="str">
            <v>Cabo de cobre de 240 mm², isolamento 750 V - isolação em PVC 70°C</v>
          </cell>
          <cell r="C1993" t="str">
            <v>m</v>
          </cell>
          <cell r="D1993">
            <v>88.09</v>
          </cell>
          <cell r="E1993">
            <v>11.370000000000001</v>
          </cell>
          <cell r="F1993">
            <v>99.460000000000008</v>
          </cell>
        </row>
        <row r="1994">
          <cell r="A1994" t="str">
            <v>390215</v>
          </cell>
          <cell r="B1994" t="str">
            <v>Cabo de cobre de 300 mm², isolamento 750 V - isolação em PVC 70°C</v>
          </cell>
          <cell r="C1994" t="str">
            <v>m</v>
          </cell>
          <cell r="D1994">
            <v>125.92</v>
          </cell>
          <cell r="E1994">
            <v>12.51</v>
          </cell>
          <cell r="F1994">
            <v>138.43</v>
          </cell>
        </row>
        <row r="1995">
          <cell r="A1995" t="str">
            <v>390216</v>
          </cell>
          <cell r="B1995" t="str">
            <v>Cabo de cobre de 2,5 mm², isolamento 750 V - isolação em PVC 70°C</v>
          </cell>
          <cell r="C1995" t="str">
            <v>m</v>
          </cell>
          <cell r="D1995">
            <v>0.88</v>
          </cell>
          <cell r="E1995">
            <v>1.1399999999999999</v>
          </cell>
          <cell r="F1995">
            <v>2.02</v>
          </cell>
        </row>
        <row r="1996">
          <cell r="A1996" t="str">
            <v>390217</v>
          </cell>
          <cell r="B1996" t="str">
            <v>Cabo de cobre de 4 mm², isolamento 750 V - isolação em PVC 70°C</v>
          </cell>
          <cell r="C1996" t="str">
            <v>m</v>
          </cell>
          <cell r="D1996">
            <v>1.35</v>
          </cell>
          <cell r="E1996">
            <v>1.36</v>
          </cell>
          <cell r="F1996">
            <v>2.71</v>
          </cell>
        </row>
        <row r="1997">
          <cell r="A1997" t="str">
            <v>390218</v>
          </cell>
          <cell r="B1997" t="str">
            <v>Cabo de cobre de 400 mm², isolamento 750 V - isolação em PVC 70°C</v>
          </cell>
          <cell r="C1997" t="str">
            <v>m</v>
          </cell>
          <cell r="D1997">
            <v>121.91</v>
          </cell>
          <cell r="E1997">
            <v>13.64</v>
          </cell>
          <cell r="F1997">
            <v>135.55000000000001</v>
          </cell>
        </row>
        <row r="1998">
          <cell r="A1998" t="str">
            <v>390219</v>
          </cell>
          <cell r="B1998" t="str">
            <v>Cabo de cobre de 500 mm², isolamento 750 V - isolação em PVC 70°C</v>
          </cell>
          <cell r="C1998" t="str">
            <v>m</v>
          </cell>
          <cell r="D1998">
            <v>155.83000000000001</v>
          </cell>
          <cell r="E1998">
            <v>14.780000000000001</v>
          </cell>
          <cell r="F1998">
            <v>170.61</v>
          </cell>
        </row>
        <row r="1999">
          <cell r="A1999" t="str">
            <v>390302</v>
          </cell>
          <cell r="B1999" t="str">
            <v>Cabo de cobre de 4 mm², isolamento 0,6/1 kV - isolação em PVC 70°C</v>
          </cell>
          <cell r="C1999" t="str">
            <v>m</v>
          </cell>
          <cell r="D1999">
            <v>1.61</v>
          </cell>
          <cell r="E1999">
            <v>1.36</v>
          </cell>
          <cell r="F1999">
            <v>2.97</v>
          </cell>
        </row>
        <row r="2000">
          <cell r="A2000" t="str">
            <v>390303</v>
          </cell>
          <cell r="B2000" t="str">
            <v>Cabo de cobre de 6 mm², isolamento 0,6/1 kV - isolação em PVC 70°C</v>
          </cell>
          <cell r="C2000" t="str">
            <v>m</v>
          </cell>
          <cell r="D2000">
            <v>2.2400000000000002</v>
          </cell>
          <cell r="E2000">
            <v>1.59</v>
          </cell>
          <cell r="F2000">
            <v>3.83</v>
          </cell>
        </row>
        <row r="2001">
          <cell r="A2001" t="str">
            <v>390304</v>
          </cell>
          <cell r="B2001" t="str">
            <v>Cabo de cobre de 10 mm², isolamento 0,6/1 kV - isolação em PVC 70°C</v>
          </cell>
          <cell r="C2001" t="str">
            <v>m</v>
          </cell>
          <cell r="D2001">
            <v>3.59</v>
          </cell>
          <cell r="E2001">
            <v>1.82</v>
          </cell>
          <cell r="F2001">
            <v>5.41</v>
          </cell>
        </row>
        <row r="2002">
          <cell r="A2002" t="str">
            <v>390305</v>
          </cell>
          <cell r="B2002" t="str">
            <v>Cabo de cobre de 16 mm², isolamento 0,6/1 kV - isolação em PVC 70°C</v>
          </cell>
          <cell r="C2002" t="str">
            <v>m</v>
          </cell>
          <cell r="D2002">
            <v>5.62</v>
          </cell>
          <cell r="E2002">
            <v>2.0499999999999998</v>
          </cell>
          <cell r="F2002">
            <v>7.67</v>
          </cell>
        </row>
        <row r="2003">
          <cell r="A2003" t="str">
            <v>390306</v>
          </cell>
          <cell r="B2003" t="str">
            <v>Cabo de cobre de 25 mm², isolamento 0,6/1 kV - isolação em PVC 70°C</v>
          </cell>
          <cell r="C2003" t="str">
            <v>m</v>
          </cell>
          <cell r="D2003">
            <v>8.35</v>
          </cell>
          <cell r="E2003">
            <v>2.27</v>
          </cell>
          <cell r="F2003">
            <v>10.620000000000001</v>
          </cell>
        </row>
        <row r="2004">
          <cell r="A2004" t="str">
            <v>390307</v>
          </cell>
          <cell r="B2004" t="str">
            <v>Cabo de cobre de 35 mm², isolamento 0,6/1 kV - isolação em PVC 70°C</v>
          </cell>
          <cell r="C2004" t="str">
            <v>m</v>
          </cell>
          <cell r="D2004">
            <v>11.52</v>
          </cell>
          <cell r="E2004">
            <v>3.41</v>
          </cell>
          <cell r="F2004">
            <v>14.93</v>
          </cell>
        </row>
        <row r="2005">
          <cell r="A2005" t="str">
            <v>390308</v>
          </cell>
          <cell r="B2005" t="str">
            <v>Cabo de cobre de 50 mm², isolamento 0,6/1 kV - isolação em PVC 70°C</v>
          </cell>
          <cell r="C2005" t="str">
            <v>m</v>
          </cell>
          <cell r="D2005">
            <v>16.690000000000001</v>
          </cell>
          <cell r="E2005">
            <v>4.55</v>
          </cell>
          <cell r="F2005">
            <v>21.240000000000002</v>
          </cell>
        </row>
        <row r="2006">
          <cell r="A2006" t="str">
            <v>390309</v>
          </cell>
          <cell r="B2006" t="str">
            <v>Cabo de cobre de 70 mm², isolamento 0,6/1 kV - isolação em PVC 70°C</v>
          </cell>
          <cell r="C2006" t="str">
            <v>m</v>
          </cell>
          <cell r="D2006">
            <v>23.45</v>
          </cell>
          <cell r="E2006">
            <v>5.69</v>
          </cell>
          <cell r="F2006">
            <v>29.14</v>
          </cell>
        </row>
        <row r="2007">
          <cell r="A2007" t="str">
            <v>390310</v>
          </cell>
          <cell r="B2007" t="str">
            <v>Cabo de cobre de 95 mm², isolamento 0,6/1 kV - isolação em PVC 70°C</v>
          </cell>
          <cell r="C2007" t="str">
            <v>m</v>
          </cell>
          <cell r="D2007">
            <v>30.88</v>
          </cell>
          <cell r="E2007">
            <v>6.82</v>
          </cell>
          <cell r="F2007">
            <v>37.700000000000003</v>
          </cell>
        </row>
        <row r="2008">
          <cell r="A2008" t="str">
            <v>390311</v>
          </cell>
          <cell r="B2008" t="str">
            <v>Cabo de cobre de 120 mm², isolamento 0,6/1 kV - isolação em PVC 70°C</v>
          </cell>
          <cell r="C2008" t="str">
            <v>m</v>
          </cell>
          <cell r="D2008">
            <v>43.39</v>
          </cell>
          <cell r="E2008">
            <v>7.96</v>
          </cell>
          <cell r="F2008">
            <v>51.35</v>
          </cell>
        </row>
        <row r="2009">
          <cell r="A2009" t="str">
            <v>390312</v>
          </cell>
          <cell r="B2009" t="str">
            <v>Cabo de cobre de 150 mm², isolamento 0,6/1 kV - isolação em PVC 70°C</v>
          </cell>
          <cell r="C2009" t="str">
            <v>m</v>
          </cell>
          <cell r="D2009">
            <v>52.79</v>
          </cell>
          <cell r="E2009">
            <v>9.1</v>
          </cell>
          <cell r="F2009">
            <v>61.89</v>
          </cell>
        </row>
        <row r="2010">
          <cell r="A2010" t="str">
            <v>390313</v>
          </cell>
          <cell r="B2010" t="str">
            <v>Cabo de cobre de 185 mm², isolamento 0,6/1 kV - isolação em PVC 70°C</v>
          </cell>
          <cell r="C2010" t="str">
            <v>m</v>
          </cell>
          <cell r="D2010">
            <v>66.27</v>
          </cell>
          <cell r="E2010">
            <v>10.23</v>
          </cell>
          <cell r="F2010">
            <v>76.5</v>
          </cell>
        </row>
        <row r="2011">
          <cell r="A2011" t="str">
            <v>390314</v>
          </cell>
          <cell r="B2011" t="str">
            <v>Cabo de cobre de 240 mm², isolamento 0,6/1 kV - isolação em PVC 70°C</v>
          </cell>
          <cell r="C2011" t="str">
            <v>m</v>
          </cell>
          <cell r="D2011">
            <v>87.02</v>
          </cell>
          <cell r="E2011">
            <v>11.370000000000001</v>
          </cell>
          <cell r="F2011">
            <v>98.39</v>
          </cell>
        </row>
        <row r="2012">
          <cell r="A2012" t="str">
            <v>390315</v>
          </cell>
          <cell r="B2012" t="str">
            <v>Cabo de cobre de 300 mm², isolamento 0,6/1 kV - isolação em PVC 70°C</v>
          </cell>
          <cell r="C2012" t="str">
            <v>m</v>
          </cell>
          <cell r="D2012">
            <v>98.41</v>
          </cell>
          <cell r="E2012">
            <v>12.51</v>
          </cell>
          <cell r="F2012">
            <v>110.92</v>
          </cell>
        </row>
        <row r="2013">
          <cell r="A2013" t="str">
            <v>390316</v>
          </cell>
          <cell r="B2013" t="str">
            <v>Cabo de cobre de 1,5 mm², isolamento 0,6/1 kV - isolação em PVC 70°C</v>
          </cell>
          <cell r="C2013" t="str">
            <v>m</v>
          </cell>
          <cell r="D2013">
            <v>0.78</v>
          </cell>
          <cell r="E2013">
            <v>0.91</v>
          </cell>
          <cell r="F2013">
            <v>1.69</v>
          </cell>
        </row>
        <row r="2014">
          <cell r="A2014" t="str">
            <v>390317</v>
          </cell>
          <cell r="B2014" t="str">
            <v>Cabo de cobre de 2,5 mm², isolamento 0,6/1 kV - isolação em PVC 70°C</v>
          </cell>
          <cell r="C2014" t="str">
            <v>m</v>
          </cell>
          <cell r="D2014">
            <v>1.05</v>
          </cell>
          <cell r="E2014">
            <v>1.1399999999999999</v>
          </cell>
          <cell r="F2014">
            <v>2.19</v>
          </cell>
        </row>
        <row r="2015">
          <cell r="A2015" t="str">
            <v>390318</v>
          </cell>
          <cell r="B2015" t="str">
            <v>Cabo de cobre de 400 mm², isolamento 0,6/1 kV - isolação em PVC 70°C</v>
          </cell>
          <cell r="C2015" t="str">
            <v>m</v>
          </cell>
          <cell r="D2015">
            <v>127.77</v>
          </cell>
          <cell r="E2015">
            <v>13.64</v>
          </cell>
          <cell r="F2015">
            <v>141.41</v>
          </cell>
        </row>
        <row r="2016">
          <cell r="A2016" t="str">
            <v>390319</v>
          </cell>
          <cell r="B2016" t="str">
            <v>Cabo de cobre de 500 mm², isolamento 0,6/1 kV - isolação em PVC 70°C</v>
          </cell>
          <cell r="C2016" t="str">
            <v>m</v>
          </cell>
          <cell r="D2016">
            <v>160.58000000000001</v>
          </cell>
          <cell r="E2016">
            <v>14.780000000000001</v>
          </cell>
          <cell r="F2016">
            <v>175.36</v>
          </cell>
        </row>
        <row r="2017">
          <cell r="A2017" t="str">
            <v>390404</v>
          </cell>
          <cell r="B2017" t="str">
            <v>Cabo de cobre nu, têmpera mole, classe 2, de 10 mm²</v>
          </cell>
          <cell r="C2017" t="str">
            <v>m</v>
          </cell>
          <cell r="D2017">
            <v>2.71</v>
          </cell>
          <cell r="E2017">
            <v>2.27</v>
          </cell>
          <cell r="F2017">
            <v>4.9800000000000004</v>
          </cell>
        </row>
        <row r="2018">
          <cell r="A2018" t="str">
            <v>390405</v>
          </cell>
          <cell r="B2018" t="str">
            <v>Cabo de cobre nu, têmpera mole, classe 2, de 16 mm²</v>
          </cell>
          <cell r="C2018" t="str">
            <v>m</v>
          </cell>
          <cell r="D2018">
            <v>4.96</v>
          </cell>
          <cell r="E2018">
            <v>2.95</v>
          </cell>
          <cell r="F2018">
            <v>7.91</v>
          </cell>
        </row>
        <row r="2019">
          <cell r="A2019" t="str">
            <v>390406</v>
          </cell>
          <cell r="B2019" t="str">
            <v>Cabo de cobre nu, têmpera mole, classe 2, de 25 mm²</v>
          </cell>
          <cell r="C2019" t="str">
            <v>m</v>
          </cell>
          <cell r="D2019">
            <v>7.6000000000000005</v>
          </cell>
          <cell r="E2019">
            <v>2.27</v>
          </cell>
          <cell r="F2019">
            <v>9.8699999999999992</v>
          </cell>
        </row>
        <row r="2020">
          <cell r="A2020" t="str">
            <v>390407</v>
          </cell>
          <cell r="B2020" t="str">
            <v>Cabo de cobre nu, têmpera mole, classe 2, de 35 mm²</v>
          </cell>
          <cell r="C2020" t="str">
            <v>m</v>
          </cell>
          <cell r="D2020">
            <v>10.23</v>
          </cell>
          <cell r="E2020">
            <v>3.41</v>
          </cell>
          <cell r="F2020">
            <v>13.64</v>
          </cell>
        </row>
        <row r="2021">
          <cell r="A2021" t="str">
            <v>390408</v>
          </cell>
          <cell r="B2021" t="str">
            <v>Cabo de cobre nu, têmpera mole, classe 2, de 50 mm²</v>
          </cell>
          <cell r="C2021" t="str">
            <v>m</v>
          </cell>
          <cell r="D2021">
            <v>15.5</v>
          </cell>
          <cell r="E2021">
            <v>4.55</v>
          </cell>
          <cell r="F2021">
            <v>20.05</v>
          </cell>
        </row>
        <row r="2022">
          <cell r="A2022" t="str">
            <v>390410</v>
          </cell>
          <cell r="B2022" t="str">
            <v>Cabo de cobre nu, têmpera mole, classe 2, de 70 mm²</v>
          </cell>
          <cell r="C2022" t="str">
            <v>m</v>
          </cell>
          <cell r="D2022">
            <v>20.87</v>
          </cell>
          <cell r="E2022">
            <v>5.69</v>
          </cell>
          <cell r="F2022">
            <v>26.560000000000002</v>
          </cell>
        </row>
        <row r="2023">
          <cell r="A2023" t="str">
            <v>390412</v>
          </cell>
          <cell r="B2023" t="str">
            <v>Cabo de cobre nu, têmpera mole, classe 2, de 95 mm²</v>
          </cell>
          <cell r="C2023" t="str">
            <v>m</v>
          </cell>
          <cell r="D2023">
            <v>28.62</v>
          </cell>
          <cell r="E2023">
            <v>6.82</v>
          </cell>
          <cell r="F2023">
            <v>35.44</v>
          </cell>
        </row>
        <row r="2024">
          <cell r="A2024" t="str">
            <v>390414</v>
          </cell>
          <cell r="B2024" t="str">
            <v>Cabo de cobre nu, têmpera mole, classe 2, de 120 mm²</v>
          </cell>
          <cell r="C2024" t="str">
            <v>m</v>
          </cell>
          <cell r="D2024">
            <v>39.89</v>
          </cell>
          <cell r="E2024">
            <v>7.96</v>
          </cell>
          <cell r="F2024">
            <v>47.85</v>
          </cell>
        </row>
        <row r="2025">
          <cell r="A2025" t="str">
            <v>390416</v>
          </cell>
          <cell r="B2025" t="str">
            <v>Cabo de cobre nu, têmpera mole, classe 2, de 150 mm²</v>
          </cell>
          <cell r="C2025" t="str">
            <v>m</v>
          </cell>
          <cell r="D2025">
            <v>46.71</v>
          </cell>
          <cell r="E2025">
            <v>9.1</v>
          </cell>
          <cell r="F2025">
            <v>55.81</v>
          </cell>
        </row>
        <row r="2026">
          <cell r="A2026" t="str">
            <v>390418</v>
          </cell>
          <cell r="B2026" t="str">
            <v>Cabo de cobre nu, têmpera mole, classe 2, de 185 mm²</v>
          </cell>
          <cell r="C2026" t="str">
            <v>m</v>
          </cell>
          <cell r="D2026">
            <v>62.730000000000004</v>
          </cell>
          <cell r="E2026">
            <v>10.23</v>
          </cell>
          <cell r="F2026">
            <v>72.959999999999994</v>
          </cell>
        </row>
        <row r="2027">
          <cell r="A2027" t="str">
            <v>390420</v>
          </cell>
          <cell r="B2027" t="str">
            <v>Cabo de cobre nu, têmpera mole, classe 2, de 240 mm²</v>
          </cell>
          <cell r="C2027" t="str">
            <v>m</v>
          </cell>
          <cell r="D2027">
            <v>84.9</v>
          </cell>
          <cell r="E2027">
            <v>11.370000000000001</v>
          </cell>
          <cell r="F2027">
            <v>96.27</v>
          </cell>
        </row>
        <row r="2028">
          <cell r="A2028" t="str">
            <v>390506</v>
          </cell>
          <cell r="B2028" t="str">
            <v>Cabo de cobre de 3x25 mm², tensão de isolamento 8,7/15 kV - isolação EPR 90°C</v>
          </cell>
          <cell r="C2028" t="str">
            <v>m</v>
          </cell>
          <cell r="D2028">
            <v>81.14</v>
          </cell>
          <cell r="E2028">
            <v>16.62</v>
          </cell>
          <cell r="F2028">
            <v>97.76</v>
          </cell>
        </row>
        <row r="2029">
          <cell r="A2029" t="str">
            <v>390507</v>
          </cell>
          <cell r="B2029" t="str">
            <v>Cabo de cobre de 3x35 mm², tensão de isolamento 8,7/15 kV - isolação EPR 90°C</v>
          </cell>
          <cell r="C2029" t="str">
            <v>m</v>
          </cell>
          <cell r="D2029">
            <v>90.24</v>
          </cell>
          <cell r="E2029">
            <v>20.77</v>
          </cell>
          <cell r="F2029">
            <v>111.01</v>
          </cell>
        </row>
        <row r="2030">
          <cell r="A2030" t="str">
            <v>390601</v>
          </cell>
          <cell r="B2030" t="str">
            <v>Cabo de cobre de 50 mm², tensão de isolamento 8,7/15 kV - isolação EPR 90°C</v>
          </cell>
          <cell r="C2030" t="str">
            <v>m</v>
          </cell>
          <cell r="D2030">
            <v>41.82</v>
          </cell>
          <cell r="E2030">
            <v>20.77</v>
          </cell>
          <cell r="F2030">
            <v>62.59</v>
          </cell>
        </row>
        <row r="2031">
          <cell r="A2031" t="str">
            <v>390602</v>
          </cell>
          <cell r="B2031" t="str">
            <v>Cabo de cobre de 70 mm², tensão de isolamento 8,7/15 kV - isolação EPR 90°C</v>
          </cell>
          <cell r="C2031" t="str">
            <v>m</v>
          </cell>
          <cell r="D2031">
            <v>42.85</v>
          </cell>
          <cell r="E2031">
            <v>20.77</v>
          </cell>
          <cell r="F2031">
            <v>63.620000000000005</v>
          </cell>
        </row>
        <row r="2032">
          <cell r="A2032" t="str">
            <v>390603</v>
          </cell>
          <cell r="B2032" t="str">
            <v>Cabo de cobre de 120 mm², tensão de isolamento 8,7/15 kV - isolação EPR 90°C</v>
          </cell>
          <cell r="C2032" t="str">
            <v>m</v>
          </cell>
          <cell r="D2032">
            <v>68.22</v>
          </cell>
          <cell r="E2032">
            <v>24.92</v>
          </cell>
          <cell r="F2032">
            <v>93.14</v>
          </cell>
        </row>
        <row r="2033">
          <cell r="A2033" t="str">
            <v>390604</v>
          </cell>
          <cell r="B2033" t="str">
            <v>Cabo de cobre de 185 mm², tensão de isolamento 8,7/15 kV - isolação EPR 90°C</v>
          </cell>
          <cell r="C2033" t="str">
            <v>m</v>
          </cell>
          <cell r="D2033">
            <v>101.72</v>
          </cell>
          <cell r="E2033">
            <v>24.92</v>
          </cell>
          <cell r="F2033">
            <v>126.64</v>
          </cell>
        </row>
        <row r="2034">
          <cell r="A2034" t="str">
            <v>390606</v>
          </cell>
          <cell r="B2034" t="str">
            <v>Cabo de cobre de 25 mm², tensão de isolamento 8,7/15 kV - isolação EPR 90°C</v>
          </cell>
          <cell r="C2034" t="str">
            <v>m</v>
          </cell>
          <cell r="D2034">
            <v>26.02</v>
          </cell>
          <cell r="E2034">
            <v>12.46</v>
          </cell>
          <cell r="F2034">
            <v>38.479999999999997</v>
          </cell>
        </row>
        <row r="2035">
          <cell r="A2035" t="str">
            <v>390607</v>
          </cell>
          <cell r="B2035" t="str">
            <v>Cabo de cobre de 35 mm², tensão de isolamento 8,7/15 kV - isolação EPR 90°C</v>
          </cell>
          <cell r="C2035" t="str">
            <v>m</v>
          </cell>
          <cell r="D2035">
            <v>31.12</v>
          </cell>
          <cell r="E2035">
            <v>15.01</v>
          </cell>
          <cell r="F2035">
            <v>46.13</v>
          </cell>
        </row>
        <row r="2036">
          <cell r="A2036" t="str">
            <v>390608</v>
          </cell>
          <cell r="B2036" t="str">
            <v>Cabo de cobre de 95 mm², tensão de isolamento 8,7/15 kV - isolação EPR 90°C</v>
          </cell>
          <cell r="C2036" t="str">
            <v>m</v>
          </cell>
          <cell r="D2036">
            <v>56.81</v>
          </cell>
          <cell r="E2036">
            <v>20.77</v>
          </cell>
          <cell r="F2036">
            <v>77.58</v>
          </cell>
        </row>
        <row r="2037">
          <cell r="A2037" t="str">
            <v>390702</v>
          </cell>
          <cell r="B2037" t="str">
            <v>Cabo de cobre de 2,5 mm², isolamento 0,6/1 kV - isolação EPR 90°C</v>
          </cell>
          <cell r="C2037" t="str">
            <v>m</v>
          </cell>
          <cell r="D2037">
            <v>1.1100000000000001</v>
          </cell>
          <cell r="E2037">
            <v>1.1399999999999999</v>
          </cell>
          <cell r="F2037">
            <v>2.25</v>
          </cell>
        </row>
        <row r="2038">
          <cell r="A2038" t="str">
            <v>390703</v>
          </cell>
          <cell r="B2038" t="str">
            <v>Cabo de cobre de 4 mm², isolamento 0,6/1 kV - isolação EPR 90°C</v>
          </cell>
          <cell r="C2038" t="str">
            <v>m</v>
          </cell>
          <cell r="D2038">
            <v>1.57</v>
          </cell>
          <cell r="E2038">
            <v>1.36</v>
          </cell>
          <cell r="F2038">
            <v>2.93</v>
          </cell>
        </row>
        <row r="2039">
          <cell r="A2039" t="str">
            <v>390704</v>
          </cell>
          <cell r="B2039" t="str">
            <v>Cabo de cobre de 6 mm², isolamento 0,6/1 kV - isolação EPR 90°C</v>
          </cell>
          <cell r="C2039" t="str">
            <v>m</v>
          </cell>
          <cell r="D2039">
            <v>2.1800000000000002</v>
          </cell>
          <cell r="E2039">
            <v>1.59</v>
          </cell>
          <cell r="F2039">
            <v>3.77</v>
          </cell>
        </row>
        <row r="2040">
          <cell r="A2040" t="str">
            <v>390705</v>
          </cell>
          <cell r="B2040" t="str">
            <v>Cabo de cobre de 10 mm², isolamento 0,6/1 kV - isolação EPR 90°C</v>
          </cell>
          <cell r="C2040" t="str">
            <v>m</v>
          </cell>
          <cell r="D2040">
            <v>3.96</v>
          </cell>
          <cell r="E2040">
            <v>1.82</v>
          </cell>
          <cell r="F2040">
            <v>5.78</v>
          </cell>
        </row>
        <row r="2041">
          <cell r="A2041" t="str">
            <v>390706</v>
          </cell>
          <cell r="B2041" t="str">
            <v>Cabo de cobre de 16 mm², isolamento 0,6/1 kV - isolação EPR 90°C</v>
          </cell>
          <cell r="C2041" t="str">
            <v>m</v>
          </cell>
          <cell r="D2041">
            <v>6.07</v>
          </cell>
          <cell r="E2041">
            <v>2.0499999999999998</v>
          </cell>
          <cell r="F2041">
            <v>8.1199999999999992</v>
          </cell>
        </row>
        <row r="2042">
          <cell r="A2042" t="str">
            <v>390707</v>
          </cell>
          <cell r="B2042" t="str">
            <v>Cabo de cobre de 25 mm², isolamento 0,6/1 kV - isolação EPR 90°C</v>
          </cell>
          <cell r="C2042" t="str">
            <v>m</v>
          </cell>
          <cell r="D2042">
            <v>9.16</v>
          </cell>
          <cell r="E2042">
            <v>2.27</v>
          </cell>
          <cell r="F2042">
            <v>11.43</v>
          </cell>
        </row>
        <row r="2043">
          <cell r="A2043" t="str">
            <v>390708</v>
          </cell>
          <cell r="B2043" t="str">
            <v>Cabo de cobre de 35 mm², isolamento 0,6/1 kV - isolação EPR 90°C</v>
          </cell>
          <cell r="C2043" t="str">
            <v>m</v>
          </cell>
          <cell r="D2043">
            <v>12.41</v>
          </cell>
          <cell r="E2043">
            <v>3.41</v>
          </cell>
          <cell r="F2043">
            <v>15.82</v>
          </cell>
        </row>
        <row r="2044">
          <cell r="A2044" t="str">
            <v>390709</v>
          </cell>
          <cell r="B2044" t="str">
            <v>Cabo de cobre de 50 mm², isolamento 0,6/1 kV - isolação EPR 90°C</v>
          </cell>
          <cell r="C2044" t="str">
            <v>m</v>
          </cell>
          <cell r="D2044">
            <v>17.8</v>
          </cell>
          <cell r="E2044">
            <v>4.55</v>
          </cell>
          <cell r="F2044">
            <v>22.35</v>
          </cell>
        </row>
        <row r="2045">
          <cell r="A2045" t="str">
            <v>390710</v>
          </cell>
          <cell r="B2045" t="str">
            <v>Cabo de cobre de 70 mm², isolamento 0,6/1 kV - isolação EPR 90°C</v>
          </cell>
          <cell r="C2045" t="str">
            <v>m</v>
          </cell>
          <cell r="D2045">
            <v>24.88</v>
          </cell>
          <cell r="E2045">
            <v>5.69</v>
          </cell>
          <cell r="F2045">
            <v>30.57</v>
          </cell>
        </row>
        <row r="2046">
          <cell r="A2046" t="str">
            <v>390711</v>
          </cell>
          <cell r="B2046" t="str">
            <v>Cabo de cobre de 95 mm², isolamento 0,6/1 kV - isolação EPR 90°C</v>
          </cell>
          <cell r="C2046" t="str">
            <v>m</v>
          </cell>
          <cell r="D2046">
            <v>33.07</v>
          </cell>
          <cell r="E2046">
            <v>6.82</v>
          </cell>
          <cell r="F2046">
            <v>39.89</v>
          </cell>
        </row>
        <row r="2047">
          <cell r="A2047" t="str">
            <v>390712</v>
          </cell>
          <cell r="B2047" t="str">
            <v>Cabo de cobre de 120 mm², isolamento 0,6/1 kV - isolação EPR 90°C</v>
          </cell>
          <cell r="C2047" t="str">
            <v>m</v>
          </cell>
          <cell r="D2047">
            <v>42.75</v>
          </cell>
          <cell r="E2047">
            <v>7.96</v>
          </cell>
          <cell r="F2047">
            <v>50.71</v>
          </cell>
        </row>
        <row r="2048">
          <cell r="A2048" t="str">
            <v>390713</v>
          </cell>
          <cell r="B2048" t="str">
            <v>Cabo de cobre de 150 mm², isolamento 0,6/1 kV - isolação EPR 90°C</v>
          </cell>
          <cell r="C2048" t="str">
            <v>m</v>
          </cell>
          <cell r="D2048">
            <v>53.43</v>
          </cell>
          <cell r="E2048">
            <v>9.1</v>
          </cell>
          <cell r="F2048">
            <v>62.53</v>
          </cell>
        </row>
        <row r="2049">
          <cell r="A2049" t="str">
            <v>390714</v>
          </cell>
          <cell r="B2049" t="str">
            <v>Cabo de cobre de 185 mm², isolamento 0,6/1 kV - isolação EPR 90°C</v>
          </cell>
          <cell r="C2049" t="str">
            <v>m</v>
          </cell>
          <cell r="D2049">
            <v>63.99</v>
          </cell>
          <cell r="E2049">
            <v>10.23</v>
          </cell>
          <cell r="F2049">
            <v>74.22</v>
          </cell>
        </row>
        <row r="2050">
          <cell r="A2050" t="str">
            <v>390715</v>
          </cell>
          <cell r="B2050" t="str">
            <v>Cabo de cobre de 240 mm², isolamento 0,6/1 kV - isolação EPR 90°C</v>
          </cell>
          <cell r="C2050" t="str">
            <v>m</v>
          </cell>
          <cell r="D2050">
            <v>84.04</v>
          </cell>
          <cell r="E2050">
            <v>11.370000000000001</v>
          </cell>
          <cell r="F2050">
            <v>95.41</v>
          </cell>
        </row>
        <row r="2051">
          <cell r="A2051" t="str">
            <v>390716</v>
          </cell>
          <cell r="B2051" t="str">
            <v>Cabo de cobre de 300 mm², isolamento 0,6/1 kV - isolação EPR 90°C</v>
          </cell>
          <cell r="C2051" t="str">
            <v>m</v>
          </cell>
          <cell r="D2051">
            <v>110.64</v>
          </cell>
          <cell r="E2051">
            <v>12.51</v>
          </cell>
          <cell r="F2051">
            <v>123.15</v>
          </cell>
        </row>
        <row r="2052">
          <cell r="A2052" t="str">
            <v>390717</v>
          </cell>
          <cell r="B2052" t="str">
            <v>Cabo de cobre de 400 mm², isolamento 0,6/1 kV - isolação EPR 90°C</v>
          </cell>
          <cell r="C2052" t="str">
            <v>m</v>
          </cell>
          <cell r="D2052">
            <v>126.67</v>
          </cell>
          <cell r="E2052">
            <v>13.64</v>
          </cell>
          <cell r="F2052">
            <v>140.31</v>
          </cell>
        </row>
        <row r="2053">
          <cell r="A2053" t="str">
            <v>390718</v>
          </cell>
          <cell r="B2053" t="str">
            <v>Cabo de cobre de 500 mm², isolamento 0,6/1 kV - isolação EPR 90°C</v>
          </cell>
          <cell r="C2053" t="str">
            <v>m</v>
          </cell>
          <cell r="D2053">
            <v>173.45000000000002</v>
          </cell>
          <cell r="E2053">
            <v>14.780000000000001</v>
          </cell>
          <cell r="F2053">
            <v>188.23</v>
          </cell>
        </row>
        <row r="2054">
          <cell r="A2054" t="str">
            <v>390801</v>
          </cell>
          <cell r="B2054" t="str">
            <v>Cabo de cobre de 3x1,5 mm², isolamento 0,6/1 kV - isolação EPR 90°C</v>
          </cell>
          <cell r="C2054" t="str">
            <v>m</v>
          </cell>
          <cell r="D2054">
            <v>2.25</v>
          </cell>
          <cell r="E2054">
            <v>2.73</v>
          </cell>
          <cell r="F2054">
            <v>4.9800000000000004</v>
          </cell>
        </row>
        <row r="2055">
          <cell r="A2055" t="str">
            <v>390802</v>
          </cell>
          <cell r="B2055" t="str">
            <v>Cabo de cobre de 3x2,5 mm², isolamento 0,6/1 kV - isolação EPR 90°C</v>
          </cell>
          <cell r="C2055" t="str">
            <v>m</v>
          </cell>
          <cell r="D2055">
            <v>3.41</v>
          </cell>
          <cell r="E2055">
            <v>3.41</v>
          </cell>
          <cell r="F2055">
            <v>6.82</v>
          </cell>
        </row>
        <row r="2056">
          <cell r="A2056" t="str">
            <v>390803</v>
          </cell>
          <cell r="B2056" t="str">
            <v>Cabo de cobre de 3x4 mm², isolamento 0,6/1 kV - isolação EPR 90°C</v>
          </cell>
          <cell r="C2056" t="str">
            <v>m</v>
          </cell>
          <cell r="D2056">
            <v>4.95</v>
          </cell>
          <cell r="E2056">
            <v>4.09</v>
          </cell>
          <cell r="F2056">
            <v>9.0399999999999991</v>
          </cell>
        </row>
        <row r="2057">
          <cell r="A2057" t="str">
            <v>390804</v>
          </cell>
          <cell r="B2057" t="str">
            <v>Cabo de cobre de 3x6 mm², isolamento 0,6/1 kV - isolação EPR 90°C</v>
          </cell>
          <cell r="C2057" t="str">
            <v>m</v>
          </cell>
          <cell r="D2057">
            <v>7.25</v>
          </cell>
          <cell r="E2057">
            <v>4.7699999999999996</v>
          </cell>
          <cell r="F2057">
            <v>12.02</v>
          </cell>
        </row>
        <row r="2058">
          <cell r="A2058" t="str">
            <v>390805</v>
          </cell>
          <cell r="B2058" t="str">
            <v>Cabo de cobre de 3x10 mm², isolamento 0,6/1 kV - isolação EPR 90°C</v>
          </cell>
          <cell r="C2058" t="str">
            <v>m</v>
          </cell>
          <cell r="D2058">
            <v>12.01</v>
          </cell>
          <cell r="E2058">
            <v>5.46</v>
          </cell>
          <cell r="F2058">
            <v>17.47</v>
          </cell>
        </row>
        <row r="2059">
          <cell r="A2059" t="str">
            <v>390806</v>
          </cell>
          <cell r="B2059" t="str">
            <v>Cabo de cobre de 3x16 mm², isolamento 0,6/1 kV - isolação EPR 90°C</v>
          </cell>
          <cell r="C2059" t="str">
            <v>m</v>
          </cell>
          <cell r="D2059">
            <v>19.170000000000002</v>
          </cell>
          <cell r="E2059">
            <v>6.1400000000000006</v>
          </cell>
          <cell r="F2059">
            <v>25.310000000000002</v>
          </cell>
        </row>
        <row r="2060">
          <cell r="A2060" t="str">
            <v>390807</v>
          </cell>
          <cell r="B2060" t="str">
            <v>Cabo de cobre de 3x25 mm², isolamento 0,6/1 kV - isolação EPR 90°C</v>
          </cell>
          <cell r="C2060" t="str">
            <v>m</v>
          </cell>
          <cell r="D2060">
            <v>27.71</v>
          </cell>
          <cell r="E2060">
            <v>6.82</v>
          </cell>
          <cell r="F2060">
            <v>34.53</v>
          </cell>
        </row>
        <row r="2061">
          <cell r="A2061" t="str">
            <v>390808</v>
          </cell>
          <cell r="B2061" t="str">
            <v>Cabo de cobre de 3x35 mm², isolamento 0,6/1 kV - isolação EPR 90°C</v>
          </cell>
          <cell r="C2061" t="str">
            <v>m</v>
          </cell>
          <cell r="D2061">
            <v>39.24</v>
          </cell>
          <cell r="E2061">
            <v>6.82</v>
          </cell>
          <cell r="F2061">
            <v>46.06</v>
          </cell>
        </row>
        <row r="2062">
          <cell r="A2062" t="str">
            <v>390901</v>
          </cell>
          <cell r="B2062" t="str">
            <v>Conector terminal tipo BNC para cabo coaxial tipo RG 59</v>
          </cell>
          <cell r="C2062" t="str">
            <v>un</v>
          </cell>
          <cell r="D2062">
            <v>3.94</v>
          </cell>
          <cell r="E2062">
            <v>2.27</v>
          </cell>
          <cell r="F2062">
            <v>6.21</v>
          </cell>
        </row>
        <row r="2063">
          <cell r="A2063" t="str">
            <v>390902</v>
          </cell>
          <cell r="B2063" t="str">
            <v>Conector split-bolt para cabo de 25 mm², latão, simples</v>
          </cell>
          <cell r="C2063" t="str">
            <v>un</v>
          </cell>
          <cell r="D2063">
            <v>3.3200000000000003</v>
          </cell>
          <cell r="E2063">
            <v>2.27</v>
          </cell>
          <cell r="F2063">
            <v>5.59</v>
          </cell>
        </row>
        <row r="2064">
          <cell r="A2064" t="str">
            <v>390903</v>
          </cell>
          <cell r="B2064" t="str">
            <v>Conector de emenda tipo BNC, para cabo coaxial RG 59</v>
          </cell>
          <cell r="C2064" t="str">
            <v>un</v>
          </cell>
          <cell r="D2064">
            <v>2.91</v>
          </cell>
          <cell r="E2064">
            <v>2.27</v>
          </cell>
          <cell r="F2064">
            <v>5.18</v>
          </cell>
        </row>
        <row r="2065">
          <cell r="A2065" t="str">
            <v>390904</v>
          </cell>
          <cell r="B2065" t="str">
            <v>Conector split-bolt para cabo de 35 mm², latão, simples</v>
          </cell>
          <cell r="C2065" t="str">
            <v>un</v>
          </cell>
          <cell r="D2065">
            <v>3.52</v>
          </cell>
          <cell r="E2065">
            <v>2.27</v>
          </cell>
          <cell r="F2065">
            <v>5.79</v>
          </cell>
        </row>
        <row r="2066">
          <cell r="A2066" t="str">
            <v>390906</v>
          </cell>
          <cell r="B2066" t="str">
            <v>Conector split-bolt para cabo de 50 mm², latão, simples</v>
          </cell>
          <cell r="C2066" t="str">
            <v>un</v>
          </cell>
          <cell r="D2066">
            <v>4.47</v>
          </cell>
          <cell r="E2066">
            <v>2.27</v>
          </cell>
          <cell r="F2066">
            <v>6.74</v>
          </cell>
        </row>
        <row r="2067">
          <cell r="A2067" t="str">
            <v>390908</v>
          </cell>
          <cell r="B2067" t="str">
            <v>Conector split-bolt para cabo de 70 mm², latão, simples</v>
          </cell>
          <cell r="C2067" t="str">
            <v>un</v>
          </cell>
          <cell r="D2067">
            <v>6.97</v>
          </cell>
          <cell r="E2067">
            <v>2.27</v>
          </cell>
          <cell r="F2067">
            <v>9.24</v>
          </cell>
        </row>
        <row r="2068">
          <cell r="A2068" t="str">
            <v>390910</v>
          </cell>
          <cell r="B2068" t="str">
            <v>Conector split-bolt para cabo de 25 mm², latão, com rabicho</v>
          </cell>
          <cell r="C2068" t="str">
            <v>un</v>
          </cell>
          <cell r="D2068">
            <v>4.79</v>
          </cell>
          <cell r="E2068">
            <v>2.27</v>
          </cell>
          <cell r="F2068">
            <v>7.0600000000000005</v>
          </cell>
        </row>
        <row r="2069">
          <cell r="A2069" t="str">
            <v>390912</v>
          </cell>
          <cell r="B2069" t="str">
            <v>Conector split-bolt para cabo de 35 mm², latão, com rabicho</v>
          </cell>
          <cell r="C2069" t="str">
            <v>un</v>
          </cell>
          <cell r="D2069">
            <v>5.8100000000000005</v>
          </cell>
          <cell r="E2069">
            <v>2.27</v>
          </cell>
          <cell r="F2069">
            <v>8.08</v>
          </cell>
        </row>
        <row r="2070">
          <cell r="A2070" t="str">
            <v>390914</v>
          </cell>
          <cell r="B2070" t="str">
            <v>Conector split-bolt para cabo de 50 mm², latão, com rabicho</v>
          </cell>
          <cell r="C2070" t="str">
            <v>un</v>
          </cell>
          <cell r="D2070">
            <v>6.57</v>
          </cell>
          <cell r="E2070">
            <v>2.27</v>
          </cell>
          <cell r="F2070">
            <v>8.84</v>
          </cell>
        </row>
        <row r="2071">
          <cell r="A2071" t="str">
            <v>390916</v>
          </cell>
          <cell r="B2071" t="str">
            <v>Conector split-bolt para cabo de 70 mm², latão, com rabicho</v>
          </cell>
          <cell r="C2071" t="str">
            <v>un</v>
          </cell>
          <cell r="D2071">
            <v>9.43</v>
          </cell>
          <cell r="E2071">
            <v>2.27</v>
          </cell>
          <cell r="F2071">
            <v>11.700000000000001</v>
          </cell>
        </row>
        <row r="2072">
          <cell r="A2072" t="str">
            <v>390919</v>
          </cell>
          <cell r="B2072" t="str">
            <v>Conector de passagem com sistema de conexão por parafuso, para cabos de 10 até 35 mm², inclusive sistema de fixação</v>
          </cell>
          <cell r="C2072" t="str">
            <v>un</v>
          </cell>
          <cell r="D2072">
            <v>5.16</v>
          </cell>
          <cell r="E2072">
            <v>3.41</v>
          </cell>
          <cell r="F2072">
            <v>8.57</v>
          </cell>
        </row>
        <row r="2073">
          <cell r="A2073" t="str">
            <v>391001</v>
          </cell>
          <cell r="B2073" t="str">
            <v>Terminal de pressão/compressão para cabo de 300 mm²</v>
          </cell>
          <cell r="C2073" t="str">
            <v>un</v>
          </cell>
          <cell r="D2073">
            <v>20.41</v>
          </cell>
          <cell r="E2073">
            <v>4.55</v>
          </cell>
          <cell r="F2073">
            <v>24.96</v>
          </cell>
        </row>
        <row r="2074">
          <cell r="A2074" t="str">
            <v>391005</v>
          </cell>
          <cell r="B2074" t="str">
            <v>Terminal de compressão para cabo de 2,5 mm²</v>
          </cell>
          <cell r="C2074" t="str">
            <v>un</v>
          </cell>
          <cell r="D2074">
            <v>0.35000000000000003</v>
          </cell>
          <cell r="E2074">
            <v>1.82</v>
          </cell>
          <cell r="F2074">
            <v>2.17</v>
          </cell>
        </row>
        <row r="2075">
          <cell r="A2075" t="str">
            <v>391006</v>
          </cell>
          <cell r="B2075" t="str">
            <v>Terminal de pressão/compressão para cabo de 6 até 10 mm²</v>
          </cell>
          <cell r="C2075" t="str">
            <v>un</v>
          </cell>
          <cell r="D2075">
            <v>2.15</v>
          </cell>
          <cell r="E2075">
            <v>3.41</v>
          </cell>
          <cell r="F2075">
            <v>5.5600000000000005</v>
          </cell>
        </row>
        <row r="2076">
          <cell r="A2076" t="str">
            <v>391008</v>
          </cell>
          <cell r="B2076" t="str">
            <v>Terminal de pressão/compressão para cabo de 16 mm²</v>
          </cell>
          <cell r="C2076" t="str">
            <v>un</v>
          </cell>
          <cell r="D2076">
            <v>2.64</v>
          </cell>
          <cell r="E2076">
            <v>3.41</v>
          </cell>
          <cell r="F2076">
            <v>6.05</v>
          </cell>
        </row>
        <row r="2077">
          <cell r="A2077" t="str">
            <v>391012</v>
          </cell>
          <cell r="B2077" t="str">
            <v>Terminal de pressão/compressão para cabo de 25 mm²</v>
          </cell>
          <cell r="C2077" t="str">
            <v>un</v>
          </cell>
          <cell r="D2077">
            <v>2.7800000000000002</v>
          </cell>
          <cell r="E2077">
            <v>3.41</v>
          </cell>
          <cell r="F2077">
            <v>6.19</v>
          </cell>
        </row>
        <row r="2078">
          <cell r="A2078" t="str">
            <v>391013</v>
          </cell>
          <cell r="B2078" t="str">
            <v>Terminal de pressão/compressão para cabo de 35 mm²</v>
          </cell>
          <cell r="C2078" t="str">
            <v>un</v>
          </cell>
          <cell r="D2078">
            <v>2.87</v>
          </cell>
          <cell r="E2078">
            <v>3.41</v>
          </cell>
          <cell r="F2078">
            <v>6.28</v>
          </cell>
        </row>
        <row r="2079">
          <cell r="A2079" t="str">
            <v>391016</v>
          </cell>
          <cell r="B2079" t="str">
            <v>Terminal de pressão/compressão para cabo de 50 mm²</v>
          </cell>
          <cell r="C2079" t="str">
            <v>un</v>
          </cell>
          <cell r="D2079">
            <v>3.95</v>
          </cell>
          <cell r="E2079">
            <v>3.41</v>
          </cell>
          <cell r="F2079">
            <v>7.36</v>
          </cell>
        </row>
        <row r="2080">
          <cell r="A2080" t="str">
            <v>391020</v>
          </cell>
          <cell r="B2080" t="str">
            <v>Terminal de pressão/compressão para cabo de 70 mm²</v>
          </cell>
          <cell r="C2080" t="str">
            <v>un</v>
          </cell>
          <cell r="D2080">
            <v>4.17</v>
          </cell>
          <cell r="E2080">
            <v>3.41</v>
          </cell>
          <cell r="F2080">
            <v>7.58</v>
          </cell>
        </row>
        <row r="2081">
          <cell r="A2081" t="str">
            <v>391024</v>
          </cell>
          <cell r="B2081" t="str">
            <v>Terminal de pressão/compressão para cabo de 95 mm²</v>
          </cell>
          <cell r="C2081" t="str">
            <v>un</v>
          </cell>
          <cell r="D2081">
            <v>6.55</v>
          </cell>
          <cell r="E2081">
            <v>3.41</v>
          </cell>
          <cell r="F2081">
            <v>9.9600000000000009</v>
          </cell>
        </row>
        <row r="2082">
          <cell r="A2082" t="str">
            <v>391025</v>
          </cell>
          <cell r="B2082" t="str">
            <v>Terminal de pressão/compressão para cabo de 150 mm²</v>
          </cell>
          <cell r="C2082" t="str">
            <v>un</v>
          </cell>
          <cell r="D2082">
            <v>8.9700000000000006</v>
          </cell>
          <cell r="E2082">
            <v>4.55</v>
          </cell>
          <cell r="F2082">
            <v>13.52</v>
          </cell>
        </row>
        <row r="2083">
          <cell r="A2083" t="str">
            <v>391026</v>
          </cell>
          <cell r="B2083" t="str">
            <v>Terminal de pressão/compressão para cabo de 120 mm²</v>
          </cell>
          <cell r="C2083" t="str">
            <v>un</v>
          </cell>
          <cell r="D2083">
            <v>9.42</v>
          </cell>
          <cell r="E2083">
            <v>4.55</v>
          </cell>
          <cell r="F2083">
            <v>13.97</v>
          </cell>
        </row>
        <row r="2084">
          <cell r="A2084" t="str">
            <v>391028</v>
          </cell>
          <cell r="B2084" t="str">
            <v>Terminal de pressão/compressão para cabo de 185 mm²</v>
          </cell>
          <cell r="C2084" t="str">
            <v>un</v>
          </cell>
          <cell r="D2084">
            <v>11.21</v>
          </cell>
          <cell r="E2084">
            <v>4.55</v>
          </cell>
          <cell r="F2084">
            <v>15.76</v>
          </cell>
        </row>
        <row r="2085">
          <cell r="A2085" t="str">
            <v>391030</v>
          </cell>
          <cell r="B2085" t="str">
            <v>Terminal de pressão/compressão para cabo de 240 mm²</v>
          </cell>
          <cell r="C2085" t="str">
            <v>un</v>
          </cell>
          <cell r="D2085">
            <v>13.21</v>
          </cell>
          <cell r="E2085">
            <v>4.55</v>
          </cell>
          <cell r="F2085">
            <v>17.760000000000002</v>
          </cell>
        </row>
        <row r="2086">
          <cell r="A2086" t="str">
            <v>391102</v>
          </cell>
          <cell r="B2086" t="str">
            <v>Cabo telefônico CI, com 10 pares de 0,50 mm, para centrais telefônicas, equipamentos e rede interna</v>
          </cell>
          <cell r="C2086" t="str">
            <v>m</v>
          </cell>
          <cell r="D2086">
            <v>2.73</v>
          </cell>
          <cell r="E2086">
            <v>3.41</v>
          </cell>
          <cell r="F2086">
            <v>6.1400000000000006</v>
          </cell>
        </row>
        <row r="2087">
          <cell r="A2087" t="str">
            <v>391104</v>
          </cell>
          <cell r="B2087" t="str">
            <v>Cabo telefônico CI, com 20 pares de 0,50 mm, para centrais telefônicas, equipamentos e rede interna</v>
          </cell>
          <cell r="C2087" t="str">
            <v>m</v>
          </cell>
          <cell r="D2087">
            <v>4.82</v>
          </cell>
          <cell r="E2087">
            <v>3.41</v>
          </cell>
          <cell r="F2087">
            <v>8.23</v>
          </cell>
        </row>
        <row r="2088">
          <cell r="A2088" t="str">
            <v>391108</v>
          </cell>
          <cell r="B2088" t="str">
            <v>Cabo telefônico CI, com 50 pares de 0,50 mm, para centrais telefônicas, equipamentos e rede interna</v>
          </cell>
          <cell r="C2088" t="str">
            <v>m</v>
          </cell>
          <cell r="D2088">
            <v>11.66</v>
          </cell>
          <cell r="E2088">
            <v>3.41</v>
          </cell>
          <cell r="F2088">
            <v>15.07</v>
          </cell>
        </row>
        <row r="2089">
          <cell r="A2089" t="str">
            <v>391109</v>
          </cell>
          <cell r="B2089" t="str">
            <v>Fio telefônico tipo FI-60, para ligação de aparelhos telefônicos</v>
          </cell>
          <cell r="C2089" t="str">
            <v>m</v>
          </cell>
          <cell r="D2089">
            <v>0.26</v>
          </cell>
          <cell r="E2089">
            <v>1.82</v>
          </cell>
          <cell r="F2089">
            <v>2.08</v>
          </cell>
        </row>
        <row r="2090">
          <cell r="A2090" t="str">
            <v>391111</v>
          </cell>
          <cell r="B2090" t="str">
            <v>Fio telefônico externo tipo FE-160</v>
          </cell>
          <cell r="C2090" t="str">
            <v>m</v>
          </cell>
          <cell r="D2090">
            <v>0.93</v>
          </cell>
          <cell r="E2090">
            <v>6.82</v>
          </cell>
          <cell r="F2090">
            <v>7.75</v>
          </cell>
        </row>
        <row r="2091">
          <cell r="A2091" t="str">
            <v>391112</v>
          </cell>
          <cell r="B2091" t="str">
            <v>Cabo telefônico CTP-APL-SN, com 10 pares de 0,50 mm, para cotos de transição em caixas e entradas</v>
          </cell>
          <cell r="C2091" t="str">
            <v>m</v>
          </cell>
          <cell r="D2091">
            <v>3.56</v>
          </cell>
          <cell r="E2091">
            <v>2.73</v>
          </cell>
          <cell r="F2091">
            <v>6.29</v>
          </cell>
        </row>
        <row r="2092">
          <cell r="A2092" t="str">
            <v>391119</v>
          </cell>
          <cell r="B2092" t="str">
            <v>Cabo telefônico CCE-APL, com 4 pares de 0,50 mm, para conexões em rede externa</v>
          </cell>
          <cell r="C2092" t="str">
            <v>m</v>
          </cell>
          <cell r="D2092">
            <v>1.58</v>
          </cell>
          <cell r="E2092">
            <v>2.27</v>
          </cell>
          <cell r="F2092">
            <v>3.85</v>
          </cell>
        </row>
        <row r="2093">
          <cell r="A2093" t="str">
            <v>391120</v>
          </cell>
          <cell r="B2093" t="str">
            <v>Cabo telefônico secundário de distribuição CTP-APL, com 10 pares de 0,50 mm, para rede externa</v>
          </cell>
          <cell r="C2093" t="str">
            <v>m</v>
          </cell>
          <cell r="D2093">
            <v>3.18</v>
          </cell>
          <cell r="E2093">
            <v>2.73</v>
          </cell>
          <cell r="F2093">
            <v>5.91</v>
          </cell>
        </row>
        <row r="2094">
          <cell r="A2094" t="str">
            <v>391121</v>
          </cell>
          <cell r="B2094" t="str">
            <v>Cabo telefônico secundário de distribuição CTP-APL, com 20 pares de 0,50 mm, para rede externa</v>
          </cell>
          <cell r="C2094" t="str">
            <v>m</v>
          </cell>
          <cell r="D2094">
            <v>5.08</v>
          </cell>
          <cell r="E2094">
            <v>2.95</v>
          </cell>
          <cell r="F2094">
            <v>8.0299999999999994</v>
          </cell>
        </row>
        <row r="2095">
          <cell r="A2095" t="str">
            <v>391123</v>
          </cell>
          <cell r="B2095" t="str">
            <v>Cabo telefônico secundário de distribuição CTP-APL, com 50 pares de 0,50 mm, para rede externa</v>
          </cell>
          <cell r="C2095" t="str">
            <v>m</v>
          </cell>
          <cell r="D2095">
            <v>10.66</v>
          </cell>
          <cell r="E2095">
            <v>3.63</v>
          </cell>
          <cell r="F2095">
            <v>14.290000000000001</v>
          </cell>
        </row>
        <row r="2096">
          <cell r="A2096" t="str">
            <v>391124</v>
          </cell>
          <cell r="B2096" t="str">
            <v>Cabo telefônico secundário de distribuição CTP-APL, com 100 pares de 0,50 mm, para rede externa</v>
          </cell>
          <cell r="C2096" t="str">
            <v>m</v>
          </cell>
          <cell r="D2096">
            <v>19.579999999999998</v>
          </cell>
          <cell r="E2096">
            <v>4.7699999999999996</v>
          </cell>
          <cell r="F2096">
            <v>24.35</v>
          </cell>
        </row>
        <row r="2097">
          <cell r="A2097" t="str">
            <v>391127</v>
          </cell>
          <cell r="B2097" t="str">
            <v>Cabo telefônico secundário de distribuição CTP-APL-G, com 10 pares de 0,50 mm, para rede subterrânea</v>
          </cell>
          <cell r="C2097" t="str">
            <v>m</v>
          </cell>
          <cell r="D2097">
            <v>4.8600000000000003</v>
          </cell>
          <cell r="E2097">
            <v>2.73</v>
          </cell>
          <cell r="F2097">
            <v>7.59</v>
          </cell>
        </row>
        <row r="2098">
          <cell r="A2098" t="str">
            <v>391128</v>
          </cell>
          <cell r="B2098" t="str">
            <v>Cabo telefônico secundário de distribuição CTP-APL-G, com 20 pares de 0,50 mm, para rede subterrânea</v>
          </cell>
          <cell r="C2098" t="str">
            <v>m</v>
          </cell>
          <cell r="D2098">
            <v>7.49</v>
          </cell>
          <cell r="E2098">
            <v>2.95</v>
          </cell>
          <cell r="F2098">
            <v>10.44</v>
          </cell>
        </row>
        <row r="2099">
          <cell r="A2099" t="str">
            <v>391130</v>
          </cell>
          <cell r="B2099" t="str">
            <v>Cabo telefônico secundário de distribuição CTP-APL-G, com 50 pares de 0,50 mm, para rede subterrânea</v>
          </cell>
          <cell r="C2099" t="str">
            <v>m</v>
          </cell>
          <cell r="D2099">
            <v>14.89</v>
          </cell>
          <cell r="E2099">
            <v>3.63</v>
          </cell>
          <cell r="F2099">
            <v>18.52</v>
          </cell>
        </row>
        <row r="2100">
          <cell r="A2100" t="str">
            <v>391140</v>
          </cell>
          <cell r="B2100" t="str">
            <v>Cabo telefônico secundário de distribuição CTP-APL, com 10 pares de 0,65 mm, para rede externa</v>
          </cell>
          <cell r="C2100" t="str">
            <v>m</v>
          </cell>
          <cell r="D2100">
            <v>4.37</v>
          </cell>
          <cell r="E2100">
            <v>2.73</v>
          </cell>
          <cell r="F2100">
            <v>7.1000000000000005</v>
          </cell>
        </row>
        <row r="2101">
          <cell r="A2101" t="str">
            <v>391141</v>
          </cell>
          <cell r="B2101" t="str">
            <v>Cabo telefônico secundário de distribuição CTP-APL, com 20 pares de 0,65 mm, para rede externa</v>
          </cell>
          <cell r="C2101" t="str">
            <v>m</v>
          </cell>
          <cell r="D2101">
            <v>6.83</v>
          </cell>
          <cell r="E2101">
            <v>2.95</v>
          </cell>
          <cell r="F2101">
            <v>9.7799999999999994</v>
          </cell>
        </row>
        <row r="2102">
          <cell r="A2102" t="str">
            <v>391143</v>
          </cell>
          <cell r="B2102" t="str">
            <v>Cabo telefônico secundário de distribuição CTP-APL, com 50 pares de 0,65 mm, para rede externa</v>
          </cell>
          <cell r="C2102" t="str">
            <v>m</v>
          </cell>
          <cell r="D2102">
            <v>14.540000000000001</v>
          </cell>
          <cell r="E2102">
            <v>3.63</v>
          </cell>
          <cell r="F2102">
            <v>18.170000000000002</v>
          </cell>
        </row>
        <row r="2103">
          <cell r="A2103" t="str">
            <v>391201</v>
          </cell>
          <cell r="B2103" t="str">
            <v>Cabo de cobre flexível ´PP´ 3x1,5 mm², isolamento 750 V - isolação em PVC 70°C</v>
          </cell>
          <cell r="C2103" t="str">
            <v>m</v>
          </cell>
          <cell r="D2103">
            <v>2.0699999999999998</v>
          </cell>
          <cell r="E2103">
            <v>2.73</v>
          </cell>
          <cell r="F2103">
            <v>4.8</v>
          </cell>
        </row>
        <row r="2104">
          <cell r="A2104" t="str">
            <v>391205</v>
          </cell>
          <cell r="B2104" t="str">
            <v>Cabo de cobre flexível ´PP´ 3x2,5 mm², isolamento 750 V - isolação em PVC 70°C</v>
          </cell>
          <cell r="C2104" t="str">
            <v>m</v>
          </cell>
          <cell r="D2104">
            <v>3.19</v>
          </cell>
          <cell r="E2104">
            <v>3.41</v>
          </cell>
          <cell r="F2104">
            <v>6.6000000000000005</v>
          </cell>
        </row>
        <row r="2105">
          <cell r="A2105" t="str">
            <v>391206</v>
          </cell>
          <cell r="B2105" t="str">
            <v>Cabo de cobre flexível ´PP´ 3x4 mm², isolamento 750 V - isolação em PVC 70°C</v>
          </cell>
          <cell r="C2105" t="str">
            <v>m</v>
          </cell>
          <cell r="D2105">
            <v>5.2700000000000005</v>
          </cell>
          <cell r="E2105">
            <v>4.09</v>
          </cell>
          <cell r="F2105">
            <v>9.36</v>
          </cell>
        </row>
        <row r="2106">
          <cell r="A2106" t="str">
            <v>391207</v>
          </cell>
          <cell r="B2106" t="str">
            <v>Cabo de cobre flexível ´PP´ 3x6 mm², isolamento 750 V - isolação em PVC 70°C</v>
          </cell>
          <cell r="C2106" t="str">
            <v>m</v>
          </cell>
          <cell r="D2106">
            <v>7.18</v>
          </cell>
          <cell r="E2106">
            <v>4.7699999999999996</v>
          </cell>
          <cell r="F2106">
            <v>11.950000000000001</v>
          </cell>
        </row>
        <row r="2107">
          <cell r="A2107" t="str">
            <v>391208</v>
          </cell>
          <cell r="B2107" t="str">
            <v>Cabo de cobre flexível ´PP´ 3x10 mm², isolamento 750 V - isolação em PVC 70°C</v>
          </cell>
          <cell r="C2107" t="str">
            <v>m</v>
          </cell>
          <cell r="D2107">
            <v>10.44</v>
          </cell>
          <cell r="E2107">
            <v>5.46</v>
          </cell>
          <cell r="F2107">
            <v>15.9</v>
          </cell>
        </row>
        <row r="2108">
          <cell r="A2108" t="str">
            <v>391212</v>
          </cell>
          <cell r="B2108" t="str">
            <v>Cabo de cobre flexível ´PP´ 2x1,5 mm², isolamento 750 V - isolação em PVC 70°C</v>
          </cell>
          <cell r="C2108" t="str">
            <v>m</v>
          </cell>
          <cell r="D2108">
            <v>1.5</v>
          </cell>
          <cell r="E2108">
            <v>1.82</v>
          </cell>
          <cell r="F2108">
            <v>3.3200000000000003</v>
          </cell>
        </row>
        <row r="2109">
          <cell r="A2109" t="str">
            <v>391213</v>
          </cell>
          <cell r="B2109" t="str">
            <v>Cabo de cobre flexível ´PP´ 2x2,5 mm², isolamento 750 V - isolação em PVC 70°C</v>
          </cell>
          <cell r="C2109" t="str">
            <v>m</v>
          </cell>
          <cell r="D2109">
            <v>2.31</v>
          </cell>
          <cell r="E2109">
            <v>2.27</v>
          </cell>
          <cell r="F2109">
            <v>4.58</v>
          </cell>
        </row>
        <row r="2110">
          <cell r="A2110" t="str">
            <v>391223</v>
          </cell>
          <cell r="B2110" t="str">
            <v>Cabo de cobre flexível ´PP´ 4x6 mm², isolamento 750 V - isolação em PVC 70°C</v>
          </cell>
          <cell r="C2110" t="str">
            <v>m</v>
          </cell>
          <cell r="D2110">
            <v>9.68</v>
          </cell>
          <cell r="E2110">
            <v>6.37</v>
          </cell>
          <cell r="F2110">
            <v>16.05</v>
          </cell>
        </row>
        <row r="2111">
          <cell r="A2111" t="str">
            <v>391224</v>
          </cell>
          <cell r="B2111" t="str">
            <v>Cabo de cobre flexível ´PP´ 4x10 mm², isolamento 750 V - isolação em PVC 70°C</v>
          </cell>
          <cell r="C2111" t="str">
            <v>m</v>
          </cell>
          <cell r="D2111">
            <v>13.61</v>
          </cell>
          <cell r="E2111">
            <v>5</v>
          </cell>
          <cell r="F2111">
            <v>18.61</v>
          </cell>
        </row>
        <row r="2112">
          <cell r="A2112" t="str">
            <v>391250</v>
          </cell>
          <cell r="B2112" t="str">
            <v>Cabo de cobre resistente ao fogo de 2 x 2,5 mm² - isolamento de 450/750 V</v>
          </cell>
          <cell r="C2112" t="str">
            <v>m</v>
          </cell>
          <cell r="D2112">
            <v>1.87</v>
          </cell>
          <cell r="E2112">
            <v>2.27</v>
          </cell>
          <cell r="F2112">
            <v>4.1399999999999997</v>
          </cell>
        </row>
        <row r="2113">
          <cell r="A2113" t="str">
            <v>391401</v>
          </cell>
          <cell r="B2113" t="str">
            <v>Cabo de alumínio nu com alma de aço CAA, 1/0 AWG - Raven</v>
          </cell>
          <cell r="C2113" t="str">
            <v>m</v>
          </cell>
          <cell r="D2113">
            <v>2.83</v>
          </cell>
          <cell r="E2113">
            <v>3.39</v>
          </cell>
          <cell r="F2113">
            <v>6.22</v>
          </cell>
        </row>
        <row r="2114">
          <cell r="A2114" t="str">
            <v>391405</v>
          </cell>
          <cell r="B2114" t="str">
            <v>Cabo de alumínio nu com alma de aço CAA, 4 AWG - Swan</v>
          </cell>
          <cell r="C2114" t="str">
            <v>m</v>
          </cell>
          <cell r="D2114">
            <v>1.1200000000000001</v>
          </cell>
          <cell r="E2114">
            <v>3.39</v>
          </cell>
          <cell r="F2114">
            <v>4.51</v>
          </cell>
        </row>
        <row r="2115">
          <cell r="A2115" t="str">
            <v>391504</v>
          </cell>
          <cell r="B2115" t="str">
            <v>Cabo de alumínio nu sem alma de aço CA, 2 AWG - Iris</v>
          </cell>
          <cell r="C2115" t="str">
            <v>m</v>
          </cell>
          <cell r="D2115">
            <v>1.31</v>
          </cell>
          <cell r="E2115">
            <v>3.39</v>
          </cell>
          <cell r="F2115">
            <v>4.7</v>
          </cell>
        </row>
        <row r="2116">
          <cell r="A2116" t="str">
            <v>391507</v>
          </cell>
          <cell r="B2116" t="str">
            <v>Cabo de alumínio nu sem alma de aço CA, 2/0 AWG - Aster</v>
          </cell>
          <cell r="C2116" t="str">
            <v>m</v>
          </cell>
          <cell r="D2116">
            <v>2.63</v>
          </cell>
          <cell r="E2116">
            <v>3.39</v>
          </cell>
          <cell r="F2116">
            <v>6.0200000000000005</v>
          </cell>
        </row>
        <row r="2117">
          <cell r="A2117" t="str">
            <v>391601</v>
          </cell>
          <cell r="B2117" t="str">
            <v>Cabo de cobre 3x2,5 mm², isolamento 750 V - isolação em borracha de silicone 200°C</v>
          </cell>
          <cell r="C2117" t="str">
            <v>m</v>
          </cell>
          <cell r="D2117">
            <v>9.68</v>
          </cell>
          <cell r="E2117">
            <v>1.82</v>
          </cell>
          <cell r="F2117">
            <v>11.5</v>
          </cell>
        </row>
        <row r="2118">
          <cell r="A2118" t="str">
            <v>391801</v>
          </cell>
          <cell r="B2118" t="str">
            <v>Cabo coaxial tipo RG 59</v>
          </cell>
          <cell r="C2118" t="str">
            <v>m</v>
          </cell>
          <cell r="D2118">
            <v>2.38</v>
          </cell>
          <cell r="E2118">
            <v>1.93</v>
          </cell>
          <cell r="F2118">
            <v>4.3099999999999996</v>
          </cell>
        </row>
        <row r="2119">
          <cell r="A2119" t="str">
            <v>391802</v>
          </cell>
          <cell r="B2119" t="str">
            <v>Cabo para rede 24 AWG com 4 pares, categoria 5</v>
          </cell>
          <cell r="C2119" t="str">
            <v>m</v>
          </cell>
          <cell r="D2119">
            <v>1.21</v>
          </cell>
          <cell r="E2119">
            <v>2.5</v>
          </cell>
          <cell r="F2119">
            <v>3.71</v>
          </cell>
        </row>
        <row r="2120">
          <cell r="A2120" t="str">
            <v>391807</v>
          </cell>
          <cell r="B2120" t="str">
            <v>Cabo coaxial tipo RGC 59</v>
          </cell>
          <cell r="C2120" t="str">
            <v>m</v>
          </cell>
          <cell r="D2120">
            <v>1.42</v>
          </cell>
          <cell r="E2120">
            <v>1.93</v>
          </cell>
          <cell r="F2120">
            <v>3.35</v>
          </cell>
        </row>
        <row r="2121">
          <cell r="A2121" t="str">
            <v>391808</v>
          </cell>
          <cell r="B2121" t="str">
            <v>Cabo para rede 24 AWG com 4 pares, categoria 6</v>
          </cell>
          <cell r="C2121" t="str">
            <v>m</v>
          </cell>
          <cell r="D2121">
            <v>1.92</v>
          </cell>
          <cell r="E2121">
            <v>2.5</v>
          </cell>
          <cell r="F2121">
            <v>4.42</v>
          </cell>
        </row>
        <row r="2122">
          <cell r="A2122" t="str">
            <v>391809</v>
          </cell>
          <cell r="B2122" t="str">
            <v>Cabo coaxial tipo RG 11</v>
          </cell>
          <cell r="C2122" t="str">
            <v>m</v>
          </cell>
          <cell r="D2122">
            <v>6.5200000000000005</v>
          </cell>
          <cell r="E2122">
            <v>2.5</v>
          </cell>
          <cell r="F2122">
            <v>9.02</v>
          </cell>
        </row>
        <row r="2123">
          <cell r="A2123" t="str">
            <v>391810</v>
          </cell>
          <cell r="B2123" t="str">
            <v>Cabo coaxial tipo RG 6</v>
          </cell>
          <cell r="C2123" t="str">
            <v>m</v>
          </cell>
          <cell r="D2123">
            <v>1.03</v>
          </cell>
          <cell r="E2123">
            <v>2.5</v>
          </cell>
          <cell r="F2123">
            <v>3.5300000000000002</v>
          </cell>
        </row>
        <row r="2124">
          <cell r="A2124" t="str">
            <v>391811</v>
          </cell>
          <cell r="B2124" t="str">
            <v>Cabo coaxial tipo RGC 06</v>
          </cell>
          <cell r="C2124" t="str">
            <v>m</v>
          </cell>
          <cell r="D2124">
            <v>1.68</v>
          </cell>
          <cell r="E2124">
            <v>2.5</v>
          </cell>
          <cell r="F2124">
            <v>4.18</v>
          </cell>
        </row>
        <row r="2125">
          <cell r="A2125" t="str">
            <v>391812</v>
          </cell>
          <cell r="B2125" t="str">
            <v>Cabo para rede U/UTP 23 AWG com 4 pares - categoria 6A</v>
          </cell>
          <cell r="C2125" t="str">
            <v>m</v>
          </cell>
          <cell r="D2125">
            <v>6.63</v>
          </cell>
          <cell r="E2125">
            <v>2.5</v>
          </cell>
          <cell r="F2125">
            <v>9.1300000000000008</v>
          </cell>
        </row>
        <row r="2126">
          <cell r="A2126" t="str">
            <v>392001</v>
          </cell>
          <cell r="B2126" t="str">
            <v>Recolocação de condutor aparente com diâmetro externo até 6,5 mm</v>
          </cell>
          <cell r="C2126" t="str">
            <v>m</v>
          </cell>
          <cell r="D2126">
            <v>0</v>
          </cell>
          <cell r="E2126">
            <v>3.39</v>
          </cell>
          <cell r="F2126">
            <v>3.39</v>
          </cell>
        </row>
        <row r="2127">
          <cell r="A2127" t="str">
            <v>392002</v>
          </cell>
          <cell r="B2127" t="str">
            <v>Conector prensa-cabo de 3/4´</v>
          </cell>
          <cell r="C2127" t="str">
            <v>un</v>
          </cell>
          <cell r="D2127">
            <v>4.09</v>
          </cell>
          <cell r="E2127">
            <v>3.79</v>
          </cell>
          <cell r="F2127">
            <v>7.88</v>
          </cell>
        </row>
        <row r="2128">
          <cell r="A2128" t="str">
            <v>392003</v>
          </cell>
          <cell r="B2128" t="str">
            <v>Recolocação de condutor aparente com diâmetro externo acima de 6,5 mm</v>
          </cell>
          <cell r="C2128" t="str">
            <v>m</v>
          </cell>
          <cell r="D2128">
            <v>0</v>
          </cell>
          <cell r="E2128">
            <v>6.78</v>
          </cell>
          <cell r="F2128">
            <v>6.78</v>
          </cell>
        </row>
        <row r="2129">
          <cell r="A2129" t="str">
            <v>392502</v>
          </cell>
          <cell r="B2129" t="str">
            <v>Cabo de cobre de 35 mm², tensão de isolamento 15/25 kV - isolação EPR 105</v>
          </cell>
          <cell r="C2129" t="str">
            <v>m</v>
          </cell>
          <cell r="D2129">
            <v>29.28</v>
          </cell>
          <cell r="E2129">
            <v>0.68</v>
          </cell>
          <cell r="F2129">
            <v>29.96</v>
          </cell>
        </row>
        <row r="2130">
          <cell r="A2130" t="str">
            <v>392503</v>
          </cell>
          <cell r="B2130" t="str">
            <v>Cabo de cobre de 50 mm², tensão de isolamento 15/25 kV - isolação EPR 105</v>
          </cell>
          <cell r="C2130" t="str">
            <v>m</v>
          </cell>
          <cell r="D2130">
            <v>34.36</v>
          </cell>
          <cell r="E2130">
            <v>0.68</v>
          </cell>
          <cell r="F2130">
            <v>35.04</v>
          </cell>
        </row>
        <row r="2131">
          <cell r="A2131" t="str">
            <v>392601</v>
          </cell>
          <cell r="B2131" t="str">
            <v>Cabo de cobre flexível de 1,5 mm², isolamento 0,6/1 kV - 90°C - baixa emissão de fumaça e gases</v>
          </cell>
          <cell r="C2131" t="str">
            <v>m</v>
          </cell>
          <cell r="D2131">
            <v>0.91</v>
          </cell>
          <cell r="E2131">
            <v>0.91</v>
          </cell>
          <cell r="F2131">
            <v>1.82</v>
          </cell>
        </row>
        <row r="2132">
          <cell r="A2132" t="str">
            <v>392602</v>
          </cell>
          <cell r="B2132" t="str">
            <v>Cabo de cobre flexível de 2,5 mm², isolamento 0,6/1 kV - 90°C - baixa emissão de fumaça e gases</v>
          </cell>
          <cell r="C2132" t="str">
            <v>m</v>
          </cell>
          <cell r="D2132">
            <v>1.61</v>
          </cell>
          <cell r="E2132">
            <v>1.1399999999999999</v>
          </cell>
          <cell r="F2132">
            <v>2.75</v>
          </cell>
        </row>
        <row r="2133">
          <cell r="A2133" t="str">
            <v>392603</v>
          </cell>
          <cell r="B2133" t="str">
            <v>Cabo de cobre flexível de 4 mm², isolamento 0,6/1 kV - 90°C - baixa emissão de fumaça e gases</v>
          </cell>
          <cell r="C2133" t="str">
            <v>m</v>
          </cell>
          <cell r="D2133">
            <v>2.17</v>
          </cell>
          <cell r="E2133">
            <v>1.36</v>
          </cell>
          <cell r="F2133">
            <v>3.5300000000000002</v>
          </cell>
        </row>
        <row r="2134">
          <cell r="A2134" t="str">
            <v>392604</v>
          </cell>
          <cell r="B2134" t="str">
            <v>Cabo de cobre flexível de 6 mm², isolamento 0,6/1 kV - 90°C - baixa emissão de fumaça e gases</v>
          </cell>
          <cell r="C2134" t="str">
            <v>m</v>
          </cell>
          <cell r="D2134">
            <v>3.0300000000000002</v>
          </cell>
          <cell r="E2134">
            <v>1.59</v>
          </cell>
          <cell r="F2134">
            <v>4.62</v>
          </cell>
        </row>
        <row r="2135">
          <cell r="A2135" t="str">
            <v>392605</v>
          </cell>
          <cell r="B2135" t="str">
            <v>Cabo de cobre flexível de 10 mm², isolamento 0,6/1 kV - 90°C - baixa emissão de fumaça e gases</v>
          </cell>
          <cell r="C2135" t="str">
            <v>m</v>
          </cell>
          <cell r="D2135">
            <v>4.6500000000000004</v>
          </cell>
          <cell r="E2135">
            <v>1.82</v>
          </cell>
          <cell r="F2135">
            <v>6.47</v>
          </cell>
        </row>
        <row r="2136">
          <cell r="A2136" t="str">
            <v>392606</v>
          </cell>
          <cell r="B2136" t="str">
            <v>Cabo de cobre flexível de 16 mm², isolamento 0,6/1 kV - 90°C - baixa emissão de fumaça e gases</v>
          </cell>
          <cell r="C2136" t="str">
            <v>m</v>
          </cell>
          <cell r="D2136">
            <v>7.03</v>
          </cell>
          <cell r="E2136">
            <v>2.0499999999999998</v>
          </cell>
          <cell r="F2136">
            <v>9.08</v>
          </cell>
        </row>
        <row r="2137">
          <cell r="A2137" t="str">
            <v>392607</v>
          </cell>
          <cell r="B2137" t="str">
            <v>Cabo de cobre flexível de 25 mm², isolamento 0,6/1 kV - 90°C - baixa emissão de fumaça e gases</v>
          </cell>
          <cell r="C2137" t="str">
            <v>m</v>
          </cell>
          <cell r="D2137">
            <v>10.55</v>
          </cell>
          <cell r="E2137">
            <v>2.27</v>
          </cell>
          <cell r="F2137">
            <v>12.82</v>
          </cell>
        </row>
        <row r="2138">
          <cell r="A2138" t="str">
            <v>392608</v>
          </cell>
          <cell r="B2138" t="str">
            <v>Cabo de cobre flexível de 35 mm², isolamento 0,6/1 kV - 90°C - baixa emissão de fumaça e gases</v>
          </cell>
          <cell r="C2138" t="str">
            <v>m</v>
          </cell>
          <cell r="D2138">
            <v>13.8</v>
          </cell>
          <cell r="E2138">
            <v>3.41</v>
          </cell>
          <cell r="F2138">
            <v>17.21</v>
          </cell>
        </row>
        <row r="2139">
          <cell r="A2139" t="str">
            <v>392609</v>
          </cell>
          <cell r="B2139" t="str">
            <v>Cabo de cobre flexível de 50 mm², isolamento 0,6/1 kV - 90°C - baixa emissão de fumaça e gases</v>
          </cell>
          <cell r="C2139" t="str">
            <v>m</v>
          </cell>
          <cell r="D2139">
            <v>20.05</v>
          </cell>
          <cell r="E2139">
            <v>4.55</v>
          </cell>
          <cell r="F2139">
            <v>24.6</v>
          </cell>
        </row>
        <row r="2140">
          <cell r="A2140" t="str">
            <v>392610</v>
          </cell>
          <cell r="B2140" t="str">
            <v>Cabo de cobre flexível de 70 mm², isolamento 0,6/1 kV - 90°C - baixa emissão de fumaça e gases</v>
          </cell>
          <cell r="C2140" t="str">
            <v>m</v>
          </cell>
          <cell r="D2140">
            <v>27.86</v>
          </cell>
          <cell r="E2140">
            <v>5.69</v>
          </cell>
          <cell r="F2140">
            <v>33.549999999999997</v>
          </cell>
        </row>
        <row r="2141">
          <cell r="A2141" t="str">
            <v>392611</v>
          </cell>
          <cell r="B2141" t="str">
            <v>Cabo de cobre flexível de 95 mm², isolamento 0,6/1 kV - 90°C - baixa emissão de fumaça e gases</v>
          </cell>
          <cell r="C2141" t="str">
            <v>m</v>
          </cell>
          <cell r="D2141">
            <v>36.74</v>
          </cell>
          <cell r="E2141">
            <v>6.82</v>
          </cell>
          <cell r="F2141">
            <v>43.56</v>
          </cell>
        </row>
        <row r="2142">
          <cell r="A2142" t="str">
            <v>392612</v>
          </cell>
          <cell r="B2142" t="str">
            <v>Cabo de cobre flexível de 120 mm², isolamento 0,6/1 kV - 90°C - baixa emissão de fumaça e gases</v>
          </cell>
          <cell r="C2142" t="str">
            <v>m</v>
          </cell>
          <cell r="D2142">
            <v>46.79</v>
          </cell>
          <cell r="E2142">
            <v>7.96</v>
          </cell>
          <cell r="F2142">
            <v>54.75</v>
          </cell>
        </row>
        <row r="2143">
          <cell r="A2143" t="str">
            <v>392613</v>
          </cell>
          <cell r="B2143" t="str">
            <v>Cabo de cobre flexível de 150 mm², isolamento 0,6/1 kV - 90°C - baixa emissão de fumaça e gases</v>
          </cell>
          <cell r="C2143" t="str">
            <v>m</v>
          </cell>
          <cell r="D2143">
            <v>58.72</v>
          </cell>
          <cell r="E2143">
            <v>9.1</v>
          </cell>
          <cell r="F2143">
            <v>67.819999999999993</v>
          </cell>
        </row>
        <row r="2144">
          <cell r="A2144" t="str">
            <v>392614</v>
          </cell>
          <cell r="B2144" t="str">
            <v>Cabo de cobre flexível de 185 mm², isolamento 0,6/1 kV - 90°C - baixa emissão de fumaça e gases</v>
          </cell>
          <cell r="C2144" t="str">
            <v>m</v>
          </cell>
          <cell r="D2144">
            <v>70.47</v>
          </cell>
          <cell r="E2144">
            <v>10.23</v>
          </cell>
          <cell r="F2144">
            <v>80.7</v>
          </cell>
        </row>
        <row r="2145">
          <cell r="A2145" t="str">
            <v>392615</v>
          </cell>
          <cell r="B2145" t="str">
            <v>Cabo de cobre flexível de 240 mm², isolamento 0,6/1 kV - 90°C - baixa emissão de fumaça e gases</v>
          </cell>
          <cell r="C2145" t="str">
            <v>m</v>
          </cell>
          <cell r="D2145">
            <v>92.210000000000008</v>
          </cell>
          <cell r="E2145">
            <v>11.370000000000001</v>
          </cell>
          <cell r="F2145">
            <v>103.58</v>
          </cell>
        </row>
        <row r="2146">
          <cell r="A2146" t="str">
            <v>392701</v>
          </cell>
          <cell r="B2146" t="str">
            <v>Cabo óptico de terminação, 2 fibras, 50/125 µm - uso interno/externo</v>
          </cell>
          <cell r="C2146" t="str">
            <v>m</v>
          </cell>
          <cell r="D2146">
            <v>2.74</v>
          </cell>
          <cell r="E2146">
            <v>1.1399999999999999</v>
          </cell>
          <cell r="F2146">
            <v>3.88</v>
          </cell>
        </row>
        <row r="2147">
          <cell r="A2147" t="str">
            <v>392702</v>
          </cell>
          <cell r="B2147" t="str">
            <v>Cabo óptico multimodo, 4 fibras, 50/125 µm - uso interno/externo</v>
          </cell>
          <cell r="C2147" t="str">
            <v>m</v>
          </cell>
          <cell r="D2147">
            <v>3.5100000000000002</v>
          </cell>
          <cell r="E2147">
            <v>2.27</v>
          </cell>
          <cell r="F2147">
            <v>5.78</v>
          </cell>
        </row>
        <row r="2148">
          <cell r="A2148" t="str">
            <v>392703</v>
          </cell>
          <cell r="B2148" t="str">
            <v>Cabo óptico multimodo, 6 fibras, 50/125 µm - uso interno/externo</v>
          </cell>
          <cell r="C2148" t="str">
            <v>m</v>
          </cell>
          <cell r="D2148">
            <v>4.8499999999999996</v>
          </cell>
          <cell r="E2148">
            <v>2.27</v>
          </cell>
          <cell r="F2148">
            <v>7.12</v>
          </cell>
        </row>
        <row r="2149">
          <cell r="A2149" t="str">
            <v>392711</v>
          </cell>
          <cell r="B2149" t="str">
            <v>Cabo óptico multimodo, núcleo geleado, 4 fibras, 50/125 µm - uso externo</v>
          </cell>
          <cell r="C2149" t="str">
            <v>m</v>
          </cell>
          <cell r="D2149">
            <v>4.03</v>
          </cell>
          <cell r="E2149">
            <v>2.27</v>
          </cell>
          <cell r="F2149">
            <v>6.3</v>
          </cell>
        </row>
        <row r="2150">
          <cell r="A2150" t="str">
            <v>392712</v>
          </cell>
          <cell r="B2150" t="str">
            <v>Cabo óptico multimodo, núcleo geleado, 6 fibras, 50/125 µm - uso externo</v>
          </cell>
          <cell r="C2150" t="str">
            <v>m</v>
          </cell>
          <cell r="D2150">
            <v>5.21</v>
          </cell>
          <cell r="E2150">
            <v>2.27</v>
          </cell>
          <cell r="F2150">
            <v>7.48</v>
          </cell>
        </row>
        <row r="2151">
          <cell r="A2151" t="str">
            <v>392901</v>
          </cell>
          <cell r="B2151" t="str">
            <v>Cabo de cobre flexível de 1,5 mm², isolamento 750 V - 70° C - baixa emissão de fumaça e gases</v>
          </cell>
          <cell r="C2151" t="str">
            <v>m</v>
          </cell>
          <cell r="D2151">
            <v>0.51</v>
          </cell>
          <cell r="E2151">
            <v>0.91</v>
          </cell>
          <cell r="F2151">
            <v>1.42</v>
          </cell>
        </row>
        <row r="2152">
          <cell r="A2152" t="str">
            <v>392902</v>
          </cell>
          <cell r="B2152" t="str">
            <v>Cabo de cobre flexível de 2,5 mm², isolamento 750 V - 70° C - baixa emissão de fumaça e gases</v>
          </cell>
          <cell r="C2152" t="str">
            <v>m</v>
          </cell>
          <cell r="D2152">
            <v>0.82000000000000006</v>
          </cell>
          <cell r="E2152">
            <v>1.1399999999999999</v>
          </cell>
          <cell r="F2152">
            <v>1.96</v>
          </cell>
        </row>
        <row r="2153">
          <cell r="A2153" t="str">
            <v>392903</v>
          </cell>
          <cell r="B2153" t="str">
            <v>Cabo de cobre flexível de 4 mm², isolamento 750 V - 70° C - baixa emissão de fumaça e gases</v>
          </cell>
          <cell r="C2153" t="str">
            <v>m</v>
          </cell>
          <cell r="D2153">
            <v>1.35</v>
          </cell>
          <cell r="E2153">
            <v>1.36</v>
          </cell>
          <cell r="F2153">
            <v>2.71</v>
          </cell>
        </row>
        <row r="2154">
          <cell r="A2154" t="str">
            <v>392904</v>
          </cell>
          <cell r="B2154" t="str">
            <v>Cabo de cobre flexível de 6 mm², isolamento 750 V - 70° C - baixa emissão de fumaça e gases</v>
          </cell>
          <cell r="C2154" t="str">
            <v>m</v>
          </cell>
          <cell r="D2154">
            <v>1.97</v>
          </cell>
          <cell r="E2154">
            <v>1.59</v>
          </cell>
          <cell r="F2154">
            <v>3.56</v>
          </cell>
        </row>
        <row r="2155">
          <cell r="A2155" t="str">
            <v>392905</v>
          </cell>
          <cell r="B2155" t="str">
            <v>Cabo de cobre flexível de 10 mm², isolamento 750 V - 70° C - baixa emissão de fumaça e gases</v>
          </cell>
          <cell r="C2155" t="str">
            <v>m</v>
          </cell>
          <cell r="D2155">
            <v>3.58</v>
          </cell>
          <cell r="E2155">
            <v>1.82</v>
          </cell>
          <cell r="F2155">
            <v>5.4</v>
          </cell>
        </row>
        <row r="2156">
          <cell r="A2156" t="str">
            <v>393001</v>
          </cell>
          <cell r="B2156" t="str">
            <v>Cabo torcido flexível de 2 x 2,5 mm², isolação em PVC antichama</v>
          </cell>
          <cell r="C2156" t="str">
            <v>m</v>
          </cell>
          <cell r="D2156">
            <v>1.98</v>
          </cell>
          <cell r="E2156">
            <v>5.69</v>
          </cell>
          <cell r="F2156">
            <v>7.67</v>
          </cell>
        </row>
        <row r="2157">
          <cell r="A2157" t="str">
            <v>400102</v>
          </cell>
          <cell r="B2157" t="str">
            <v>Caixa de ferro estâmpada 4´ x 2´</v>
          </cell>
          <cell r="C2157" t="str">
            <v>un</v>
          </cell>
          <cell r="D2157">
            <v>2.23</v>
          </cell>
          <cell r="E2157">
            <v>5.69</v>
          </cell>
          <cell r="F2157">
            <v>7.92</v>
          </cell>
        </row>
        <row r="2158">
          <cell r="A2158" t="str">
            <v>400104</v>
          </cell>
          <cell r="B2158" t="str">
            <v>Caixa de ferro estâmpada 4´ x 4´</v>
          </cell>
          <cell r="C2158" t="str">
            <v>un</v>
          </cell>
          <cell r="D2158">
            <v>4.0199999999999996</v>
          </cell>
          <cell r="E2158">
            <v>5.69</v>
          </cell>
          <cell r="F2158">
            <v>9.7100000000000009</v>
          </cell>
        </row>
        <row r="2159">
          <cell r="A2159" t="str">
            <v>400108</v>
          </cell>
          <cell r="B2159" t="str">
            <v>Caixa de ferro estâmpada octogonal fundo móvel 4´ x 4´</v>
          </cell>
          <cell r="C2159" t="str">
            <v>un</v>
          </cell>
          <cell r="D2159">
            <v>3.95</v>
          </cell>
          <cell r="E2159">
            <v>6.82</v>
          </cell>
          <cell r="F2159">
            <v>10.77</v>
          </cell>
        </row>
        <row r="2160">
          <cell r="A2160" t="str">
            <v>400109</v>
          </cell>
          <cell r="B2160" t="str">
            <v>Caixa de ferro estâmpada octogonal de 3´ x 3´</v>
          </cell>
          <cell r="C2160" t="str">
            <v>un</v>
          </cell>
          <cell r="D2160">
            <v>2.36</v>
          </cell>
          <cell r="E2160">
            <v>5.69</v>
          </cell>
          <cell r="F2160">
            <v>8.0500000000000007</v>
          </cell>
        </row>
        <row r="2161">
          <cell r="A2161" t="str">
            <v>400201</v>
          </cell>
          <cell r="B2161" t="str">
            <v>Caixa de tomada em alumínio para piso 4´ x 4´</v>
          </cell>
          <cell r="C2161" t="str">
            <v>un</v>
          </cell>
          <cell r="D2161">
            <v>10.65</v>
          </cell>
          <cell r="E2161">
            <v>18.190000000000001</v>
          </cell>
          <cell r="F2161">
            <v>28.84</v>
          </cell>
        </row>
        <row r="2162">
          <cell r="A2162" t="str">
            <v>400202</v>
          </cell>
          <cell r="B2162" t="str">
            <v>Caixa de passagem em chapa, com tampa parafusada, 100 x 100 x 80 mm</v>
          </cell>
          <cell r="C2162" t="str">
            <v>un</v>
          </cell>
          <cell r="D2162">
            <v>8.2200000000000006</v>
          </cell>
          <cell r="E2162">
            <v>6.82</v>
          </cell>
          <cell r="F2162">
            <v>15.040000000000001</v>
          </cell>
        </row>
        <row r="2163">
          <cell r="A2163" t="str">
            <v>400204</v>
          </cell>
          <cell r="B2163" t="str">
            <v>Caixa de passagem em chapa, com tampa parafusada, 150 x 150 x 80 mm</v>
          </cell>
          <cell r="C2163" t="str">
            <v>un</v>
          </cell>
          <cell r="D2163">
            <v>12.450000000000001</v>
          </cell>
          <cell r="E2163">
            <v>6.82</v>
          </cell>
          <cell r="F2163">
            <v>19.27</v>
          </cell>
        </row>
        <row r="2164">
          <cell r="A2164" t="str">
            <v>400206</v>
          </cell>
          <cell r="B2164" t="str">
            <v>Caixa de passagem em chapa, com tampa parafusada, 200 x 200 x 100 mm</v>
          </cell>
          <cell r="C2164" t="str">
            <v>un</v>
          </cell>
          <cell r="D2164">
            <v>20.54</v>
          </cell>
          <cell r="E2164">
            <v>6.82</v>
          </cell>
          <cell r="F2164">
            <v>27.36</v>
          </cell>
        </row>
        <row r="2165">
          <cell r="A2165" t="str">
            <v>400208</v>
          </cell>
          <cell r="B2165" t="str">
            <v>Caixa de passagem em chapa, com tampa parafusada, 300 x 300 x 120 mm</v>
          </cell>
          <cell r="C2165" t="str">
            <v>un</v>
          </cell>
          <cell r="D2165">
            <v>43.18</v>
          </cell>
          <cell r="E2165">
            <v>9.1</v>
          </cell>
          <cell r="F2165">
            <v>52.28</v>
          </cell>
        </row>
        <row r="2166">
          <cell r="A2166" t="str">
            <v>400210</v>
          </cell>
          <cell r="B2166" t="str">
            <v>Caixa de passagem em chapa, com tampa parafusada, 400 x 400 x 150 mm</v>
          </cell>
          <cell r="C2166" t="str">
            <v>un</v>
          </cell>
          <cell r="D2166">
            <v>73.7</v>
          </cell>
          <cell r="E2166">
            <v>9.1</v>
          </cell>
          <cell r="F2166">
            <v>82.8</v>
          </cell>
        </row>
        <row r="2167">
          <cell r="A2167" t="str">
            <v>400212</v>
          </cell>
          <cell r="B2167" t="str">
            <v>Caixa de passagem em chapa, com tampa parafusada, 500 x 500 x 150 mm</v>
          </cell>
          <cell r="C2167" t="str">
            <v>un</v>
          </cell>
          <cell r="D2167">
            <v>102.13</v>
          </cell>
          <cell r="E2167">
            <v>11.370000000000001</v>
          </cell>
          <cell r="F2167">
            <v>113.5</v>
          </cell>
        </row>
        <row r="2168">
          <cell r="A2168" t="str">
            <v>400220</v>
          </cell>
          <cell r="B2168" t="str">
            <v>Caixa de passagem em poliamida, 234 x 174 x 90 mm</v>
          </cell>
          <cell r="C2168" t="str">
            <v>un</v>
          </cell>
          <cell r="D2168">
            <v>21.42</v>
          </cell>
          <cell r="E2168">
            <v>20.47</v>
          </cell>
          <cell r="F2168">
            <v>41.89</v>
          </cell>
        </row>
        <row r="2169">
          <cell r="A2169" t="str">
            <v>400221</v>
          </cell>
          <cell r="B2169" t="str">
            <v>Caixa de passagem em poliamida, 460 x 380 x 120 mm</v>
          </cell>
          <cell r="C2169" t="str">
            <v>un</v>
          </cell>
          <cell r="D2169">
            <v>93.16</v>
          </cell>
          <cell r="E2169">
            <v>34.11</v>
          </cell>
          <cell r="F2169">
            <v>127.27</v>
          </cell>
        </row>
        <row r="2170">
          <cell r="A2170" t="str">
            <v>400244</v>
          </cell>
          <cell r="B2170" t="str">
            <v>Caixa em alumínio fundido à prova de tempo, umidade, gases, vapores e pó, 150 x 150 x 150 mm</v>
          </cell>
          <cell r="C2170" t="str">
            <v>un</v>
          </cell>
          <cell r="D2170">
            <v>99.81</v>
          </cell>
          <cell r="E2170">
            <v>6.82</v>
          </cell>
          <cell r="F2170">
            <v>106.63</v>
          </cell>
        </row>
        <row r="2171">
          <cell r="A2171" t="str">
            <v>400245</v>
          </cell>
          <cell r="B2171" t="str">
            <v>Caixa em alumínio fundido à prova de tempo, umidade, gases, vapores e pó, 200 x 200 x 200 mm</v>
          </cell>
          <cell r="C2171" t="str">
            <v>un</v>
          </cell>
          <cell r="D2171">
            <v>119.04</v>
          </cell>
          <cell r="E2171">
            <v>6.82</v>
          </cell>
          <cell r="F2171">
            <v>125.86</v>
          </cell>
        </row>
        <row r="2172">
          <cell r="A2172" t="str">
            <v>400246</v>
          </cell>
          <cell r="B2172" t="str">
            <v>Caixa em alumínio fundido à prova de tempo, umidade, gases, vapores e pó, 240 x 240 x 150 mm</v>
          </cell>
          <cell r="C2172" t="str">
            <v>un</v>
          </cell>
          <cell r="D2172">
            <v>173.84</v>
          </cell>
          <cell r="E2172">
            <v>6.82</v>
          </cell>
          <cell r="F2172">
            <v>180.66</v>
          </cell>
        </row>
        <row r="2173">
          <cell r="A2173" t="str">
            <v>400247</v>
          </cell>
          <cell r="B2173" t="str">
            <v>Caixa em alumínio fundido à prova de tempo, umidade, gases, vapores e pó, 445 x 350 x 220 mm</v>
          </cell>
          <cell r="C2173" t="str">
            <v>un</v>
          </cell>
          <cell r="D2173">
            <v>433.91</v>
          </cell>
          <cell r="E2173">
            <v>9.1</v>
          </cell>
          <cell r="F2173">
            <v>443.01</v>
          </cell>
        </row>
        <row r="2174">
          <cell r="A2174" t="str">
            <v>400260</v>
          </cell>
          <cell r="B2174" t="str">
            <v>Caixa de passagem em alumínio fundido à prova de tempo, 100 x 100 mm</v>
          </cell>
          <cell r="C2174" t="str">
            <v>un</v>
          </cell>
          <cell r="D2174">
            <v>9.82</v>
          </cell>
          <cell r="E2174">
            <v>6.82</v>
          </cell>
          <cell r="F2174">
            <v>16.64</v>
          </cell>
        </row>
        <row r="2175">
          <cell r="A2175" t="str">
            <v>400261</v>
          </cell>
          <cell r="B2175" t="str">
            <v>Caixa de passagem em alumínio fundido à prova de tempo, 200 x 200 mm</v>
          </cell>
          <cell r="C2175" t="str">
            <v>un</v>
          </cell>
          <cell r="D2175">
            <v>38.630000000000003</v>
          </cell>
          <cell r="E2175">
            <v>6.82</v>
          </cell>
          <cell r="F2175">
            <v>45.45</v>
          </cell>
        </row>
        <row r="2176">
          <cell r="A2176" t="str">
            <v>400262</v>
          </cell>
          <cell r="B2176" t="str">
            <v>Caixa de passagem em alumínio fundido à prova de tempo, 300 x 300 mm</v>
          </cell>
          <cell r="C2176" t="str">
            <v>un</v>
          </cell>
          <cell r="D2176">
            <v>71.459999999999994</v>
          </cell>
          <cell r="E2176">
            <v>9.1</v>
          </cell>
          <cell r="F2176">
            <v>80.56</v>
          </cell>
        </row>
        <row r="2177">
          <cell r="A2177" t="str">
            <v>400408</v>
          </cell>
          <cell r="B2177" t="str">
            <v>Tomada para telefone 4P - padrão TELEBRÁS, com placa</v>
          </cell>
          <cell r="C2177" t="str">
            <v>cj</v>
          </cell>
          <cell r="D2177">
            <v>8.83</v>
          </cell>
          <cell r="E2177">
            <v>6.82</v>
          </cell>
          <cell r="F2177">
            <v>15.65</v>
          </cell>
        </row>
        <row r="2178">
          <cell r="A2178" t="str">
            <v>400409</v>
          </cell>
          <cell r="B2178" t="str">
            <v>Tomada RJ 11 para telefone, sem placa</v>
          </cell>
          <cell r="C2178" t="str">
            <v>un</v>
          </cell>
          <cell r="D2178">
            <v>10.220000000000001</v>
          </cell>
          <cell r="E2178">
            <v>6.82</v>
          </cell>
          <cell r="F2178">
            <v>17.04</v>
          </cell>
        </row>
        <row r="2179">
          <cell r="A2179" t="str">
            <v>400411</v>
          </cell>
          <cell r="B2179" t="str">
            <v>Tomada 3P+T de 63 A, blindada industrial de embutir</v>
          </cell>
          <cell r="C2179" t="str">
            <v>cj</v>
          </cell>
          <cell r="D2179">
            <v>101.28</v>
          </cell>
          <cell r="E2179">
            <v>6.82</v>
          </cell>
          <cell r="F2179">
            <v>108.10000000000001</v>
          </cell>
        </row>
        <row r="2180">
          <cell r="A2180" t="str">
            <v>400414</v>
          </cell>
          <cell r="B2180" t="str">
            <v>Tomada 3P+T de 32 A, blindada industrial de sobrepor negativa</v>
          </cell>
          <cell r="C2180" t="str">
            <v>cj</v>
          </cell>
          <cell r="D2180">
            <v>33.5</v>
          </cell>
          <cell r="E2180">
            <v>6.82</v>
          </cell>
          <cell r="F2180">
            <v>40.32</v>
          </cell>
        </row>
        <row r="2181">
          <cell r="A2181" t="str">
            <v>400423</v>
          </cell>
          <cell r="B2181" t="str">
            <v>Tomada de canaleta/perfilado universal 2P+T, com caixa e tampa</v>
          </cell>
          <cell r="C2181" t="str">
            <v>cj</v>
          </cell>
          <cell r="D2181">
            <v>9.27</v>
          </cell>
          <cell r="E2181">
            <v>6.82</v>
          </cell>
          <cell r="F2181">
            <v>16.09</v>
          </cell>
        </row>
        <row r="2182">
          <cell r="A2182" t="str">
            <v>400432</v>
          </cell>
          <cell r="B2182" t="str">
            <v>Plugue e tomada 3P+T de 125 A de sobrepor - 380 / 440 V</v>
          </cell>
          <cell r="C2182" t="str">
            <v>cj</v>
          </cell>
          <cell r="D2182">
            <v>432.88</v>
          </cell>
          <cell r="E2182">
            <v>6.82</v>
          </cell>
          <cell r="F2182">
            <v>439.7</v>
          </cell>
        </row>
        <row r="2183">
          <cell r="A2183" t="str">
            <v>400433</v>
          </cell>
          <cell r="B2183" t="str">
            <v>Plugue e tomada 2P+T de 32 A de sobrepor - 380 / 440 V</v>
          </cell>
          <cell r="C2183" t="str">
            <v>cj</v>
          </cell>
          <cell r="D2183">
            <v>233.03</v>
          </cell>
          <cell r="E2183">
            <v>6.82</v>
          </cell>
          <cell r="F2183">
            <v>239.85</v>
          </cell>
        </row>
        <row r="2184">
          <cell r="A2184" t="str">
            <v>400434</v>
          </cell>
          <cell r="B2184" t="str">
            <v>Plugue e tomada 2P+T de 16 A de sobrepor - 380 / 440 V</v>
          </cell>
          <cell r="C2184" t="str">
            <v>cj</v>
          </cell>
          <cell r="D2184">
            <v>135.13999999999999</v>
          </cell>
          <cell r="E2184">
            <v>6.82</v>
          </cell>
          <cell r="F2184">
            <v>141.96</v>
          </cell>
        </row>
        <row r="2185">
          <cell r="A2185" t="str">
            <v>400435</v>
          </cell>
          <cell r="B2185" t="str">
            <v>Tomada RJ 45 para rede de dados, com placa</v>
          </cell>
          <cell r="C2185" t="str">
            <v>un</v>
          </cell>
          <cell r="D2185">
            <v>24.59</v>
          </cell>
          <cell r="E2185">
            <v>6.82</v>
          </cell>
          <cell r="F2185">
            <v>31.41</v>
          </cell>
        </row>
        <row r="2186">
          <cell r="A2186" t="str">
            <v>400439</v>
          </cell>
          <cell r="B2186" t="str">
            <v>Tomada de energia quadrada com rabicho de 10 A - 250 V , para instalação em painel / rodapé / caixa de tomadas</v>
          </cell>
          <cell r="C2186" t="str">
            <v>un</v>
          </cell>
          <cell r="D2186">
            <v>6.13</v>
          </cell>
          <cell r="E2186">
            <v>6.82</v>
          </cell>
          <cell r="F2186">
            <v>12.950000000000001</v>
          </cell>
        </row>
        <row r="2187">
          <cell r="A2187" t="str">
            <v>400445</v>
          </cell>
          <cell r="B2187" t="str">
            <v>Tomada 2P+T de 10 A - 250 V, completa</v>
          </cell>
          <cell r="C2187" t="str">
            <v>cj</v>
          </cell>
          <cell r="D2187">
            <v>5.79</v>
          </cell>
          <cell r="E2187">
            <v>6.82</v>
          </cell>
          <cell r="F2187">
            <v>12.61</v>
          </cell>
        </row>
        <row r="2188">
          <cell r="A2188" t="str">
            <v>400446</v>
          </cell>
          <cell r="B2188" t="str">
            <v>Tomada 2P+T de 20 A - 250 V, completa</v>
          </cell>
          <cell r="C2188" t="str">
            <v>cj</v>
          </cell>
          <cell r="D2188">
            <v>7.73</v>
          </cell>
          <cell r="E2188">
            <v>6.82</v>
          </cell>
          <cell r="F2188">
            <v>14.55</v>
          </cell>
        </row>
        <row r="2189">
          <cell r="A2189" t="str">
            <v>400447</v>
          </cell>
          <cell r="B2189" t="str">
            <v>Conjunto 2 tomadas 2P+T de 10 A, completo</v>
          </cell>
          <cell r="C2189" t="str">
            <v>cj</v>
          </cell>
          <cell r="D2189">
            <v>11.23</v>
          </cell>
          <cell r="E2189">
            <v>6.82</v>
          </cell>
          <cell r="F2189">
            <v>18.05</v>
          </cell>
        </row>
        <row r="2190">
          <cell r="A2190" t="str">
            <v>400448</v>
          </cell>
          <cell r="B2190" t="str">
            <v>Conjunto 1 interruptor simples e 1 tomada 2P+T de 10 A, completo</v>
          </cell>
          <cell r="C2190" t="str">
            <v>cj</v>
          </cell>
          <cell r="D2190">
            <v>9.1199999999999992</v>
          </cell>
          <cell r="E2190">
            <v>6.82</v>
          </cell>
          <cell r="F2190">
            <v>15.94</v>
          </cell>
        </row>
        <row r="2191">
          <cell r="A2191" t="str">
            <v>400449</v>
          </cell>
          <cell r="B2191" t="str">
            <v>Conjunto 2 interruptores simples e 1 tomada 2P+T de 10 A, completo</v>
          </cell>
          <cell r="C2191" t="str">
            <v>cj</v>
          </cell>
          <cell r="D2191">
            <v>12.43</v>
          </cell>
          <cell r="E2191">
            <v>6.82</v>
          </cell>
          <cell r="F2191">
            <v>19.25</v>
          </cell>
        </row>
        <row r="2192">
          <cell r="A2192" t="str">
            <v>400501</v>
          </cell>
          <cell r="B2192" t="str">
            <v>Minuteria individual 110/220 V, para lâmpadas incandescentes, com pulsador luminoso e placa</v>
          </cell>
          <cell r="C2192" t="str">
            <v>cj</v>
          </cell>
          <cell r="D2192">
            <v>134.94</v>
          </cell>
          <cell r="E2192">
            <v>6.82</v>
          </cell>
          <cell r="F2192">
            <v>141.76</v>
          </cell>
        </row>
        <row r="2193">
          <cell r="A2193" t="str">
            <v>400502</v>
          </cell>
          <cell r="B2193" t="str">
            <v>Interruptor com 1 tecla simples e placa</v>
          </cell>
          <cell r="C2193" t="str">
            <v>cj</v>
          </cell>
          <cell r="D2193">
            <v>4.2</v>
          </cell>
          <cell r="E2193">
            <v>7.74</v>
          </cell>
          <cell r="F2193">
            <v>11.94</v>
          </cell>
        </row>
        <row r="2194">
          <cell r="A2194" t="str">
            <v>400504</v>
          </cell>
          <cell r="B2194" t="str">
            <v>Interruptor com 2 teclas simples e placa</v>
          </cell>
          <cell r="C2194" t="str">
            <v>cj</v>
          </cell>
          <cell r="D2194">
            <v>7.61</v>
          </cell>
          <cell r="E2194">
            <v>7.96</v>
          </cell>
          <cell r="F2194">
            <v>15.57</v>
          </cell>
        </row>
        <row r="2195">
          <cell r="A2195" t="str">
            <v>400506</v>
          </cell>
          <cell r="B2195" t="str">
            <v>Interruptor com 3 teclas simples e placa</v>
          </cell>
          <cell r="C2195" t="str">
            <v>cj</v>
          </cell>
          <cell r="D2195">
            <v>10.82</v>
          </cell>
          <cell r="E2195">
            <v>11.370000000000001</v>
          </cell>
          <cell r="F2195">
            <v>22.19</v>
          </cell>
        </row>
        <row r="2196">
          <cell r="A2196" t="str">
            <v>400508</v>
          </cell>
          <cell r="B2196" t="str">
            <v>Interruptor com 1 tecla paralelo e placa</v>
          </cell>
          <cell r="C2196" t="str">
            <v>cj</v>
          </cell>
          <cell r="D2196">
            <v>5.58</v>
          </cell>
          <cell r="E2196">
            <v>6.1400000000000006</v>
          </cell>
          <cell r="F2196">
            <v>11.72</v>
          </cell>
        </row>
        <row r="2197">
          <cell r="A2197" t="str">
            <v>400510</v>
          </cell>
          <cell r="B2197" t="str">
            <v>Interruptor com 2 teclas paralelo e placa</v>
          </cell>
          <cell r="C2197" t="str">
            <v>cj</v>
          </cell>
          <cell r="D2197">
            <v>7.65</v>
          </cell>
          <cell r="E2197">
            <v>10.23</v>
          </cell>
          <cell r="F2197">
            <v>17.88</v>
          </cell>
        </row>
        <row r="2198">
          <cell r="A2198" t="str">
            <v>400512</v>
          </cell>
          <cell r="B2198" t="str">
            <v>Interruptor com 2 teclas, 1 simples, 1 paralelo e placa</v>
          </cell>
          <cell r="C2198" t="str">
            <v>cj</v>
          </cell>
          <cell r="D2198">
            <v>6.82</v>
          </cell>
          <cell r="E2198">
            <v>8.64</v>
          </cell>
          <cell r="F2198">
            <v>15.46</v>
          </cell>
        </row>
        <row r="2199">
          <cell r="A2199" t="str">
            <v>400514</v>
          </cell>
          <cell r="B2199" t="str">
            <v>Interruptor com 3 teclas, 2 simples, 1 paralelo e placa</v>
          </cell>
          <cell r="C2199" t="str">
            <v>cj</v>
          </cell>
          <cell r="D2199">
            <v>9.3800000000000008</v>
          </cell>
          <cell r="E2199">
            <v>10.23</v>
          </cell>
          <cell r="F2199">
            <v>19.61</v>
          </cell>
        </row>
        <row r="2200">
          <cell r="A2200" t="str">
            <v>400516</v>
          </cell>
          <cell r="B2200" t="str">
            <v>Interruptor com 3 teclas, 1 simples, 2 paralelo e placa</v>
          </cell>
          <cell r="C2200" t="str">
            <v>cj</v>
          </cell>
          <cell r="D2200">
            <v>11.5</v>
          </cell>
          <cell r="E2200">
            <v>11.370000000000001</v>
          </cell>
          <cell r="F2200">
            <v>22.87</v>
          </cell>
        </row>
        <row r="2201">
          <cell r="A2201" t="str">
            <v>400517</v>
          </cell>
          <cell r="B2201" t="str">
            <v>Interruptor bipolar paralelo, 1 tecla dupla e placa</v>
          </cell>
          <cell r="C2201" t="str">
            <v>cj</v>
          </cell>
          <cell r="D2201">
            <v>16.21</v>
          </cell>
          <cell r="E2201">
            <v>7.96</v>
          </cell>
          <cell r="F2201">
            <v>24.17</v>
          </cell>
        </row>
        <row r="2202">
          <cell r="A2202" t="str">
            <v>400518</v>
          </cell>
          <cell r="B2202" t="str">
            <v>Interruptor bipolar simples, 1 tecla dupla e placa</v>
          </cell>
          <cell r="C2202" t="str">
            <v>cj</v>
          </cell>
          <cell r="D2202">
            <v>12.49</v>
          </cell>
          <cell r="E2202">
            <v>7.96</v>
          </cell>
          <cell r="F2202">
            <v>20.45</v>
          </cell>
        </row>
        <row r="2203">
          <cell r="A2203" t="str">
            <v>400532</v>
          </cell>
          <cell r="B2203" t="str">
            <v>Pulsador 2 A - 250 V, para minuteria com placa</v>
          </cell>
          <cell r="C2203" t="str">
            <v>cj</v>
          </cell>
          <cell r="D2203">
            <v>6.3</v>
          </cell>
          <cell r="E2203">
            <v>5.69</v>
          </cell>
          <cell r="F2203">
            <v>11.99</v>
          </cell>
        </row>
        <row r="2204">
          <cell r="A2204" t="str">
            <v>400533</v>
          </cell>
          <cell r="B2204" t="str">
            <v>Variador de luminosidade rotativo até 1000 W, 127/220 V, com placa</v>
          </cell>
          <cell r="C2204" t="str">
            <v>cj</v>
          </cell>
          <cell r="D2204">
            <v>34.89</v>
          </cell>
          <cell r="E2204">
            <v>8.64</v>
          </cell>
          <cell r="F2204">
            <v>43.53</v>
          </cell>
        </row>
        <row r="2205">
          <cell r="A2205" t="str">
            <v>400534</v>
          </cell>
          <cell r="B2205" t="str">
            <v>Sensor de presença para teto, com fotocélula, para lâmpada qualquer</v>
          </cell>
          <cell r="C2205" t="str">
            <v>un</v>
          </cell>
          <cell r="D2205">
            <v>28.650000000000002</v>
          </cell>
          <cell r="E2205">
            <v>6.82</v>
          </cell>
          <cell r="F2205">
            <v>35.47</v>
          </cell>
        </row>
        <row r="2206">
          <cell r="A2206" t="str">
            <v>400535</v>
          </cell>
          <cell r="B2206" t="str">
            <v>Sensor de presença infravermelho passivo e microondas, alcance de 12 m - sem fio</v>
          </cell>
          <cell r="C2206" t="str">
            <v>un</v>
          </cell>
          <cell r="D2206">
            <v>40.74</v>
          </cell>
          <cell r="E2206">
            <v>11.370000000000001</v>
          </cell>
          <cell r="F2206">
            <v>52.11</v>
          </cell>
        </row>
        <row r="2207">
          <cell r="A2207" t="str">
            <v>400602</v>
          </cell>
          <cell r="B2207" t="str">
            <v>Condulete metálico de 1/2´</v>
          </cell>
          <cell r="C2207" t="str">
            <v>cj</v>
          </cell>
          <cell r="D2207">
            <v>10.67</v>
          </cell>
          <cell r="E2207">
            <v>11.370000000000001</v>
          </cell>
          <cell r="F2207">
            <v>22.04</v>
          </cell>
        </row>
        <row r="2208">
          <cell r="A2208" t="str">
            <v>400604</v>
          </cell>
          <cell r="B2208" t="str">
            <v>Condulete metálico de 3/4´</v>
          </cell>
          <cell r="C2208" t="str">
            <v>cj</v>
          </cell>
          <cell r="D2208">
            <v>12.26</v>
          </cell>
          <cell r="E2208">
            <v>11.370000000000001</v>
          </cell>
          <cell r="F2208">
            <v>23.63</v>
          </cell>
        </row>
        <row r="2209">
          <cell r="A2209" t="str">
            <v>400606</v>
          </cell>
          <cell r="B2209" t="str">
            <v>Condulete metálico de 1´</v>
          </cell>
          <cell r="C2209" t="str">
            <v>cj</v>
          </cell>
          <cell r="D2209">
            <v>16.75</v>
          </cell>
          <cell r="E2209">
            <v>11.370000000000001</v>
          </cell>
          <cell r="F2209">
            <v>28.12</v>
          </cell>
        </row>
        <row r="2210">
          <cell r="A2210" t="str">
            <v>400608</v>
          </cell>
          <cell r="B2210" t="str">
            <v>Condulete metálico de 1 1/4´</v>
          </cell>
          <cell r="C2210" t="str">
            <v>cj</v>
          </cell>
          <cell r="D2210">
            <v>24.810000000000002</v>
          </cell>
          <cell r="E2210">
            <v>11.370000000000001</v>
          </cell>
          <cell r="F2210">
            <v>36.18</v>
          </cell>
        </row>
        <row r="2211">
          <cell r="A2211" t="str">
            <v>400610</v>
          </cell>
          <cell r="B2211" t="str">
            <v>Condulete metálico de 1 1/2´</v>
          </cell>
          <cell r="C2211" t="str">
            <v>cj</v>
          </cell>
          <cell r="D2211">
            <v>33.9</v>
          </cell>
          <cell r="E2211">
            <v>11.370000000000001</v>
          </cell>
          <cell r="F2211">
            <v>45.27</v>
          </cell>
        </row>
        <row r="2212">
          <cell r="A2212" t="str">
            <v>400612</v>
          </cell>
          <cell r="B2212" t="str">
            <v>Condulete metálico de 2´</v>
          </cell>
          <cell r="C2212" t="str">
            <v>cj</v>
          </cell>
          <cell r="D2212">
            <v>52.67</v>
          </cell>
          <cell r="E2212">
            <v>11.370000000000001</v>
          </cell>
          <cell r="F2212">
            <v>64.040000000000006</v>
          </cell>
        </row>
        <row r="2213">
          <cell r="A2213" t="str">
            <v>400614</v>
          </cell>
          <cell r="B2213" t="str">
            <v>Condulete metálico de 2 1/2´</v>
          </cell>
          <cell r="C2213" t="str">
            <v>cj</v>
          </cell>
          <cell r="D2213">
            <v>94.61</v>
          </cell>
          <cell r="E2213">
            <v>11.370000000000001</v>
          </cell>
          <cell r="F2213">
            <v>105.98</v>
          </cell>
        </row>
        <row r="2214">
          <cell r="A2214" t="str">
            <v>400616</v>
          </cell>
          <cell r="B2214" t="str">
            <v>Condulete metálico de 3´</v>
          </cell>
          <cell r="C2214" t="str">
            <v>cj</v>
          </cell>
          <cell r="D2214">
            <v>130.69999999999999</v>
          </cell>
          <cell r="E2214">
            <v>11.370000000000001</v>
          </cell>
          <cell r="F2214">
            <v>142.07</v>
          </cell>
        </row>
        <row r="2215">
          <cell r="A2215" t="str">
            <v>400617</v>
          </cell>
          <cell r="B2215" t="str">
            <v>Condulete metálico de 4´</v>
          </cell>
          <cell r="C2215" t="str">
            <v>cj</v>
          </cell>
          <cell r="D2215">
            <v>159.09</v>
          </cell>
          <cell r="E2215">
            <v>11.370000000000001</v>
          </cell>
          <cell r="F2215">
            <v>170.46</v>
          </cell>
        </row>
        <row r="2216">
          <cell r="A2216" t="str">
            <v>400650</v>
          </cell>
          <cell r="B2216" t="str">
            <v>Condulete em PVC de 3/4´ - com tampa</v>
          </cell>
          <cell r="C2216" t="str">
            <v>cj</v>
          </cell>
          <cell r="D2216">
            <v>7.51</v>
          </cell>
          <cell r="E2216">
            <v>11.370000000000001</v>
          </cell>
          <cell r="F2216">
            <v>18.88</v>
          </cell>
        </row>
        <row r="2217">
          <cell r="A2217" t="str">
            <v>400651</v>
          </cell>
          <cell r="B2217" t="str">
            <v>Condulete em PVC  de 1´ - com tampa</v>
          </cell>
          <cell r="C2217" t="str">
            <v>cj</v>
          </cell>
          <cell r="D2217">
            <v>10.07</v>
          </cell>
          <cell r="E2217">
            <v>11.370000000000001</v>
          </cell>
          <cell r="F2217">
            <v>21.44</v>
          </cell>
        </row>
        <row r="2218">
          <cell r="A2218" t="str">
            <v>400701</v>
          </cell>
          <cell r="B2218" t="str">
            <v>Caixa em PVC de 4´ x 2´</v>
          </cell>
          <cell r="C2218" t="str">
            <v>un</v>
          </cell>
          <cell r="D2218">
            <v>1.78</v>
          </cell>
          <cell r="E2218">
            <v>5.69</v>
          </cell>
          <cell r="F2218">
            <v>7.47</v>
          </cell>
        </row>
        <row r="2219">
          <cell r="A2219" t="str">
            <v>400702</v>
          </cell>
          <cell r="B2219" t="str">
            <v>Caixa em PVC de 4´ x 4´</v>
          </cell>
          <cell r="C2219" t="str">
            <v>un</v>
          </cell>
          <cell r="D2219">
            <v>3.15</v>
          </cell>
          <cell r="E2219">
            <v>5.69</v>
          </cell>
          <cell r="F2219">
            <v>8.84</v>
          </cell>
        </row>
        <row r="2220">
          <cell r="A2220" t="str">
            <v>400704</v>
          </cell>
          <cell r="B2220" t="str">
            <v>Caixa em PVC octogonal de 4´ x 4´</v>
          </cell>
          <cell r="C2220" t="str">
            <v>un</v>
          </cell>
          <cell r="D2220">
            <v>3.73</v>
          </cell>
          <cell r="E2220">
            <v>5.69</v>
          </cell>
          <cell r="F2220">
            <v>9.42</v>
          </cell>
        </row>
        <row r="2221">
          <cell r="A2221" t="str">
            <v>401002</v>
          </cell>
          <cell r="B2221" t="str">
            <v>Contator de potência 9 A - 2na+2nf</v>
          </cell>
          <cell r="C2221" t="str">
            <v>un</v>
          </cell>
          <cell r="D2221">
            <v>95.22</v>
          </cell>
          <cell r="E2221">
            <v>11.370000000000001</v>
          </cell>
          <cell r="F2221">
            <v>106.59</v>
          </cell>
        </row>
        <row r="2222">
          <cell r="A2222" t="str">
            <v>401003</v>
          </cell>
          <cell r="B2222" t="str">
            <v>Contator de potência 12 A - 1na+1nf</v>
          </cell>
          <cell r="C2222" t="str">
            <v>un</v>
          </cell>
          <cell r="D2222">
            <v>82.62</v>
          </cell>
          <cell r="E2222">
            <v>11.370000000000001</v>
          </cell>
          <cell r="F2222">
            <v>93.99</v>
          </cell>
        </row>
        <row r="2223">
          <cell r="A2223" t="str">
            <v>401004</v>
          </cell>
          <cell r="B2223" t="str">
            <v>Contator de potência 12 A - 2na+2nf</v>
          </cell>
          <cell r="C2223" t="str">
            <v>un</v>
          </cell>
          <cell r="D2223">
            <v>104.77</v>
          </cell>
          <cell r="E2223">
            <v>11.370000000000001</v>
          </cell>
          <cell r="F2223">
            <v>116.14</v>
          </cell>
        </row>
        <row r="2224">
          <cell r="A2224" t="str">
            <v>401005</v>
          </cell>
          <cell r="B2224" t="str">
            <v>Contator de potência 110 A - 2na+2nf</v>
          </cell>
          <cell r="C2224" t="str">
            <v>un</v>
          </cell>
          <cell r="D2224">
            <v>1018.84</v>
          </cell>
          <cell r="E2224">
            <v>11.370000000000001</v>
          </cell>
          <cell r="F2224">
            <v>1030.21</v>
          </cell>
        </row>
        <row r="2225">
          <cell r="A2225" t="str">
            <v>401006</v>
          </cell>
          <cell r="B2225" t="str">
            <v>Contator de potência 16 A - 2na+2nf</v>
          </cell>
          <cell r="C2225" t="str">
            <v>un</v>
          </cell>
          <cell r="D2225">
            <v>99.740000000000009</v>
          </cell>
          <cell r="E2225">
            <v>11.370000000000001</v>
          </cell>
          <cell r="F2225">
            <v>111.11</v>
          </cell>
        </row>
        <row r="2226">
          <cell r="A2226" t="str">
            <v>401008</v>
          </cell>
          <cell r="B2226" t="str">
            <v>Contator de potência 22 A/25 A - 2na+2nf</v>
          </cell>
          <cell r="C2226" t="str">
            <v>un</v>
          </cell>
          <cell r="D2226">
            <v>127.64</v>
          </cell>
          <cell r="E2226">
            <v>11.370000000000001</v>
          </cell>
          <cell r="F2226">
            <v>139.01</v>
          </cell>
        </row>
        <row r="2227">
          <cell r="A2227" t="str">
            <v>401010</v>
          </cell>
          <cell r="B2227" t="str">
            <v>Contator de potência 32 A - 2na+2nf</v>
          </cell>
          <cell r="C2227" t="str">
            <v>un</v>
          </cell>
          <cell r="D2227">
            <v>187.20000000000002</v>
          </cell>
          <cell r="E2227">
            <v>11.370000000000001</v>
          </cell>
          <cell r="F2227">
            <v>198.57</v>
          </cell>
        </row>
        <row r="2228">
          <cell r="A2228" t="str">
            <v>401011</v>
          </cell>
          <cell r="B2228" t="str">
            <v>Contator de potência 50 A - 2na+2nf</v>
          </cell>
          <cell r="C2228" t="str">
            <v>un</v>
          </cell>
          <cell r="D2228">
            <v>317.49</v>
          </cell>
          <cell r="E2228">
            <v>11.370000000000001</v>
          </cell>
          <cell r="F2228">
            <v>328.86</v>
          </cell>
        </row>
        <row r="2229">
          <cell r="A2229" t="str">
            <v>401012</v>
          </cell>
          <cell r="B2229" t="str">
            <v>Contator de potência 38/40 A - 2na+2nf</v>
          </cell>
          <cell r="C2229" t="str">
            <v>un</v>
          </cell>
          <cell r="D2229">
            <v>251.41</v>
          </cell>
          <cell r="E2229">
            <v>11.370000000000001</v>
          </cell>
          <cell r="F2229">
            <v>262.77999999999997</v>
          </cell>
        </row>
        <row r="2230">
          <cell r="A2230" t="str">
            <v>401013</v>
          </cell>
          <cell r="B2230" t="str">
            <v>Contator de potência 63 A - 2na+2nf</v>
          </cell>
          <cell r="C2230" t="str">
            <v>un</v>
          </cell>
          <cell r="D2230">
            <v>397.07</v>
          </cell>
          <cell r="E2230">
            <v>11.370000000000001</v>
          </cell>
          <cell r="F2230">
            <v>408.44</v>
          </cell>
        </row>
        <row r="2231">
          <cell r="A2231" t="str">
            <v>401014</v>
          </cell>
          <cell r="B2231" t="str">
            <v>Contator de potência de 150 A - 2na+2nf</v>
          </cell>
          <cell r="C2231" t="str">
            <v>un</v>
          </cell>
          <cell r="D2231">
            <v>1198.42</v>
          </cell>
          <cell r="E2231">
            <v>11.370000000000001</v>
          </cell>
          <cell r="F2231">
            <v>1209.79</v>
          </cell>
        </row>
        <row r="2232">
          <cell r="A2232" t="str">
            <v>401015</v>
          </cell>
          <cell r="B2232" t="str">
            <v>Contator de potência de 220 A - 2na + 2nf</v>
          </cell>
          <cell r="C2232" t="str">
            <v>un</v>
          </cell>
          <cell r="D2232">
            <v>2289.85</v>
          </cell>
          <cell r="E2232">
            <v>11.370000000000001</v>
          </cell>
          <cell r="F2232">
            <v>2301.2199999999998</v>
          </cell>
        </row>
        <row r="2233">
          <cell r="A2233" t="str">
            <v>401050</v>
          </cell>
          <cell r="B2233" t="str">
            <v>Minicontator auxiliar - 4NA</v>
          </cell>
          <cell r="C2233" t="str">
            <v>un</v>
          </cell>
          <cell r="D2233">
            <v>37.369999999999997</v>
          </cell>
          <cell r="E2233">
            <v>11.370000000000001</v>
          </cell>
          <cell r="F2233">
            <v>48.74</v>
          </cell>
        </row>
        <row r="2234">
          <cell r="A2234" t="str">
            <v>401051</v>
          </cell>
          <cell r="B2234" t="str">
            <v>Contator auxiliar - 2NA+2NF</v>
          </cell>
          <cell r="C2234" t="str">
            <v>un</v>
          </cell>
          <cell r="D2234">
            <v>52.95</v>
          </cell>
          <cell r="E2234">
            <v>11.370000000000001</v>
          </cell>
          <cell r="F2234">
            <v>64.319999999999993</v>
          </cell>
        </row>
        <row r="2235">
          <cell r="A2235" t="str">
            <v>401052</v>
          </cell>
          <cell r="B2235" t="str">
            <v>Contator auxiliar - 4na+4nf</v>
          </cell>
          <cell r="C2235" t="str">
            <v>un</v>
          </cell>
          <cell r="D2235">
            <v>97.94</v>
          </cell>
          <cell r="E2235">
            <v>11.370000000000001</v>
          </cell>
          <cell r="F2235">
            <v>109.31</v>
          </cell>
        </row>
        <row r="2236">
          <cell r="A2236" t="str">
            <v>401101</v>
          </cell>
          <cell r="B2236" t="str">
            <v>Relé fotoelétrico 50/60 Hz 110/220 V - 1200 VA, completo</v>
          </cell>
          <cell r="C2236" t="str">
            <v>un</v>
          </cell>
          <cell r="D2236">
            <v>40.04</v>
          </cell>
          <cell r="E2236">
            <v>10.23</v>
          </cell>
          <cell r="F2236">
            <v>50.27</v>
          </cell>
        </row>
        <row r="2237">
          <cell r="A2237" t="str">
            <v>401102</v>
          </cell>
          <cell r="B2237" t="str">
            <v>Relé bimetálico de sobrecarga para acoplamento direto, faixas de ajuste de 9,0/12 A</v>
          </cell>
          <cell r="C2237" t="str">
            <v>un</v>
          </cell>
          <cell r="D2237">
            <v>96.7</v>
          </cell>
          <cell r="E2237">
            <v>11.370000000000001</v>
          </cell>
          <cell r="F2237">
            <v>108.07000000000001</v>
          </cell>
        </row>
        <row r="2238">
          <cell r="A2238" t="str">
            <v>401103</v>
          </cell>
          <cell r="B2238" t="str">
            <v>Relé bimetálico de sobrecarga para acoplamento direto, faixas de ajuste de 20/32 A até 50/63 A</v>
          </cell>
          <cell r="C2238" t="str">
            <v>un</v>
          </cell>
          <cell r="D2238">
            <v>160.86000000000001</v>
          </cell>
          <cell r="E2238">
            <v>11.370000000000001</v>
          </cell>
          <cell r="F2238">
            <v>172.23</v>
          </cell>
        </row>
        <row r="2239">
          <cell r="A2239" t="str">
            <v>401105</v>
          </cell>
          <cell r="B2239" t="str">
            <v>Relé bimetálico de sobrecarga para acoplamento direto, faixas de ajuste de 0,4/0,63 A até 16,0/25,0 A</v>
          </cell>
          <cell r="C2239" t="str">
            <v>un</v>
          </cell>
          <cell r="D2239">
            <v>112.12</v>
          </cell>
          <cell r="E2239">
            <v>11.370000000000001</v>
          </cell>
          <cell r="F2239">
            <v>123.49000000000001</v>
          </cell>
        </row>
        <row r="2240">
          <cell r="A2240" t="str">
            <v>401106</v>
          </cell>
          <cell r="B2240" t="str">
            <v>Relé de tempo eletrônico de 0,6 até 6 seg. - 220V - 50/60 Hz</v>
          </cell>
          <cell r="C2240" t="str">
            <v>un</v>
          </cell>
          <cell r="D2240">
            <v>49.6</v>
          </cell>
          <cell r="E2240">
            <v>22.740000000000002</v>
          </cell>
          <cell r="F2240">
            <v>72.34</v>
          </cell>
        </row>
        <row r="2241">
          <cell r="A2241" t="str">
            <v>401107</v>
          </cell>
          <cell r="B2241" t="str">
            <v>Relé supervisor trifásico contra falta de fase, inversão de fase e mínima tensão</v>
          </cell>
          <cell r="C2241" t="str">
            <v>un</v>
          </cell>
          <cell r="D2241">
            <v>1054.4100000000001</v>
          </cell>
          <cell r="E2241">
            <v>22.740000000000002</v>
          </cell>
          <cell r="F2241">
            <v>1077.1500000000001</v>
          </cell>
        </row>
        <row r="2242">
          <cell r="A2242" t="str">
            <v>401111</v>
          </cell>
          <cell r="B2242" t="str">
            <v>Relé de sobrecorrente eletromecânico até 120A tipo BG, conjunto de 3 unidades</v>
          </cell>
          <cell r="C2242" t="str">
            <v>cj</v>
          </cell>
          <cell r="D2242">
            <v>1977.23</v>
          </cell>
          <cell r="E2242">
            <v>7.5</v>
          </cell>
          <cell r="F2242">
            <v>1984.73</v>
          </cell>
        </row>
        <row r="2243">
          <cell r="A2243" t="str">
            <v>401112</v>
          </cell>
          <cell r="B2243" t="str">
            <v>Relé de tempo eletrônico de 1,5 a 15 min. - 110V - 50/60Hz</v>
          </cell>
          <cell r="C2243" t="str">
            <v>un</v>
          </cell>
          <cell r="D2243">
            <v>56.660000000000004</v>
          </cell>
          <cell r="E2243">
            <v>22.740000000000002</v>
          </cell>
          <cell r="F2243">
            <v>79.400000000000006</v>
          </cell>
        </row>
        <row r="2244">
          <cell r="A2244" t="str">
            <v>401114</v>
          </cell>
          <cell r="B2244" t="str">
            <v>Relé supervisor monofásico detector de mínima tensão</v>
          </cell>
          <cell r="C2244" t="str">
            <v>un</v>
          </cell>
          <cell r="D2244">
            <v>181.05</v>
          </cell>
          <cell r="E2244">
            <v>22.740000000000002</v>
          </cell>
          <cell r="F2244">
            <v>203.79</v>
          </cell>
        </row>
        <row r="2245">
          <cell r="A2245" t="str">
            <v>401119</v>
          </cell>
          <cell r="B2245" t="str">
            <v>Relé de tempo eletrônico cíclico regulável, 110/127V - 43/63 Hz</v>
          </cell>
          <cell r="C2245" t="str">
            <v>un</v>
          </cell>
          <cell r="D2245">
            <v>110.67</v>
          </cell>
          <cell r="E2245">
            <v>22.740000000000002</v>
          </cell>
          <cell r="F2245">
            <v>133.41</v>
          </cell>
        </row>
        <row r="2246">
          <cell r="A2246" t="str">
            <v>401120</v>
          </cell>
          <cell r="B2246" t="str">
            <v>Relé de pulso bipolar 16A/250 V</v>
          </cell>
          <cell r="C2246" t="str">
            <v>un</v>
          </cell>
          <cell r="D2246">
            <v>93.25</v>
          </cell>
          <cell r="E2246">
            <v>13.64</v>
          </cell>
          <cell r="F2246">
            <v>106.89</v>
          </cell>
        </row>
        <row r="2247">
          <cell r="A2247" t="str">
            <v>401123</v>
          </cell>
          <cell r="B2247" t="str">
            <v>Relé de sobrecarga eletrônico para acoplamento direto, faixa de ajuste de 55 até 250 A</v>
          </cell>
          <cell r="C2247" t="str">
            <v>un</v>
          </cell>
          <cell r="D2247">
            <v>716.06000000000006</v>
          </cell>
          <cell r="E2247">
            <v>11.370000000000001</v>
          </cell>
          <cell r="F2247">
            <v>727.43000000000006</v>
          </cell>
        </row>
        <row r="2248">
          <cell r="A2248" t="str">
            <v>401124</v>
          </cell>
          <cell r="B2248" t="str">
            <v>Relé de tempo eletrônico de 3 - 30seg 220V 50/60Hz</v>
          </cell>
          <cell r="C2248" t="str">
            <v>un</v>
          </cell>
          <cell r="D2248">
            <v>51.75</v>
          </cell>
          <cell r="E2248">
            <v>22.740000000000002</v>
          </cell>
          <cell r="F2248">
            <v>74.489999999999995</v>
          </cell>
        </row>
        <row r="2249">
          <cell r="A2249" t="str">
            <v>401202</v>
          </cell>
          <cell r="B2249" t="str">
            <v>Chave comutadora/seletora com 1 pólo e 3 posições para 63 A</v>
          </cell>
          <cell r="C2249" t="str">
            <v>un</v>
          </cell>
          <cell r="D2249">
            <v>227.18</v>
          </cell>
          <cell r="E2249">
            <v>9.1</v>
          </cell>
          <cell r="F2249">
            <v>236.28</v>
          </cell>
        </row>
        <row r="2250">
          <cell r="A2250" t="str">
            <v>401203</v>
          </cell>
          <cell r="B2250" t="str">
            <v>Chave comutadora/seletora com 1 pólo e 3 posições para 25 A</v>
          </cell>
          <cell r="C2250" t="str">
            <v>un</v>
          </cell>
          <cell r="D2250">
            <v>110.93</v>
          </cell>
          <cell r="E2250">
            <v>9.1</v>
          </cell>
          <cell r="F2250">
            <v>120.03</v>
          </cell>
        </row>
        <row r="2251">
          <cell r="A2251" t="str">
            <v>401219</v>
          </cell>
          <cell r="B2251" t="str">
            <v>Chave comutadora/seletora com 2 pólos e 2 posições para 25 A</v>
          </cell>
          <cell r="C2251" t="str">
            <v>un</v>
          </cell>
          <cell r="D2251">
            <v>79.84</v>
          </cell>
          <cell r="E2251">
            <v>9.1</v>
          </cell>
          <cell r="F2251">
            <v>88.94</v>
          </cell>
        </row>
        <row r="2252">
          <cell r="A2252" t="str">
            <v>401220</v>
          </cell>
          <cell r="B2252" t="str">
            <v>Chave comutadora/seletora com 1 pólo e 2 posições para 25 A</v>
          </cell>
          <cell r="C2252" t="str">
            <v>un</v>
          </cell>
          <cell r="D2252">
            <v>60.13</v>
          </cell>
          <cell r="E2252">
            <v>9.1</v>
          </cell>
          <cell r="F2252">
            <v>69.23</v>
          </cell>
        </row>
        <row r="2253">
          <cell r="A2253" t="str">
            <v>401221</v>
          </cell>
          <cell r="B2253" t="str">
            <v>Chave comutadora/seletora com 3 pólos e 3 posições para 25 A</v>
          </cell>
          <cell r="C2253" t="str">
            <v>un</v>
          </cell>
          <cell r="D2253">
            <v>143.28</v>
          </cell>
          <cell r="E2253">
            <v>9.1</v>
          </cell>
          <cell r="F2253">
            <v>152.38</v>
          </cell>
        </row>
        <row r="2254">
          <cell r="A2254" t="str">
            <v>401301</v>
          </cell>
          <cell r="B2254" t="str">
            <v>Chave comutadora para amperímetro</v>
          </cell>
          <cell r="C2254" t="str">
            <v>un</v>
          </cell>
          <cell r="D2254">
            <v>60.83</v>
          </cell>
          <cell r="E2254">
            <v>9.1</v>
          </cell>
          <cell r="F2254">
            <v>69.930000000000007</v>
          </cell>
        </row>
        <row r="2255">
          <cell r="A2255" t="str">
            <v>401304</v>
          </cell>
          <cell r="B2255" t="str">
            <v>Amperímetro de ferro móvel de 96 x 96 mm, para ligação em transformador de corrente, escala fixa de 0 A/50 A até 0 A/2,0 kA</v>
          </cell>
          <cell r="C2255" t="str">
            <v>un</v>
          </cell>
          <cell r="D2255">
            <v>164.91</v>
          </cell>
          <cell r="E2255">
            <v>5.69</v>
          </cell>
          <cell r="F2255">
            <v>170.6</v>
          </cell>
        </row>
        <row r="2256">
          <cell r="A2256" t="str">
            <v>401401</v>
          </cell>
          <cell r="B2256" t="str">
            <v>Chave comutadora para voltímetro</v>
          </cell>
          <cell r="C2256" t="str">
            <v>un</v>
          </cell>
          <cell r="D2256">
            <v>49.84</v>
          </cell>
          <cell r="E2256">
            <v>9.1</v>
          </cell>
          <cell r="F2256">
            <v>58.94</v>
          </cell>
        </row>
        <row r="2257">
          <cell r="A2257" t="str">
            <v>401403</v>
          </cell>
          <cell r="B2257" t="str">
            <v>Voltímetro de ferro móvel de 96 x 96 mm, escalas variáveis de 0/150 V, 0/250 V, 0/300 V, 0/500 V e 0/600 V</v>
          </cell>
          <cell r="C2257" t="str">
            <v>un</v>
          </cell>
          <cell r="D2257">
            <v>125.32000000000001</v>
          </cell>
          <cell r="E2257">
            <v>11.370000000000001</v>
          </cell>
          <cell r="F2257">
            <v>136.69</v>
          </cell>
        </row>
        <row r="2258">
          <cell r="A2258" t="str">
            <v>402002</v>
          </cell>
          <cell r="B2258" t="str">
            <v>Plugue com 3P+T de 63 A, 220/240 V, industrial</v>
          </cell>
          <cell r="C2258" t="str">
            <v>un</v>
          </cell>
          <cell r="D2258">
            <v>82.62</v>
          </cell>
          <cell r="E2258">
            <v>4.55</v>
          </cell>
          <cell r="F2258">
            <v>87.17</v>
          </cell>
        </row>
        <row r="2259">
          <cell r="A2259" t="str">
            <v>402005</v>
          </cell>
          <cell r="B2259" t="str">
            <v>Sinalizador com lâmpada</v>
          </cell>
          <cell r="C2259" t="str">
            <v>un</v>
          </cell>
          <cell r="D2259">
            <v>40.119999999999997</v>
          </cell>
          <cell r="E2259">
            <v>18.190000000000001</v>
          </cell>
          <cell r="F2259">
            <v>58.31</v>
          </cell>
        </row>
        <row r="2260">
          <cell r="A2260" t="str">
            <v>402006</v>
          </cell>
          <cell r="B2260" t="str">
            <v>Botão de comando duplo sem sinalizador</v>
          </cell>
          <cell r="C2260" t="str">
            <v>un</v>
          </cell>
          <cell r="D2260">
            <v>25.35</v>
          </cell>
          <cell r="E2260">
            <v>18.190000000000001</v>
          </cell>
          <cell r="F2260">
            <v>43.54</v>
          </cell>
        </row>
        <row r="2261">
          <cell r="A2261" t="str">
            <v>402007</v>
          </cell>
          <cell r="B2261" t="str">
            <v>Botão de comando duplo com sinalizador</v>
          </cell>
          <cell r="C2261" t="str">
            <v>un</v>
          </cell>
          <cell r="D2261">
            <v>56.2</v>
          </cell>
          <cell r="E2261">
            <v>18.190000000000001</v>
          </cell>
          <cell r="F2261">
            <v>74.39</v>
          </cell>
        </row>
        <row r="2262">
          <cell r="A2262" t="str">
            <v>402009</v>
          </cell>
          <cell r="B2262" t="str">
            <v>Botoeira com retenção para quadro/painel</v>
          </cell>
          <cell r="C2262" t="str">
            <v>un</v>
          </cell>
          <cell r="D2262">
            <v>36.44</v>
          </cell>
          <cell r="E2262">
            <v>6.82</v>
          </cell>
          <cell r="F2262">
            <v>43.26</v>
          </cell>
        </row>
        <row r="2263">
          <cell r="A2263" t="str">
            <v>402010</v>
          </cell>
          <cell r="B2263" t="str">
            <v>Botoeira de comando liga-desliga, sem sinalização</v>
          </cell>
          <cell r="C2263" t="str">
            <v>un</v>
          </cell>
          <cell r="D2263">
            <v>77.12</v>
          </cell>
          <cell r="E2263">
            <v>6.82</v>
          </cell>
          <cell r="F2263">
            <v>83.94</v>
          </cell>
        </row>
        <row r="2264">
          <cell r="A2264" t="str">
            <v>402011</v>
          </cell>
          <cell r="B2264" t="str">
            <v>Alarme sonoro bitonal 220 V para painel de comando</v>
          </cell>
          <cell r="C2264" t="str">
            <v>un</v>
          </cell>
          <cell r="D2264">
            <v>198.36</v>
          </cell>
          <cell r="E2264">
            <v>6.82</v>
          </cell>
          <cell r="F2264">
            <v>205.18</v>
          </cell>
        </row>
        <row r="2265">
          <cell r="A2265" t="str">
            <v>402012</v>
          </cell>
          <cell r="B2265" t="str">
            <v>Placa de 4´ x 2´</v>
          </cell>
          <cell r="C2265" t="str">
            <v>un</v>
          </cell>
          <cell r="D2265">
            <v>1.48</v>
          </cell>
          <cell r="E2265">
            <v>0.75</v>
          </cell>
          <cell r="F2265">
            <v>2.23</v>
          </cell>
        </row>
        <row r="2266">
          <cell r="A2266" t="str">
            <v>402014</v>
          </cell>
          <cell r="B2266" t="str">
            <v>Placa de 4´ x 4´</v>
          </cell>
          <cell r="C2266" t="str">
            <v>un</v>
          </cell>
          <cell r="D2266">
            <v>5.54</v>
          </cell>
          <cell r="E2266">
            <v>0.75</v>
          </cell>
          <cell r="F2266">
            <v>6.29</v>
          </cell>
        </row>
        <row r="2267">
          <cell r="A2267" t="str">
            <v>402020</v>
          </cell>
          <cell r="B2267" t="str">
            <v>Chave de bóia normalmente fechada ou aberta</v>
          </cell>
          <cell r="C2267" t="str">
            <v>un</v>
          </cell>
          <cell r="D2267">
            <v>38.5</v>
          </cell>
          <cell r="E2267">
            <v>9.1</v>
          </cell>
          <cell r="F2267">
            <v>47.6</v>
          </cell>
        </row>
        <row r="2268">
          <cell r="A2268" t="str">
            <v>402022</v>
          </cell>
          <cell r="B2268" t="str">
            <v>Plugue com 3P+T de 32A, 220/240V, industrial</v>
          </cell>
          <cell r="C2268" t="str">
            <v>un</v>
          </cell>
          <cell r="D2268">
            <v>26.52</v>
          </cell>
          <cell r="E2268">
            <v>6.82</v>
          </cell>
          <cell r="F2268">
            <v>33.340000000000003</v>
          </cell>
        </row>
        <row r="2269">
          <cell r="A2269" t="str">
            <v>402023</v>
          </cell>
          <cell r="B2269" t="str">
            <v>Plugue com 3P+N+T de 63A, 220/240V, industrial</v>
          </cell>
          <cell r="C2269" t="str">
            <v>un</v>
          </cell>
          <cell r="D2269">
            <v>267.43</v>
          </cell>
          <cell r="E2269">
            <v>6.82</v>
          </cell>
          <cell r="F2269">
            <v>274.25</v>
          </cell>
        </row>
        <row r="2270">
          <cell r="A2270" t="str">
            <v>402024</v>
          </cell>
          <cell r="B2270" t="str">
            <v>Plugue com 2P+T de 10A, 250V</v>
          </cell>
          <cell r="C2270" t="str">
            <v>un</v>
          </cell>
          <cell r="D2270">
            <v>3.8200000000000003</v>
          </cell>
          <cell r="E2270">
            <v>4.55</v>
          </cell>
          <cell r="F2270">
            <v>8.3699999999999992</v>
          </cell>
        </row>
        <row r="2271">
          <cell r="A2271" t="str">
            <v>402025</v>
          </cell>
          <cell r="B2271" t="str">
            <v>Plugue prolongador com 2P+T de 10A, 250V</v>
          </cell>
          <cell r="C2271" t="str">
            <v>un</v>
          </cell>
          <cell r="D2271">
            <v>5.3100000000000005</v>
          </cell>
          <cell r="E2271">
            <v>4.55</v>
          </cell>
          <cell r="F2271">
            <v>9.86</v>
          </cell>
        </row>
        <row r="2272">
          <cell r="A2272" t="str">
            <v>402030</v>
          </cell>
          <cell r="B2272" t="str">
            <v>Chave de nível tipo bóia pendular (pera), com contato microswitch</v>
          </cell>
          <cell r="C2272" t="str">
            <v>un</v>
          </cell>
          <cell r="D2272">
            <v>234.37</v>
          </cell>
          <cell r="E2272">
            <v>22.740000000000002</v>
          </cell>
          <cell r="F2272">
            <v>257.11</v>
          </cell>
        </row>
        <row r="2273">
          <cell r="A2273" t="str">
            <v>402031</v>
          </cell>
          <cell r="B2273" t="str">
            <v>Placa/espelho em latão escovado 4´ x 4´, para 02 tomadas elétrica</v>
          </cell>
          <cell r="C2273" t="str">
            <v>un</v>
          </cell>
          <cell r="D2273">
            <v>14.81</v>
          </cell>
          <cell r="E2273">
            <v>10.47</v>
          </cell>
          <cell r="F2273">
            <v>25.28</v>
          </cell>
        </row>
        <row r="2274">
          <cell r="A2274" t="str">
            <v>402032</v>
          </cell>
          <cell r="B2274" t="str">
            <v>Placa/espelho em latão escovado 4´ x 4´, para 01 tomada elétrica</v>
          </cell>
          <cell r="C2274" t="str">
            <v>un</v>
          </cell>
          <cell r="D2274">
            <v>11.34</v>
          </cell>
          <cell r="E2274">
            <v>10.47</v>
          </cell>
          <cell r="F2274">
            <v>21.81</v>
          </cell>
        </row>
        <row r="2275">
          <cell r="A2275" t="str">
            <v>402033</v>
          </cell>
          <cell r="B2275" t="str">
            <v>Placa/espelho em latão escovado 4´ x 4´, para tomada de lógica RJ-45</v>
          </cell>
          <cell r="C2275" t="str">
            <v>un</v>
          </cell>
          <cell r="D2275">
            <v>14.030000000000001</v>
          </cell>
          <cell r="E2275">
            <v>10.47</v>
          </cell>
          <cell r="F2275">
            <v>24.5</v>
          </cell>
        </row>
        <row r="2276">
          <cell r="A2276" t="str">
            <v>410402</v>
          </cell>
          <cell r="B2276" t="str">
            <v>Receptáculo de porcelana com parafuso de fixação com rosca E-27</v>
          </cell>
          <cell r="C2276" t="str">
            <v>un</v>
          </cell>
          <cell r="D2276">
            <v>1.56</v>
          </cell>
          <cell r="E2276">
            <v>1.8</v>
          </cell>
          <cell r="F2276">
            <v>3.36</v>
          </cell>
        </row>
        <row r="2277">
          <cell r="A2277" t="str">
            <v>410404</v>
          </cell>
          <cell r="B2277" t="str">
            <v>Receptáculo de porcelana com parafuso de fixação com rosca E-40</v>
          </cell>
          <cell r="C2277" t="str">
            <v>un</v>
          </cell>
          <cell r="D2277">
            <v>9.82</v>
          </cell>
          <cell r="E2277">
            <v>1.8</v>
          </cell>
          <cell r="F2277">
            <v>11.620000000000001</v>
          </cell>
        </row>
        <row r="2278">
          <cell r="A2278" t="str">
            <v>410405</v>
          </cell>
          <cell r="B2278" t="str">
            <v>Trilho eletrificado de alimentação com 1 circuito, em alumínio com pintura na cor branco, inclusive acessórios</v>
          </cell>
          <cell r="C2278" t="str">
            <v>m</v>
          </cell>
          <cell r="D2278">
            <v>69.260000000000005</v>
          </cell>
          <cell r="E2278">
            <v>9.1</v>
          </cell>
          <cell r="F2278">
            <v>78.36</v>
          </cell>
        </row>
        <row r="2279">
          <cell r="A2279" t="str">
            <v>410406</v>
          </cell>
          <cell r="B2279" t="str">
            <v>Soquete convencional para lâmpada fluorescente</v>
          </cell>
          <cell r="C2279" t="str">
            <v>un</v>
          </cell>
          <cell r="D2279">
            <v>1.1399999999999999</v>
          </cell>
          <cell r="E2279">
            <v>1.8</v>
          </cell>
          <cell r="F2279">
            <v>2.94</v>
          </cell>
        </row>
        <row r="2280">
          <cell r="A2280" t="str">
            <v>410410</v>
          </cell>
          <cell r="B2280" t="str">
            <v>Soquete antivibratório para lâmpada fluorescente com placa de pressão e fixação</v>
          </cell>
          <cell r="C2280" t="str">
            <v>un</v>
          </cell>
          <cell r="D2280">
            <v>1.1299999999999999</v>
          </cell>
          <cell r="E2280">
            <v>1.8</v>
          </cell>
          <cell r="F2280">
            <v>2.93</v>
          </cell>
        </row>
        <row r="2281">
          <cell r="A2281" t="str">
            <v>410501</v>
          </cell>
          <cell r="B2281" t="str">
            <v>Lâmpada mista, base E27 de 160 W</v>
          </cell>
          <cell r="C2281" t="str">
            <v>un</v>
          </cell>
          <cell r="D2281">
            <v>11.19</v>
          </cell>
          <cell r="E2281">
            <v>1.8800000000000001</v>
          </cell>
          <cell r="F2281">
            <v>13.07</v>
          </cell>
        </row>
        <row r="2282">
          <cell r="A2282" t="str">
            <v>410502</v>
          </cell>
          <cell r="B2282" t="str">
            <v>Lâmpada mista, base E27 ou E40 de 250 W</v>
          </cell>
          <cell r="C2282" t="str">
            <v>un</v>
          </cell>
          <cell r="D2282">
            <v>16.670000000000002</v>
          </cell>
          <cell r="E2282">
            <v>1.8800000000000001</v>
          </cell>
          <cell r="F2282">
            <v>18.55</v>
          </cell>
        </row>
        <row r="2283">
          <cell r="A2283" t="str">
            <v>410503</v>
          </cell>
          <cell r="B2283" t="str">
            <v>Lâmpada mista, base E40 de 500 W</v>
          </cell>
          <cell r="C2283" t="str">
            <v>un</v>
          </cell>
          <cell r="D2283">
            <v>34.64</v>
          </cell>
          <cell r="E2283">
            <v>1.8800000000000001</v>
          </cell>
          <cell r="F2283">
            <v>36.520000000000003</v>
          </cell>
        </row>
        <row r="2284">
          <cell r="A2284" t="str">
            <v>410520</v>
          </cell>
          <cell r="B2284" t="str">
            <v>Lâmpada de vapor de sódio elipsoidal, base E27 de 70 W</v>
          </cell>
          <cell r="C2284" t="str">
            <v>un</v>
          </cell>
          <cell r="D2284">
            <v>11.46</v>
          </cell>
          <cell r="E2284">
            <v>1.8800000000000001</v>
          </cell>
          <cell r="F2284">
            <v>13.34</v>
          </cell>
        </row>
        <row r="2285">
          <cell r="A2285" t="str">
            <v>410522</v>
          </cell>
          <cell r="B2285" t="str">
            <v>Lâmpada de vapor de sódio elipsoidal ou tubular, base E40 de 150 W</v>
          </cell>
          <cell r="C2285" t="str">
            <v>un</v>
          </cell>
          <cell r="D2285">
            <v>19.23</v>
          </cell>
          <cell r="E2285">
            <v>1.8800000000000001</v>
          </cell>
          <cell r="F2285">
            <v>21.11</v>
          </cell>
        </row>
        <row r="2286">
          <cell r="A2286" t="str">
            <v>410524</v>
          </cell>
          <cell r="B2286" t="str">
            <v>Lâmpada de vapor de sódio elipsoidal ou tubular, base E40 de 250 W</v>
          </cell>
          <cell r="C2286" t="str">
            <v>un</v>
          </cell>
          <cell r="D2286">
            <v>23.400000000000002</v>
          </cell>
          <cell r="E2286">
            <v>1.8800000000000001</v>
          </cell>
          <cell r="F2286">
            <v>25.28</v>
          </cell>
        </row>
        <row r="2287">
          <cell r="A2287" t="str">
            <v>410526</v>
          </cell>
          <cell r="B2287" t="str">
            <v>Lâmpada de vapor de sódio elipsoidal ou tubular, base E40 de 400 W</v>
          </cell>
          <cell r="C2287" t="str">
            <v>un</v>
          </cell>
          <cell r="D2287">
            <v>25.87</v>
          </cell>
          <cell r="E2287">
            <v>1.8800000000000001</v>
          </cell>
          <cell r="F2287">
            <v>27.75</v>
          </cell>
        </row>
        <row r="2288">
          <cell r="A2288" t="str">
            <v>410527</v>
          </cell>
          <cell r="B2288" t="str">
            <v>Lâmpada de vapor de sódio tubular, base E40 de 1000 W</v>
          </cell>
          <cell r="C2288" t="str">
            <v>un</v>
          </cell>
          <cell r="D2288">
            <v>222.84</v>
          </cell>
          <cell r="E2288">
            <v>1.8800000000000001</v>
          </cell>
          <cell r="F2288">
            <v>224.72</v>
          </cell>
        </row>
        <row r="2289">
          <cell r="A2289" t="str">
            <v>410533</v>
          </cell>
          <cell r="B2289" t="str">
            <v>Lâmpada de vapor de sódio tubular standby, base E40 de 400 W</v>
          </cell>
          <cell r="C2289" t="str">
            <v>un</v>
          </cell>
          <cell r="D2289">
            <v>32.01</v>
          </cell>
          <cell r="E2289">
            <v>1.8800000000000001</v>
          </cell>
          <cell r="F2289">
            <v>33.89</v>
          </cell>
        </row>
        <row r="2290">
          <cell r="A2290" t="str">
            <v>410552</v>
          </cell>
          <cell r="B2290" t="str">
            <v>Lâmpada de vapor metálico elipsoidal, base E40 de 250 W</v>
          </cell>
          <cell r="C2290" t="str">
            <v>un</v>
          </cell>
          <cell r="D2290">
            <v>43.230000000000004</v>
          </cell>
          <cell r="E2290">
            <v>1.8800000000000001</v>
          </cell>
          <cell r="F2290">
            <v>45.11</v>
          </cell>
        </row>
        <row r="2291">
          <cell r="A2291" t="str">
            <v>410553</v>
          </cell>
          <cell r="B2291" t="str">
            <v>Lâmpada de vapor metálico elipsoidal, base E40 de 400 W</v>
          </cell>
          <cell r="C2291" t="str">
            <v>un</v>
          </cell>
          <cell r="D2291">
            <v>46.49</v>
          </cell>
          <cell r="E2291">
            <v>1.8800000000000001</v>
          </cell>
          <cell r="F2291">
            <v>48.370000000000005</v>
          </cell>
        </row>
        <row r="2292">
          <cell r="A2292" t="str">
            <v>410563</v>
          </cell>
          <cell r="B2292" t="str">
            <v>Lâmpada de vapor metálico tubular, base E40 de 2000 W</v>
          </cell>
          <cell r="C2292" t="str">
            <v>un</v>
          </cell>
          <cell r="D2292">
            <v>377.06</v>
          </cell>
          <cell r="E2292">
            <v>1.8800000000000001</v>
          </cell>
          <cell r="F2292">
            <v>378.94</v>
          </cell>
        </row>
        <row r="2293">
          <cell r="A2293" t="str">
            <v>410571</v>
          </cell>
          <cell r="B2293" t="str">
            <v>Lâmpada de vapor metálico tubular, base G12 de 70 W</v>
          </cell>
          <cell r="C2293" t="str">
            <v>un</v>
          </cell>
          <cell r="D2293">
            <v>65.73</v>
          </cell>
          <cell r="E2293">
            <v>1.8800000000000001</v>
          </cell>
          <cell r="F2293">
            <v>67.61</v>
          </cell>
        </row>
        <row r="2294">
          <cell r="A2294" t="str">
            <v>410572</v>
          </cell>
          <cell r="B2294" t="str">
            <v>Lâmpada de vapor metálico tubular, base G12 de 150 W</v>
          </cell>
          <cell r="C2294" t="str">
            <v>un</v>
          </cell>
          <cell r="D2294">
            <v>77.48</v>
          </cell>
          <cell r="E2294">
            <v>1.8800000000000001</v>
          </cell>
          <cell r="F2294">
            <v>79.36</v>
          </cell>
        </row>
        <row r="2295">
          <cell r="A2295" t="str">
            <v>410580</v>
          </cell>
          <cell r="B2295" t="str">
            <v>Lâmpada de vapor metálico tubular, base RX7s bilateral de 70 W</v>
          </cell>
          <cell r="C2295" t="str">
            <v>un</v>
          </cell>
          <cell r="D2295">
            <v>29.51</v>
          </cell>
          <cell r="E2295">
            <v>1.8800000000000001</v>
          </cell>
          <cell r="F2295">
            <v>31.39</v>
          </cell>
        </row>
        <row r="2296">
          <cell r="A2296" t="str">
            <v>410581</v>
          </cell>
          <cell r="B2296" t="str">
            <v>Lâmpada de vapor metálico tubular, base RX7s bilateral de 150 W</v>
          </cell>
          <cell r="C2296" t="str">
            <v>un</v>
          </cell>
          <cell r="D2296">
            <v>29.87</v>
          </cell>
          <cell r="E2296">
            <v>1.8800000000000001</v>
          </cell>
          <cell r="F2296">
            <v>31.75</v>
          </cell>
        </row>
        <row r="2297">
          <cell r="A2297" t="str">
            <v>410582</v>
          </cell>
          <cell r="B2297" t="str">
            <v>Lâmpada de vapor metálico tubular, base FC2 bilateral de 400 W</v>
          </cell>
          <cell r="C2297" t="str">
            <v>un</v>
          </cell>
          <cell r="D2297">
            <v>45.43</v>
          </cell>
          <cell r="E2297">
            <v>1.8800000000000001</v>
          </cell>
          <cell r="F2297">
            <v>47.31</v>
          </cell>
        </row>
        <row r="2298">
          <cell r="A2298" t="str">
            <v>410601</v>
          </cell>
          <cell r="B2298" t="str">
            <v>Lâmpada incandescente, base E27 de 25 a 60 W - 110 ou 220 V</v>
          </cell>
          <cell r="C2298" t="str">
            <v>un</v>
          </cell>
          <cell r="D2298">
            <v>1.1599999999999999</v>
          </cell>
          <cell r="E2298">
            <v>1.8800000000000001</v>
          </cell>
          <cell r="F2298">
            <v>3.04</v>
          </cell>
        </row>
        <row r="2299">
          <cell r="A2299" t="str">
            <v>410602</v>
          </cell>
          <cell r="B2299" t="str">
            <v>Lâmpada incandescente, base E27 de 100 W - 110 ou 220 V</v>
          </cell>
          <cell r="C2299" t="str">
            <v>un</v>
          </cell>
          <cell r="D2299">
            <v>1.34</v>
          </cell>
          <cell r="E2299">
            <v>1.8800000000000001</v>
          </cell>
          <cell r="F2299">
            <v>3.22</v>
          </cell>
        </row>
        <row r="2300">
          <cell r="A2300" t="str">
            <v>410603</v>
          </cell>
          <cell r="B2300" t="str">
            <v>Lâmpada incandescente, base E27 de 150 W - 110 ou 220 V</v>
          </cell>
          <cell r="C2300" t="str">
            <v>un</v>
          </cell>
          <cell r="D2300">
            <v>2.89</v>
          </cell>
          <cell r="E2300">
            <v>1.8800000000000001</v>
          </cell>
          <cell r="F2300">
            <v>4.7699999999999996</v>
          </cell>
        </row>
        <row r="2301">
          <cell r="A2301" t="str">
            <v>410604</v>
          </cell>
          <cell r="B2301" t="str">
            <v>Lâmpada incandescente, base E27 de 200 W - 110 ou 220 V</v>
          </cell>
          <cell r="C2301" t="str">
            <v>un</v>
          </cell>
          <cell r="D2301">
            <v>2.37</v>
          </cell>
          <cell r="E2301">
            <v>1.8800000000000001</v>
          </cell>
          <cell r="F2301">
            <v>4.25</v>
          </cell>
        </row>
        <row r="2302">
          <cell r="A2302" t="str">
            <v>410610</v>
          </cell>
          <cell r="B2302" t="str">
            <v>Lâmpada halógena refletora PAR20, base E27 de 50 W - 220 V</v>
          </cell>
          <cell r="C2302" t="str">
            <v>un</v>
          </cell>
          <cell r="D2302">
            <v>11.02</v>
          </cell>
          <cell r="E2302">
            <v>1.8800000000000001</v>
          </cell>
          <cell r="F2302">
            <v>12.9</v>
          </cell>
        </row>
        <row r="2303">
          <cell r="A2303" t="str">
            <v>410611</v>
          </cell>
          <cell r="B2303" t="str">
            <v>Lâmpada halógena refletora PAR20, base E27 de 50 W - 110 V</v>
          </cell>
          <cell r="C2303" t="str">
            <v>un</v>
          </cell>
          <cell r="D2303">
            <v>14.06</v>
          </cell>
          <cell r="E2303">
            <v>1.8800000000000001</v>
          </cell>
          <cell r="F2303">
            <v>15.94</v>
          </cell>
        </row>
        <row r="2304">
          <cell r="A2304" t="str">
            <v>410612</v>
          </cell>
          <cell r="B2304" t="str">
            <v>Lâmpada halógena refletora PAR30, base E27 de 75 W - 220 V</v>
          </cell>
          <cell r="C2304" t="str">
            <v>un</v>
          </cell>
          <cell r="D2304">
            <v>15.94</v>
          </cell>
          <cell r="E2304">
            <v>1.8800000000000001</v>
          </cell>
          <cell r="F2304">
            <v>17.82</v>
          </cell>
        </row>
        <row r="2305">
          <cell r="A2305" t="str">
            <v>410613</v>
          </cell>
          <cell r="B2305" t="str">
            <v>Lâmpada halógena com refletor dicróico, de 50 W - 12 V</v>
          </cell>
          <cell r="C2305" t="str">
            <v>un</v>
          </cell>
          <cell r="D2305">
            <v>1.99</v>
          </cell>
          <cell r="E2305">
            <v>1.8800000000000001</v>
          </cell>
          <cell r="F2305">
            <v>3.87</v>
          </cell>
        </row>
        <row r="2306">
          <cell r="A2306" t="str">
            <v>410640</v>
          </cell>
          <cell r="B2306" t="str">
            <v>Lâmpada halógena tubular, base R7s bilateral de 150 W - 110 ou 220 V</v>
          </cell>
          <cell r="C2306" t="str">
            <v>un</v>
          </cell>
          <cell r="D2306">
            <v>3.39</v>
          </cell>
          <cell r="E2306">
            <v>1.8800000000000001</v>
          </cell>
          <cell r="F2306">
            <v>5.2700000000000005</v>
          </cell>
        </row>
        <row r="2307">
          <cell r="A2307" t="str">
            <v>410641</v>
          </cell>
          <cell r="B2307" t="str">
            <v>Lâmpada halógena tubular, base R7s bilateral de 300 W - 110 ou 220 V</v>
          </cell>
          <cell r="C2307" t="str">
            <v>un</v>
          </cell>
          <cell r="D2307">
            <v>3.35</v>
          </cell>
          <cell r="E2307">
            <v>1.8800000000000001</v>
          </cell>
          <cell r="F2307">
            <v>5.23</v>
          </cell>
        </row>
        <row r="2308">
          <cell r="A2308" t="str">
            <v>410642</v>
          </cell>
          <cell r="B2308" t="str">
            <v>Lâmpada halógena tubular, base R7s bilateral de 500 W - 110 ou 220 V</v>
          </cell>
          <cell r="C2308" t="str">
            <v>un</v>
          </cell>
          <cell r="D2308">
            <v>3.43</v>
          </cell>
          <cell r="E2308">
            <v>1.8800000000000001</v>
          </cell>
          <cell r="F2308">
            <v>5.3100000000000005</v>
          </cell>
        </row>
        <row r="2309">
          <cell r="A2309" t="str">
            <v>410702</v>
          </cell>
          <cell r="B2309" t="str">
            <v>Lâmpada fluorescente tubular, base bipino bilateral de 15 W</v>
          </cell>
          <cell r="C2309" t="str">
            <v>un</v>
          </cell>
          <cell r="D2309">
            <v>7.16</v>
          </cell>
          <cell r="E2309">
            <v>1.8800000000000001</v>
          </cell>
          <cell r="F2309">
            <v>9.0399999999999991</v>
          </cell>
        </row>
        <row r="2310">
          <cell r="A2310" t="str">
            <v>410703</v>
          </cell>
          <cell r="B2310" t="str">
            <v>Lâmpada fluorescente tubular, base bipino bilateral de 16 W</v>
          </cell>
          <cell r="C2310" t="str">
            <v>un</v>
          </cell>
          <cell r="D2310">
            <v>2.87</v>
          </cell>
          <cell r="E2310">
            <v>1.8800000000000001</v>
          </cell>
          <cell r="F2310">
            <v>4.75</v>
          </cell>
        </row>
        <row r="2311">
          <cell r="A2311" t="str">
            <v>410704</v>
          </cell>
          <cell r="B2311" t="str">
            <v>Lâmpada fluorescente tubular, base bipino bilateral de 14 W</v>
          </cell>
          <cell r="C2311" t="str">
            <v>un</v>
          </cell>
          <cell r="D2311">
            <v>5.46</v>
          </cell>
          <cell r="E2311">
            <v>1.8800000000000001</v>
          </cell>
          <cell r="F2311">
            <v>7.34</v>
          </cell>
        </row>
        <row r="2312">
          <cell r="A2312" t="str">
            <v>410705</v>
          </cell>
          <cell r="B2312" t="str">
            <v>Lâmpada fluorescente tubular, base bipino bilateral de 20 W</v>
          </cell>
          <cell r="C2312" t="str">
            <v>un</v>
          </cell>
          <cell r="D2312">
            <v>3.5500000000000003</v>
          </cell>
          <cell r="E2312">
            <v>1.8800000000000001</v>
          </cell>
          <cell r="F2312">
            <v>5.43</v>
          </cell>
        </row>
        <row r="2313">
          <cell r="A2313" t="str">
            <v>410706</v>
          </cell>
          <cell r="B2313" t="str">
            <v>Lâmpada fluorescente tubular, base bipino bilateral de 28 W</v>
          </cell>
          <cell r="C2313" t="str">
            <v>un</v>
          </cell>
          <cell r="D2313">
            <v>7.8</v>
          </cell>
          <cell r="E2313">
            <v>1.8800000000000001</v>
          </cell>
          <cell r="F2313">
            <v>9.68</v>
          </cell>
        </row>
        <row r="2314">
          <cell r="A2314" t="str">
            <v>410707</v>
          </cell>
          <cell r="B2314" t="str">
            <v>Lâmpada fluorescente tubular, base bipino bilateral de 32 W</v>
          </cell>
          <cell r="C2314" t="str">
            <v>un</v>
          </cell>
          <cell r="D2314">
            <v>3.3200000000000003</v>
          </cell>
          <cell r="E2314">
            <v>1.8800000000000001</v>
          </cell>
          <cell r="F2314">
            <v>5.2</v>
          </cell>
        </row>
        <row r="2315">
          <cell r="A2315" t="str">
            <v>410709</v>
          </cell>
          <cell r="B2315" t="str">
            <v>Lâmpada fluorescente tubular, base bipino bilateral de 40 W</v>
          </cell>
          <cell r="C2315" t="str">
            <v>un</v>
          </cell>
          <cell r="D2315">
            <v>3.47</v>
          </cell>
          <cell r="E2315">
            <v>1.8800000000000001</v>
          </cell>
          <cell r="F2315">
            <v>5.3500000000000005</v>
          </cell>
        </row>
        <row r="2316">
          <cell r="A2316" t="str">
            <v>410712</v>
          </cell>
          <cell r="B2316" t="str">
            <v>Lâmpada fluorescente tubular, base bipino bilateral de 54 W</v>
          </cell>
          <cell r="C2316" t="str">
            <v>un</v>
          </cell>
          <cell r="D2316">
            <v>10.870000000000001</v>
          </cell>
          <cell r="E2316">
            <v>1.8800000000000001</v>
          </cell>
          <cell r="F2316">
            <v>12.75</v>
          </cell>
        </row>
        <row r="2317">
          <cell r="A2317" t="str">
            <v>410720</v>
          </cell>
          <cell r="B2317" t="str">
            <v>Lâmpada fluorescente tubular, base bipino bilateral de 32 W, com camada trifósforo</v>
          </cell>
          <cell r="C2317" t="str">
            <v>un</v>
          </cell>
          <cell r="D2317">
            <v>6.55</v>
          </cell>
          <cell r="E2317">
            <v>1.8800000000000001</v>
          </cell>
          <cell r="F2317">
            <v>8.43</v>
          </cell>
        </row>
        <row r="2318">
          <cell r="A2318" t="str">
            <v>410732</v>
          </cell>
          <cell r="B2318" t="str">
            <v>Lâmpada fluorescente tubular ´HO´, base bipino bilateral de 110 W</v>
          </cell>
          <cell r="C2318" t="str">
            <v>un</v>
          </cell>
          <cell r="D2318">
            <v>10.58</v>
          </cell>
          <cell r="E2318">
            <v>1.8800000000000001</v>
          </cell>
          <cell r="F2318">
            <v>12.46</v>
          </cell>
        </row>
        <row r="2319">
          <cell r="A2319" t="str">
            <v>410740</v>
          </cell>
          <cell r="B2319" t="str">
            <v>Lâmpada fluorescente compacta eletrônica ´2U´, base E27 de 9 W - 110 ou 220 V</v>
          </cell>
          <cell r="C2319" t="str">
            <v>un</v>
          </cell>
          <cell r="D2319">
            <v>5.44</v>
          </cell>
          <cell r="E2319">
            <v>1.8800000000000001</v>
          </cell>
          <cell r="F2319">
            <v>7.32</v>
          </cell>
        </row>
        <row r="2320">
          <cell r="A2320" t="str">
            <v>410741</v>
          </cell>
          <cell r="B2320" t="str">
            <v>Lâmpada fluorescente compacta eletrônica ´2U´, base E27 de 11 W - 110 ou 220 V</v>
          </cell>
          <cell r="C2320" t="str">
            <v>un</v>
          </cell>
          <cell r="D2320">
            <v>5.78</v>
          </cell>
          <cell r="E2320">
            <v>1.8800000000000001</v>
          </cell>
          <cell r="F2320">
            <v>7.66</v>
          </cell>
        </row>
        <row r="2321">
          <cell r="A2321" t="str">
            <v>410742</v>
          </cell>
          <cell r="B2321" t="str">
            <v>Lâmpada fluorescente compacta eletrônica ´3U´, base E27 de 15 W - 110 ou 220 V</v>
          </cell>
          <cell r="C2321" t="str">
            <v>un</v>
          </cell>
          <cell r="D2321">
            <v>7.33</v>
          </cell>
          <cell r="E2321">
            <v>1.8800000000000001</v>
          </cell>
          <cell r="F2321">
            <v>9.2100000000000009</v>
          </cell>
        </row>
        <row r="2322">
          <cell r="A2322" t="str">
            <v>410743</v>
          </cell>
          <cell r="B2322" t="str">
            <v>Lâmpada fluorescente compacta eletrônica ´3U´, base E27 de 20 W - 110 ou 220 V</v>
          </cell>
          <cell r="C2322" t="str">
            <v>un</v>
          </cell>
          <cell r="D2322">
            <v>7.69</v>
          </cell>
          <cell r="E2322">
            <v>1.8800000000000001</v>
          </cell>
          <cell r="F2322">
            <v>9.57</v>
          </cell>
        </row>
        <row r="2323">
          <cell r="A2323" t="str">
            <v>410744</v>
          </cell>
          <cell r="B2323" t="str">
            <v>Lâmpada fluorescente compacta eletrônica ´3U´, base E27 de 23 W - 110 ou 220 V</v>
          </cell>
          <cell r="C2323" t="str">
            <v>un</v>
          </cell>
          <cell r="D2323">
            <v>7.96</v>
          </cell>
          <cell r="E2323">
            <v>1.8800000000000001</v>
          </cell>
          <cell r="F2323">
            <v>9.84</v>
          </cell>
        </row>
        <row r="2324">
          <cell r="A2324" t="str">
            <v>410745</v>
          </cell>
          <cell r="B2324" t="str">
            <v>Lâmpada fluorescente compacta eletrônica ´3U´, base E27 de 25 W - 110 ou 220 V</v>
          </cell>
          <cell r="C2324" t="str">
            <v>un</v>
          </cell>
          <cell r="D2324">
            <v>8.64</v>
          </cell>
          <cell r="E2324">
            <v>1.8800000000000001</v>
          </cell>
          <cell r="F2324">
            <v>10.52</v>
          </cell>
        </row>
        <row r="2325">
          <cell r="A2325" t="str">
            <v>410780</v>
          </cell>
          <cell r="B2325" t="str">
            <v>Lâmpada fluorescente compacta ´1U´, base G-23 de 9 W</v>
          </cell>
          <cell r="C2325" t="str">
            <v>un</v>
          </cell>
          <cell r="D2325">
            <v>7.87</v>
          </cell>
          <cell r="E2325">
            <v>1.8800000000000001</v>
          </cell>
          <cell r="F2325">
            <v>9.75</v>
          </cell>
        </row>
        <row r="2326">
          <cell r="A2326" t="str">
            <v>410781</v>
          </cell>
          <cell r="B2326" t="str">
            <v>Lâmpada fluorescente compacta ´2U´, base G-24D-2 de 18 W</v>
          </cell>
          <cell r="C2326" t="str">
            <v>un</v>
          </cell>
          <cell r="D2326">
            <v>7.16</v>
          </cell>
          <cell r="E2326">
            <v>1.8800000000000001</v>
          </cell>
          <cell r="F2326">
            <v>9.0399999999999991</v>
          </cell>
        </row>
        <row r="2327">
          <cell r="A2327" t="str">
            <v>410782</v>
          </cell>
          <cell r="B2327" t="str">
            <v>Lâmpada fluorescente compacta ´2U´, base G-24D-3 de 26 W</v>
          </cell>
          <cell r="C2327" t="str">
            <v>un</v>
          </cell>
          <cell r="D2327">
            <v>7.04</v>
          </cell>
          <cell r="E2327">
            <v>1.8800000000000001</v>
          </cell>
          <cell r="F2327">
            <v>8.92</v>
          </cell>
        </row>
        <row r="2328">
          <cell r="A2328" t="str">
            <v>410783</v>
          </cell>
          <cell r="B2328" t="str">
            <v>Lâmpada fluorescente compacta longa ´1U´, base 2G11 de 36 W</v>
          </cell>
          <cell r="C2328" t="str">
            <v>un</v>
          </cell>
          <cell r="D2328">
            <v>17.78</v>
          </cell>
          <cell r="E2328">
            <v>1.8800000000000001</v>
          </cell>
          <cell r="F2328">
            <v>19.66</v>
          </cell>
        </row>
        <row r="2329">
          <cell r="A2329" t="str">
            <v>410801</v>
          </cell>
          <cell r="B2329" t="str">
            <v>Transformador eletrônico para lâmpada halógena dicróica de 50 W - 220 V</v>
          </cell>
          <cell r="C2329" t="str">
            <v>un</v>
          </cell>
          <cell r="D2329">
            <v>11.19</v>
          </cell>
          <cell r="E2329">
            <v>4.55</v>
          </cell>
          <cell r="F2329">
            <v>15.74</v>
          </cell>
        </row>
        <row r="2330">
          <cell r="A2330" t="str">
            <v>410807</v>
          </cell>
          <cell r="B2330" t="str">
            <v>Transformador 300 W - 220 V/12 V para até 05 mini refletores de uso submerso</v>
          </cell>
          <cell r="C2330" t="str">
            <v>un</v>
          </cell>
          <cell r="D2330">
            <v>229.67000000000002</v>
          </cell>
          <cell r="E2330">
            <v>4.55</v>
          </cell>
          <cell r="F2330">
            <v>234.22</v>
          </cell>
        </row>
        <row r="2331">
          <cell r="A2331" t="str">
            <v>410821</v>
          </cell>
          <cell r="B2331" t="str">
            <v>Reator eletromagnético de alto fator de potência, para lâmpada vapor de sódio 70 W / 220 V</v>
          </cell>
          <cell r="C2331" t="str">
            <v>un</v>
          </cell>
          <cell r="D2331">
            <v>39.72</v>
          </cell>
          <cell r="E2331">
            <v>4.55</v>
          </cell>
          <cell r="F2331">
            <v>44.27</v>
          </cell>
        </row>
        <row r="2332">
          <cell r="A2332" t="str">
            <v>410823</v>
          </cell>
          <cell r="B2332" t="str">
            <v>Reator eletromagnético de alto fator de potência, para lâmpada vapor de sódio 150 W / 220 V</v>
          </cell>
          <cell r="C2332" t="str">
            <v>un</v>
          </cell>
          <cell r="D2332">
            <v>49.67</v>
          </cell>
          <cell r="E2332">
            <v>4.55</v>
          </cell>
          <cell r="F2332">
            <v>54.22</v>
          </cell>
        </row>
        <row r="2333">
          <cell r="A2333" t="str">
            <v>410825</v>
          </cell>
          <cell r="B2333" t="str">
            <v>Reator eletromagnético de alto fator de potência, para lâmpada vapor de sódio 250 W / 220 V</v>
          </cell>
          <cell r="C2333" t="str">
            <v>un</v>
          </cell>
          <cell r="D2333">
            <v>65.180000000000007</v>
          </cell>
          <cell r="E2333">
            <v>4.55</v>
          </cell>
          <cell r="F2333">
            <v>69.73</v>
          </cell>
        </row>
        <row r="2334">
          <cell r="A2334" t="str">
            <v>410827</v>
          </cell>
          <cell r="B2334" t="str">
            <v>Reator eletromagnético de alto fator de potência, para lâmpada vapor de sódio 400 W / 220 V</v>
          </cell>
          <cell r="C2334" t="str">
            <v>un</v>
          </cell>
          <cell r="D2334">
            <v>79.290000000000006</v>
          </cell>
          <cell r="E2334">
            <v>4.55</v>
          </cell>
          <cell r="F2334">
            <v>83.84</v>
          </cell>
        </row>
        <row r="2335">
          <cell r="A2335" t="str">
            <v>410828</v>
          </cell>
          <cell r="B2335" t="str">
            <v>Reator eletromagnético de alto fator de potência, para lâmpada vapor de sódio 1000 W / 220 V</v>
          </cell>
          <cell r="C2335" t="str">
            <v>un</v>
          </cell>
          <cell r="D2335">
            <v>163.15</v>
          </cell>
          <cell r="E2335">
            <v>4.55</v>
          </cell>
          <cell r="F2335">
            <v>167.70000000000002</v>
          </cell>
        </row>
        <row r="2336">
          <cell r="A2336" t="str">
            <v>410842</v>
          </cell>
          <cell r="B2336" t="str">
            <v>Reator eletromagnético de alto fator de potência, para lâmpada vapor metálico 70 W / 220 V</v>
          </cell>
          <cell r="C2336" t="str">
            <v>un</v>
          </cell>
          <cell r="D2336">
            <v>45.57</v>
          </cell>
          <cell r="E2336">
            <v>4.55</v>
          </cell>
          <cell r="F2336">
            <v>50.120000000000005</v>
          </cell>
        </row>
        <row r="2337">
          <cell r="A2337" t="str">
            <v>410844</v>
          </cell>
          <cell r="B2337" t="str">
            <v>Reator eletromagnético de alto fator de potência, para lâmpada vapor metálico 150 W / 220 V</v>
          </cell>
          <cell r="C2337" t="str">
            <v>un</v>
          </cell>
          <cell r="D2337">
            <v>52.67</v>
          </cell>
          <cell r="E2337">
            <v>4.55</v>
          </cell>
          <cell r="F2337">
            <v>57.22</v>
          </cell>
        </row>
        <row r="2338">
          <cell r="A2338" t="str">
            <v>410845</v>
          </cell>
          <cell r="B2338" t="str">
            <v>Reator eletromagnético de alto fator de potência, para lâmpada vapor metálico 250 W / 220 V</v>
          </cell>
          <cell r="C2338" t="str">
            <v>un</v>
          </cell>
          <cell r="D2338">
            <v>56.27</v>
          </cell>
          <cell r="E2338">
            <v>4.55</v>
          </cell>
          <cell r="F2338">
            <v>60.82</v>
          </cell>
        </row>
        <row r="2339">
          <cell r="A2339" t="str">
            <v>410846</v>
          </cell>
          <cell r="B2339" t="str">
            <v>Reator eletromagnético de alto fator de potência, para lâmpada vapor metálico 400 W / 220 V</v>
          </cell>
          <cell r="C2339" t="str">
            <v>un</v>
          </cell>
          <cell r="D2339">
            <v>67.3</v>
          </cell>
          <cell r="E2339">
            <v>4.55</v>
          </cell>
          <cell r="F2339">
            <v>71.849999999999994</v>
          </cell>
        </row>
        <row r="2340">
          <cell r="A2340" t="str">
            <v>410848</v>
          </cell>
          <cell r="B2340" t="str">
            <v>Reator eletromagnético de alto fator de potência, para lâmpada vapor metálico 2000 W / 220 V</v>
          </cell>
          <cell r="C2340" t="str">
            <v>un</v>
          </cell>
          <cell r="D2340">
            <v>410.85</v>
          </cell>
          <cell r="E2340">
            <v>4.55</v>
          </cell>
          <cell r="F2340">
            <v>415.40000000000003</v>
          </cell>
        </row>
        <row r="2341">
          <cell r="A2341" t="str">
            <v>410901</v>
          </cell>
          <cell r="B2341" t="str">
            <v>Reator eletromagnético de alto fator de potência com partida rápida, para duas lâmpadas fluorescentes tubulares, base bipino bilateral de 14 W - 127 V / 220 V</v>
          </cell>
          <cell r="C2341" t="str">
            <v>un</v>
          </cell>
          <cell r="D2341">
            <v>50.69</v>
          </cell>
          <cell r="E2341">
            <v>4.55</v>
          </cell>
          <cell r="F2341">
            <v>55.24</v>
          </cell>
        </row>
        <row r="2342">
          <cell r="A2342" t="str">
            <v>410903</v>
          </cell>
          <cell r="B2342" t="str">
            <v>Reator eletromagnético de alto fator de potência com partida rápida, para uma lâmpada fluorescente tubular, base bipino bilateral, 32 / 40 W - 127 V / 220 V</v>
          </cell>
          <cell r="C2342" t="str">
            <v>un</v>
          </cell>
          <cell r="D2342">
            <v>21.69</v>
          </cell>
          <cell r="E2342">
            <v>4.55</v>
          </cell>
          <cell r="F2342">
            <v>26.240000000000002</v>
          </cell>
        </row>
        <row r="2343">
          <cell r="A2343" t="str">
            <v>410904</v>
          </cell>
          <cell r="B2343" t="str">
            <v>Reator eletromagnético de alto fator de potência com partida rápida, para uma lâmpada fluorescente tubulares de 54 W</v>
          </cell>
          <cell r="C2343" t="str">
            <v>un</v>
          </cell>
          <cell r="D2343">
            <v>31.75</v>
          </cell>
          <cell r="E2343">
            <v>4.55</v>
          </cell>
          <cell r="F2343">
            <v>36.299999999999997</v>
          </cell>
        </row>
        <row r="2344">
          <cell r="A2344" t="str">
            <v>410917</v>
          </cell>
          <cell r="B2344" t="str">
            <v>Reator eletromagnético de alto fator de potência com partida rápida, para duas lâmpadas fluorescentes tubulares ´HO´, base bipino bilateral, 110 W - 220 V</v>
          </cell>
          <cell r="C2344" t="str">
            <v>un</v>
          </cell>
          <cell r="D2344">
            <v>80.92</v>
          </cell>
          <cell r="E2344">
            <v>9.1</v>
          </cell>
          <cell r="F2344">
            <v>90.02</v>
          </cell>
        </row>
        <row r="2345">
          <cell r="A2345" t="str">
            <v>410926</v>
          </cell>
          <cell r="B2345" t="str">
            <v>Reator eletromagnético de baixo fator de potência com partida convencional, para uma lâmpada fluorescente compacta ´2U´, base G24D 3, 26 W - 127 V</v>
          </cell>
          <cell r="C2345" t="str">
            <v>un</v>
          </cell>
          <cell r="D2345">
            <v>19.97</v>
          </cell>
          <cell r="E2345">
            <v>4.55</v>
          </cell>
          <cell r="F2345">
            <v>24.52</v>
          </cell>
        </row>
        <row r="2346">
          <cell r="A2346" t="str">
            <v>410931</v>
          </cell>
          <cell r="B2346" t="str">
            <v>Reator eletromagnético de baixo fator de potência com partida convencional, para uma lâmpada fluorescente compacta ´1U´, base G23, 9 W - 220 V</v>
          </cell>
          <cell r="C2346" t="str">
            <v>un</v>
          </cell>
          <cell r="D2346">
            <v>10.5</v>
          </cell>
          <cell r="E2346">
            <v>4.55</v>
          </cell>
          <cell r="F2346">
            <v>15.05</v>
          </cell>
        </row>
        <row r="2347">
          <cell r="A2347" t="str">
            <v>410933</v>
          </cell>
          <cell r="B2347" t="str">
            <v>Reator eletromagnético de baixo fator de potência com partida convencional, para uma lâmpada fluorescente compacta ´2U´, base G24D 2, 18 W - 220 V</v>
          </cell>
          <cell r="C2347" t="str">
            <v>un</v>
          </cell>
          <cell r="D2347">
            <v>10.07</v>
          </cell>
          <cell r="E2347">
            <v>4.55</v>
          </cell>
          <cell r="F2347">
            <v>14.620000000000001</v>
          </cell>
        </row>
        <row r="2348">
          <cell r="A2348" t="str">
            <v>410935</v>
          </cell>
          <cell r="B2348" t="str">
            <v>Reator eletromagnético de baixo fator de potência com partida convencional, para uma lâmpada fluorescente compacta ´2U´, base G24D 3, 26 W - 220 V</v>
          </cell>
          <cell r="C2348" t="str">
            <v>un</v>
          </cell>
          <cell r="D2348">
            <v>11.31</v>
          </cell>
          <cell r="E2348">
            <v>4.55</v>
          </cell>
          <cell r="F2348">
            <v>15.860000000000001</v>
          </cell>
        </row>
        <row r="2349">
          <cell r="A2349" t="str">
            <v>410954</v>
          </cell>
          <cell r="B2349" t="str">
            <v>Reator eletromagnético de baixo fator de potência com partida convencional, para uma lâmpada fluorescente tubular, base bipino bilateral, 15 W - 220 V</v>
          </cell>
          <cell r="C2349" t="str">
            <v>un</v>
          </cell>
          <cell r="D2349">
            <v>9.36</v>
          </cell>
          <cell r="E2349">
            <v>4.55</v>
          </cell>
          <cell r="F2349">
            <v>13.91</v>
          </cell>
        </row>
        <row r="2350">
          <cell r="A2350" t="str">
            <v>410955</v>
          </cell>
          <cell r="B2350" t="str">
            <v>Reator eletromagnético de baixo fator de potência com partida convencional, para uma lâmpada fluorescente tubular, base bipino bilateral, 20 W - 220 V</v>
          </cell>
          <cell r="C2350" t="str">
            <v>un</v>
          </cell>
          <cell r="D2350">
            <v>12.1</v>
          </cell>
          <cell r="E2350">
            <v>4.55</v>
          </cell>
          <cell r="F2350">
            <v>16.649999999999999</v>
          </cell>
        </row>
        <row r="2351">
          <cell r="A2351" t="str">
            <v>410961</v>
          </cell>
          <cell r="B2351" t="str">
            <v>Reator eletrônico de alto fator de potência com partida instantânea, para duas lâmpadas fluorescentes tubulares, base bipino bilateral, 28 W - 220 V</v>
          </cell>
          <cell r="C2351" t="str">
            <v>un</v>
          </cell>
          <cell r="D2351">
            <v>37.119999999999997</v>
          </cell>
          <cell r="E2351">
            <v>4.55</v>
          </cell>
          <cell r="F2351">
            <v>41.67</v>
          </cell>
        </row>
        <row r="2352">
          <cell r="A2352" t="str">
            <v>410963</v>
          </cell>
          <cell r="B2352" t="str">
            <v>Reator eletrônico de alto fator de potência com partida instantânea, para uma lâmpada fluorescente tubular, base bipino bilateral, 32 W - 127 V / 220 V</v>
          </cell>
          <cell r="C2352" t="str">
            <v>un</v>
          </cell>
          <cell r="D2352">
            <v>13.83</v>
          </cell>
          <cell r="E2352">
            <v>4.55</v>
          </cell>
          <cell r="F2352">
            <v>18.38</v>
          </cell>
        </row>
        <row r="2353">
          <cell r="A2353" t="str">
            <v>410965</v>
          </cell>
          <cell r="B2353" t="str">
            <v>Reator eletrônico de alto fator de potência com partida instantânea, para uma lâmpada fluorescente tubular ´HO´, base bipino bilateral, 110 W - 220 V</v>
          </cell>
          <cell r="C2353" t="str">
            <v>un</v>
          </cell>
          <cell r="D2353">
            <v>32.9</v>
          </cell>
          <cell r="E2353">
            <v>4.55</v>
          </cell>
          <cell r="F2353">
            <v>37.450000000000003</v>
          </cell>
        </row>
        <row r="2354">
          <cell r="A2354" t="str">
            <v>410972</v>
          </cell>
          <cell r="B2354" t="str">
            <v>Reator eletrônico de alto fator de potência com partida instantânea, para duas lâmpadas fluorescentes tubulares, base bipino bilateral, 16 W - 127 V / 220 V</v>
          </cell>
          <cell r="C2354" t="str">
            <v>un</v>
          </cell>
          <cell r="D2354">
            <v>14.26</v>
          </cell>
          <cell r="E2354">
            <v>9.1</v>
          </cell>
          <cell r="F2354">
            <v>23.36</v>
          </cell>
        </row>
        <row r="2355">
          <cell r="A2355" t="str">
            <v>410975</v>
          </cell>
          <cell r="B2355" t="str">
            <v>Reator eletrônico de alto fator de potência com partida instantânea, para duas lâmpadas fluorescentes tubulares, base bipino bilateral, 32 W - 127 V / 220 V</v>
          </cell>
          <cell r="C2355" t="str">
            <v>un</v>
          </cell>
          <cell r="D2355">
            <v>13.74</v>
          </cell>
          <cell r="E2355">
            <v>9.1</v>
          </cell>
          <cell r="F2355">
            <v>22.84</v>
          </cell>
        </row>
        <row r="2356">
          <cell r="A2356" t="str">
            <v>410983</v>
          </cell>
          <cell r="B2356" t="str">
            <v>Reator eletrônico de alto fator de potência com partida instantânea, para duas lâmpadas fluorescentes tubulares ´HO´, base bipino bilateral, 110 W - 220 V</v>
          </cell>
          <cell r="C2356" t="str">
            <v>un</v>
          </cell>
          <cell r="D2356">
            <v>48.69</v>
          </cell>
          <cell r="E2356">
            <v>9.1</v>
          </cell>
          <cell r="F2356">
            <v>57.79</v>
          </cell>
        </row>
        <row r="2357">
          <cell r="A2357" t="str">
            <v>410995</v>
          </cell>
          <cell r="B2357" t="str">
            <v>Reator eletrônico de alto fator de potência com partida instantânea, para duas lâmpadas fluorescentes compactas longas ´1U´, base 2G11, 36 W - 220 V</v>
          </cell>
          <cell r="C2357" t="str">
            <v>un</v>
          </cell>
          <cell r="D2357">
            <v>20.7</v>
          </cell>
          <cell r="E2357">
            <v>9.1</v>
          </cell>
          <cell r="F2357">
            <v>29.8</v>
          </cell>
        </row>
        <row r="2358">
          <cell r="A2358" t="str">
            <v>411006</v>
          </cell>
          <cell r="B2358" t="str">
            <v>Braço em tubo de ferro galvanizado de 1´ x 1,00 m para fixação de uma luminária</v>
          </cell>
          <cell r="C2358" t="str">
            <v>un</v>
          </cell>
          <cell r="D2358">
            <v>26.5</v>
          </cell>
          <cell r="E2358">
            <v>32.14</v>
          </cell>
          <cell r="F2358">
            <v>58.64</v>
          </cell>
        </row>
        <row r="2359">
          <cell r="A2359" t="str">
            <v>411007</v>
          </cell>
          <cell r="B2359" t="str">
            <v>Cruzeta reforçada em ferro galvanizado para fixação de quatro luminárias</v>
          </cell>
          <cell r="C2359" t="str">
            <v>un</v>
          </cell>
          <cell r="D2359">
            <v>241.87</v>
          </cell>
          <cell r="E2359">
            <v>32.14</v>
          </cell>
          <cell r="F2359">
            <v>274.01</v>
          </cell>
        </row>
        <row r="2360">
          <cell r="A2360" t="str">
            <v>411008</v>
          </cell>
          <cell r="B2360" t="str">
            <v>Cruzeta reforçada em ferro galvanizado para fixação de duas luminárias</v>
          </cell>
          <cell r="C2360" t="str">
            <v>un</v>
          </cell>
          <cell r="D2360">
            <v>133.13999999999999</v>
          </cell>
          <cell r="E2360">
            <v>32.14</v>
          </cell>
          <cell r="F2360">
            <v>165.28</v>
          </cell>
        </row>
        <row r="2361">
          <cell r="A2361" t="str">
            <v>411024</v>
          </cell>
          <cell r="B2361" t="str">
            <v>Poste telecônico curvo em aço SAE 1010/1020 galvanizado a fogo, altura de 7,0 m</v>
          </cell>
          <cell r="C2361" t="str">
            <v>un</v>
          </cell>
          <cell r="D2361">
            <v>827.18000000000006</v>
          </cell>
          <cell r="E2361">
            <v>145.09</v>
          </cell>
          <cell r="F2361">
            <v>972.27</v>
          </cell>
        </row>
        <row r="2362">
          <cell r="A2362" t="str">
            <v>411025</v>
          </cell>
          <cell r="B2362" t="str">
            <v>Poste telecônico curvo duplo em aço SAE 1010/1020 galvanizado a fogo, altura de 9,00 m</v>
          </cell>
          <cell r="C2362" t="str">
            <v>un</v>
          </cell>
          <cell r="D2362">
            <v>1189.06</v>
          </cell>
          <cell r="E2362">
            <v>145.09</v>
          </cell>
          <cell r="F2362">
            <v>1334.15</v>
          </cell>
        </row>
        <row r="2363">
          <cell r="A2363" t="str">
            <v>411026</v>
          </cell>
          <cell r="B2363" t="str">
            <v>Poste telecônico curvo em aço SAE 1010/1020 galvanizado a fogo, altura de 8,00 m</v>
          </cell>
          <cell r="C2363" t="str">
            <v>un</v>
          </cell>
          <cell r="D2363">
            <v>921.52</v>
          </cell>
          <cell r="E2363">
            <v>145.09</v>
          </cell>
          <cell r="F2363">
            <v>1066.6099999999999</v>
          </cell>
        </row>
        <row r="2364">
          <cell r="A2364" t="str">
            <v>411028</v>
          </cell>
          <cell r="B2364" t="str">
            <v>Poste telecônico curvo em aço SAE 1010/1020 galvanizado a fogo, altura de 10,00 m</v>
          </cell>
          <cell r="C2364" t="str">
            <v>un</v>
          </cell>
          <cell r="D2364">
            <v>1132.6500000000001</v>
          </cell>
          <cell r="E2364">
            <v>145.09</v>
          </cell>
          <cell r="F2364">
            <v>1277.74</v>
          </cell>
        </row>
        <row r="2365">
          <cell r="A2365" t="str">
            <v>411032</v>
          </cell>
          <cell r="B2365" t="str">
            <v>Poste telecônico reto em aço SAE 1010/1020 galvanizado a fogo, altura de 15,00 m</v>
          </cell>
          <cell r="C2365" t="str">
            <v>un</v>
          </cell>
          <cell r="D2365">
            <v>2094.09</v>
          </cell>
          <cell r="E2365">
            <v>53.44</v>
          </cell>
          <cell r="F2365">
            <v>2147.5300000000002</v>
          </cell>
        </row>
        <row r="2366">
          <cell r="A2366" t="str">
            <v>411033</v>
          </cell>
          <cell r="B2366" t="str">
            <v>Poste telecônico reto em aço SAE 1010/1020 galvanizado a fogo, altura de 10,00 m</v>
          </cell>
          <cell r="C2366" t="str">
            <v>un</v>
          </cell>
          <cell r="D2366">
            <v>1168.52</v>
          </cell>
          <cell r="E2366">
            <v>53.44</v>
          </cell>
          <cell r="F2366">
            <v>1221.96</v>
          </cell>
        </row>
        <row r="2367">
          <cell r="A2367" t="str">
            <v>411034</v>
          </cell>
          <cell r="B2367" t="str">
            <v>Poste telecônico reto em aço SAE 1010/1020 galvanizado a fogo, altura de 8,00 m</v>
          </cell>
          <cell r="C2367" t="str">
            <v>un</v>
          </cell>
          <cell r="D2367">
            <v>895.06000000000006</v>
          </cell>
          <cell r="E2367">
            <v>53.44</v>
          </cell>
          <cell r="F2367">
            <v>948.5</v>
          </cell>
        </row>
        <row r="2368">
          <cell r="A2368" t="str">
            <v>411039</v>
          </cell>
          <cell r="B2368" t="str">
            <v>Poste telecônico reto em aço SAE 1010/1020 galvanizado a fogo, altura de 9,00 m</v>
          </cell>
          <cell r="C2368" t="str">
            <v>un</v>
          </cell>
          <cell r="D2368">
            <v>1036.51</v>
          </cell>
          <cell r="E2368">
            <v>53.44</v>
          </cell>
          <cell r="F2368">
            <v>1089.95</v>
          </cell>
        </row>
        <row r="2369">
          <cell r="A2369" t="str">
            <v>411040</v>
          </cell>
          <cell r="B2369" t="str">
            <v>Poste telecônico em aço SAE 1010/1020 galvanizado a fogo, com espera para uma luminária, altura de 3,00 m</v>
          </cell>
          <cell r="C2369" t="str">
            <v>un</v>
          </cell>
          <cell r="D2369">
            <v>276.51</v>
          </cell>
          <cell r="E2369">
            <v>34.520000000000003</v>
          </cell>
          <cell r="F2369">
            <v>311.02999999999997</v>
          </cell>
        </row>
        <row r="2370">
          <cell r="A2370" t="str">
            <v>411041</v>
          </cell>
          <cell r="B2370" t="str">
            <v>Poste telecônico em aço SAE 1010/1020 galvanizado a fogo, com espera para duas luminárias, altura de 3,00 m</v>
          </cell>
          <cell r="C2370" t="str">
            <v>un</v>
          </cell>
          <cell r="D2370">
            <v>319.52999999999997</v>
          </cell>
          <cell r="E2370">
            <v>34.520000000000003</v>
          </cell>
          <cell r="F2370">
            <v>354.05</v>
          </cell>
        </row>
        <row r="2371">
          <cell r="A2371" t="str">
            <v>411042</v>
          </cell>
          <cell r="B2371" t="str">
            <v>Poste telecônico reto em aço SAE 1010/1020 galvanizado a fogo, altura de 12,00 m</v>
          </cell>
          <cell r="C2371" t="str">
            <v>un</v>
          </cell>
          <cell r="D2371">
            <v>1504.82</v>
          </cell>
          <cell r="E2371">
            <v>53.44</v>
          </cell>
          <cell r="F2371">
            <v>1558.26</v>
          </cell>
        </row>
        <row r="2372">
          <cell r="A2372" t="str">
            <v>411043</v>
          </cell>
          <cell r="B2372" t="str">
            <v>Poste telecônico reto em aço SAE 1010/1020 galvanizado a fogo, altura de 6,00 m</v>
          </cell>
          <cell r="C2372" t="str">
            <v>un</v>
          </cell>
          <cell r="D2372">
            <v>629.25</v>
          </cell>
          <cell r="E2372">
            <v>53.44</v>
          </cell>
          <cell r="F2372">
            <v>682.69</v>
          </cell>
        </row>
        <row r="2373">
          <cell r="A2373" t="str">
            <v>411044</v>
          </cell>
          <cell r="B2373" t="str">
            <v>Poste tubular reto em aço SAE 1010/1020, seção quadrada, altura de 7,50 m</v>
          </cell>
          <cell r="C2373" t="str">
            <v>un</v>
          </cell>
          <cell r="D2373">
            <v>303.7</v>
          </cell>
          <cell r="E2373">
            <v>34.520000000000003</v>
          </cell>
          <cell r="F2373">
            <v>338.22</v>
          </cell>
        </row>
        <row r="2374">
          <cell r="A2374" t="str">
            <v>411047</v>
          </cell>
          <cell r="B2374" t="str">
            <v>Poste telecônico curvo duplo para duas luminárias, em aço SAE 1010/1020 galvanizado a fogo, altura de 10,00 metros</v>
          </cell>
          <cell r="C2374" t="str">
            <v>un</v>
          </cell>
          <cell r="D2374">
            <v>1357.01</v>
          </cell>
          <cell r="E2374">
            <v>145.09</v>
          </cell>
          <cell r="F2374">
            <v>1502.1000000000001</v>
          </cell>
        </row>
        <row r="2375">
          <cell r="A2375" t="str">
            <v>411101</v>
          </cell>
          <cell r="B2375" t="str">
            <v>Luminária esferica fechada para iluminação decorativa externa</v>
          </cell>
          <cell r="C2375" t="str">
            <v>un</v>
          </cell>
          <cell r="D2375">
            <v>179.6</v>
          </cell>
          <cell r="E2375">
            <v>6.82</v>
          </cell>
          <cell r="F2375">
            <v>186.42000000000002</v>
          </cell>
        </row>
        <row r="2376">
          <cell r="A2376" t="str">
            <v>411102</v>
          </cell>
          <cell r="B2376" t="str">
            <v>Luminária fechada para iluminação pública, sem alojamento para reator</v>
          </cell>
          <cell r="C2376" t="str">
            <v>un</v>
          </cell>
          <cell r="D2376">
            <v>155.56</v>
          </cell>
          <cell r="E2376">
            <v>16.07</v>
          </cell>
          <cell r="F2376">
            <v>171.63</v>
          </cell>
        </row>
        <row r="2377">
          <cell r="A2377" t="str">
            <v>411106</v>
          </cell>
          <cell r="B2377" t="str">
            <v>Luminária fechada para iluminação pública tipo pétala pequena</v>
          </cell>
          <cell r="C2377" t="str">
            <v>un</v>
          </cell>
          <cell r="D2377">
            <v>357.81</v>
          </cell>
          <cell r="E2377">
            <v>16.07</v>
          </cell>
          <cell r="F2377">
            <v>373.88</v>
          </cell>
        </row>
        <row r="2378">
          <cell r="A2378" t="str">
            <v>411109</v>
          </cell>
          <cell r="B2378" t="str">
            <v>Luminária com corpo em tubo de alumínio tipo balizador para uso externo</v>
          </cell>
          <cell r="C2378" t="str">
            <v>un</v>
          </cell>
          <cell r="D2378">
            <v>82.86</v>
          </cell>
          <cell r="E2378">
            <v>6.82</v>
          </cell>
          <cell r="F2378">
            <v>89.68</v>
          </cell>
        </row>
        <row r="2379">
          <cell r="A2379" t="str">
            <v>411110</v>
          </cell>
          <cell r="B2379" t="str">
            <v>Luminária retangular fechada para iluminação externa em poste, tipo pétala grande</v>
          </cell>
          <cell r="C2379" t="str">
            <v>un</v>
          </cell>
          <cell r="D2379">
            <v>219.16</v>
          </cell>
          <cell r="E2379">
            <v>16.07</v>
          </cell>
          <cell r="F2379">
            <v>235.23000000000002</v>
          </cell>
        </row>
        <row r="2380">
          <cell r="A2380" t="str">
            <v>411111</v>
          </cell>
          <cell r="B2380" t="str">
            <v>Luminária retangular fechada para iluminação externa em poste, tipo pétala pequena</v>
          </cell>
          <cell r="C2380" t="str">
            <v>un</v>
          </cell>
          <cell r="D2380">
            <v>189.39000000000001</v>
          </cell>
          <cell r="E2380">
            <v>16.07</v>
          </cell>
          <cell r="F2380">
            <v>205.46</v>
          </cell>
        </row>
        <row r="2381">
          <cell r="A2381" t="str">
            <v>411112</v>
          </cell>
          <cell r="B2381" t="str">
            <v>Luminária arandela retangular fechada para iluminação externa, tipo pétala pequena</v>
          </cell>
          <cell r="C2381" t="str">
            <v>un</v>
          </cell>
          <cell r="D2381">
            <v>137.91999999999999</v>
          </cell>
          <cell r="E2381">
            <v>16.07</v>
          </cell>
          <cell r="F2381">
            <v>153.99</v>
          </cell>
        </row>
        <row r="2382">
          <cell r="A2382" t="str">
            <v>411116</v>
          </cell>
          <cell r="B2382" t="str">
            <v>Luminária pública fechada tipo pétala, com alojamento para reator, com abertura na parte superior</v>
          </cell>
          <cell r="C2382" t="str">
            <v>un</v>
          </cell>
          <cell r="D2382">
            <v>281.2</v>
          </cell>
          <cell r="E2382">
            <v>16.07</v>
          </cell>
          <cell r="F2382">
            <v>297.27</v>
          </cell>
        </row>
        <row r="2383">
          <cell r="A2383" t="str">
            <v>411144</v>
          </cell>
          <cell r="B2383" t="str">
            <v>Suporte tubular de fixação em poste para 1 luminária tipo pétala</v>
          </cell>
          <cell r="C2383" t="str">
            <v>un</v>
          </cell>
          <cell r="D2383">
            <v>36.65</v>
          </cell>
          <cell r="E2383">
            <v>6.82</v>
          </cell>
          <cell r="F2383">
            <v>43.47</v>
          </cell>
        </row>
        <row r="2384">
          <cell r="A2384" t="str">
            <v>411145</v>
          </cell>
          <cell r="B2384" t="str">
            <v>Suporte tubular de fixação em poste para 2 luminárias tipo pétala</v>
          </cell>
          <cell r="C2384" t="str">
            <v>un</v>
          </cell>
          <cell r="D2384">
            <v>50.550000000000004</v>
          </cell>
          <cell r="E2384">
            <v>6.82</v>
          </cell>
          <cell r="F2384">
            <v>57.370000000000005</v>
          </cell>
        </row>
        <row r="2385">
          <cell r="A2385" t="str">
            <v>411146</v>
          </cell>
          <cell r="B2385" t="str">
            <v>Suporte tubular de fixação em poste para 3 luminárias tipo pétala</v>
          </cell>
          <cell r="C2385" t="str">
            <v>un</v>
          </cell>
          <cell r="D2385">
            <v>64.02</v>
          </cell>
          <cell r="E2385">
            <v>6.82</v>
          </cell>
          <cell r="F2385">
            <v>70.84</v>
          </cell>
        </row>
        <row r="2386">
          <cell r="A2386" t="str">
            <v>411147</v>
          </cell>
          <cell r="B2386" t="str">
            <v>Suporte tubular de fixação em poste para 4 luminárias tipo pétala</v>
          </cell>
          <cell r="C2386" t="str">
            <v>un</v>
          </cell>
          <cell r="D2386">
            <v>82.13</v>
          </cell>
          <cell r="E2386">
            <v>6.82</v>
          </cell>
          <cell r="F2386">
            <v>88.95</v>
          </cell>
        </row>
        <row r="2387">
          <cell r="A2387" t="str">
            <v>411205</v>
          </cell>
          <cell r="B2387" t="str">
            <v>Projetor retangular fechado, com alojamento para reator, para lâmpadas vapor de sódio até 400 W</v>
          </cell>
          <cell r="C2387" t="str">
            <v>un</v>
          </cell>
          <cell r="D2387">
            <v>466.19</v>
          </cell>
          <cell r="E2387">
            <v>11.370000000000001</v>
          </cell>
          <cell r="F2387">
            <v>477.56</v>
          </cell>
        </row>
        <row r="2388">
          <cell r="A2388" t="str">
            <v>411206</v>
          </cell>
          <cell r="B2388" t="str">
            <v>Projetor retangular fechado, para lâmpadas vapor de sódio 1000 W e vapor metálico 2000 W</v>
          </cell>
          <cell r="C2388" t="str">
            <v>un</v>
          </cell>
          <cell r="D2388">
            <v>611.79</v>
          </cell>
          <cell r="E2388">
            <v>11.370000000000001</v>
          </cell>
          <cell r="F2388">
            <v>623.16</v>
          </cell>
        </row>
        <row r="2389">
          <cell r="A2389" t="str">
            <v>411207</v>
          </cell>
          <cell r="B2389" t="str">
            <v>Projetor retangular fechado, para lâmpadas vapor metálico 70/150W e halógena 300/500W</v>
          </cell>
          <cell r="C2389" t="str">
            <v>un</v>
          </cell>
          <cell r="D2389">
            <v>240.42000000000002</v>
          </cell>
          <cell r="E2389">
            <v>11.370000000000001</v>
          </cell>
          <cell r="F2389">
            <v>251.79</v>
          </cell>
        </row>
        <row r="2390">
          <cell r="A2390" t="str">
            <v>411208</v>
          </cell>
          <cell r="B2390" t="str">
            <v>Projetor retangular fechado, para lâmpadas vapor metálico e sódio 250/400W</v>
          </cell>
          <cell r="C2390" t="str">
            <v>un</v>
          </cell>
          <cell r="D2390">
            <v>201.95000000000002</v>
          </cell>
          <cell r="E2390">
            <v>11.370000000000001</v>
          </cell>
          <cell r="F2390">
            <v>213.32</v>
          </cell>
        </row>
        <row r="2391">
          <cell r="A2391" t="str">
            <v>411209</v>
          </cell>
          <cell r="B2391" t="str">
            <v>Projetor cônico fechado, para lâmpadas vapor metálico e sódio 250/400W, mista 250/500W</v>
          </cell>
          <cell r="C2391" t="str">
            <v>un</v>
          </cell>
          <cell r="D2391">
            <v>244.71</v>
          </cell>
          <cell r="E2391">
            <v>11.370000000000001</v>
          </cell>
          <cell r="F2391">
            <v>256.08</v>
          </cell>
        </row>
        <row r="2392">
          <cell r="A2392" t="str">
            <v>411213</v>
          </cell>
          <cell r="B2392" t="str">
            <v>Projetor retangular fechado, uso abrigado, para lâmpadas vapor metálico e sódio 250/400W</v>
          </cell>
          <cell r="C2392" t="str">
            <v>un</v>
          </cell>
          <cell r="D2392">
            <v>173.33</v>
          </cell>
          <cell r="E2392">
            <v>11.370000000000001</v>
          </cell>
          <cell r="F2392">
            <v>184.70000000000002</v>
          </cell>
        </row>
        <row r="2393">
          <cell r="A2393" t="str">
            <v>411216</v>
          </cell>
          <cell r="B2393" t="str">
            <v>Projetor retangular fechado, para lâmpada halógena de 1000 W</v>
          </cell>
          <cell r="C2393" t="str">
            <v>un</v>
          </cell>
          <cell r="D2393">
            <v>152.41999999999999</v>
          </cell>
          <cell r="E2393">
            <v>11.370000000000001</v>
          </cell>
          <cell r="F2393">
            <v>163.79</v>
          </cell>
        </row>
        <row r="2394">
          <cell r="A2394" t="str">
            <v>411219</v>
          </cell>
          <cell r="B2394" t="str">
            <v>Projetor de sobrepor com foco orientável, para lâmpada valor metálico ou vapor de sódio 250/400 W</v>
          </cell>
          <cell r="C2394" t="str">
            <v>un</v>
          </cell>
          <cell r="D2394">
            <v>375.54</v>
          </cell>
          <cell r="E2394">
            <v>11.370000000000001</v>
          </cell>
          <cell r="F2394">
            <v>386.91</v>
          </cell>
        </row>
        <row r="2395">
          <cell r="A2395" t="str">
            <v>411302</v>
          </cell>
          <cell r="B2395" t="str">
            <v>Luminária blindada, oval, de sobrepor ou arandela para lâmpada incandescente 100 W</v>
          </cell>
          <cell r="C2395" t="str">
            <v>un</v>
          </cell>
          <cell r="D2395">
            <v>50.77</v>
          </cell>
          <cell r="E2395">
            <v>9.1</v>
          </cell>
          <cell r="F2395">
            <v>59.870000000000005</v>
          </cell>
        </row>
        <row r="2396">
          <cell r="A2396" t="str">
            <v>411303</v>
          </cell>
          <cell r="B2396" t="str">
            <v>Luminária blindada, retangular, de embutir para lâmpadas incandescente 200 W e mista 160 W</v>
          </cell>
          <cell r="C2396" t="str">
            <v>un</v>
          </cell>
          <cell r="D2396">
            <v>96.39</v>
          </cell>
          <cell r="E2396">
            <v>9.1</v>
          </cell>
          <cell r="F2396">
            <v>105.49000000000001</v>
          </cell>
        </row>
        <row r="2397">
          <cell r="A2397" t="str">
            <v>411304</v>
          </cell>
          <cell r="B2397" t="str">
            <v>Luminária blindada de sobrepor ou pendente em calha fechada para 1 lâmpada fluorescente de 32/36/40W</v>
          </cell>
          <cell r="C2397" t="str">
            <v>un</v>
          </cell>
          <cell r="D2397">
            <v>97.86</v>
          </cell>
          <cell r="E2397">
            <v>9.1</v>
          </cell>
          <cell r="F2397">
            <v>106.96000000000001</v>
          </cell>
        </row>
        <row r="2398">
          <cell r="A2398" t="str">
            <v>411305</v>
          </cell>
          <cell r="B2398" t="str">
            <v>Luminária blindada de sobrepor ou pendente em calha fechada para 2 lâmpadas fluorescentes de 32/36/40W</v>
          </cell>
          <cell r="C2398" t="str">
            <v>un</v>
          </cell>
          <cell r="D2398">
            <v>102.84</v>
          </cell>
          <cell r="E2398">
            <v>9.1</v>
          </cell>
          <cell r="F2398">
            <v>111.94</v>
          </cell>
        </row>
        <row r="2399">
          <cell r="A2399" t="str">
            <v>411306</v>
          </cell>
          <cell r="B2399" t="str">
            <v>Luminária blindada de sobrepor ou pendente em calha fechada para 4 lâmpadas fluorescentes de 32/36/40W</v>
          </cell>
          <cell r="C2399" t="str">
            <v>un</v>
          </cell>
          <cell r="D2399">
            <v>178.13</v>
          </cell>
          <cell r="E2399">
            <v>9.1</v>
          </cell>
          <cell r="F2399">
            <v>187.23</v>
          </cell>
        </row>
        <row r="2400">
          <cell r="A2400" t="str">
            <v>411308</v>
          </cell>
          <cell r="B2400" t="str">
            <v>Luminária blindada plafonier para lâmpada incandescente 300W e mista 250W</v>
          </cell>
          <cell r="C2400" t="str">
            <v>un</v>
          </cell>
          <cell r="D2400">
            <v>82.76</v>
          </cell>
          <cell r="E2400">
            <v>9.1</v>
          </cell>
          <cell r="F2400">
            <v>91.86</v>
          </cell>
        </row>
        <row r="2401">
          <cell r="A2401" t="str">
            <v>411309</v>
          </cell>
          <cell r="B2401" t="str">
            <v>Luminária blindada pendente para lâmpada incandescente 300W e mista 250W</v>
          </cell>
          <cell r="C2401" t="str">
            <v>un</v>
          </cell>
          <cell r="D2401">
            <v>80.84</v>
          </cell>
          <cell r="E2401">
            <v>9.1</v>
          </cell>
          <cell r="F2401">
            <v>89.94</v>
          </cell>
        </row>
        <row r="2402">
          <cell r="A2402" t="str">
            <v>411310</v>
          </cell>
          <cell r="B2402" t="str">
            <v>Luminária blindada arandela 45º e 90º, para lâmpada mista, vapor metálico, de mercúrio e de sódio, fluorescente compacta e incandescente de 300W</v>
          </cell>
          <cell r="C2402" t="str">
            <v>un</v>
          </cell>
          <cell r="D2402">
            <v>94.23</v>
          </cell>
          <cell r="E2402">
            <v>9.1</v>
          </cell>
          <cell r="F2402">
            <v>103.33</v>
          </cell>
        </row>
        <row r="2403">
          <cell r="A2403" t="str">
            <v>411317</v>
          </cell>
          <cell r="B2403" t="str">
            <v>Luminária blindada, arandela 45º e 90º, para lâmpada mista, vapor metálico, de mercúrio e de sódio, fluorescente compacta e incandescente de 200W</v>
          </cell>
          <cell r="C2403" t="str">
            <v>un</v>
          </cell>
          <cell r="D2403">
            <v>89.05</v>
          </cell>
          <cell r="E2403">
            <v>9.1</v>
          </cell>
          <cell r="F2403">
            <v>98.15</v>
          </cell>
        </row>
        <row r="2404">
          <cell r="A2404" t="str">
            <v>411318</v>
          </cell>
          <cell r="B2404" t="str">
            <v>Luminária blindada, arandela 45º e 90º, para lâmpada fluorescente compacta e incandescente de 100W</v>
          </cell>
          <cell r="C2404" t="str">
            <v>un</v>
          </cell>
          <cell r="D2404">
            <v>65.56</v>
          </cell>
          <cell r="E2404">
            <v>9.1</v>
          </cell>
          <cell r="F2404">
            <v>74.66</v>
          </cell>
        </row>
        <row r="2405">
          <cell r="A2405" t="str">
            <v>411401</v>
          </cell>
          <cell r="B2405" t="str">
            <v>Luminária industrial econômica redonda</v>
          </cell>
          <cell r="C2405" t="str">
            <v>un</v>
          </cell>
          <cell r="D2405">
            <v>100.15</v>
          </cell>
          <cell r="E2405">
            <v>9.1</v>
          </cell>
          <cell r="F2405">
            <v>109.25</v>
          </cell>
        </row>
        <row r="2406">
          <cell r="A2406" t="str">
            <v>411402</v>
          </cell>
          <cell r="B2406" t="str">
            <v>Luminária de embutir em calha fechada para 2 lâmpadas fluorescentes de 32/36W</v>
          </cell>
          <cell r="C2406" t="str">
            <v>un</v>
          </cell>
          <cell r="D2406">
            <v>117.48</v>
          </cell>
          <cell r="E2406">
            <v>9.1</v>
          </cell>
          <cell r="F2406">
            <v>126.58</v>
          </cell>
        </row>
        <row r="2407">
          <cell r="A2407" t="str">
            <v>411403</v>
          </cell>
          <cell r="B2407" t="str">
            <v>Luminária de embutir em calha fechada para 4 lâmpadas fluorescentes de 32/40W</v>
          </cell>
          <cell r="C2407" t="str">
            <v>un</v>
          </cell>
          <cell r="D2407">
            <v>146.77000000000001</v>
          </cell>
          <cell r="E2407">
            <v>9.1</v>
          </cell>
          <cell r="F2407">
            <v>155.87</v>
          </cell>
        </row>
        <row r="2408">
          <cell r="A2408" t="str">
            <v>411404</v>
          </cell>
          <cell r="B2408" t="str">
            <v>Luminária de embutir em calha aberta para 2 lâmpadas fluorescentes de 32/40W</v>
          </cell>
          <cell r="C2408" t="str">
            <v>un</v>
          </cell>
          <cell r="D2408">
            <v>39.229999999999997</v>
          </cell>
          <cell r="E2408">
            <v>9.1</v>
          </cell>
          <cell r="F2408">
            <v>48.33</v>
          </cell>
        </row>
        <row r="2409">
          <cell r="A2409" t="str">
            <v>411406</v>
          </cell>
          <cell r="B2409" t="str">
            <v>Luminária de sobrepor ou pendente em calha aberta para 1 lâmpada fluorescente de 32/40W</v>
          </cell>
          <cell r="C2409" t="str">
            <v>un</v>
          </cell>
          <cell r="D2409">
            <v>31.310000000000002</v>
          </cell>
          <cell r="E2409">
            <v>9.1</v>
          </cell>
          <cell r="F2409">
            <v>40.409999999999997</v>
          </cell>
        </row>
        <row r="2410">
          <cell r="A2410" t="str">
            <v>411407</v>
          </cell>
          <cell r="B2410" t="str">
            <v>Luminária de sobrepor em calha aberta para 2 lâmpadas fluorescentes de 32/40W</v>
          </cell>
          <cell r="C2410" t="str">
            <v>un</v>
          </cell>
          <cell r="D2410">
            <v>33.82</v>
          </cell>
          <cell r="E2410">
            <v>9.1</v>
          </cell>
          <cell r="F2410">
            <v>42.92</v>
          </cell>
        </row>
        <row r="2411">
          <cell r="A2411" t="str">
            <v>411408</v>
          </cell>
          <cell r="B2411" t="str">
            <v>Luminária de sobrepor ou pendente em calha aberta para 4 lâmpadas fluorescentes de 32/40W</v>
          </cell>
          <cell r="C2411" t="str">
            <v>un</v>
          </cell>
          <cell r="D2411">
            <v>53.7</v>
          </cell>
          <cell r="E2411">
            <v>9.1</v>
          </cell>
          <cell r="F2411">
            <v>62.800000000000004</v>
          </cell>
        </row>
        <row r="2412">
          <cell r="A2412" t="str">
            <v>411409</v>
          </cell>
          <cell r="B2412" t="str">
            <v>Luminária de sobrepor ou pendente em calha fechada para 2 lâmpadas fluorescentes de 32/40W</v>
          </cell>
          <cell r="C2412" t="str">
            <v>un</v>
          </cell>
          <cell r="D2412">
            <v>123.74000000000001</v>
          </cell>
          <cell r="E2412">
            <v>9.1</v>
          </cell>
          <cell r="F2412">
            <v>132.84</v>
          </cell>
        </row>
        <row r="2413">
          <cell r="A2413" t="str">
            <v>411410</v>
          </cell>
          <cell r="B2413" t="str">
            <v>Luminária de sobrepor ou pendente em calha fechada para 4 lâmpadas fluorescentes de 32/40W</v>
          </cell>
          <cell r="C2413" t="str">
            <v>un</v>
          </cell>
          <cell r="D2413">
            <v>164.07</v>
          </cell>
          <cell r="E2413">
            <v>9.1</v>
          </cell>
          <cell r="F2413">
            <v>173.17000000000002</v>
          </cell>
        </row>
        <row r="2414">
          <cell r="A2414" t="str">
            <v>411411</v>
          </cell>
          <cell r="B2414" t="str">
            <v>Luminária de sobrepor ou pendente em calha aberta para 1 lâmpada fluorescente de 110W</v>
          </cell>
          <cell r="C2414" t="str">
            <v>un</v>
          </cell>
          <cell r="D2414">
            <v>38.770000000000003</v>
          </cell>
          <cell r="E2414">
            <v>9.1</v>
          </cell>
          <cell r="F2414">
            <v>47.870000000000005</v>
          </cell>
        </row>
        <row r="2415">
          <cell r="A2415" t="str">
            <v>411412</v>
          </cell>
          <cell r="B2415" t="str">
            <v>Luminária de sobrepor ou pendente em calha aberta para 2 lâmpadas fluorescentes de 110W</v>
          </cell>
          <cell r="C2415" t="str">
            <v>un</v>
          </cell>
          <cell r="D2415">
            <v>51.65</v>
          </cell>
          <cell r="E2415">
            <v>9.1</v>
          </cell>
          <cell r="F2415">
            <v>60.75</v>
          </cell>
        </row>
        <row r="2416">
          <cell r="A2416" t="str">
            <v>411413</v>
          </cell>
          <cell r="B2416" t="str">
            <v>Luminária de embutir em calha aberta para 2 lâmpadas fluorescentes de 16/18/20W</v>
          </cell>
          <cell r="C2416" t="str">
            <v>un</v>
          </cell>
          <cell r="D2416">
            <v>34.15</v>
          </cell>
          <cell r="E2416">
            <v>9.1</v>
          </cell>
          <cell r="F2416">
            <v>43.25</v>
          </cell>
        </row>
        <row r="2417">
          <cell r="A2417" t="str">
            <v>411416</v>
          </cell>
          <cell r="B2417" t="str">
            <v>Luminária de sobrepor ou pendente em calha com aletas parabólicas para 2 lâmpadas fluorescentes de 32/36W</v>
          </cell>
          <cell r="C2417" t="str">
            <v>un</v>
          </cell>
          <cell r="D2417">
            <v>137.44</v>
          </cell>
          <cell r="E2417">
            <v>9.1</v>
          </cell>
          <cell r="F2417">
            <v>146.54</v>
          </cell>
        </row>
        <row r="2418">
          <cell r="A2418" t="str">
            <v>411417</v>
          </cell>
          <cell r="B2418" t="str">
            <v>Luminária pendente para instalação em perfilado com calha aberta para 1 ou 2 lâmpadas fluorescentes de 110W</v>
          </cell>
          <cell r="C2418" t="str">
            <v>un</v>
          </cell>
          <cell r="D2418">
            <v>103.56</v>
          </cell>
          <cell r="E2418">
            <v>9.1</v>
          </cell>
          <cell r="F2418">
            <v>112.66</v>
          </cell>
        </row>
        <row r="2419">
          <cell r="A2419" t="str">
            <v>411418</v>
          </cell>
          <cell r="B2419" t="str">
            <v>Luminária industrial pendente para instalação em perfilado com refletor acrílico redondo, para 1 lâmpada vapor metálico até 400W</v>
          </cell>
          <cell r="C2419" t="str">
            <v>un</v>
          </cell>
          <cell r="D2419">
            <v>249.45000000000002</v>
          </cell>
          <cell r="E2419">
            <v>6.82</v>
          </cell>
          <cell r="F2419">
            <v>256.27</v>
          </cell>
        </row>
        <row r="2420">
          <cell r="A2420" t="str">
            <v>411421</v>
          </cell>
          <cell r="B2420" t="str">
            <v>Luminária de embutir em calha com aletas planas para 2 lâmpadas fluorescentes compactas de 18W/26W</v>
          </cell>
          <cell r="C2420" t="str">
            <v>un</v>
          </cell>
          <cell r="D2420">
            <v>43.69</v>
          </cell>
          <cell r="E2420">
            <v>11.370000000000001</v>
          </cell>
          <cell r="F2420">
            <v>55.06</v>
          </cell>
        </row>
        <row r="2421">
          <cell r="A2421" t="str">
            <v>411422</v>
          </cell>
          <cell r="B2421" t="str">
            <v>Luminária de sobrepor ou pendente em calha com aletas planas para 2 lâmpadas fluorescentes compactas de 18W/26W</v>
          </cell>
          <cell r="C2421" t="str">
            <v>un</v>
          </cell>
          <cell r="D2421">
            <v>39.619999999999997</v>
          </cell>
          <cell r="E2421">
            <v>11.370000000000001</v>
          </cell>
          <cell r="F2421">
            <v>50.99</v>
          </cell>
        </row>
        <row r="2422">
          <cell r="A2422" t="str">
            <v>411428</v>
          </cell>
          <cell r="B2422" t="str">
            <v>Luminária de sobrepor em calha aberta com cabeceiras para 2 lâmpadas fluorescentes 32/36W</v>
          </cell>
          <cell r="C2422" t="str">
            <v>un</v>
          </cell>
          <cell r="D2422">
            <v>51.53</v>
          </cell>
          <cell r="E2422">
            <v>9.1</v>
          </cell>
          <cell r="F2422">
            <v>60.63</v>
          </cell>
        </row>
        <row r="2423">
          <cell r="A2423" t="str">
            <v>411431</v>
          </cell>
          <cell r="B2423" t="str">
            <v>Luminária de embutir redonda para 1 ou 2 lâmpadas fluorescentes compactas de 15/18/20/26W</v>
          </cell>
          <cell r="C2423" t="str">
            <v>un</v>
          </cell>
          <cell r="D2423">
            <v>60.59</v>
          </cell>
          <cell r="E2423">
            <v>9.1</v>
          </cell>
          <cell r="F2423">
            <v>69.69</v>
          </cell>
        </row>
        <row r="2424">
          <cell r="A2424" t="str">
            <v>411432</v>
          </cell>
          <cell r="B2424" t="str">
            <v>Luminária de sobrepor, tipo Spot orientável retangular para 1 lâmpada de vapor metálico de 70/150W</v>
          </cell>
          <cell r="C2424" t="str">
            <v>un</v>
          </cell>
          <cell r="D2424">
            <v>151.66999999999999</v>
          </cell>
          <cell r="E2424">
            <v>11.370000000000001</v>
          </cell>
          <cell r="F2424">
            <v>163.04</v>
          </cell>
        </row>
        <row r="2425">
          <cell r="A2425" t="str">
            <v>411436</v>
          </cell>
          <cell r="B2425" t="str">
            <v>Luminária pendente para instalação em perfilado, calha aberta com refletor para 2 lâmpadas fluorescentes de 32/36W</v>
          </cell>
          <cell r="C2425" t="str">
            <v>un</v>
          </cell>
          <cell r="D2425">
            <v>50.96</v>
          </cell>
          <cell r="E2425">
            <v>9.1</v>
          </cell>
          <cell r="F2425">
            <v>60.06</v>
          </cell>
        </row>
        <row r="2426">
          <cell r="A2426" t="str">
            <v>411439</v>
          </cell>
          <cell r="B2426" t="str">
            <v>Luminária de sobrepor em calha aberta com uma cabeceira para 2 lâmpadas fluorescentes 32/36W</v>
          </cell>
          <cell r="C2426" t="str">
            <v>un</v>
          </cell>
          <cell r="D2426">
            <v>71.3</v>
          </cell>
          <cell r="E2426">
            <v>9.1</v>
          </cell>
          <cell r="F2426">
            <v>80.400000000000006</v>
          </cell>
        </row>
        <row r="2427">
          <cell r="A2427" t="str">
            <v>411440</v>
          </cell>
          <cell r="B2427" t="str">
            <v>Luminária de embutir em calha com aletas parabólicas para 2 lâmpadas fluorescentes compactas longas de 36W</v>
          </cell>
          <cell r="C2427" t="str">
            <v>un</v>
          </cell>
          <cell r="D2427">
            <v>148.47</v>
          </cell>
          <cell r="E2427">
            <v>9.1</v>
          </cell>
          <cell r="F2427">
            <v>157.57</v>
          </cell>
        </row>
        <row r="2428">
          <cell r="A2428" t="str">
            <v>411443</v>
          </cell>
          <cell r="B2428" t="str">
            <v>Luminária de embutir em calha com refletor e aleta parabólicas, com acabamento alto brilho, para 4 lâmpadas fluorescentes de 16 W</v>
          </cell>
          <cell r="C2428" t="str">
            <v>un</v>
          </cell>
          <cell r="D2428">
            <v>103.32000000000001</v>
          </cell>
          <cell r="E2428">
            <v>9.1</v>
          </cell>
          <cell r="F2428">
            <v>112.42</v>
          </cell>
        </row>
        <row r="2429">
          <cell r="A2429" t="str">
            <v>411444</v>
          </cell>
          <cell r="B2429" t="str">
            <v>Luminária de embutir em calha com refletor e aleta parabólicas, com acabamento alto brilho, para 2 lâmpadas fluorescentes de 16 W</v>
          </cell>
          <cell r="C2429" t="str">
            <v>un</v>
          </cell>
          <cell r="D2429">
            <v>67.010000000000005</v>
          </cell>
          <cell r="E2429">
            <v>9.1</v>
          </cell>
          <cell r="F2429">
            <v>76.11</v>
          </cell>
        </row>
        <row r="2430">
          <cell r="A2430" t="str">
            <v>411445</v>
          </cell>
          <cell r="B2430" t="str">
            <v>Luminária de sobrepor ou pendente, com refletor em chapa de aço pintada, para 2 lâmpadas fluorescentes de 32/36 W</v>
          </cell>
          <cell r="C2430" t="str">
            <v>un</v>
          </cell>
          <cell r="D2430">
            <v>39.71</v>
          </cell>
          <cell r="E2430">
            <v>9.1</v>
          </cell>
          <cell r="F2430">
            <v>48.81</v>
          </cell>
        </row>
        <row r="2431">
          <cell r="A2431" t="str">
            <v>411447</v>
          </cell>
          <cell r="B2431" t="str">
            <v>Luminária de sobrepor ou pendente em calha aberta para 2 lâmpadas fluorescentes de 16 W</v>
          </cell>
          <cell r="C2431" t="str">
            <v>un</v>
          </cell>
          <cell r="D2431">
            <v>36.35</v>
          </cell>
          <cell r="E2431">
            <v>9.1</v>
          </cell>
          <cell r="F2431">
            <v>45.45</v>
          </cell>
        </row>
        <row r="2432">
          <cell r="A2432" t="str">
            <v>411451</v>
          </cell>
          <cell r="B2432" t="str">
            <v>Luminária industrial/comercial para instalação em perfilado, sem alojamento, para lâmpadas fluorescente eletrônica/vapor de sódio/metálico ou mista até 250 W</v>
          </cell>
          <cell r="C2432" t="str">
            <v>un</v>
          </cell>
          <cell r="D2432">
            <v>102.10000000000001</v>
          </cell>
          <cell r="E2432">
            <v>6.82</v>
          </cell>
          <cell r="F2432">
            <v>108.92</v>
          </cell>
        </row>
        <row r="2433">
          <cell r="A2433" t="str">
            <v>411453</v>
          </cell>
          <cell r="B2433" t="str">
            <v>Luminária circular de sobrepor, com refletor de alumínio anodizado, para 1 ou 2 lâmpadas fluorescentes compactas de 15/18/20/26 W</v>
          </cell>
          <cell r="C2433" t="str">
            <v>un</v>
          </cell>
          <cell r="D2433">
            <v>86.33</v>
          </cell>
          <cell r="E2433">
            <v>6.82</v>
          </cell>
          <cell r="F2433">
            <v>93.15</v>
          </cell>
        </row>
        <row r="2434">
          <cell r="A2434" t="str">
            <v>411454</v>
          </cell>
          <cell r="B2434" t="str">
            <v>Luminária de sobrepor em calha com aletas duplo parabólicas para 2 lâmpadas fluorescentes de 28 W</v>
          </cell>
          <cell r="C2434" t="str">
            <v>un</v>
          </cell>
          <cell r="D2434">
            <v>82.820000000000007</v>
          </cell>
          <cell r="E2434">
            <v>9.1</v>
          </cell>
          <cell r="F2434">
            <v>91.92</v>
          </cell>
        </row>
        <row r="2435">
          <cell r="A2435" t="str">
            <v>411455</v>
          </cell>
          <cell r="B2435" t="str">
            <v>Luminária de embutir em calha com aletas duplo parabólicas para 2 lâmpadas fluorescentes de 28 W</v>
          </cell>
          <cell r="C2435" t="str">
            <v>un</v>
          </cell>
          <cell r="D2435">
            <v>97.36</v>
          </cell>
          <cell r="E2435">
            <v>9.1</v>
          </cell>
          <cell r="F2435">
            <v>106.46000000000001</v>
          </cell>
        </row>
        <row r="2436">
          <cell r="A2436" t="str">
            <v>411456</v>
          </cell>
          <cell r="B2436" t="str">
            <v>Luminária de embutir em calha com aletas parabólicas para 2 lâmpadas fluorescentes de 32/36W</v>
          </cell>
          <cell r="C2436" t="str">
            <v>un</v>
          </cell>
          <cell r="D2436">
            <v>83.33</v>
          </cell>
          <cell r="E2436">
            <v>9.1</v>
          </cell>
          <cell r="F2436">
            <v>92.43</v>
          </cell>
        </row>
        <row r="2437">
          <cell r="A2437" t="str">
            <v>411459</v>
          </cell>
          <cell r="B2437" t="str">
            <v>Luminária de sobrepor ou pendente para 2 lâmpadas fluorescentes tubulares 14 W, em chapa de aço com pintura eletrostática e refletor com acabamento alto brilho</v>
          </cell>
          <cell r="C2437" t="str">
            <v>un</v>
          </cell>
          <cell r="D2437">
            <v>78.86</v>
          </cell>
          <cell r="E2437">
            <v>11.370000000000001</v>
          </cell>
          <cell r="F2437">
            <v>90.23</v>
          </cell>
        </row>
        <row r="2438">
          <cell r="A2438" t="str">
            <v>411460</v>
          </cell>
          <cell r="B2438" t="str">
            <v>Luminária de sobrepor ou pendente para 2 lâmpadas fluorescentes tubulares 28 W, em chapa de aço com pintura eletrostática e refletor com acabamento alto brilho</v>
          </cell>
          <cell r="C2438" t="str">
            <v>un</v>
          </cell>
          <cell r="D2438">
            <v>86.29</v>
          </cell>
          <cell r="E2438">
            <v>11.370000000000001</v>
          </cell>
          <cell r="F2438">
            <v>97.66</v>
          </cell>
        </row>
        <row r="2439">
          <cell r="A2439" t="str">
            <v>411461</v>
          </cell>
          <cell r="B2439" t="str">
            <v>Luminária de sobrepor para 2 lâmpadas fluorescentes tubulares 14W, chapa de aço com pintura eletrostática, refletor e aletas parabólicas em alumínio anodizado</v>
          </cell>
          <cell r="C2439" t="str">
            <v>un</v>
          </cell>
          <cell r="D2439">
            <v>101.34</v>
          </cell>
          <cell r="E2439">
            <v>11.370000000000001</v>
          </cell>
          <cell r="F2439">
            <v>112.71000000000001</v>
          </cell>
        </row>
        <row r="2440">
          <cell r="A2440" t="str">
            <v>411462</v>
          </cell>
          <cell r="B2440" t="str">
            <v>Luminária de sobrepor para 2 lâmpadas fluorescentes tubulares 28W, chapa de aço com pintura eletrostática, refletor e aletas parabólicas em alumínio anodizado</v>
          </cell>
          <cell r="C2440" t="str">
            <v>un</v>
          </cell>
          <cell r="D2440">
            <v>117.99000000000001</v>
          </cell>
          <cell r="E2440">
            <v>11.370000000000001</v>
          </cell>
          <cell r="F2440">
            <v>129.36000000000001</v>
          </cell>
        </row>
        <row r="2441">
          <cell r="A2441" t="str">
            <v>411463</v>
          </cell>
          <cell r="B2441" t="str">
            <v>Luminária de embutir para 2 lâmpadas fluorescentes tubulares 14 W, em chapa de aço com pintura eletrostática e refletor com acabamento alto brilho</v>
          </cell>
          <cell r="C2441" t="str">
            <v>un</v>
          </cell>
          <cell r="D2441">
            <v>90.98</v>
          </cell>
          <cell r="E2441">
            <v>11.370000000000001</v>
          </cell>
          <cell r="F2441">
            <v>102.35000000000001</v>
          </cell>
        </row>
        <row r="2442">
          <cell r="A2442" t="str">
            <v>411464</v>
          </cell>
          <cell r="B2442" t="str">
            <v>Luminária de embutir para 2 lâmpadas fluorescentes tubulares 28 W, em chapa de aço com pintura eletrostática e refletor com acabamento alto brilho</v>
          </cell>
          <cell r="C2442" t="str">
            <v>un</v>
          </cell>
          <cell r="D2442">
            <v>99.34</v>
          </cell>
          <cell r="E2442">
            <v>11.370000000000001</v>
          </cell>
          <cell r="F2442">
            <v>110.71000000000001</v>
          </cell>
        </row>
        <row r="2443">
          <cell r="A2443" t="str">
            <v>411465</v>
          </cell>
          <cell r="B2443" t="str">
            <v>Luminária de embutir para 2 lâmpadas fluorescentes tubulares 14 W em chapa de aço com pintura eletrostática, refletor e aletas parabólicas em alumínio anodizado</v>
          </cell>
          <cell r="C2443" t="str">
            <v>un</v>
          </cell>
          <cell r="D2443">
            <v>99.61</v>
          </cell>
          <cell r="E2443">
            <v>11.370000000000001</v>
          </cell>
          <cell r="F2443">
            <v>110.98</v>
          </cell>
        </row>
        <row r="2444">
          <cell r="A2444" t="str">
            <v>411466</v>
          </cell>
          <cell r="B2444" t="str">
            <v>Luminária de embutir para 2 lâmpadas fluorescentes tubulares 28 W em chapa de aço com pintura eletrostática, refletor e aletas parabólicas em alumínio anodizado</v>
          </cell>
          <cell r="C2444" t="str">
            <v>un</v>
          </cell>
          <cell r="D2444">
            <v>125.28</v>
          </cell>
          <cell r="E2444">
            <v>11.370000000000001</v>
          </cell>
          <cell r="F2444">
            <v>136.65</v>
          </cell>
        </row>
        <row r="2445">
          <cell r="A2445" t="str">
            <v>411467</v>
          </cell>
          <cell r="B2445" t="str">
            <v>Luminária triangular de sobrepor tipo arandela, para lâmpada incandescente até 100 W, ou fluorescente compacta eletrônica até 23 W</v>
          </cell>
          <cell r="C2445" t="str">
            <v>un</v>
          </cell>
          <cell r="D2445">
            <v>64.760000000000005</v>
          </cell>
          <cell r="E2445">
            <v>11.370000000000001</v>
          </cell>
          <cell r="F2445">
            <v>76.13</v>
          </cell>
        </row>
        <row r="2446">
          <cell r="A2446" t="str">
            <v>411468</v>
          </cell>
          <cell r="B2446" t="str">
            <v>Luminária cilíndrica de sobrepor tipo arandela, com pintura eletrostática, difusor em vidro cilíndrico leitoso, para 1 lâmpada incandescente de 60/100 W</v>
          </cell>
          <cell r="C2446" t="str">
            <v>un</v>
          </cell>
          <cell r="D2446">
            <v>148.5</v>
          </cell>
          <cell r="E2446">
            <v>11.370000000000001</v>
          </cell>
          <cell r="F2446">
            <v>159.87</v>
          </cell>
        </row>
        <row r="2447">
          <cell r="A2447" t="str">
            <v>411470</v>
          </cell>
          <cell r="B2447" t="str">
            <v>Luminária de sobrepor ou tipo arandela, calha fechada, para 1 lâmpada fluorescente tubular 28/54 W, difusor acrilico e acabamento em pintura eletrostática</v>
          </cell>
          <cell r="C2447" t="str">
            <v>un</v>
          </cell>
          <cell r="D2447">
            <v>194.45000000000002</v>
          </cell>
          <cell r="E2447">
            <v>11.370000000000001</v>
          </cell>
          <cell r="F2447">
            <v>205.82</v>
          </cell>
        </row>
        <row r="2448">
          <cell r="A2448" t="str">
            <v>411501</v>
          </cell>
          <cell r="B2448" t="str">
            <v>Luminária plafonier tipo drops pequeno para 1 lâmpada incandescente até 60 W</v>
          </cell>
          <cell r="C2448" t="str">
            <v>un</v>
          </cell>
          <cell r="D2448">
            <v>19.190000000000001</v>
          </cell>
          <cell r="E2448">
            <v>6.82</v>
          </cell>
          <cell r="F2448">
            <v>26.01</v>
          </cell>
        </row>
        <row r="2449">
          <cell r="A2449" t="str">
            <v>411502</v>
          </cell>
          <cell r="B2449" t="str">
            <v>Luminária plafonier tipo drops médio para 1 lâmpada incandescente até 100W</v>
          </cell>
          <cell r="C2449" t="str">
            <v>un</v>
          </cell>
          <cell r="D2449">
            <v>20.68</v>
          </cell>
          <cell r="E2449">
            <v>6.82</v>
          </cell>
          <cell r="F2449">
            <v>27.5</v>
          </cell>
        </row>
        <row r="2450">
          <cell r="A2450" t="str">
            <v>411503</v>
          </cell>
          <cell r="B2450" t="str">
            <v>Luminária plafonier tipo drops grande para 2 lâmpadas incandescentes até 60W</v>
          </cell>
          <cell r="C2450" t="str">
            <v>un</v>
          </cell>
          <cell r="D2450">
            <v>26.240000000000002</v>
          </cell>
          <cell r="E2450">
            <v>6.82</v>
          </cell>
          <cell r="F2450">
            <v>33.06</v>
          </cell>
        </row>
        <row r="2451">
          <cell r="A2451" t="str">
            <v>411504</v>
          </cell>
          <cell r="B2451" t="str">
            <v>Luminária tipo globo leitoso para 1 lâmpada incandescente até 150W</v>
          </cell>
          <cell r="C2451" t="str">
            <v>un</v>
          </cell>
          <cell r="D2451">
            <v>51.4</v>
          </cell>
          <cell r="E2451">
            <v>9.1</v>
          </cell>
          <cell r="F2451">
            <v>60.5</v>
          </cell>
        </row>
        <row r="2452">
          <cell r="A2452" t="str">
            <v>411506</v>
          </cell>
          <cell r="B2452" t="str">
            <v>Luminária de embutir em forro, média para 1 lâmpada incandescente até 100W</v>
          </cell>
          <cell r="C2452" t="str">
            <v>un</v>
          </cell>
          <cell r="D2452">
            <v>34.29</v>
          </cell>
          <cell r="E2452">
            <v>6.82</v>
          </cell>
          <cell r="F2452">
            <v>41.11</v>
          </cell>
        </row>
        <row r="2453">
          <cell r="A2453" t="str">
            <v>411513</v>
          </cell>
          <cell r="B2453" t="str">
            <v>Luminária plafonier de embutir com alojamento para 1 lâmpada halógena PAR 20 de 50W</v>
          </cell>
          <cell r="C2453" t="str">
            <v>un</v>
          </cell>
          <cell r="D2453">
            <v>14.11</v>
          </cell>
          <cell r="E2453">
            <v>6.82</v>
          </cell>
          <cell r="F2453">
            <v>20.93</v>
          </cell>
        </row>
        <row r="2454">
          <cell r="A2454" t="str">
            <v>411517</v>
          </cell>
          <cell r="B2454" t="str">
            <v>Luminária circular de embutir, com foco orientável e acessório antiofuscante, para 1 lâmpada dicróica de 50 W</v>
          </cell>
          <cell r="C2454" t="str">
            <v>un</v>
          </cell>
          <cell r="D2454">
            <v>23.830000000000002</v>
          </cell>
          <cell r="E2454">
            <v>6.82</v>
          </cell>
          <cell r="F2454">
            <v>30.650000000000002</v>
          </cell>
        </row>
        <row r="2455">
          <cell r="A2455" t="str">
            <v>411523</v>
          </cell>
          <cell r="B2455" t="str">
            <v>Luminária circular de embutir com lâmpada LED, fluxo luminoso 2000 LM, temperatura de cor 4000 K, IRC 85, e driver multitensão de 100 a 250 V</v>
          </cell>
          <cell r="C2455" t="str">
            <v>un</v>
          </cell>
          <cell r="D2455">
            <v>388.42</v>
          </cell>
          <cell r="E2455">
            <v>6.82</v>
          </cell>
          <cell r="F2455">
            <v>395.24</v>
          </cell>
        </row>
        <row r="2456">
          <cell r="A2456" t="str">
            <v>411524</v>
          </cell>
          <cell r="B2456" t="str">
            <v>Luminária tipo ´Spot´ para trilho, foco orientável, corpo em alumínio pintado, refletor em alumínio anodizado, para uma lâmpada halógena PAR30 de 75 W</v>
          </cell>
          <cell r="C2456" t="str">
            <v>un</v>
          </cell>
          <cell r="D2456">
            <v>69.23</v>
          </cell>
          <cell r="E2456">
            <v>6.82</v>
          </cell>
          <cell r="F2456">
            <v>76.05</v>
          </cell>
        </row>
        <row r="2457">
          <cell r="A2457" t="str">
            <v>412002</v>
          </cell>
          <cell r="B2457" t="str">
            <v>Recolocação de aparelhos de iluminação ou projetores fixos em teto, piso ou parede</v>
          </cell>
          <cell r="C2457" t="str">
            <v>un</v>
          </cell>
          <cell r="D2457">
            <v>0.18</v>
          </cell>
          <cell r="E2457">
            <v>9.1</v>
          </cell>
          <cell r="F2457">
            <v>9.2799999999999994</v>
          </cell>
        </row>
        <row r="2458">
          <cell r="A2458" t="str">
            <v>412003</v>
          </cell>
          <cell r="B2458" t="str">
            <v>Recolocação de aparelhos de iluminação ou projetores fixos em poste ou braço</v>
          </cell>
          <cell r="C2458" t="str">
            <v>un</v>
          </cell>
          <cell r="D2458">
            <v>52.63</v>
          </cell>
          <cell r="E2458">
            <v>9.1</v>
          </cell>
          <cell r="F2458">
            <v>61.730000000000004</v>
          </cell>
        </row>
        <row r="2459">
          <cell r="A2459" t="str">
            <v>412005</v>
          </cell>
          <cell r="B2459" t="str">
            <v>Conjunto ou kit de suspensão em tubo de aço galvanizado, para fixação de aparelhos de iluminação em eletrodutos e caixa de ligação</v>
          </cell>
          <cell r="C2459" t="str">
            <v>cj</v>
          </cell>
          <cell r="D2459">
            <v>17.27</v>
          </cell>
          <cell r="E2459">
            <v>17.059999999999999</v>
          </cell>
          <cell r="F2459">
            <v>34.33</v>
          </cell>
        </row>
        <row r="2460">
          <cell r="A2460" t="str">
            <v>412006</v>
          </cell>
          <cell r="B2460" t="str">
            <v>Suspensão em tubo de aço tratado e pintado, para fixação de aparelhos de iluminação em perfilado - DN 3/8´</v>
          </cell>
          <cell r="C2460" t="str">
            <v>m</v>
          </cell>
          <cell r="D2460">
            <v>52.35</v>
          </cell>
          <cell r="E2460">
            <v>3.21</v>
          </cell>
          <cell r="F2460">
            <v>55.56</v>
          </cell>
        </row>
        <row r="2461">
          <cell r="A2461" t="str">
            <v>412007</v>
          </cell>
          <cell r="B2461" t="str">
            <v>Suspensão em tubo de aço tratado e pintado, para fixação de aparelhos de iluminação em perfilado - DN 1/2´</v>
          </cell>
          <cell r="C2461" t="str">
            <v>m</v>
          </cell>
          <cell r="D2461">
            <v>50.410000000000004</v>
          </cell>
          <cell r="E2461">
            <v>3.21</v>
          </cell>
          <cell r="F2461">
            <v>53.620000000000005</v>
          </cell>
        </row>
        <row r="2462">
          <cell r="A2462" t="str">
            <v>412008</v>
          </cell>
          <cell r="B2462" t="str">
            <v>Plafon plástico e/ou PVC para acabamento de ponto de luz, com soquete E-27 para lâmpadas até 100W</v>
          </cell>
          <cell r="C2462" t="str">
            <v>un</v>
          </cell>
          <cell r="D2462">
            <v>3.89</v>
          </cell>
          <cell r="E2462">
            <v>1.8800000000000001</v>
          </cell>
          <cell r="F2462">
            <v>5.7700000000000005</v>
          </cell>
        </row>
        <row r="2463">
          <cell r="A2463" t="str">
            <v>413023</v>
          </cell>
          <cell r="B2463" t="str">
            <v>Mini refletor com cone interno para lâmpada de 50 W / 12 V</v>
          </cell>
          <cell r="C2463" t="str">
            <v>cj</v>
          </cell>
          <cell r="D2463">
            <v>96</v>
          </cell>
          <cell r="E2463">
            <v>20.86</v>
          </cell>
          <cell r="F2463">
            <v>116.86</v>
          </cell>
        </row>
        <row r="2464">
          <cell r="A2464" t="str">
            <v>413025</v>
          </cell>
          <cell r="B2464" t="str">
            <v>Luminária tipo arandela para lâmpada vapor metálico de 250 W ou 400 W</v>
          </cell>
          <cell r="C2464" t="str">
            <v>un</v>
          </cell>
          <cell r="D2464">
            <v>209</v>
          </cell>
          <cell r="E2464">
            <v>11.76</v>
          </cell>
          <cell r="F2464">
            <v>220.76</v>
          </cell>
        </row>
        <row r="2465">
          <cell r="A2465" t="str">
            <v>420102</v>
          </cell>
          <cell r="B2465" t="str">
            <v>Captor tipo Franklin, h= 300 mm, 4 pontos, 1 descida, acabamento cromado</v>
          </cell>
          <cell r="C2465" t="str">
            <v>un</v>
          </cell>
          <cell r="D2465">
            <v>35.6</v>
          </cell>
          <cell r="E2465">
            <v>5.69</v>
          </cell>
          <cell r="F2465">
            <v>41.29</v>
          </cell>
        </row>
        <row r="2466">
          <cell r="A2466" t="str">
            <v>420104</v>
          </cell>
          <cell r="B2466" t="str">
            <v>Captor tipo Franklin, h= 300 mm, 4 pontos, 2 descidas, acabamento cromado</v>
          </cell>
          <cell r="C2466" t="str">
            <v>un</v>
          </cell>
          <cell r="D2466">
            <v>39.19</v>
          </cell>
          <cell r="E2466">
            <v>5.69</v>
          </cell>
          <cell r="F2466">
            <v>44.88</v>
          </cell>
        </row>
        <row r="2467">
          <cell r="A2467" t="str">
            <v>420105</v>
          </cell>
          <cell r="B2467" t="str">
            <v>Captor tipo terminal aéreo, h= 600 mm, diâmetro de 3/8´ galvanizado a fogo</v>
          </cell>
          <cell r="C2467" t="str">
            <v>un</v>
          </cell>
          <cell r="D2467">
            <v>6.05</v>
          </cell>
          <cell r="E2467">
            <v>5.69</v>
          </cell>
          <cell r="F2467">
            <v>11.74</v>
          </cell>
        </row>
        <row r="2468">
          <cell r="A2468" t="str">
            <v>420106</v>
          </cell>
          <cell r="B2468" t="str">
            <v>Luva de redução galvanizada de 2´ x 3/4´</v>
          </cell>
          <cell r="C2468" t="str">
            <v>un</v>
          </cell>
          <cell r="D2468">
            <v>20.69</v>
          </cell>
          <cell r="E2468">
            <v>5.69</v>
          </cell>
          <cell r="F2468">
            <v>26.38</v>
          </cell>
        </row>
        <row r="2469">
          <cell r="A2469" t="str">
            <v>420108</v>
          </cell>
          <cell r="B2469" t="str">
            <v>Niple duplo galvanizado de 2´</v>
          </cell>
          <cell r="C2469" t="str">
            <v>un</v>
          </cell>
          <cell r="D2469">
            <v>16.8</v>
          </cell>
          <cell r="E2469">
            <v>5.69</v>
          </cell>
          <cell r="F2469">
            <v>22.490000000000002</v>
          </cell>
        </row>
        <row r="2470">
          <cell r="A2470" t="str">
            <v>420109</v>
          </cell>
          <cell r="B2470" t="str">
            <v>Captor tipo terminal aéreo, h= 300 mm, diâmetro 1/4´ em cobre</v>
          </cell>
          <cell r="C2470" t="str">
            <v>un</v>
          </cell>
          <cell r="D2470">
            <v>5.48</v>
          </cell>
          <cell r="E2470">
            <v>5.69</v>
          </cell>
          <cell r="F2470">
            <v>11.17</v>
          </cell>
        </row>
        <row r="2471">
          <cell r="A2471" t="str">
            <v>420110</v>
          </cell>
          <cell r="B2471" t="str">
            <v>Captor terminal aéreo, h= 250 mm, diâmetro 3/8´ galvanizado a fogo</v>
          </cell>
          <cell r="C2471" t="str">
            <v>un</v>
          </cell>
          <cell r="D2471">
            <v>4.4000000000000004</v>
          </cell>
          <cell r="E2471">
            <v>5.69</v>
          </cell>
          <cell r="F2471">
            <v>10.09</v>
          </cell>
        </row>
        <row r="2472">
          <cell r="A2472" t="str">
            <v>420111</v>
          </cell>
          <cell r="B2472" t="str">
            <v>Captor tipo terminal aéreo, h = 300 mm em alumínio</v>
          </cell>
          <cell r="C2472" t="str">
            <v>un</v>
          </cell>
          <cell r="D2472">
            <v>3.3200000000000003</v>
          </cell>
          <cell r="E2472">
            <v>5.69</v>
          </cell>
          <cell r="F2472">
            <v>9.01</v>
          </cell>
        </row>
        <row r="2473">
          <cell r="A2473" t="str">
            <v>420201</v>
          </cell>
          <cell r="B2473" t="str">
            <v>Isolador galvanizado uso geral, simples com rosca mecânica</v>
          </cell>
          <cell r="C2473" t="str">
            <v>un</v>
          </cell>
          <cell r="D2473">
            <v>2.38</v>
          </cell>
          <cell r="E2473">
            <v>5.69</v>
          </cell>
          <cell r="F2473">
            <v>8.07</v>
          </cell>
        </row>
        <row r="2474">
          <cell r="A2474" t="str">
            <v>420202</v>
          </cell>
          <cell r="B2474" t="str">
            <v>Isolador galvanizado uso geral, reforçado para fixação a 90°</v>
          </cell>
          <cell r="C2474" t="str">
            <v>un</v>
          </cell>
          <cell r="D2474">
            <v>6.93</v>
          </cell>
          <cell r="E2474">
            <v>5.69</v>
          </cell>
          <cell r="F2474">
            <v>12.620000000000001</v>
          </cell>
        </row>
        <row r="2475">
          <cell r="A2475" t="str">
            <v>420203</v>
          </cell>
          <cell r="B2475" t="str">
            <v>Isolador galvanizado uso geral, reforçado com rosca mecânica</v>
          </cell>
          <cell r="C2475" t="str">
            <v>un</v>
          </cell>
          <cell r="D2475">
            <v>3.4</v>
          </cell>
          <cell r="E2475">
            <v>5.69</v>
          </cell>
          <cell r="F2475">
            <v>9.09</v>
          </cell>
        </row>
        <row r="2476">
          <cell r="A2476" t="str">
            <v>420204</v>
          </cell>
          <cell r="B2476" t="str">
            <v>Isolador galvanizado uso geral, simples com chapa de encosto</v>
          </cell>
          <cell r="C2476" t="str">
            <v>un</v>
          </cell>
          <cell r="D2476">
            <v>2.4500000000000002</v>
          </cell>
          <cell r="E2476">
            <v>5.69</v>
          </cell>
          <cell r="F2476">
            <v>8.14</v>
          </cell>
        </row>
        <row r="2477">
          <cell r="A2477" t="str">
            <v>420205</v>
          </cell>
          <cell r="B2477" t="str">
            <v>Isolador galvanizado uso geral, reforçado com rosca soberba</v>
          </cell>
          <cell r="C2477" t="str">
            <v>un</v>
          </cell>
          <cell r="D2477">
            <v>3.1</v>
          </cell>
          <cell r="E2477">
            <v>5.69</v>
          </cell>
          <cell r="F2477">
            <v>8.7899999999999991</v>
          </cell>
        </row>
        <row r="2478">
          <cell r="A2478" t="str">
            <v>420206</v>
          </cell>
          <cell r="B2478" t="str">
            <v>Isolador galvanizado uso geral, reforçado com chapa de encosto</v>
          </cell>
          <cell r="C2478" t="str">
            <v>un</v>
          </cell>
          <cell r="D2478">
            <v>3.44</v>
          </cell>
          <cell r="E2478">
            <v>5.69</v>
          </cell>
          <cell r="F2478">
            <v>9.1300000000000008</v>
          </cell>
        </row>
        <row r="2479">
          <cell r="A2479" t="str">
            <v>420208</v>
          </cell>
          <cell r="B2479" t="str">
            <v>Isolador galvanizado uso geral, simples com calha para telha ondulada</v>
          </cell>
          <cell r="C2479" t="str">
            <v>un</v>
          </cell>
          <cell r="D2479">
            <v>6.07</v>
          </cell>
          <cell r="E2479">
            <v>5.69</v>
          </cell>
          <cell r="F2479">
            <v>11.76</v>
          </cell>
        </row>
        <row r="2480">
          <cell r="A2480" t="str">
            <v>420210</v>
          </cell>
          <cell r="B2480" t="str">
            <v>Isolador galvanizado uso geral, reforçado com calha para telha ondulada</v>
          </cell>
          <cell r="C2480" t="str">
            <v>un</v>
          </cell>
          <cell r="D2480">
            <v>8.26</v>
          </cell>
          <cell r="E2480">
            <v>5.69</v>
          </cell>
          <cell r="F2480">
            <v>13.950000000000001</v>
          </cell>
        </row>
        <row r="2481">
          <cell r="A2481" t="str">
            <v>420214</v>
          </cell>
          <cell r="B2481" t="str">
            <v>Isolador galvanizado uso geral, reforçado com grapa para chumbar</v>
          </cell>
          <cell r="C2481" t="str">
            <v>un</v>
          </cell>
          <cell r="D2481">
            <v>3.63</v>
          </cell>
          <cell r="E2481">
            <v>5.69</v>
          </cell>
          <cell r="F2481">
            <v>9.32</v>
          </cell>
        </row>
        <row r="2482">
          <cell r="A2482" t="str">
            <v>420302</v>
          </cell>
          <cell r="B2482" t="str">
            <v>Isolador galvanizado para mastro de diâmetro 2´, simples com 1 descida</v>
          </cell>
          <cell r="C2482" t="str">
            <v>un</v>
          </cell>
          <cell r="D2482">
            <v>5.22</v>
          </cell>
          <cell r="E2482">
            <v>5.69</v>
          </cell>
          <cell r="F2482">
            <v>10.91</v>
          </cell>
        </row>
        <row r="2483">
          <cell r="A2483" t="str">
            <v>420304</v>
          </cell>
          <cell r="B2483" t="str">
            <v>Isolador galvanizado para mastro de diâmetro 2´, simples com 2 descidas</v>
          </cell>
          <cell r="C2483" t="str">
            <v>un</v>
          </cell>
          <cell r="D2483">
            <v>7.2700000000000005</v>
          </cell>
          <cell r="E2483">
            <v>5.69</v>
          </cell>
          <cell r="F2483">
            <v>12.96</v>
          </cell>
        </row>
        <row r="2484">
          <cell r="A2484" t="str">
            <v>420306</v>
          </cell>
          <cell r="B2484" t="str">
            <v>Isolador galvanizado para mastro de diâmetro 2´, reforçado com 1 descida</v>
          </cell>
          <cell r="C2484" t="str">
            <v>un</v>
          </cell>
          <cell r="D2484">
            <v>6.2700000000000005</v>
          </cell>
          <cell r="E2484">
            <v>5.69</v>
          </cell>
          <cell r="F2484">
            <v>11.96</v>
          </cell>
        </row>
        <row r="2485">
          <cell r="A2485" t="str">
            <v>420308</v>
          </cell>
          <cell r="B2485" t="str">
            <v>Isolador galvanizado para mastro de diâmetro 2´, reforçado com 2 descidas</v>
          </cell>
          <cell r="C2485" t="str">
            <v>un</v>
          </cell>
          <cell r="D2485">
            <v>8.61</v>
          </cell>
          <cell r="E2485">
            <v>5.69</v>
          </cell>
          <cell r="F2485">
            <v>14.3</v>
          </cell>
        </row>
        <row r="2486">
          <cell r="A2486" t="str">
            <v>420402</v>
          </cell>
          <cell r="B2486" t="str">
            <v>Braçadeira de contraventagem para mastro de diâmetro 2´</v>
          </cell>
          <cell r="C2486" t="str">
            <v>un</v>
          </cell>
          <cell r="D2486">
            <v>5.8100000000000005</v>
          </cell>
          <cell r="E2486">
            <v>5.69</v>
          </cell>
          <cell r="F2486">
            <v>11.5</v>
          </cell>
        </row>
        <row r="2487">
          <cell r="A2487" t="str">
            <v>420404</v>
          </cell>
          <cell r="B2487" t="str">
            <v>Apoio para mastro de diâmetro 2´</v>
          </cell>
          <cell r="C2487" t="str">
            <v>un</v>
          </cell>
          <cell r="D2487">
            <v>5.75</v>
          </cell>
          <cell r="E2487">
            <v>5.69</v>
          </cell>
          <cell r="F2487">
            <v>11.44</v>
          </cell>
        </row>
        <row r="2488">
          <cell r="A2488" t="str">
            <v>420406</v>
          </cell>
          <cell r="B2488" t="str">
            <v>Base para mastro de diâmetro 2´</v>
          </cell>
          <cell r="C2488" t="str">
            <v>un</v>
          </cell>
          <cell r="D2488">
            <v>25.830000000000002</v>
          </cell>
          <cell r="E2488">
            <v>5.69</v>
          </cell>
          <cell r="F2488">
            <v>31.52</v>
          </cell>
        </row>
        <row r="2489">
          <cell r="A2489" t="str">
            <v>420408</v>
          </cell>
          <cell r="B2489" t="str">
            <v>Contraventagem com cabo para mastro de diâmetro 2´</v>
          </cell>
          <cell r="C2489" t="str">
            <v>un</v>
          </cell>
          <cell r="D2489">
            <v>70.58</v>
          </cell>
          <cell r="E2489">
            <v>6.82</v>
          </cell>
          <cell r="F2489">
            <v>77.400000000000006</v>
          </cell>
        </row>
        <row r="2490">
          <cell r="A2490" t="str">
            <v>420410</v>
          </cell>
          <cell r="B2490" t="str">
            <v>Contraventagem com tubo para mastro de diâmetro 2´</v>
          </cell>
          <cell r="C2490" t="str">
            <v>un</v>
          </cell>
          <cell r="D2490">
            <v>63.28</v>
          </cell>
          <cell r="E2490">
            <v>6.82</v>
          </cell>
          <cell r="F2490">
            <v>70.099999999999994</v>
          </cell>
        </row>
        <row r="2491">
          <cell r="A2491" t="str">
            <v>420412</v>
          </cell>
          <cell r="B2491" t="str">
            <v>Mastro simples galvanizado de diâmetro 2´</v>
          </cell>
          <cell r="C2491" t="str">
            <v>m</v>
          </cell>
          <cell r="D2491">
            <v>33.1</v>
          </cell>
          <cell r="E2491">
            <v>6.82</v>
          </cell>
          <cell r="F2491">
            <v>39.92</v>
          </cell>
        </row>
        <row r="2492">
          <cell r="A2492" t="str">
            <v>420414</v>
          </cell>
          <cell r="B2492" t="str">
            <v>Suporte porta bandeira simples para mastro de diâmetro 2´</v>
          </cell>
          <cell r="C2492" t="str">
            <v>un</v>
          </cell>
          <cell r="D2492">
            <v>8.15</v>
          </cell>
          <cell r="E2492">
            <v>5.69</v>
          </cell>
          <cell r="F2492">
            <v>13.84</v>
          </cell>
        </row>
        <row r="2493">
          <cell r="A2493" t="str">
            <v>420416</v>
          </cell>
          <cell r="B2493" t="str">
            <v>Suporte porta bandeira reforçado para mastro de diâmetro 2´</v>
          </cell>
          <cell r="C2493" t="str">
            <v>un</v>
          </cell>
          <cell r="D2493">
            <v>14.01</v>
          </cell>
          <cell r="E2493">
            <v>5.69</v>
          </cell>
          <cell r="F2493">
            <v>19.7</v>
          </cell>
        </row>
        <row r="2494">
          <cell r="A2494" t="str">
            <v>420501</v>
          </cell>
          <cell r="B2494" t="str">
            <v>Sinalizador de obstáculo simples, sem célula fotoelétrica</v>
          </cell>
          <cell r="C2494" t="str">
            <v>un</v>
          </cell>
          <cell r="D2494">
            <v>18.16</v>
          </cell>
          <cell r="E2494">
            <v>5.69</v>
          </cell>
          <cell r="F2494">
            <v>23.85</v>
          </cell>
        </row>
        <row r="2495">
          <cell r="A2495" t="str">
            <v>420502</v>
          </cell>
          <cell r="B2495" t="str">
            <v>Braçadeira para fixação do aparelho sinalizador para mastro de diâmetro 2´</v>
          </cell>
          <cell r="C2495" t="str">
            <v>un</v>
          </cell>
          <cell r="D2495">
            <v>6.29</v>
          </cell>
          <cell r="E2495">
            <v>5.69</v>
          </cell>
          <cell r="F2495">
            <v>11.98</v>
          </cell>
        </row>
        <row r="2496">
          <cell r="A2496" t="str">
            <v>420503</v>
          </cell>
          <cell r="B2496" t="str">
            <v>Sinalizador de obstáculo duplo, sem célula fotoelétrica</v>
          </cell>
          <cell r="C2496" t="str">
            <v>un</v>
          </cell>
          <cell r="D2496">
            <v>36.35</v>
          </cell>
          <cell r="E2496">
            <v>5.69</v>
          </cell>
          <cell r="F2496">
            <v>42.04</v>
          </cell>
        </row>
        <row r="2497">
          <cell r="A2497" t="str">
            <v>420505</v>
          </cell>
          <cell r="B2497" t="str">
            <v>Sinalizador de obstáculo simples, com célula fotoelétrica</v>
          </cell>
          <cell r="C2497" t="str">
            <v>un</v>
          </cell>
          <cell r="D2497">
            <v>27.990000000000002</v>
          </cell>
          <cell r="E2497">
            <v>5.69</v>
          </cell>
          <cell r="F2497">
            <v>33.68</v>
          </cell>
        </row>
        <row r="2498">
          <cell r="A2498" t="str">
            <v>420507</v>
          </cell>
          <cell r="B2498" t="str">
            <v>Sinalizador de obstáculo duplo, com célula fotoelétrica</v>
          </cell>
          <cell r="C2498" t="str">
            <v>un</v>
          </cell>
          <cell r="D2498">
            <v>58.75</v>
          </cell>
          <cell r="E2498">
            <v>5.69</v>
          </cell>
          <cell r="F2498">
            <v>64.44</v>
          </cell>
        </row>
        <row r="2499">
          <cell r="A2499" t="str">
            <v>420510</v>
          </cell>
          <cell r="B2499" t="str">
            <v>Caixa de inspeção suspensa</v>
          </cell>
          <cell r="C2499" t="str">
            <v>un</v>
          </cell>
          <cell r="D2499">
            <v>9.4600000000000009</v>
          </cell>
          <cell r="E2499">
            <v>22.740000000000002</v>
          </cell>
          <cell r="F2499">
            <v>32.200000000000003</v>
          </cell>
        </row>
        <row r="2500">
          <cell r="A2500" t="str">
            <v>420511</v>
          </cell>
          <cell r="B2500" t="str">
            <v>Conector cabo/haste de 3/4´</v>
          </cell>
          <cell r="C2500" t="str">
            <v>un</v>
          </cell>
          <cell r="D2500">
            <v>8.84</v>
          </cell>
          <cell r="E2500">
            <v>2.27</v>
          </cell>
          <cell r="F2500">
            <v>11.11</v>
          </cell>
        </row>
        <row r="2501">
          <cell r="A2501" t="str">
            <v>420512</v>
          </cell>
          <cell r="B2501" t="str">
            <v>Conector de emenda em latão para cabo de até 50 mm² com 4 parafusos</v>
          </cell>
          <cell r="C2501" t="str">
            <v>un</v>
          </cell>
          <cell r="D2501">
            <v>12.84</v>
          </cell>
          <cell r="E2501">
            <v>2.27</v>
          </cell>
          <cell r="F2501">
            <v>15.11</v>
          </cell>
        </row>
        <row r="2502">
          <cell r="A2502" t="str">
            <v>420514</v>
          </cell>
          <cell r="B2502" t="str">
            <v>Conector olhal cabo/haste de 3/4´</v>
          </cell>
          <cell r="C2502" t="str">
            <v>un</v>
          </cell>
          <cell r="D2502">
            <v>2.91</v>
          </cell>
          <cell r="E2502">
            <v>2.27</v>
          </cell>
          <cell r="F2502">
            <v>5.18</v>
          </cell>
        </row>
        <row r="2503">
          <cell r="A2503" t="str">
            <v>420516</v>
          </cell>
          <cell r="B2503" t="str">
            <v>Conector olhal cabo/haste de 5/8´</v>
          </cell>
          <cell r="C2503" t="str">
            <v>un</v>
          </cell>
          <cell r="D2503">
            <v>1.8</v>
          </cell>
          <cell r="E2503">
            <v>2.27</v>
          </cell>
          <cell r="F2503">
            <v>4.07</v>
          </cell>
        </row>
        <row r="2504">
          <cell r="A2504" t="str">
            <v>420517</v>
          </cell>
          <cell r="B2504" t="str">
            <v>Vergalhão liso de aço galvanizado, diâmetro de 3/8´</v>
          </cell>
          <cell r="C2504" t="str">
            <v>m</v>
          </cell>
          <cell r="D2504">
            <v>5.68</v>
          </cell>
          <cell r="E2504">
            <v>9.1</v>
          </cell>
          <cell r="F2504">
            <v>14.780000000000001</v>
          </cell>
        </row>
        <row r="2505">
          <cell r="A2505" t="str">
            <v>420518</v>
          </cell>
          <cell r="B2505" t="str">
            <v>Esticador em latão para cabo de cobre</v>
          </cell>
          <cell r="C2505" t="str">
            <v>un</v>
          </cell>
          <cell r="D2505">
            <v>10.119999999999999</v>
          </cell>
          <cell r="E2505">
            <v>5.69</v>
          </cell>
          <cell r="F2505">
            <v>15.81</v>
          </cell>
        </row>
        <row r="2506">
          <cell r="A2506" t="str">
            <v>420519</v>
          </cell>
          <cell r="B2506" t="str">
            <v>Haste de aterramento de 3/4´ x 3,00 m</v>
          </cell>
          <cell r="C2506" t="str">
            <v>un</v>
          </cell>
          <cell r="D2506">
            <v>77.510000000000005</v>
          </cell>
          <cell r="E2506">
            <v>11.370000000000001</v>
          </cell>
          <cell r="F2506">
            <v>88.88</v>
          </cell>
        </row>
        <row r="2507">
          <cell r="A2507" t="str">
            <v>420520</v>
          </cell>
          <cell r="B2507" t="str">
            <v>Haste de aterramento de 5/8´ x 2,40 m</v>
          </cell>
          <cell r="C2507" t="str">
            <v>un</v>
          </cell>
          <cell r="D2507">
            <v>47.660000000000004</v>
          </cell>
          <cell r="E2507">
            <v>11.370000000000001</v>
          </cell>
          <cell r="F2507">
            <v>59.03</v>
          </cell>
        </row>
        <row r="2508">
          <cell r="A2508" t="str">
            <v>420521</v>
          </cell>
          <cell r="B2508" t="str">
            <v>Haste de aterramento de 5/8´ x 3,00 m</v>
          </cell>
          <cell r="C2508" t="str">
            <v>un</v>
          </cell>
          <cell r="D2508">
            <v>58.660000000000004</v>
          </cell>
          <cell r="E2508">
            <v>11.370000000000001</v>
          </cell>
          <cell r="F2508">
            <v>70.03</v>
          </cell>
        </row>
        <row r="2509">
          <cell r="A2509" t="str">
            <v>420522</v>
          </cell>
          <cell r="B2509" t="str">
            <v>Mastro para sinalizador de obstáculo, de 1,50 m x 3/4´</v>
          </cell>
          <cell r="C2509" t="str">
            <v>un</v>
          </cell>
          <cell r="D2509">
            <v>23.91</v>
          </cell>
          <cell r="E2509">
            <v>5.69</v>
          </cell>
          <cell r="F2509">
            <v>29.6</v>
          </cell>
        </row>
        <row r="2510">
          <cell r="A2510" t="str">
            <v>420523</v>
          </cell>
          <cell r="B2510" t="str">
            <v>Clips de fixação para vergalhão em aço galvanizado de 3/8´</v>
          </cell>
          <cell r="C2510" t="str">
            <v>un</v>
          </cell>
          <cell r="D2510">
            <v>1.69</v>
          </cell>
          <cell r="E2510">
            <v>4.55</v>
          </cell>
          <cell r="F2510">
            <v>6.24</v>
          </cell>
        </row>
        <row r="2511">
          <cell r="A2511" t="str">
            <v>420524</v>
          </cell>
          <cell r="B2511" t="str">
            <v>Suporte para tubo de proteção com chapa de encosto, diâmetro 2´</v>
          </cell>
          <cell r="C2511" t="str">
            <v>un</v>
          </cell>
          <cell r="D2511">
            <v>4.91</v>
          </cell>
          <cell r="E2511">
            <v>5.69</v>
          </cell>
          <cell r="F2511">
            <v>10.6</v>
          </cell>
        </row>
        <row r="2512">
          <cell r="A2512" t="str">
            <v>420525</v>
          </cell>
          <cell r="B2512" t="str">
            <v>Barra condutora chata de alumínio, 3/4´ x 1/4´ - inclusive acessórios de fixação</v>
          </cell>
          <cell r="C2512" t="str">
            <v>m</v>
          </cell>
          <cell r="D2512">
            <v>5.34</v>
          </cell>
          <cell r="E2512">
            <v>11.370000000000001</v>
          </cell>
          <cell r="F2512">
            <v>16.71</v>
          </cell>
        </row>
        <row r="2513">
          <cell r="A2513" t="str">
            <v>420526</v>
          </cell>
          <cell r="B2513" t="str">
            <v>Suporte para tubo de proteção com grapa para chumbar, diâmetro 2´</v>
          </cell>
          <cell r="C2513" t="str">
            <v>un</v>
          </cell>
          <cell r="D2513">
            <v>4.95</v>
          </cell>
          <cell r="E2513">
            <v>5.69</v>
          </cell>
          <cell r="F2513">
            <v>10.64</v>
          </cell>
        </row>
        <row r="2514">
          <cell r="A2514" t="str">
            <v>420527</v>
          </cell>
          <cell r="B2514" t="str">
            <v>Conector em latão estanhado para cabos de 16 a 50 mm² e vergalhões até 3/8´</v>
          </cell>
          <cell r="C2514" t="str">
            <v>un</v>
          </cell>
          <cell r="D2514">
            <v>18.07</v>
          </cell>
          <cell r="E2514">
            <v>4.55</v>
          </cell>
          <cell r="F2514">
            <v>22.62</v>
          </cell>
        </row>
        <row r="2515">
          <cell r="A2515" t="str">
            <v>420528</v>
          </cell>
          <cell r="B2515" t="str">
            <v>Suporte para tubo de proteção com rosca soberba, diâmetro 2´</v>
          </cell>
          <cell r="C2515" t="str">
            <v>un</v>
          </cell>
          <cell r="D2515">
            <v>4.57</v>
          </cell>
          <cell r="E2515">
            <v>5.69</v>
          </cell>
          <cell r="F2515">
            <v>10.26</v>
          </cell>
        </row>
        <row r="2516">
          <cell r="A2516" t="str">
            <v>420529</v>
          </cell>
          <cell r="B2516" t="str">
            <v>Suporte para fixação de terminal aéreo e/ou de cabo de cobre nu, com base plana</v>
          </cell>
          <cell r="C2516" t="str">
            <v>un</v>
          </cell>
          <cell r="D2516">
            <v>3.19</v>
          </cell>
          <cell r="E2516">
            <v>5.69</v>
          </cell>
          <cell r="F2516">
            <v>8.8800000000000008</v>
          </cell>
        </row>
        <row r="2517">
          <cell r="A2517" t="str">
            <v>420530</v>
          </cell>
          <cell r="B2517" t="str">
            <v>Tampa para caixa de inspeção cilíndrica, aço galvanizado</v>
          </cell>
          <cell r="C2517" t="str">
            <v>un</v>
          </cell>
          <cell r="D2517">
            <v>21.95</v>
          </cell>
          <cell r="E2517">
            <v>1.1399999999999999</v>
          </cell>
          <cell r="F2517">
            <v>23.09</v>
          </cell>
        </row>
        <row r="2518">
          <cell r="A2518" t="str">
            <v>420531</v>
          </cell>
          <cell r="B2518" t="str">
            <v>Caixa de inspeção do terra cilíndrica em PVC rígido, diâmetro de 300 mm - h= 250 mm</v>
          </cell>
          <cell r="C2518" t="str">
            <v>un</v>
          </cell>
          <cell r="D2518">
            <v>10.59</v>
          </cell>
          <cell r="E2518">
            <v>5.69</v>
          </cell>
          <cell r="F2518">
            <v>16.28</v>
          </cell>
        </row>
        <row r="2519">
          <cell r="A2519" t="str">
            <v>420532</v>
          </cell>
          <cell r="B2519" t="str">
            <v>Caixa de inspeção do terra cilíndrica em PVC rígido, diâmetro de 300 mm - h= 400 mm</v>
          </cell>
          <cell r="C2519" t="str">
            <v>un</v>
          </cell>
          <cell r="D2519">
            <v>18.27</v>
          </cell>
          <cell r="E2519">
            <v>5.69</v>
          </cell>
          <cell r="F2519">
            <v>23.96</v>
          </cell>
        </row>
        <row r="2520">
          <cell r="A2520" t="str">
            <v>420533</v>
          </cell>
          <cell r="B2520" t="str">
            <v>Caixa de inspeção do terra cilíndrica em PVC rígido, diâmetro de 300 mm - h= 600 mm</v>
          </cell>
          <cell r="C2520" t="str">
            <v>un</v>
          </cell>
          <cell r="D2520">
            <v>25.46</v>
          </cell>
          <cell r="E2520">
            <v>5.69</v>
          </cell>
          <cell r="F2520">
            <v>31.150000000000002</v>
          </cell>
        </row>
        <row r="2521">
          <cell r="A2521" t="str">
            <v>420534</v>
          </cell>
          <cell r="B2521" t="str">
            <v>Barra condutora chata em cobre, 3/4´ x 3/16´ - inclusive acessórios de fixação</v>
          </cell>
          <cell r="C2521" t="str">
            <v>m</v>
          </cell>
          <cell r="D2521">
            <v>135.41999999999999</v>
          </cell>
          <cell r="E2521">
            <v>11.370000000000001</v>
          </cell>
          <cell r="F2521">
            <v>146.79</v>
          </cell>
        </row>
        <row r="2522">
          <cell r="A2522" t="str">
            <v>420537</v>
          </cell>
          <cell r="B2522" t="str">
            <v>Caixa de equalização de embutir em aço com barramento, de 400 x 400 mm e tampa</v>
          </cell>
          <cell r="C2522" t="str">
            <v>un</v>
          </cell>
          <cell r="D2522">
            <v>231.74</v>
          </cell>
          <cell r="E2522">
            <v>22.740000000000002</v>
          </cell>
          <cell r="F2522">
            <v>254.48000000000002</v>
          </cell>
        </row>
        <row r="2523">
          <cell r="A2523" t="str">
            <v>420538</v>
          </cell>
          <cell r="B2523" t="str">
            <v>Caixa de equalização de embutir, em aço com barramento, de 200 x 200 mm e tampa</v>
          </cell>
          <cell r="C2523" t="str">
            <v>un</v>
          </cell>
          <cell r="D2523">
            <v>167.83</v>
          </cell>
          <cell r="E2523">
            <v>22.740000000000002</v>
          </cell>
          <cell r="F2523">
            <v>190.57</v>
          </cell>
        </row>
        <row r="2524">
          <cell r="A2524" t="str">
            <v>420539</v>
          </cell>
          <cell r="B2524" t="str">
            <v>Presilha em latão para cabos de 16 até 50 mm²</v>
          </cell>
          <cell r="C2524" t="str">
            <v>un</v>
          </cell>
          <cell r="D2524">
            <v>0.87</v>
          </cell>
          <cell r="E2524">
            <v>0.94000000000000006</v>
          </cell>
          <cell r="F2524">
            <v>1.81</v>
          </cell>
        </row>
        <row r="2525">
          <cell r="A2525" t="str">
            <v>420540</v>
          </cell>
          <cell r="B2525" t="str">
            <v>Presilha em latão para cabos acima de 50 até 120 mm²</v>
          </cell>
          <cell r="C2525" t="str">
            <v>un</v>
          </cell>
          <cell r="D2525">
            <v>0.98</v>
          </cell>
          <cell r="E2525">
            <v>0.94000000000000006</v>
          </cell>
          <cell r="F2525">
            <v>1.92</v>
          </cell>
        </row>
        <row r="2526">
          <cell r="A2526" t="str">
            <v>420541</v>
          </cell>
          <cell r="B2526" t="str">
            <v>Suporte para fixação de terminal aéreo e/ou de cabo de cobre nu, com base ondulada</v>
          </cell>
          <cell r="C2526" t="str">
            <v>un</v>
          </cell>
          <cell r="D2526">
            <v>2.98</v>
          </cell>
          <cell r="E2526">
            <v>5.69</v>
          </cell>
          <cell r="F2526">
            <v>8.67</v>
          </cell>
        </row>
        <row r="2527">
          <cell r="A2527" t="str">
            <v>420542</v>
          </cell>
          <cell r="B2527" t="str">
            <v>Suporte para fixação de terminal aéreo e/ou cabo de cobre nu, com base em alumínio</v>
          </cell>
          <cell r="C2527" t="str">
            <v>un</v>
          </cell>
          <cell r="D2527">
            <v>2.68</v>
          </cell>
          <cell r="E2527">
            <v>5.69</v>
          </cell>
          <cell r="F2527">
            <v>8.3699999999999992</v>
          </cell>
        </row>
        <row r="2528">
          <cell r="A2528" t="str">
            <v>420543</v>
          </cell>
          <cell r="B2528" t="str">
            <v>Poste telescópico autosuportado para pára-raios, altura 20 m</v>
          </cell>
          <cell r="C2528" t="str">
            <v>un</v>
          </cell>
          <cell r="D2528">
            <v>3077.85</v>
          </cell>
          <cell r="E2528">
            <v>75.8</v>
          </cell>
          <cell r="F2528">
            <v>3153.65</v>
          </cell>
        </row>
        <row r="2529">
          <cell r="A2529" t="str">
            <v>420544</v>
          </cell>
          <cell r="B2529" t="str">
            <v>Barra condutora chata de alumínio, 7/8´ x 1/8´ - inclusive acessórios de fixação</v>
          </cell>
          <cell r="C2529" t="str">
            <v>m</v>
          </cell>
          <cell r="D2529">
            <v>3.5</v>
          </cell>
          <cell r="E2529">
            <v>11.370000000000001</v>
          </cell>
          <cell r="F2529">
            <v>14.870000000000001</v>
          </cell>
        </row>
        <row r="2530">
          <cell r="A2530" t="str">
            <v>420545</v>
          </cell>
          <cell r="B2530" t="str">
            <v>Conector com rabicho e porca em latão para cabo de 16 a 35 mm²</v>
          </cell>
          <cell r="C2530" t="str">
            <v>un</v>
          </cell>
          <cell r="D2530">
            <v>7.54</v>
          </cell>
          <cell r="E2530">
            <v>2.27</v>
          </cell>
          <cell r="F2530">
            <v>9.81</v>
          </cell>
        </row>
        <row r="2531">
          <cell r="A2531" t="str">
            <v>420549</v>
          </cell>
          <cell r="B2531" t="str">
            <v>Sinalizador visual para advertência</v>
          </cell>
          <cell r="C2531" t="str">
            <v>cj</v>
          </cell>
          <cell r="D2531">
            <v>179.57</v>
          </cell>
          <cell r="E2531">
            <v>5.69</v>
          </cell>
          <cell r="F2531">
            <v>185.26</v>
          </cell>
        </row>
        <row r="2532">
          <cell r="A2532" t="str">
            <v>420550</v>
          </cell>
          <cell r="B2532" t="str">
            <v>Sinalizador audio-visual para advertência</v>
          </cell>
          <cell r="C2532" t="str">
            <v>cj</v>
          </cell>
          <cell r="D2532">
            <v>206.63</v>
          </cell>
          <cell r="E2532">
            <v>5.69</v>
          </cell>
          <cell r="F2532">
            <v>212.32</v>
          </cell>
        </row>
        <row r="2533">
          <cell r="A2533" t="str">
            <v>420551</v>
          </cell>
          <cell r="B2533" t="str">
            <v>Suporte para fixação de fita de alumínio 7/8´ x 1/8´  e/ou cabo de cobre nú, com base ondulada</v>
          </cell>
          <cell r="C2533" t="str">
            <v>un</v>
          </cell>
          <cell r="D2533">
            <v>2.98</v>
          </cell>
          <cell r="E2533">
            <v>5.69</v>
          </cell>
          <cell r="F2533">
            <v>8.67</v>
          </cell>
        </row>
        <row r="2534">
          <cell r="A2534" t="str">
            <v>420552</v>
          </cell>
          <cell r="B2534" t="str">
            <v>Suporte para fixação de fita de alumínio 7/8´ x 1/8´ , com base plana</v>
          </cell>
          <cell r="C2534" t="str">
            <v>un</v>
          </cell>
          <cell r="D2534">
            <v>2.29</v>
          </cell>
          <cell r="E2534">
            <v>5.69</v>
          </cell>
          <cell r="F2534">
            <v>7.98</v>
          </cell>
        </row>
        <row r="2535">
          <cell r="A2535" t="str">
            <v>420553</v>
          </cell>
          <cell r="B2535" t="str">
            <v>Fita perfurada em latão niquelado, de 20 x 1,2 mm, com furos de 7 mm</v>
          </cell>
          <cell r="C2535" t="str">
            <v>un</v>
          </cell>
          <cell r="D2535">
            <v>15.620000000000001</v>
          </cell>
          <cell r="E2535">
            <v>11.370000000000001</v>
          </cell>
          <cell r="F2535">
            <v>26.990000000000002</v>
          </cell>
        </row>
        <row r="2536">
          <cell r="A2536" t="str">
            <v>420554</v>
          </cell>
          <cell r="B2536" t="str">
            <v>Tela equipotencial em aço inoxidável, largura de 610 mm, espessura de 2,5 mm</v>
          </cell>
          <cell r="C2536" t="str">
            <v>m</v>
          </cell>
          <cell r="D2536">
            <v>129.84</v>
          </cell>
          <cell r="E2536">
            <v>5.69</v>
          </cell>
          <cell r="F2536">
            <v>135.53</v>
          </cell>
        </row>
        <row r="2537">
          <cell r="A2537" t="str">
            <v>420555</v>
          </cell>
          <cell r="B2537" t="str">
            <v>Cordoalha flexível `Jumpers´ de 25 x 235 mm, com 4 furos de 11 mm</v>
          </cell>
          <cell r="C2537" t="str">
            <v>un</v>
          </cell>
          <cell r="D2537">
            <v>29.42</v>
          </cell>
          <cell r="E2537">
            <v>5.69</v>
          </cell>
          <cell r="F2537">
            <v>35.11</v>
          </cell>
        </row>
        <row r="2538">
          <cell r="A2538" t="str">
            <v>420556</v>
          </cell>
          <cell r="B2538" t="str">
            <v>Cordoalha flexível `Jumpers´ de 25 x 300 mm, com 4 furos de 11 mm</v>
          </cell>
          <cell r="C2538" t="str">
            <v>un</v>
          </cell>
          <cell r="D2538">
            <v>32.56</v>
          </cell>
          <cell r="E2538">
            <v>5.69</v>
          </cell>
          <cell r="F2538">
            <v>38.25</v>
          </cell>
        </row>
        <row r="2539">
          <cell r="A2539" t="str">
            <v>420557</v>
          </cell>
          <cell r="B2539" t="str">
            <v>Terminal estanhado com 1 furo e 1 compressão - 16 mm²</v>
          </cell>
          <cell r="C2539" t="str">
            <v>un</v>
          </cell>
          <cell r="D2539">
            <v>1.73</v>
          </cell>
          <cell r="E2539">
            <v>5.69</v>
          </cell>
          <cell r="F2539">
            <v>7.42</v>
          </cell>
        </row>
        <row r="2540">
          <cell r="A2540" t="str">
            <v>420558</v>
          </cell>
          <cell r="B2540" t="str">
            <v>Terminal estanhado com 1 furo e 1 compressão - 35 mm²</v>
          </cell>
          <cell r="C2540" t="str">
            <v>un</v>
          </cell>
          <cell r="D2540">
            <v>2.1800000000000002</v>
          </cell>
          <cell r="E2540">
            <v>5.69</v>
          </cell>
          <cell r="F2540">
            <v>7.87</v>
          </cell>
        </row>
        <row r="2541">
          <cell r="A2541" t="str">
            <v>420559</v>
          </cell>
          <cell r="B2541" t="str">
            <v>Terminal estanhado com 1 furo e 1 compressão - 50 mm²</v>
          </cell>
          <cell r="C2541" t="str">
            <v>un</v>
          </cell>
          <cell r="D2541">
            <v>3.02</v>
          </cell>
          <cell r="E2541">
            <v>5.69</v>
          </cell>
          <cell r="F2541">
            <v>8.7100000000000009</v>
          </cell>
        </row>
        <row r="2542">
          <cell r="A2542" t="str">
            <v>420560</v>
          </cell>
          <cell r="B2542" t="str">
            <v>Terminal estanhado com 2 furos e 1 compressão - 16 mm²</v>
          </cell>
          <cell r="C2542" t="str">
            <v>un</v>
          </cell>
          <cell r="D2542">
            <v>3.84</v>
          </cell>
          <cell r="E2542">
            <v>5.69</v>
          </cell>
          <cell r="F2542">
            <v>9.5299999999999994</v>
          </cell>
        </row>
        <row r="2543">
          <cell r="A2543" t="str">
            <v>420561</v>
          </cell>
          <cell r="B2543" t="str">
            <v>Terminal estanhado com 2 furos e 1 compressão - 35 mm²</v>
          </cell>
          <cell r="C2543" t="str">
            <v>un</v>
          </cell>
          <cell r="D2543">
            <v>4.88</v>
          </cell>
          <cell r="E2543">
            <v>5.69</v>
          </cell>
          <cell r="F2543">
            <v>10.57</v>
          </cell>
        </row>
        <row r="2544">
          <cell r="A2544" t="str">
            <v>420562</v>
          </cell>
          <cell r="B2544" t="str">
            <v>Terminal estanhado com 2 furos e 1 compressão - 50 mm²</v>
          </cell>
          <cell r="C2544" t="str">
            <v>un</v>
          </cell>
          <cell r="D2544">
            <v>6.36</v>
          </cell>
          <cell r="E2544">
            <v>5.69</v>
          </cell>
          <cell r="F2544">
            <v>12.05</v>
          </cell>
        </row>
        <row r="2545">
          <cell r="A2545" t="str">
            <v>420563</v>
          </cell>
          <cell r="B2545" t="str">
            <v>Conector tipo  ´X´ para aterramento de telas, acabamento estanhado, para cabo 16 - 50 mm²</v>
          </cell>
          <cell r="C2545" t="str">
            <v>un</v>
          </cell>
          <cell r="D2545">
            <v>23.51</v>
          </cell>
          <cell r="E2545">
            <v>5.69</v>
          </cell>
          <cell r="F2545">
            <v>29.2</v>
          </cell>
        </row>
        <row r="2546">
          <cell r="A2546" t="str">
            <v>420564</v>
          </cell>
          <cell r="B2546" t="str">
            <v>Tampão / tampa em ferro fundido de 300 x 300 mm</v>
          </cell>
          <cell r="C2546" t="str">
            <v>un</v>
          </cell>
          <cell r="D2546">
            <v>97.13</v>
          </cell>
          <cell r="E2546">
            <v>22.740000000000002</v>
          </cell>
          <cell r="F2546">
            <v>119.87</v>
          </cell>
        </row>
        <row r="2547">
          <cell r="A2547" t="str">
            <v>420566</v>
          </cell>
          <cell r="B2547" t="str">
            <v>Tampa em ferro fundido circular reforçada, com diâmetro de 300 mm, com boca de visita quadrada articulada</v>
          </cell>
          <cell r="C2547" t="str">
            <v>un</v>
          </cell>
          <cell r="D2547">
            <v>109.94</v>
          </cell>
          <cell r="E2547">
            <v>1.29</v>
          </cell>
          <cell r="F2547">
            <v>111.23</v>
          </cell>
        </row>
        <row r="2548">
          <cell r="A2548" t="str">
            <v>422001</v>
          </cell>
          <cell r="B2548" t="str">
            <v>Solda exotérmica tipo ´X´</v>
          </cell>
          <cell r="C2548" t="str">
            <v>un</v>
          </cell>
          <cell r="D2548">
            <v>9.7100000000000009</v>
          </cell>
          <cell r="E2548">
            <v>11.370000000000001</v>
          </cell>
          <cell r="F2548">
            <v>21.080000000000002</v>
          </cell>
        </row>
        <row r="2549">
          <cell r="A2549" t="str">
            <v>422002</v>
          </cell>
          <cell r="B2549" t="str">
            <v>Solda exotérmica tipo cabo-superfície</v>
          </cell>
          <cell r="C2549" t="str">
            <v>un</v>
          </cell>
          <cell r="D2549">
            <v>8.56</v>
          </cell>
          <cell r="E2549">
            <v>11.370000000000001</v>
          </cell>
          <cell r="F2549">
            <v>19.93</v>
          </cell>
        </row>
        <row r="2550">
          <cell r="A2550" t="str">
            <v>422003</v>
          </cell>
          <cell r="B2550" t="str">
            <v>Solda exotérmica tipo cabo-haste</v>
          </cell>
          <cell r="C2550" t="str">
            <v>un</v>
          </cell>
          <cell r="D2550">
            <v>9.36</v>
          </cell>
          <cell r="E2550">
            <v>11.370000000000001</v>
          </cell>
          <cell r="F2550">
            <v>20.73</v>
          </cell>
        </row>
        <row r="2551">
          <cell r="A2551" t="str">
            <v>422004</v>
          </cell>
          <cell r="B2551" t="str">
            <v>Solda exotérmica tipo ´T´</v>
          </cell>
          <cell r="C2551" t="str">
            <v>un</v>
          </cell>
          <cell r="D2551">
            <v>7.68</v>
          </cell>
          <cell r="E2551">
            <v>11.370000000000001</v>
          </cell>
          <cell r="F2551">
            <v>19.05</v>
          </cell>
        </row>
        <row r="2552">
          <cell r="A2552" t="str">
            <v>422005</v>
          </cell>
          <cell r="B2552" t="str">
            <v>Solda exotérmica tipo ´RR´ cabo-barra</v>
          </cell>
          <cell r="C2552" t="str">
            <v>un</v>
          </cell>
          <cell r="D2552">
            <v>9.98</v>
          </cell>
          <cell r="E2552">
            <v>11.370000000000001</v>
          </cell>
          <cell r="F2552">
            <v>21.35</v>
          </cell>
        </row>
        <row r="2553">
          <cell r="A2553" t="str">
            <v>422006</v>
          </cell>
          <cell r="B2553" t="str">
            <v>Solda exotérmica tipo ´SS´ cabo-cabo</v>
          </cell>
          <cell r="C2553" t="str">
            <v>un</v>
          </cell>
          <cell r="D2553">
            <v>5.21</v>
          </cell>
          <cell r="E2553">
            <v>11.370000000000001</v>
          </cell>
          <cell r="F2553">
            <v>16.579999999999998</v>
          </cell>
        </row>
        <row r="2554">
          <cell r="A2554" t="str">
            <v>422008</v>
          </cell>
          <cell r="B2554" t="str">
            <v>Solda exotérmica conexão cabo-cabo horizontal em X, bitola do cabo de 16-16mm² a 35-35mm²</v>
          </cell>
          <cell r="C2554" t="str">
            <v>un</v>
          </cell>
          <cell r="D2554">
            <v>4.75</v>
          </cell>
          <cell r="E2554">
            <v>11.370000000000001</v>
          </cell>
          <cell r="F2554">
            <v>16.12</v>
          </cell>
        </row>
        <row r="2555">
          <cell r="A2555" t="str">
            <v>422009</v>
          </cell>
          <cell r="B2555" t="str">
            <v>Solda exotérmica conexão cabo-cabo horizontal em X, bitola do cabo de 50-25mm² a 95-50mm²</v>
          </cell>
          <cell r="C2555" t="str">
            <v>un</v>
          </cell>
          <cell r="D2555">
            <v>8.66</v>
          </cell>
          <cell r="E2555">
            <v>11.370000000000001</v>
          </cell>
          <cell r="F2555">
            <v>20.03</v>
          </cell>
        </row>
        <row r="2556">
          <cell r="A2556" t="str">
            <v>422010</v>
          </cell>
          <cell r="B2556" t="str">
            <v>Solda exotérmica conexão cabo-cabo horizontal em X, bitola do cabo de 95-70mm² a 95-95mm²</v>
          </cell>
          <cell r="C2556" t="str">
            <v>un</v>
          </cell>
          <cell r="D2556">
            <v>14.67</v>
          </cell>
          <cell r="E2556">
            <v>11.370000000000001</v>
          </cell>
          <cell r="F2556">
            <v>26.04</v>
          </cell>
        </row>
        <row r="2557">
          <cell r="A2557" t="str">
            <v>422011</v>
          </cell>
          <cell r="B2557" t="str">
            <v>Solda exotérmica conexão cabo-cabo horizontal em X sobreposto, bitola do cabo de 16-16mm² a 25-25mm²</v>
          </cell>
          <cell r="C2557" t="str">
            <v>un</v>
          </cell>
          <cell r="D2557">
            <v>8.18</v>
          </cell>
          <cell r="E2557">
            <v>11.370000000000001</v>
          </cell>
          <cell r="F2557">
            <v>19.55</v>
          </cell>
        </row>
        <row r="2558">
          <cell r="A2558" t="str">
            <v>422012</v>
          </cell>
          <cell r="B2558" t="str">
            <v>Solda exotérmica conexão cabo-cabo horizontal em X sobreposto, bitola do cabo de 35-35mm² a 50-35mm²</v>
          </cell>
          <cell r="C2558" t="str">
            <v>un</v>
          </cell>
          <cell r="D2558">
            <v>8.67</v>
          </cell>
          <cell r="E2558">
            <v>11.370000000000001</v>
          </cell>
          <cell r="F2558">
            <v>20.04</v>
          </cell>
        </row>
        <row r="2559">
          <cell r="A2559" t="str">
            <v>422013</v>
          </cell>
          <cell r="B2559" t="str">
            <v>Solda exotérmica conexão cabo-cabo horizontal em X sobreposto, bitola do cabo de 50-50mm² a 95-50mm²</v>
          </cell>
          <cell r="C2559" t="str">
            <v>un</v>
          </cell>
          <cell r="D2559">
            <v>14.68</v>
          </cell>
          <cell r="E2559">
            <v>11.370000000000001</v>
          </cell>
          <cell r="F2559">
            <v>26.05</v>
          </cell>
        </row>
        <row r="2560">
          <cell r="A2560" t="str">
            <v>422014</v>
          </cell>
          <cell r="B2560" t="str">
            <v>Solda exotérmica conexão cabo-cabo horizontal em X sobreposto, bitola do cabo de 95-95mm²</v>
          </cell>
          <cell r="C2560" t="str">
            <v>un</v>
          </cell>
          <cell r="D2560">
            <v>14.94</v>
          </cell>
          <cell r="E2560">
            <v>11.370000000000001</v>
          </cell>
          <cell r="F2560">
            <v>26.310000000000002</v>
          </cell>
        </row>
        <row r="2561">
          <cell r="A2561" t="str">
            <v>422015</v>
          </cell>
          <cell r="B2561" t="str">
            <v>Solda exotérmica conexão cabo-cabo horizontal em T, bitola do cabo de 16-16mm² a 50-35mm²; 70-35mm² e 95-35mm²</v>
          </cell>
          <cell r="C2561" t="str">
            <v>un</v>
          </cell>
          <cell r="D2561">
            <v>4.68</v>
          </cell>
          <cell r="E2561">
            <v>11.370000000000001</v>
          </cell>
          <cell r="F2561">
            <v>16.05</v>
          </cell>
        </row>
        <row r="2562">
          <cell r="A2562" t="str">
            <v>422016</v>
          </cell>
          <cell r="B2562" t="str">
            <v>Solda exotérmica conexão cabo-cabo horizontal em T, bitola do cabo de 50-50mm² a 95-50mm²</v>
          </cell>
          <cell r="C2562" t="str">
            <v>un</v>
          </cell>
          <cell r="D2562">
            <v>8.4</v>
          </cell>
          <cell r="E2562">
            <v>11.370000000000001</v>
          </cell>
          <cell r="F2562">
            <v>19.77</v>
          </cell>
        </row>
        <row r="2563">
          <cell r="A2563" t="str">
            <v>422017</v>
          </cell>
          <cell r="B2563" t="str">
            <v>Solda exotérmica conexão cabo-cabo horizontal reto, bitola do cabo de 16mm² a 70mm²</v>
          </cell>
          <cell r="C2563" t="str">
            <v>un</v>
          </cell>
          <cell r="D2563">
            <v>4.6500000000000004</v>
          </cell>
          <cell r="E2563">
            <v>11.370000000000001</v>
          </cell>
          <cell r="F2563">
            <v>16.02</v>
          </cell>
        </row>
        <row r="2564">
          <cell r="A2564" t="str">
            <v>422018</v>
          </cell>
          <cell r="B2564" t="str">
            <v>Solda exotérmica conexão cabo-cabo horizontal reto, bitola do cabo de 95mm²</v>
          </cell>
          <cell r="C2564" t="str">
            <v>un</v>
          </cell>
          <cell r="D2564">
            <v>8.3800000000000008</v>
          </cell>
          <cell r="E2564">
            <v>11.370000000000001</v>
          </cell>
          <cell r="F2564">
            <v>19.75</v>
          </cell>
        </row>
        <row r="2565">
          <cell r="A2565" t="str">
            <v>422019</v>
          </cell>
          <cell r="B2565" t="str">
            <v>Solda exotérmica conexão cabo-haste em X sobreposto, bitola do cabo de 35mm² a 50mm² para haste de 5/8 e 3/4</v>
          </cell>
          <cell r="C2565" t="str">
            <v>un</v>
          </cell>
          <cell r="D2565">
            <v>15.02</v>
          </cell>
          <cell r="E2565">
            <v>11.370000000000001</v>
          </cell>
          <cell r="F2565">
            <v>26.39</v>
          </cell>
        </row>
        <row r="2566">
          <cell r="A2566" t="str">
            <v>422020</v>
          </cell>
          <cell r="B2566" t="str">
            <v>Solda exotérmica conexão cabo-haste em X sobreposto, bitola do cabo de 70mm² a 95mm² para haste de 5/8 e 3/4</v>
          </cell>
          <cell r="C2566" t="str">
            <v>un</v>
          </cell>
          <cell r="D2566">
            <v>15.05</v>
          </cell>
          <cell r="E2566">
            <v>11.370000000000001</v>
          </cell>
          <cell r="F2566">
            <v>26.42</v>
          </cell>
        </row>
        <row r="2567">
          <cell r="A2567" t="str">
            <v>422021</v>
          </cell>
          <cell r="B2567" t="str">
            <v>Solda exotérmica conexão cabo-haste em T, bitola do cabo de 35mm² para haste de 5/8 e 3/4</v>
          </cell>
          <cell r="C2567" t="str">
            <v>un</v>
          </cell>
          <cell r="D2567">
            <v>9.02</v>
          </cell>
          <cell r="E2567">
            <v>11.370000000000001</v>
          </cell>
          <cell r="F2567">
            <v>20.39</v>
          </cell>
        </row>
        <row r="2568">
          <cell r="A2568" t="str">
            <v>422022</v>
          </cell>
          <cell r="B2568" t="str">
            <v>Solda exotérmica conexão cabo-haste em T, bitola do cabo de 50mm² a 95mm² para haste de 5/8 e 3/4</v>
          </cell>
          <cell r="C2568" t="str">
            <v>un</v>
          </cell>
          <cell r="D2568">
            <v>15.02</v>
          </cell>
          <cell r="E2568">
            <v>11.370000000000001</v>
          </cell>
          <cell r="F2568">
            <v>26.39</v>
          </cell>
        </row>
        <row r="2569">
          <cell r="A2569" t="str">
            <v>422023</v>
          </cell>
          <cell r="B2569" t="str">
            <v>Solda exotérmica conexão cabo-haste na lateral, bitola do cabo de 25mm² a 70mm² para haste de 5/8 e 3/4</v>
          </cell>
          <cell r="C2569" t="str">
            <v>un</v>
          </cell>
          <cell r="D2569">
            <v>9.06</v>
          </cell>
          <cell r="E2569">
            <v>11.370000000000001</v>
          </cell>
          <cell r="F2569">
            <v>20.43</v>
          </cell>
        </row>
        <row r="2570">
          <cell r="A2570" t="str">
            <v>422024</v>
          </cell>
          <cell r="B2570" t="str">
            <v>Solda exotérmica conexão cabo-haste no topo, bitola do cabo de 25mm² a 35mm² para haste de 5/8</v>
          </cell>
          <cell r="C2570" t="str">
            <v>un</v>
          </cell>
          <cell r="D2570">
            <v>8.16</v>
          </cell>
          <cell r="E2570">
            <v>11.370000000000001</v>
          </cell>
          <cell r="F2570">
            <v>19.53</v>
          </cell>
        </row>
        <row r="2571">
          <cell r="A2571" t="str">
            <v>422025</v>
          </cell>
          <cell r="B2571" t="str">
            <v>Solda exotérmica conexão cabo-haste no topo, bitola do cabo de 50mm² a 95mm² para haste de 5/8 e 3/4</v>
          </cell>
          <cell r="C2571" t="str">
            <v>un</v>
          </cell>
          <cell r="D2571">
            <v>8.51</v>
          </cell>
          <cell r="E2571">
            <v>11.370000000000001</v>
          </cell>
          <cell r="F2571">
            <v>19.88</v>
          </cell>
        </row>
        <row r="2572">
          <cell r="A2572" t="str">
            <v>422026</v>
          </cell>
          <cell r="B2572" t="str">
            <v>Solda exotérmica conexão cabo-ferro de construção com cabo paralelo, bitola do cabo de 35mm² para haste de 5/8 e 3/4</v>
          </cell>
          <cell r="C2572" t="str">
            <v>un</v>
          </cell>
          <cell r="D2572">
            <v>4.9000000000000004</v>
          </cell>
          <cell r="E2572">
            <v>11.370000000000001</v>
          </cell>
          <cell r="F2572">
            <v>16.27</v>
          </cell>
        </row>
        <row r="2573">
          <cell r="A2573" t="str">
            <v>422027</v>
          </cell>
          <cell r="B2573" t="str">
            <v>Solda exotérmica conexão cabo-ferro de construção com cabo paralelo, bitola do cabo de 50mm² a 70mm² para haste de 5/8 e 3/4</v>
          </cell>
          <cell r="C2573" t="str">
            <v>un</v>
          </cell>
          <cell r="D2573">
            <v>8.6</v>
          </cell>
          <cell r="E2573">
            <v>11.370000000000001</v>
          </cell>
          <cell r="F2573">
            <v>19.97</v>
          </cell>
        </row>
        <row r="2574">
          <cell r="A2574" t="str">
            <v>422028</v>
          </cell>
          <cell r="B2574" t="str">
            <v>Solda exotérmica conexão cabo-ferro de construção com cabo em X sobreposto, bitola do cabo de 35mm² a 70mm² para haste de 5/8</v>
          </cell>
          <cell r="C2574" t="str">
            <v>un</v>
          </cell>
          <cell r="D2574">
            <v>8.75</v>
          </cell>
          <cell r="E2574">
            <v>11.370000000000001</v>
          </cell>
          <cell r="F2574">
            <v>20.12</v>
          </cell>
        </row>
        <row r="2575">
          <cell r="A2575" t="str">
            <v>422029</v>
          </cell>
          <cell r="B2575" t="str">
            <v>Solda exotérmica conexão cabo-ferro de construção com cabo em X sobreposto, bitola do cabo de 35mm² a 70mm² para haste de 3/8</v>
          </cell>
          <cell r="C2575" t="str">
            <v>un</v>
          </cell>
          <cell r="D2575">
            <v>8.9600000000000009</v>
          </cell>
          <cell r="E2575">
            <v>11.370000000000001</v>
          </cell>
          <cell r="F2575">
            <v>20.329999999999998</v>
          </cell>
        </row>
        <row r="2576">
          <cell r="A2576" t="str">
            <v>422030</v>
          </cell>
          <cell r="B2576" t="str">
            <v>Solda exotérmica conexão cabo-terminal com duas fixações, bitola do cabo de 25mm² a 50mm² para terminal 3x25</v>
          </cell>
          <cell r="C2576" t="str">
            <v>un</v>
          </cell>
          <cell r="D2576">
            <v>4.74</v>
          </cell>
          <cell r="E2576">
            <v>11.370000000000001</v>
          </cell>
          <cell r="F2576">
            <v>16.11</v>
          </cell>
        </row>
        <row r="2577">
          <cell r="A2577" t="str">
            <v>422031</v>
          </cell>
          <cell r="B2577" t="str">
            <v>Solda exotérmica conexão cabo-superfície de aço, bitola do cabo de 16mm² a 35mm²</v>
          </cell>
          <cell r="C2577" t="str">
            <v>un</v>
          </cell>
          <cell r="D2577">
            <v>5.21</v>
          </cell>
          <cell r="E2577">
            <v>11.370000000000001</v>
          </cell>
          <cell r="F2577">
            <v>16.579999999999998</v>
          </cell>
        </row>
        <row r="2578">
          <cell r="A2578" t="str">
            <v>422032</v>
          </cell>
          <cell r="B2578" t="str">
            <v>Solda exotérmica conexão cabo-superfície de aço, bitola do cabo de 50mm² a 95mm²</v>
          </cell>
          <cell r="C2578" t="str">
            <v>un</v>
          </cell>
          <cell r="D2578">
            <v>8.73</v>
          </cell>
          <cell r="E2578">
            <v>11.370000000000001</v>
          </cell>
          <cell r="F2578">
            <v>20.100000000000001</v>
          </cell>
        </row>
        <row r="2579">
          <cell r="A2579" t="str">
            <v>430101</v>
          </cell>
          <cell r="B2579" t="str">
            <v>Bebedouro elétrico de pressão em aço inoxidável, capacidade 4 l/h - simples</v>
          </cell>
          <cell r="C2579" t="str">
            <v>un</v>
          </cell>
          <cell r="D2579">
            <v>690.43000000000006</v>
          </cell>
          <cell r="E2579">
            <v>33.28</v>
          </cell>
          <cell r="F2579">
            <v>723.71</v>
          </cell>
        </row>
        <row r="2580">
          <cell r="A2580" t="str">
            <v>430103</v>
          </cell>
          <cell r="B2580" t="str">
            <v>Bebedouro elétrico de pressão em aço inoxidável, capacidade 4 l/h - conjugado</v>
          </cell>
          <cell r="C2580" t="str">
            <v>un</v>
          </cell>
          <cell r="D2580">
            <v>821.41</v>
          </cell>
          <cell r="E2580">
            <v>33.28</v>
          </cell>
          <cell r="F2580">
            <v>854.69</v>
          </cell>
        </row>
        <row r="2581">
          <cell r="A2581" t="str">
            <v>430201</v>
          </cell>
          <cell r="B2581" t="str">
            <v>Chuveiro frio em PVC, diâmetro de 10 cm</v>
          </cell>
          <cell r="C2581" t="str">
            <v>un</v>
          </cell>
          <cell r="D2581">
            <v>2.38</v>
          </cell>
          <cell r="E2581">
            <v>11.94</v>
          </cell>
          <cell r="F2581">
            <v>14.32</v>
          </cell>
        </row>
        <row r="2582">
          <cell r="A2582" t="str">
            <v>430207</v>
          </cell>
          <cell r="B2582" t="str">
            <v>Chuveiro, com válvula de acionamento, antivandalismo, DN= 3/4´</v>
          </cell>
          <cell r="C2582" t="str">
            <v>cj</v>
          </cell>
          <cell r="D2582">
            <v>354.56</v>
          </cell>
          <cell r="E2582">
            <v>22.69</v>
          </cell>
          <cell r="F2582">
            <v>377.25</v>
          </cell>
        </row>
        <row r="2583">
          <cell r="A2583" t="str">
            <v>430208</v>
          </cell>
          <cell r="B2583" t="str">
            <v>Chuveiro elétrico de 6500W/220V com resistência blindada</v>
          </cell>
          <cell r="C2583" t="str">
            <v>un</v>
          </cell>
          <cell r="D2583">
            <v>261.20999999999998</v>
          </cell>
          <cell r="E2583">
            <v>18.61</v>
          </cell>
          <cell r="F2583">
            <v>279.82</v>
          </cell>
        </row>
        <row r="2584">
          <cell r="A2584" t="str">
            <v>430212</v>
          </cell>
          <cell r="B2584" t="str">
            <v>Chuveiro frio em PVC, diâmetro de 10 cm, com registro e tubo de ligação acoplados</v>
          </cell>
          <cell r="C2584" t="str">
            <v>cj</v>
          </cell>
          <cell r="D2584">
            <v>6.59</v>
          </cell>
          <cell r="E2584">
            <v>14.290000000000001</v>
          </cell>
          <cell r="F2584">
            <v>20.88</v>
          </cell>
        </row>
        <row r="2585">
          <cell r="A2585" t="str">
            <v>430213</v>
          </cell>
          <cell r="B2585" t="str">
            <v>Chuveiro frio em PVC, diâmetro de 15 cm, com registro e tubo de ligação acoplados</v>
          </cell>
          <cell r="C2585" t="str">
            <v>cj</v>
          </cell>
          <cell r="D2585">
            <v>12.68</v>
          </cell>
          <cell r="E2585">
            <v>14.290000000000001</v>
          </cell>
          <cell r="F2585">
            <v>26.97</v>
          </cell>
        </row>
        <row r="2586">
          <cell r="A2586" t="str">
            <v>430214</v>
          </cell>
          <cell r="B2586" t="str">
            <v>Chuveiro elétrico de 5500 W / 220 V em PVC</v>
          </cell>
          <cell r="C2586" t="str">
            <v>un</v>
          </cell>
          <cell r="D2586">
            <v>40.89</v>
          </cell>
          <cell r="E2586">
            <v>18.61</v>
          </cell>
          <cell r="F2586">
            <v>59.5</v>
          </cell>
        </row>
        <row r="2587">
          <cell r="A2587" t="str">
            <v>430301</v>
          </cell>
          <cell r="B2587" t="str">
            <v>Aquecedor a gás, capacidade 3.000 l, potência de 80.000 kcal/h</v>
          </cell>
          <cell r="C2587" t="str">
            <v>un</v>
          </cell>
          <cell r="D2587">
            <v>20412.97</v>
          </cell>
          <cell r="E2587">
            <v>155.86000000000001</v>
          </cell>
          <cell r="F2587">
            <v>20568.830000000002</v>
          </cell>
        </row>
        <row r="2588">
          <cell r="A2588" t="str">
            <v>430303</v>
          </cell>
          <cell r="B2588" t="str">
            <v>Aquecedor a gás, capacidade 2.000 l, potência de 60.000 kcal/h</v>
          </cell>
          <cell r="C2588" t="str">
            <v>un</v>
          </cell>
          <cell r="D2588">
            <v>16551.72</v>
          </cell>
          <cell r="E2588">
            <v>155.86000000000001</v>
          </cell>
          <cell r="F2588">
            <v>16707.580000000002</v>
          </cell>
        </row>
        <row r="2589">
          <cell r="A2589" t="str">
            <v>430305</v>
          </cell>
          <cell r="B2589" t="str">
            <v>Aquecedor a gás de acumulação, capacidade 300 l</v>
          </cell>
          <cell r="C2589" t="str">
            <v>un</v>
          </cell>
          <cell r="D2589">
            <v>6152.81</v>
          </cell>
          <cell r="E2589">
            <v>95.52</v>
          </cell>
          <cell r="F2589">
            <v>6248.33</v>
          </cell>
        </row>
        <row r="2590">
          <cell r="A2590" t="str">
            <v>430311</v>
          </cell>
          <cell r="B2590" t="str">
            <v>Aquecedor a gás, capacidade 5.000 l, potência de 150.000 kcal/h</v>
          </cell>
          <cell r="C2590" t="str">
            <v>un</v>
          </cell>
          <cell r="D2590">
            <v>25938.49</v>
          </cell>
          <cell r="E2590">
            <v>155.86000000000001</v>
          </cell>
          <cell r="F2590">
            <v>26094.350000000002</v>
          </cell>
        </row>
        <row r="2591">
          <cell r="A2591" t="str">
            <v>430313</v>
          </cell>
          <cell r="B2591" t="str">
            <v>Aquecedor a gás de acumulação, capacidade 500 l</v>
          </cell>
          <cell r="C2591" t="str">
            <v>un</v>
          </cell>
          <cell r="D2591">
            <v>6291.06</v>
          </cell>
          <cell r="E2591">
            <v>107.46000000000001</v>
          </cell>
          <cell r="F2591">
            <v>6398.52</v>
          </cell>
        </row>
        <row r="2592">
          <cell r="A2592" t="str">
            <v>430314</v>
          </cell>
          <cell r="B2592" t="str">
            <v>Aquecedor a gás, capacidade 2.500 l, potência de 80.000 kcal/h</v>
          </cell>
          <cell r="C2592" t="str">
            <v>un</v>
          </cell>
          <cell r="D2592">
            <v>18046.72</v>
          </cell>
          <cell r="E2592">
            <v>155.86000000000001</v>
          </cell>
          <cell r="F2592">
            <v>18202.580000000002</v>
          </cell>
        </row>
        <row r="2593">
          <cell r="A2593" t="str">
            <v>430321</v>
          </cell>
          <cell r="B2593" t="str">
            <v>Aquecedor de passagem elétrico individual, baixa pressão, 5.100 W / 127 V ou 5.200 W / 220 V</v>
          </cell>
          <cell r="C2593" t="str">
            <v>un</v>
          </cell>
          <cell r="D2593">
            <v>556.39</v>
          </cell>
          <cell r="E2593">
            <v>118.26</v>
          </cell>
          <cell r="F2593">
            <v>674.65</v>
          </cell>
        </row>
        <row r="2594">
          <cell r="A2594" t="str">
            <v>430322</v>
          </cell>
          <cell r="B2594" t="str">
            <v>Sistema de aquecimento de passagem a gás com sistema misturador para abastecimento de até 08 duchas</v>
          </cell>
          <cell r="C2594" t="str">
            <v>cj</v>
          </cell>
          <cell r="D2594">
            <v>8192.2000000000007</v>
          </cell>
          <cell r="E2594">
            <v>2493.7600000000002</v>
          </cell>
          <cell r="F2594">
            <v>10685.960000000001</v>
          </cell>
        </row>
        <row r="2595">
          <cell r="A2595" t="str">
            <v>430323</v>
          </cell>
          <cell r="B2595" t="str">
            <v>Sistema de aquecimento de passagem a gás com sistema misturador para abastecimento de até 16 duchas</v>
          </cell>
          <cell r="C2595" t="str">
            <v>cj</v>
          </cell>
          <cell r="D2595">
            <v>13059</v>
          </cell>
          <cell r="E2595">
            <v>2805.48</v>
          </cell>
          <cell r="F2595">
            <v>15864.48</v>
          </cell>
        </row>
        <row r="2596">
          <cell r="A2596" t="str">
            <v>430324</v>
          </cell>
          <cell r="B2596" t="str">
            <v>Sistema de aquecimento de passagem a gás com sistema misturador para abastecimento de até 24 duchas</v>
          </cell>
          <cell r="C2596" t="str">
            <v>cj</v>
          </cell>
          <cell r="D2596">
            <v>18970.3</v>
          </cell>
          <cell r="E2596">
            <v>3298.12</v>
          </cell>
          <cell r="F2596">
            <v>22268.420000000002</v>
          </cell>
        </row>
        <row r="2597">
          <cell r="A2597" t="str">
            <v>430350</v>
          </cell>
          <cell r="B2597" t="str">
            <v>Coletor em alumínio para sistema de aquecimento solar com área coletora até 1,60m²</v>
          </cell>
          <cell r="C2597" t="str">
            <v>un</v>
          </cell>
          <cell r="D2597">
            <v>488.67</v>
          </cell>
          <cell r="E2597">
            <v>23.98</v>
          </cell>
          <cell r="F2597">
            <v>512.65</v>
          </cell>
        </row>
        <row r="2598">
          <cell r="A2598" t="str">
            <v>430351</v>
          </cell>
          <cell r="B2598" t="str">
            <v>Coletor em alumínio para sistema de aquecimento solar com área coletora até 2,00m²</v>
          </cell>
          <cell r="C2598" t="str">
            <v>un</v>
          </cell>
          <cell r="D2598">
            <v>638</v>
          </cell>
          <cell r="E2598">
            <v>29.98</v>
          </cell>
          <cell r="F2598">
            <v>667.98</v>
          </cell>
        </row>
        <row r="2599">
          <cell r="A2599" t="str">
            <v>430355</v>
          </cell>
          <cell r="B2599" t="str">
            <v>Reservatório térmico horizontal em aço inoxidável AISI 304, capacidade de 500 litros</v>
          </cell>
          <cell r="C2599" t="str">
            <v>un</v>
          </cell>
          <cell r="D2599">
            <v>1766</v>
          </cell>
          <cell r="E2599">
            <v>33.28</v>
          </cell>
          <cell r="F2599">
            <v>1799.28</v>
          </cell>
        </row>
        <row r="2600">
          <cell r="A2600" t="str">
            <v>430402</v>
          </cell>
          <cell r="B2600" t="str">
            <v>Torneira elétrica</v>
          </cell>
          <cell r="C2600" t="str">
            <v>un</v>
          </cell>
          <cell r="D2600">
            <v>93.93</v>
          </cell>
          <cell r="E2600">
            <v>18.61</v>
          </cell>
          <cell r="F2600">
            <v>112.54</v>
          </cell>
        </row>
        <row r="2601">
          <cell r="A2601" t="str">
            <v>430502</v>
          </cell>
          <cell r="B2601" t="str">
            <v>Exaustor elétrico tipo domiciliar</v>
          </cell>
          <cell r="C2601" t="str">
            <v>un</v>
          </cell>
          <cell r="D2601">
            <v>377.88</v>
          </cell>
          <cell r="E2601">
            <v>65.680000000000007</v>
          </cell>
          <cell r="F2601">
            <v>443.56</v>
          </cell>
        </row>
        <row r="2602">
          <cell r="A2602" t="str">
            <v>430503</v>
          </cell>
          <cell r="B2602" t="str">
            <v>Exaustor elétrico em plástico, vazão 190m³/h</v>
          </cell>
          <cell r="C2602" t="str">
            <v>cj</v>
          </cell>
          <cell r="D2602">
            <v>160.28</v>
          </cell>
          <cell r="E2602">
            <v>22.740000000000002</v>
          </cell>
          <cell r="F2602">
            <v>183.02</v>
          </cell>
        </row>
        <row r="2603">
          <cell r="A2603" t="str">
            <v>430601</v>
          </cell>
          <cell r="B2603" t="str">
            <v>Cigarra de embutir 50/60HZ até 127V, com placa</v>
          </cell>
          <cell r="C2603" t="str">
            <v>un</v>
          </cell>
          <cell r="D2603">
            <v>16.43</v>
          </cell>
          <cell r="E2603">
            <v>11.370000000000001</v>
          </cell>
          <cell r="F2603">
            <v>27.8</v>
          </cell>
        </row>
        <row r="2604">
          <cell r="A2604" t="str">
            <v>430705</v>
          </cell>
          <cell r="B2604" t="str">
            <v>Ar condicionado a frio, tipo split parede, capacidade de 24.000 BTU/h</v>
          </cell>
          <cell r="C2604" t="str">
            <v>cj</v>
          </cell>
          <cell r="D2604">
            <v>2571.92</v>
          </cell>
          <cell r="E2604">
            <v>638.41999999999996</v>
          </cell>
          <cell r="F2604">
            <v>3210.34</v>
          </cell>
        </row>
        <row r="2605">
          <cell r="A2605" t="str">
            <v>430709</v>
          </cell>
          <cell r="B2605" t="str">
            <v>Ar condicionado a frio, tipo split parede, capacidade de 30.000 BTU/h</v>
          </cell>
          <cell r="C2605" t="str">
            <v>cj</v>
          </cell>
          <cell r="D2605">
            <v>2914.96</v>
          </cell>
          <cell r="E2605">
            <v>638.41999999999996</v>
          </cell>
          <cell r="F2605">
            <v>3553.38</v>
          </cell>
        </row>
        <row r="2606">
          <cell r="A2606" t="str">
            <v>430710</v>
          </cell>
          <cell r="B2606" t="str">
            <v>Ar condicionado a frio, tipo split parede, capacidade de 12.000 BTU/h</v>
          </cell>
          <cell r="C2606" t="str">
            <v>cj</v>
          </cell>
          <cell r="D2606">
            <v>1392.57</v>
          </cell>
          <cell r="E2606">
            <v>638.41999999999996</v>
          </cell>
          <cell r="F2606">
            <v>2030.99</v>
          </cell>
        </row>
        <row r="2607">
          <cell r="A2607" t="str">
            <v>430712</v>
          </cell>
          <cell r="B2607" t="str">
            <v>Ar condicionado a frio, tipo split parede, capacidade de 18.000 BTU/h</v>
          </cell>
          <cell r="C2607" t="str">
            <v>cj</v>
          </cell>
          <cell r="D2607">
            <v>2040.88</v>
          </cell>
          <cell r="E2607">
            <v>638.41999999999996</v>
          </cell>
          <cell r="F2607">
            <v>2679.3</v>
          </cell>
        </row>
        <row r="2608">
          <cell r="A2608" t="str">
            <v>430713</v>
          </cell>
          <cell r="B2608" t="str">
            <v>Ar condicionado a frio, tipo split piso teto, capacidade de 18.000 BTU/h</v>
          </cell>
          <cell r="C2608" t="str">
            <v>cj</v>
          </cell>
          <cell r="D2608">
            <v>3083.62</v>
          </cell>
          <cell r="E2608">
            <v>638.41999999999996</v>
          </cell>
          <cell r="F2608">
            <v>3722.04</v>
          </cell>
        </row>
        <row r="2609">
          <cell r="A2609" t="str">
            <v>430714</v>
          </cell>
          <cell r="B2609" t="str">
            <v>Ar condicionado a frio, tipo split cassete, capacidade de 18.000 BTU/h</v>
          </cell>
          <cell r="C2609" t="str">
            <v>cj</v>
          </cell>
          <cell r="D2609">
            <v>3690.85</v>
          </cell>
          <cell r="E2609">
            <v>936.9</v>
          </cell>
          <cell r="F2609">
            <v>4627.75</v>
          </cell>
        </row>
        <row r="2610">
          <cell r="A2610" t="str">
            <v>430719</v>
          </cell>
          <cell r="B2610" t="str">
            <v>Ar condicionado a frio, tipo split cassete, capacidade de 24.000 BTU/h</v>
          </cell>
          <cell r="C2610" t="str">
            <v>cj</v>
          </cell>
          <cell r="D2610">
            <v>4007.53</v>
          </cell>
          <cell r="E2610">
            <v>936.9</v>
          </cell>
          <cell r="F2610">
            <v>4944.43</v>
          </cell>
        </row>
        <row r="2611">
          <cell r="A2611" t="str">
            <v>430720</v>
          </cell>
          <cell r="B2611" t="str">
            <v>Ar condicionado a frio, tipo split cassete, capacidade de 36.000 BTU/h</v>
          </cell>
          <cell r="C2611" t="str">
            <v>cj</v>
          </cell>
          <cell r="D2611">
            <v>5580.67</v>
          </cell>
          <cell r="E2611">
            <v>936.9</v>
          </cell>
          <cell r="F2611">
            <v>6517.57</v>
          </cell>
        </row>
        <row r="2612">
          <cell r="A2612" t="str">
            <v>430727</v>
          </cell>
          <cell r="B2612" t="str">
            <v>Ar condicionado a frio, tipo split piso teto, capacidade de 24.000 BTU/h</v>
          </cell>
          <cell r="C2612" t="str">
            <v>cj</v>
          </cell>
          <cell r="D2612">
            <v>3287.13</v>
          </cell>
          <cell r="E2612">
            <v>638.41999999999996</v>
          </cell>
          <cell r="F2612">
            <v>3925.55</v>
          </cell>
        </row>
        <row r="2613">
          <cell r="A2613" t="str">
            <v>430728</v>
          </cell>
          <cell r="B2613" t="str">
            <v>Ar condicionado a frio, tipo split piso teto, capacidade de 36.000 BTU/h</v>
          </cell>
          <cell r="C2613" t="str">
            <v>cj</v>
          </cell>
          <cell r="D2613">
            <v>4270.78</v>
          </cell>
          <cell r="E2613">
            <v>638.41999999999996</v>
          </cell>
          <cell r="F2613">
            <v>4909.2</v>
          </cell>
        </row>
        <row r="2614">
          <cell r="A2614" t="str">
            <v>431003</v>
          </cell>
          <cell r="B2614" t="str">
            <v>Conjunto motor-bomba (centrífuga) 1,5 cv multiestágio, Hman= 20 a 35 mca, Q= 7,1 a 4,5 m³/h</v>
          </cell>
          <cell r="C2614" t="str">
            <v>un</v>
          </cell>
          <cell r="D2614">
            <v>1513.02</v>
          </cell>
          <cell r="E2614">
            <v>130.84</v>
          </cell>
          <cell r="F2614">
            <v>1643.8600000000001</v>
          </cell>
        </row>
        <row r="2615">
          <cell r="A2615" t="str">
            <v>431005</v>
          </cell>
          <cell r="B2615" t="str">
            <v>Conjunto motor-bomba (centrífuga) 10 cv monoestágio, Hman= 24 a 36 mca,Q= 53 a 45 m³/h</v>
          </cell>
          <cell r="C2615" t="str">
            <v>un</v>
          </cell>
          <cell r="D2615">
            <v>3677.65</v>
          </cell>
          <cell r="E2615">
            <v>130.84</v>
          </cell>
          <cell r="F2615">
            <v>3808.4900000000002</v>
          </cell>
        </row>
        <row r="2616">
          <cell r="A2616" t="str">
            <v>431007</v>
          </cell>
          <cell r="B2616" t="str">
            <v>Conjunto motor-bomba (centrífuga) 3 cv multiestágio, Hman= 35 a 60 mca, Q= 7,8 a 5,8 m³/h</v>
          </cell>
          <cell r="C2616" t="str">
            <v>un</v>
          </cell>
          <cell r="D2616">
            <v>2274.56</v>
          </cell>
          <cell r="E2616">
            <v>130.84</v>
          </cell>
          <cell r="F2616">
            <v>2405.4</v>
          </cell>
        </row>
        <row r="2617">
          <cell r="A2617" t="str">
            <v>431009</v>
          </cell>
          <cell r="B2617" t="str">
            <v>Conjunto motor-bomba (centrífuga) 20 cv monoestágio, Hman= 40 a 70 mca, Q= 76 a 28 m³/h</v>
          </cell>
          <cell r="C2617" t="str">
            <v>un</v>
          </cell>
          <cell r="D2617">
            <v>6258.16</v>
          </cell>
          <cell r="E2617">
            <v>130.84</v>
          </cell>
          <cell r="F2617">
            <v>6389</v>
          </cell>
        </row>
        <row r="2618">
          <cell r="A2618" t="str">
            <v>431011</v>
          </cell>
          <cell r="B2618" t="str">
            <v>Conjunto motor-bomba (centrífuga) 5 cv monoestágio, Hmam= 14 a 26 mca,Q= 56 a 30 m³/h</v>
          </cell>
          <cell r="C2618" t="str">
            <v>un</v>
          </cell>
          <cell r="D2618">
            <v>1966.82</v>
          </cell>
          <cell r="E2618">
            <v>130.84</v>
          </cell>
          <cell r="F2618">
            <v>2097.66</v>
          </cell>
        </row>
        <row r="2619">
          <cell r="A2619" t="str">
            <v>431013</v>
          </cell>
          <cell r="B2619" t="str">
            <v>Conjunto motor-bomba (centrífuga) 3/4 cv monoestágio, Hman= 10 a 16 mca, Q= 12,7 a 8 m³/h</v>
          </cell>
          <cell r="C2619" t="str">
            <v>un</v>
          </cell>
          <cell r="D2619">
            <v>935.11</v>
          </cell>
          <cell r="E2619">
            <v>130.84</v>
          </cell>
          <cell r="F2619">
            <v>1065.95</v>
          </cell>
        </row>
        <row r="2620">
          <cell r="A2620" t="str">
            <v>431015</v>
          </cell>
          <cell r="B2620" t="str">
            <v>Conjunto motor-bomba (centrífuga) 3 cv multiestágio, Hman= 30 a 45 mca, Q= 12,4 a 8,4 m³/h</v>
          </cell>
          <cell r="C2620" t="str">
            <v>un</v>
          </cell>
          <cell r="D2620">
            <v>2005.68</v>
          </cell>
          <cell r="E2620">
            <v>207.52</v>
          </cell>
          <cell r="F2620">
            <v>2213.1999999999998</v>
          </cell>
        </row>
        <row r="2621">
          <cell r="A2621" t="str">
            <v>431017</v>
          </cell>
          <cell r="B2621" t="str">
            <v>Conjunto motor-bomba (centrífuga) 2 cv multiestágio, Hman= 30 a 70 mca, Q= 7,9 a 4,9 m³/h</v>
          </cell>
          <cell r="C2621" t="str">
            <v>un</v>
          </cell>
          <cell r="D2621">
            <v>1699.13</v>
          </cell>
          <cell r="E2621">
            <v>207.52</v>
          </cell>
          <cell r="F2621">
            <v>1906.65</v>
          </cell>
        </row>
        <row r="2622">
          <cell r="A2622" t="str">
            <v>431021</v>
          </cell>
          <cell r="B2622" t="str">
            <v>Conjunto motor-bomba (centrífuga) 60 cv monoestágio, Hman= 90 a 125 mca, Q= 115 a 50 m³/h</v>
          </cell>
          <cell r="C2622" t="str">
            <v>un</v>
          </cell>
          <cell r="D2622">
            <v>18936.39</v>
          </cell>
          <cell r="E2622">
            <v>261.68</v>
          </cell>
          <cell r="F2622">
            <v>19198.07</v>
          </cell>
        </row>
        <row r="2623">
          <cell r="A2623" t="str">
            <v>431023</v>
          </cell>
          <cell r="B2623" t="str">
            <v>Conjunto motor-bomba (centrífuga) 2 cv monoestágio, Hman= 12 a 27 mca, Q= 25 a 8 m³/h</v>
          </cell>
          <cell r="C2623" t="str">
            <v>un</v>
          </cell>
          <cell r="D2623">
            <v>1130.46</v>
          </cell>
          <cell r="E2623">
            <v>130.84</v>
          </cell>
          <cell r="F2623">
            <v>1261.3</v>
          </cell>
        </row>
        <row r="2624">
          <cell r="A2624" t="str">
            <v>431025</v>
          </cell>
          <cell r="B2624" t="str">
            <v>Conjunto motor-bomba (centrífuga) 15 cv monoestágio, Hman= 30 a 60 mca, Q= 82 a 20 m³/h</v>
          </cell>
          <cell r="C2624" t="str">
            <v>un</v>
          </cell>
          <cell r="D2624">
            <v>4488.68</v>
          </cell>
          <cell r="E2624">
            <v>130.84</v>
          </cell>
          <cell r="F2624">
            <v>4619.5200000000004</v>
          </cell>
        </row>
        <row r="2625">
          <cell r="A2625" t="str">
            <v>431029</v>
          </cell>
          <cell r="B2625" t="str">
            <v>Conjunto motor-bomba (centrífuga) 5 cv monoestágio, Hman= 24 a 33 mca, Q= 41,6 a 35,2 m³/h</v>
          </cell>
          <cell r="C2625" t="str">
            <v>un</v>
          </cell>
          <cell r="D2625">
            <v>1982.21</v>
          </cell>
          <cell r="E2625">
            <v>130.84</v>
          </cell>
          <cell r="F2625">
            <v>2113.0500000000002</v>
          </cell>
        </row>
        <row r="2626">
          <cell r="A2626" t="str">
            <v>431030</v>
          </cell>
          <cell r="B2626" t="str">
            <v>Conjunto motor-bomba (centrífuga) 1/2 cv monoestágio, Hman= 12 a 20 mca, Q= 8,3 a 5,2 m³/h</v>
          </cell>
          <cell r="C2626" t="str">
            <v>un</v>
          </cell>
          <cell r="D2626">
            <v>544.4</v>
          </cell>
          <cell r="E2626">
            <v>130.84</v>
          </cell>
          <cell r="F2626">
            <v>675.24</v>
          </cell>
        </row>
        <row r="2627">
          <cell r="A2627" t="str">
            <v>431045</v>
          </cell>
          <cell r="B2627" t="str">
            <v>Conjunto motor-bomba (centrífuga) 30 cv monoestágio, Hman= 20 a 50 mca, Q= 197 a 112 m³/h</v>
          </cell>
          <cell r="C2627" t="str">
            <v>un</v>
          </cell>
          <cell r="D2627">
            <v>6987.1500000000005</v>
          </cell>
          <cell r="E2627">
            <v>130.84</v>
          </cell>
          <cell r="F2627">
            <v>7117.99</v>
          </cell>
        </row>
        <row r="2628">
          <cell r="A2628" t="str">
            <v>431048</v>
          </cell>
          <cell r="B2628" t="str">
            <v>Conjunto motor-bomba (centrífuga) 7,5 cv multiestágio, Hman= 30 a 80 mca, Q= 21,6 a 12,0 m³/h</v>
          </cell>
          <cell r="C2628" t="str">
            <v>un</v>
          </cell>
          <cell r="D2628">
            <v>3181.9700000000003</v>
          </cell>
          <cell r="E2628">
            <v>130.84</v>
          </cell>
          <cell r="F2628">
            <v>3312.81</v>
          </cell>
        </row>
        <row r="2629">
          <cell r="A2629" t="str">
            <v>431049</v>
          </cell>
          <cell r="B2629" t="str">
            <v>Conjunto motor-bomba centrífuga, potência de 5 cv multiestágio, Hman= 25 a 50 mca, Q= 21,0 a 13,3 m³/h</v>
          </cell>
          <cell r="C2629" t="str">
            <v>un</v>
          </cell>
          <cell r="D2629">
            <v>2415.25</v>
          </cell>
          <cell r="E2629">
            <v>130.84</v>
          </cell>
          <cell r="F2629">
            <v>2546.09</v>
          </cell>
        </row>
        <row r="2630">
          <cell r="A2630" t="str">
            <v>431062</v>
          </cell>
          <cell r="B2630" t="str">
            <v>Conjunto motor-bomba (centrífuga), 0,5 cv, monoestágio, Hman= 10 a 20 mca, Q= 7,5 a 1,5 m³/h</v>
          </cell>
          <cell r="C2630" t="str">
            <v>un</v>
          </cell>
          <cell r="D2630">
            <v>603.95000000000005</v>
          </cell>
          <cell r="E2630">
            <v>130.84</v>
          </cell>
          <cell r="F2630">
            <v>734.79</v>
          </cell>
        </row>
        <row r="2631">
          <cell r="A2631" t="str">
            <v>431067</v>
          </cell>
          <cell r="B2631" t="str">
            <v>Conjunto motor-bomba (centrífuga), monoestágio, 0,5 cv, trifásica, Hman= 9 a 21 mca, Q= 8,3 a 2,0 m³/h</v>
          </cell>
          <cell r="C2631" t="str">
            <v>un</v>
          </cell>
          <cell r="D2631">
            <v>406.17</v>
          </cell>
          <cell r="E2631">
            <v>130.84</v>
          </cell>
          <cell r="F2631">
            <v>537.01</v>
          </cell>
        </row>
        <row r="2632">
          <cell r="A2632" t="str">
            <v>431068</v>
          </cell>
          <cell r="B2632" t="str">
            <v>Conjunto motor-bomba (centrífuga), multiestágio, de 3/4´ a 6,0 cv, trifásica, Hman= 70 a 75 mca, Q= 3,0 a 1,5 m³/h</v>
          </cell>
          <cell r="C2632" t="str">
            <v>un</v>
          </cell>
          <cell r="D2632">
            <v>1001.45</v>
          </cell>
          <cell r="E2632">
            <v>130.84</v>
          </cell>
          <cell r="F2632">
            <v>1132.29</v>
          </cell>
        </row>
        <row r="2633">
          <cell r="A2633" t="str">
            <v>431075</v>
          </cell>
          <cell r="B2633" t="str">
            <v>Conjunto motor-bomba (centrífuga) 1cv, monoestágio trifásica, Hman = 8 a 25 mca e Q = 11 a 1,50 m³/h</v>
          </cell>
          <cell r="C2633" t="str">
            <v>un</v>
          </cell>
          <cell r="D2633">
            <v>439.91</v>
          </cell>
          <cell r="E2633">
            <v>130.84</v>
          </cell>
          <cell r="F2633">
            <v>570.75</v>
          </cell>
        </row>
        <row r="2634">
          <cell r="A2634" t="str">
            <v>431101</v>
          </cell>
          <cell r="B2634" t="str">
            <v>Conjunto motor-bomba submersível para poço profundo de 6´, Q= 5 a 13 m³/h, Hman= 122 a 65,5 mca, até 6 HP</v>
          </cell>
          <cell r="C2634" t="str">
            <v>un</v>
          </cell>
          <cell r="D2634">
            <v>4079.9300000000003</v>
          </cell>
          <cell r="E2634">
            <v>277.44</v>
          </cell>
          <cell r="F2634">
            <v>4357.37</v>
          </cell>
        </row>
        <row r="2635">
          <cell r="A2635" t="str">
            <v>431102</v>
          </cell>
          <cell r="B2635" t="str">
            <v>Conjunto motor-bomba submersível para poço profundo de 6´, Q= 5 a 13 m³/h, Hman= 170 a 91,5 mca, 8 HP</v>
          </cell>
          <cell r="C2635" t="str">
            <v>un</v>
          </cell>
          <cell r="D2635">
            <v>4758.07</v>
          </cell>
          <cell r="E2635">
            <v>277.44</v>
          </cell>
          <cell r="F2635">
            <v>5035.51</v>
          </cell>
        </row>
        <row r="2636">
          <cell r="A2636" t="str">
            <v>431103</v>
          </cell>
          <cell r="B2636" t="str">
            <v>Conjunto motor-bomba submersível para poço profundo de 6´, Q= 5 a 13 m³/h, Hman = 218 a 120 mca, 10 HP</v>
          </cell>
          <cell r="C2636" t="str">
            <v>un</v>
          </cell>
          <cell r="D2636">
            <v>5369.79</v>
          </cell>
          <cell r="E2636">
            <v>277.44</v>
          </cell>
          <cell r="F2636">
            <v>5647.2300000000005</v>
          </cell>
        </row>
        <row r="2637">
          <cell r="A2637" t="str">
            <v>431104</v>
          </cell>
          <cell r="B2637" t="str">
            <v>Conjunto motor-bomba submersível para poço profundo de 6´, Q= 5 a 13 m³/h, Hman= 279 a 153 mca, 12,5 HP</v>
          </cell>
          <cell r="C2637" t="str">
            <v>un</v>
          </cell>
          <cell r="D2637">
            <v>6093.43</v>
          </cell>
          <cell r="E2637">
            <v>277.44</v>
          </cell>
          <cell r="F2637">
            <v>6370.87</v>
          </cell>
        </row>
        <row r="2638">
          <cell r="A2638" t="str">
            <v>431105</v>
          </cell>
          <cell r="B2638" t="str">
            <v>Conjunto motor-bomba submersível para poço profundo de 6´, Q= 10 a 20m³/h, Hman= 80 a 48 mca, até 6 HP</v>
          </cell>
          <cell r="C2638" t="str">
            <v>un</v>
          </cell>
          <cell r="D2638">
            <v>3889.75</v>
          </cell>
          <cell r="E2638">
            <v>277.44</v>
          </cell>
          <cell r="F2638">
            <v>4167.1899999999996</v>
          </cell>
        </row>
        <row r="2639">
          <cell r="A2639" t="str">
            <v>431106</v>
          </cell>
          <cell r="B2639" t="str">
            <v>Conjunto motor-bomba submersível para poço profundo de 6´, Q= 10 a 20m³/h, Hman= 108 a 64,5 mca, 8 HP</v>
          </cell>
          <cell r="C2639" t="str">
            <v>un</v>
          </cell>
          <cell r="D2639">
            <v>4391.29</v>
          </cell>
          <cell r="E2639">
            <v>277.44</v>
          </cell>
          <cell r="F2639">
            <v>4668.7299999999996</v>
          </cell>
        </row>
        <row r="2640">
          <cell r="A2640" t="str">
            <v>431107</v>
          </cell>
          <cell r="B2640" t="str">
            <v>Conjunto motor-bomba submersível para poço profundo de 6´, Q= 10 a 20m³/h, Hman= 136 a 81 mca, 10 HP</v>
          </cell>
          <cell r="C2640" t="str">
            <v>un</v>
          </cell>
          <cell r="D2640">
            <v>5112.57</v>
          </cell>
          <cell r="E2640">
            <v>277.44</v>
          </cell>
          <cell r="F2640">
            <v>5390.01</v>
          </cell>
        </row>
        <row r="2641">
          <cell r="A2641" t="str">
            <v>431108</v>
          </cell>
          <cell r="B2641" t="str">
            <v>Conjunto motor-bomba submersível para poço profundo de 6´, Q= 10 a 20m³/h, Hman= 164 a 98 mca, 12,5 HP</v>
          </cell>
          <cell r="C2641" t="str">
            <v>un</v>
          </cell>
          <cell r="D2641">
            <v>5459.79</v>
          </cell>
          <cell r="E2641">
            <v>277.44</v>
          </cell>
          <cell r="F2641">
            <v>5737.2300000000005</v>
          </cell>
        </row>
        <row r="2642">
          <cell r="A2642" t="str">
            <v>431109</v>
          </cell>
          <cell r="B2642" t="str">
            <v>Conjunto motor-bomba submersível para poço profundo de 6´, Q= 10 a 20m³/h, Hman= 206 a 127 mca, 15 HP</v>
          </cell>
          <cell r="C2642" t="str">
            <v>un</v>
          </cell>
          <cell r="D2642">
            <v>7183.35</v>
          </cell>
          <cell r="E2642">
            <v>277.44</v>
          </cell>
          <cell r="F2642">
            <v>7460.79</v>
          </cell>
        </row>
        <row r="2643">
          <cell r="A2643" t="str">
            <v>431110</v>
          </cell>
          <cell r="B2643" t="str">
            <v>Conjunto motor-bomba submersível para poço profundo de 6´, Q= 10 a 20m³/h, Hman= 274 a 170 mca, 20 HP</v>
          </cell>
          <cell r="C2643" t="str">
            <v>un</v>
          </cell>
          <cell r="D2643">
            <v>8129.81</v>
          </cell>
          <cell r="E2643">
            <v>277.44</v>
          </cell>
          <cell r="F2643">
            <v>8407.25</v>
          </cell>
        </row>
        <row r="2644">
          <cell r="A2644" t="str">
            <v>431111</v>
          </cell>
          <cell r="B2644" t="str">
            <v>Conjunto motor-bomba submersível para poço profundo de 6´, Q= 20 a 34m³/h, Hman= 56,5 a 32 mca, até 8 HP</v>
          </cell>
          <cell r="C2644" t="str">
            <v>un</v>
          </cell>
          <cell r="D2644">
            <v>3897.26</v>
          </cell>
          <cell r="E2644">
            <v>277.44</v>
          </cell>
          <cell r="F2644">
            <v>4174.7</v>
          </cell>
        </row>
        <row r="2645">
          <cell r="A2645" t="str">
            <v>431112</v>
          </cell>
          <cell r="B2645" t="str">
            <v>Conjunto motor-bomba submersível para poço profundo de 6´, Q= 20 a 34m³/h, Hman= 69 a 40 mca, 10 HP</v>
          </cell>
          <cell r="C2645" t="str">
            <v>un</v>
          </cell>
          <cell r="D2645">
            <v>4488.95</v>
          </cell>
          <cell r="E2645">
            <v>277.44</v>
          </cell>
          <cell r="F2645">
            <v>4766.3900000000003</v>
          </cell>
        </row>
        <row r="2646">
          <cell r="A2646" t="str">
            <v>431113</v>
          </cell>
          <cell r="B2646" t="str">
            <v>Conjunto motor-bomba submersível para poço profundo de 6´, Q= 20 a 34m³/h, Hman= 92,5 a 53 mca, 12,5 HP</v>
          </cell>
          <cell r="C2646" t="str">
            <v>un</v>
          </cell>
          <cell r="D2646">
            <v>4870.46</v>
          </cell>
          <cell r="E2646">
            <v>277.44</v>
          </cell>
          <cell r="F2646">
            <v>5147.8999999999996</v>
          </cell>
        </row>
        <row r="2647">
          <cell r="A2647" t="str">
            <v>431114</v>
          </cell>
          <cell r="B2647" t="str">
            <v>Conjunto motor-bomba submersível para poço profundo de 6´, Q= 20 a 34m³/h, Hman= 116 a 67 mca, 15 HP</v>
          </cell>
          <cell r="C2647" t="str">
            <v>un</v>
          </cell>
          <cell r="D2647">
            <v>5252.3</v>
          </cell>
          <cell r="E2647">
            <v>277.44</v>
          </cell>
          <cell r="F2647">
            <v>5529.74</v>
          </cell>
        </row>
        <row r="2648">
          <cell r="A2648" t="str">
            <v>431115</v>
          </cell>
          <cell r="B2648" t="str">
            <v>Conjunto motor-bomba submersível para poço profundo de 6´, Q= 20 a 34m³/h, Hman= 152 a 88 mca, 20 HP</v>
          </cell>
          <cell r="C2648" t="str">
            <v>un</v>
          </cell>
          <cell r="D2648">
            <v>7101.01</v>
          </cell>
          <cell r="E2648">
            <v>277.44</v>
          </cell>
          <cell r="F2648">
            <v>7378.45</v>
          </cell>
        </row>
        <row r="2649">
          <cell r="A2649" t="str">
            <v>431116</v>
          </cell>
          <cell r="B2649" t="str">
            <v>Conjunto motor-bomba submersível para poço profundo de 6´, Q= 20 a 34m³/h, Hman= 194 a 111 mca, 25 HP</v>
          </cell>
          <cell r="C2649" t="str">
            <v>un</v>
          </cell>
          <cell r="D2649">
            <v>8123.68</v>
          </cell>
          <cell r="E2649">
            <v>277.44</v>
          </cell>
          <cell r="F2649">
            <v>8401.1200000000008</v>
          </cell>
        </row>
        <row r="2650">
          <cell r="A2650" t="str">
            <v>431118</v>
          </cell>
          <cell r="B2650" t="str">
            <v>Conjunto motor-bomba submersível para poço profundo de 6´ e 8´, Q= 28a 50 m³/h, Hman= 241 a 132 mca, 40 HP</v>
          </cell>
          <cell r="C2650" t="str">
            <v>un</v>
          </cell>
          <cell r="D2650">
            <v>14272.81</v>
          </cell>
          <cell r="E2650">
            <v>277.44</v>
          </cell>
          <cell r="F2650">
            <v>14550.25</v>
          </cell>
        </row>
        <row r="2651">
          <cell r="A2651" t="str">
            <v>431119</v>
          </cell>
          <cell r="B2651" t="str">
            <v>Conjunto motor-bomba submersível para poço profundo de 6´ e 8´, Q= 28a 50 m³/h, Hman= 215 a 117 mca, 35 HP</v>
          </cell>
          <cell r="C2651" t="str">
            <v>un</v>
          </cell>
          <cell r="D2651">
            <v>11636.37</v>
          </cell>
          <cell r="E2651">
            <v>277.44</v>
          </cell>
          <cell r="F2651">
            <v>11913.81</v>
          </cell>
        </row>
        <row r="2652">
          <cell r="A2652" t="str">
            <v>431120</v>
          </cell>
          <cell r="B2652" t="str">
            <v>Conjunto motor-bomba submersível para poço profundo de 6´ e 8´, Q= 45a 80 m³/h, Hman= 107 a 67,5 mca, 30 HP</v>
          </cell>
          <cell r="C2652" t="str">
            <v>un</v>
          </cell>
          <cell r="D2652">
            <v>9902.73</v>
          </cell>
          <cell r="E2652">
            <v>277.44</v>
          </cell>
          <cell r="F2652">
            <v>10180.17</v>
          </cell>
        </row>
        <row r="2653">
          <cell r="A2653" t="str">
            <v>431131</v>
          </cell>
          <cell r="B2653" t="str">
            <v>Conjunto motor-bomba submersível vertical para esgoto, Q= 5 a 20 m³/h, Hman= 42 a 25 mca, potência de 6,25 cv, 4,6 kW, 60 Hz</v>
          </cell>
          <cell r="C2653" t="str">
            <v>un</v>
          </cell>
          <cell r="D2653">
            <v>13764</v>
          </cell>
          <cell r="E2653">
            <v>277.44</v>
          </cell>
          <cell r="F2653">
            <v>14041.44</v>
          </cell>
        </row>
        <row r="2654">
          <cell r="A2654" t="str">
            <v>431132</v>
          </cell>
          <cell r="B2654" t="str">
            <v>Conjunto motor-bomba submersível vertical para esgoto, Q= 4,8 a 25,8 m³/h, Hmam= 19 a 5 mca, potência 1 cv, diâmetro de sólidos até 20mm</v>
          </cell>
          <cell r="C2654" t="str">
            <v>un</v>
          </cell>
          <cell r="D2654">
            <v>2570.1799999999998</v>
          </cell>
          <cell r="E2654">
            <v>186.48</v>
          </cell>
          <cell r="F2654">
            <v>2756.66</v>
          </cell>
        </row>
        <row r="2655">
          <cell r="A2655" t="str">
            <v>431133</v>
          </cell>
          <cell r="B2655" t="str">
            <v>Conjunto motor-bomba submersível vertical para esgoto, Q= 4,6 a 57,2 m³/h, Hman= 13 a 4 mca, potência 2 a 3,5 cv, diâmetro de sólidos até 50mm</v>
          </cell>
          <cell r="C2655" t="str">
            <v>un</v>
          </cell>
          <cell r="D2655">
            <v>3845.7000000000003</v>
          </cell>
          <cell r="E2655">
            <v>186.48</v>
          </cell>
          <cell r="F2655">
            <v>4032.1800000000003</v>
          </cell>
        </row>
        <row r="2656">
          <cell r="A2656" t="str">
            <v>431135</v>
          </cell>
          <cell r="B2656" t="str">
            <v>Conjunto motor-bomba submersível vertical para esgoto, Q= 5 a 19 m³/h, Hman= 63 a 45 mca, potência 13,6 cv, 10 kW, 60 Hz</v>
          </cell>
          <cell r="C2656" t="str">
            <v>un</v>
          </cell>
          <cell r="D2656">
            <v>19331</v>
          </cell>
          <cell r="E2656">
            <v>277.44</v>
          </cell>
          <cell r="F2656">
            <v>19608.439999999999</v>
          </cell>
        </row>
        <row r="2657">
          <cell r="A2657" t="str">
            <v>431136</v>
          </cell>
          <cell r="B2657" t="str">
            <v>Conjunto motor-bomba submersível vertical para águas residuais, Q= 2 a16 m³/h, Hman= 12 a 2 mca, potência de 0,5 cv</v>
          </cell>
          <cell r="C2657" t="str">
            <v>un</v>
          </cell>
          <cell r="D2657">
            <v>1174.8699999999999</v>
          </cell>
          <cell r="E2657">
            <v>186.48</v>
          </cell>
          <cell r="F2657">
            <v>1361.3500000000001</v>
          </cell>
        </row>
        <row r="2658">
          <cell r="A2658" t="str">
            <v>431137</v>
          </cell>
          <cell r="B2658" t="str">
            <v>Conjunto motor-bomba submersível vertical para águas residuais, Q= 3 a 20 m³/h, Hman= 13 a 5 mca, potência de 1 cv</v>
          </cell>
          <cell r="C2658" t="str">
            <v>un</v>
          </cell>
          <cell r="D2658">
            <v>1414.56</v>
          </cell>
          <cell r="E2658">
            <v>186.48</v>
          </cell>
          <cell r="F2658">
            <v>1601.04</v>
          </cell>
        </row>
        <row r="2659">
          <cell r="A2659" t="str">
            <v>431138</v>
          </cell>
          <cell r="B2659" t="str">
            <v>Conjunto motor-bomba submersível vertical para águas residuais, Q= 10 a 50 m³/h, Hman= 22 a 4 mca, potência 4 cv</v>
          </cell>
          <cell r="C2659" t="str">
            <v>un</v>
          </cell>
          <cell r="D2659">
            <v>3747.51</v>
          </cell>
          <cell r="E2659">
            <v>186.48</v>
          </cell>
          <cell r="F2659">
            <v>3933.9900000000002</v>
          </cell>
        </row>
        <row r="2660">
          <cell r="A2660" t="str">
            <v>431139</v>
          </cell>
          <cell r="B2660" t="str">
            <v>Conjunto motor-bomba submersível vertical para águas residuais, Q= 8 a 45 m³/h, Hman= 10,5 a 3,5 mca, potência 1,5 cv</v>
          </cell>
          <cell r="C2660" t="str">
            <v>un</v>
          </cell>
          <cell r="D2660">
            <v>1884.45</v>
          </cell>
          <cell r="E2660">
            <v>186.48</v>
          </cell>
          <cell r="F2660">
            <v>2070.9299999999998</v>
          </cell>
        </row>
        <row r="2661">
          <cell r="A2661" t="str">
            <v>431140</v>
          </cell>
          <cell r="B2661" t="str">
            <v>Conjunto motor-bomba submersível vertical para esgoto, Q= 3,4 a 86,3 m³/h, Hman= 14 a 5 mca, potência 5 cv</v>
          </cell>
          <cell r="C2661" t="str">
            <v>un</v>
          </cell>
          <cell r="D2661">
            <v>7716.84</v>
          </cell>
          <cell r="E2661">
            <v>186.48</v>
          </cell>
          <cell r="F2661">
            <v>7903.3200000000006</v>
          </cell>
        </row>
        <row r="2662">
          <cell r="A2662" t="str">
            <v>431141</v>
          </cell>
          <cell r="B2662" t="str">
            <v>Conjunto motor-bomba submersível vertical para esgoto, Q= 9,1 a 113,6m³/h, Hman= 20 a 15 mca, potência 10 cv</v>
          </cell>
          <cell r="C2662" t="str">
            <v>un</v>
          </cell>
          <cell r="D2662">
            <v>11935.45</v>
          </cell>
          <cell r="E2662">
            <v>186.48</v>
          </cell>
          <cell r="F2662">
            <v>12121.93</v>
          </cell>
        </row>
        <row r="2663">
          <cell r="A2663" t="str">
            <v>431142</v>
          </cell>
          <cell r="B2663" t="str">
            <v>Conjunto motor-bomba submersível vertical para esgoto, Q=9,3 a 69,0 m³/h, Hman=15 a 7 mca, potência 3cv, diâmetro de sólidos 50/65mm</v>
          </cell>
          <cell r="C2663" t="str">
            <v>un</v>
          </cell>
          <cell r="D2663">
            <v>3702.9700000000003</v>
          </cell>
          <cell r="E2663">
            <v>186.48</v>
          </cell>
          <cell r="F2663">
            <v>3889.4500000000003</v>
          </cell>
        </row>
        <row r="2664">
          <cell r="A2664" t="str">
            <v>431146</v>
          </cell>
          <cell r="B2664" t="str">
            <v>Conjunto motor-bomba submersível vertical para esgoto, Q= 40 m³/h, Hman= 40 mca, diâmetro de sólidos até 50 mm</v>
          </cell>
          <cell r="C2664" t="str">
            <v>un</v>
          </cell>
          <cell r="D2664">
            <v>17380</v>
          </cell>
          <cell r="E2664">
            <v>186.48</v>
          </cell>
          <cell r="F2664">
            <v>17566.48</v>
          </cell>
        </row>
        <row r="2665">
          <cell r="A2665" t="str">
            <v>431207</v>
          </cell>
          <cell r="B2665" t="str">
            <v>Bomba dosadora tipo diafragma com sensor de nível, vazão até 1,0 l/h para pressão máxima 15 Bar</v>
          </cell>
          <cell r="C2665" t="str">
            <v>un</v>
          </cell>
          <cell r="D2665">
            <v>969.85</v>
          </cell>
          <cell r="E2665">
            <v>130.84</v>
          </cell>
          <cell r="F2665">
            <v>1100.69</v>
          </cell>
        </row>
        <row r="2666">
          <cell r="A2666" t="str">
            <v>431208</v>
          </cell>
          <cell r="B2666" t="str">
            <v>Bomba dosadora tipo diafragma com sensor de nível, vazão até 1,5 l/h para pressão máxima 12 Bar</v>
          </cell>
          <cell r="C2666" t="str">
            <v>un</v>
          </cell>
          <cell r="D2666">
            <v>898.35</v>
          </cell>
          <cell r="E2666">
            <v>130.84</v>
          </cell>
          <cell r="F2666">
            <v>1029.19</v>
          </cell>
        </row>
        <row r="2667">
          <cell r="A2667" t="str">
            <v>431209</v>
          </cell>
          <cell r="B2667" t="str">
            <v>Bomba dosadora tipo diafragma com sensor de nível, vazão até 5,0 l/h para pressão máxima 7 Bar</v>
          </cell>
          <cell r="C2667" t="str">
            <v>un</v>
          </cell>
          <cell r="D2667">
            <v>980.39</v>
          </cell>
          <cell r="E2667">
            <v>130.84</v>
          </cell>
          <cell r="F2667">
            <v>1111.23</v>
          </cell>
        </row>
        <row r="2668">
          <cell r="A2668" t="str">
            <v>431210</v>
          </cell>
          <cell r="B2668" t="str">
            <v>Bomba dosadora tipo diafragma com sensor de nível, vazão até 8,0 l/h para pressão máxima 10 Bar</v>
          </cell>
          <cell r="C2668" t="str">
            <v>un</v>
          </cell>
          <cell r="D2668">
            <v>1243.99</v>
          </cell>
          <cell r="E2668">
            <v>130.84</v>
          </cell>
          <cell r="F2668">
            <v>1374.83</v>
          </cell>
        </row>
        <row r="2669">
          <cell r="A2669" t="str">
            <v>431211</v>
          </cell>
          <cell r="B2669" t="str">
            <v>Bomba dosadora tipo diafragma com sensor de nível, vazão até 10,0 l/h para pressão máxima 5 Bar</v>
          </cell>
          <cell r="C2669" t="str">
            <v>un</v>
          </cell>
          <cell r="D2669">
            <v>1156.49</v>
          </cell>
          <cell r="E2669">
            <v>130.84</v>
          </cell>
          <cell r="F2669">
            <v>1287.33</v>
          </cell>
        </row>
        <row r="2670">
          <cell r="A2670" t="str">
            <v>431212</v>
          </cell>
          <cell r="B2670" t="str">
            <v>Bomba dosadora tipo diafragma com sensor de nível, vazão até 15,0 l/h para pressão máxima 4 Bar</v>
          </cell>
          <cell r="C2670" t="str">
            <v>un</v>
          </cell>
          <cell r="D2670">
            <v>1755.1100000000001</v>
          </cell>
          <cell r="E2670">
            <v>130.84</v>
          </cell>
          <cell r="F2670">
            <v>1885.95</v>
          </cell>
        </row>
        <row r="2671">
          <cell r="A2671" t="str">
            <v>432013</v>
          </cell>
          <cell r="B2671" t="str">
            <v>Caixa de passagem para condicionamento de ar tipo Split, com saída de dreno único na vertical - 39 x 22 x 6 cm</v>
          </cell>
          <cell r="C2671" t="str">
            <v>un</v>
          </cell>
          <cell r="D2671">
            <v>26.59</v>
          </cell>
          <cell r="E2671">
            <v>6.44</v>
          </cell>
          <cell r="F2671">
            <v>33.03</v>
          </cell>
        </row>
        <row r="2672">
          <cell r="A2672" t="str">
            <v>440103</v>
          </cell>
          <cell r="B2672" t="str">
            <v>Bacia turca de louça - 6 litros</v>
          </cell>
          <cell r="C2672" t="str">
            <v>un</v>
          </cell>
          <cell r="D2672">
            <v>254.71</v>
          </cell>
          <cell r="E2672">
            <v>28.580000000000002</v>
          </cell>
          <cell r="F2672">
            <v>283.29000000000002</v>
          </cell>
        </row>
        <row r="2673">
          <cell r="A2673" t="str">
            <v>440105</v>
          </cell>
          <cell r="B2673" t="str">
            <v>Bacia sifonada de louça sem tampa - 6 litros</v>
          </cell>
          <cell r="C2673" t="str">
            <v>un</v>
          </cell>
          <cell r="D2673">
            <v>117.51</v>
          </cell>
          <cell r="E2673">
            <v>28.580000000000002</v>
          </cell>
          <cell r="F2673">
            <v>146.09</v>
          </cell>
        </row>
        <row r="2674">
          <cell r="A2674" t="str">
            <v>440107</v>
          </cell>
          <cell r="B2674" t="str">
            <v>Bacia sifonada de louça sem tampa com saída horizontal - 6 litros</v>
          </cell>
          <cell r="C2674" t="str">
            <v>un</v>
          </cell>
          <cell r="D2674">
            <v>193.81</v>
          </cell>
          <cell r="E2674">
            <v>28.580000000000002</v>
          </cell>
          <cell r="F2674">
            <v>222.39000000000001</v>
          </cell>
        </row>
        <row r="2675">
          <cell r="A2675" t="str">
            <v>440110</v>
          </cell>
          <cell r="B2675" t="str">
            <v>Lavatório de louça sem coluna</v>
          </cell>
          <cell r="C2675" t="str">
            <v>un</v>
          </cell>
          <cell r="D2675">
            <v>44.68</v>
          </cell>
          <cell r="E2675">
            <v>33.28</v>
          </cell>
          <cell r="F2675">
            <v>77.959999999999994</v>
          </cell>
        </row>
        <row r="2676">
          <cell r="A2676" t="str">
            <v>440111</v>
          </cell>
          <cell r="B2676" t="str">
            <v>Lavatório de louça com coluna</v>
          </cell>
          <cell r="C2676" t="str">
            <v>un</v>
          </cell>
          <cell r="D2676">
            <v>125.41</v>
          </cell>
          <cell r="E2676">
            <v>33.28</v>
          </cell>
          <cell r="F2676">
            <v>158.69</v>
          </cell>
        </row>
        <row r="2677">
          <cell r="A2677" t="str">
            <v>440116</v>
          </cell>
          <cell r="B2677" t="str">
            <v>Lavatório de louça pequeno com coluna suspensa - linha especial</v>
          </cell>
          <cell r="C2677" t="str">
            <v>un</v>
          </cell>
          <cell r="D2677">
            <v>308.17</v>
          </cell>
          <cell r="E2677">
            <v>33.28</v>
          </cell>
          <cell r="F2677">
            <v>341.45</v>
          </cell>
        </row>
        <row r="2678">
          <cell r="A2678" t="str">
            <v>440117</v>
          </cell>
          <cell r="B2678" t="str">
            <v>Lavatório em polipropileno</v>
          </cell>
          <cell r="C2678" t="str">
            <v>un</v>
          </cell>
          <cell r="D2678">
            <v>18.39</v>
          </cell>
          <cell r="E2678">
            <v>11.94</v>
          </cell>
          <cell r="F2678">
            <v>30.330000000000002</v>
          </cell>
        </row>
        <row r="2679">
          <cell r="A2679" t="str">
            <v>440120</v>
          </cell>
          <cell r="B2679" t="str">
            <v>Mictório de louça sifonado auto aspirante</v>
          </cell>
          <cell r="C2679" t="str">
            <v>un</v>
          </cell>
          <cell r="D2679">
            <v>255.38</v>
          </cell>
          <cell r="E2679">
            <v>33.28</v>
          </cell>
          <cell r="F2679">
            <v>288.66000000000003</v>
          </cell>
        </row>
        <row r="2680">
          <cell r="A2680" t="str">
            <v>440124</v>
          </cell>
          <cell r="B2680" t="str">
            <v>Lavatório em louça com coluna suspensa</v>
          </cell>
          <cell r="C2680" t="str">
            <v>un</v>
          </cell>
          <cell r="D2680">
            <v>225.9</v>
          </cell>
          <cell r="E2680">
            <v>33.28</v>
          </cell>
          <cell r="F2680">
            <v>259.18</v>
          </cell>
        </row>
        <row r="2681">
          <cell r="A2681" t="str">
            <v>440127</v>
          </cell>
          <cell r="B2681" t="str">
            <v>Cuba de louça de embutir oval</v>
          </cell>
          <cell r="C2681" t="str">
            <v>un</v>
          </cell>
          <cell r="D2681">
            <v>65.319999999999993</v>
          </cell>
          <cell r="E2681">
            <v>4.78</v>
          </cell>
          <cell r="F2681">
            <v>70.099999999999994</v>
          </cell>
        </row>
        <row r="2682">
          <cell r="A2682" t="str">
            <v>440130</v>
          </cell>
          <cell r="B2682" t="str">
            <v>Tanque de louça com coluna de 22 litros</v>
          </cell>
          <cell r="C2682" t="str">
            <v>un</v>
          </cell>
          <cell r="D2682">
            <v>304.95</v>
          </cell>
          <cell r="E2682">
            <v>71.64</v>
          </cell>
          <cell r="F2682">
            <v>376.59000000000003</v>
          </cell>
        </row>
        <row r="2683">
          <cell r="A2683" t="str">
            <v>440131</v>
          </cell>
          <cell r="B2683" t="str">
            <v>Tanque de louça com coluna de 30 litros</v>
          </cell>
          <cell r="C2683" t="str">
            <v>un</v>
          </cell>
          <cell r="D2683">
            <v>368.2</v>
          </cell>
          <cell r="E2683">
            <v>71.64</v>
          </cell>
          <cell r="F2683">
            <v>439.84000000000003</v>
          </cell>
        </row>
        <row r="2684">
          <cell r="A2684" t="str">
            <v>440134</v>
          </cell>
          <cell r="B2684" t="str">
            <v>Tanque simples em concreto pré-moldado</v>
          </cell>
          <cell r="C2684" t="str">
            <v>un</v>
          </cell>
          <cell r="D2684">
            <v>38.659999999999997</v>
          </cell>
          <cell r="E2684">
            <v>23.88</v>
          </cell>
          <cell r="F2684">
            <v>62.54</v>
          </cell>
        </row>
        <row r="2685">
          <cell r="A2685" t="str">
            <v>440137</v>
          </cell>
          <cell r="B2685" t="str">
            <v>Tanque em granito sintético, linha comercial - sem pertences</v>
          </cell>
          <cell r="C2685" t="str">
            <v>un</v>
          </cell>
          <cell r="D2685">
            <v>109.34</v>
          </cell>
          <cell r="E2685">
            <v>23.88</v>
          </cell>
          <cell r="F2685">
            <v>133.22</v>
          </cell>
        </row>
        <row r="2686">
          <cell r="A2686" t="str">
            <v>440160</v>
          </cell>
          <cell r="B2686" t="str">
            <v>Pia com cuba simples em mármore sintético, linha comercial - sem pertences</v>
          </cell>
          <cell r="C2686" t="str">
            <v>m²</v>
          </cell>
          <cell r="D2686">
            <v>144.13999999999999</v>
          </cell>
          <cell r="E2686">
            <v>42.94</v>
          </cell>
          <cell r="F2686">
            <v>187.08</v>
          </cell>
        </row>
        <row r="2687">
          <cell r="A2687" t="str">
            <v>440161</v>
          </cell>
          <cell r="B2687" t="str">
            <v>Lavatório de louça para canto, sem coluna - sem pertences</v>
          </cell>
          <cell r="C2687" t="str">
            <v>un</v>
          </cell>
          <cell r="D2687">
            <v>80.72</v>
          </cell>
          <cell r="E2687">
            <v>11.94</v>
          </cell>
          <cell r="F2687">
            <v>92.66</v>
          </cell>
        </row>
        <row r="2688">
          <cell r="A2688" t="str">
            <v>440167</v>
          </cell>
          <cell r="B2688" t="str">
            <v>Caixa de descarga em plástico, de sobrepor, capacidade 6 litros com engate flexível</v>
          </cell>
          <cell r="C2688" t="str">
            <v>un</v>
          </cell>
          <cell r="D2688">
            <v>31.96</v>
          </cell>
          <cell r="E2688">
            <v>7.88</v>
          </cell>
          <cell r="F2688">
            <v>39.840000000000003</v>
          </cell>
        </row>
        <row r="2689">
          <cell r="A2689" t="str">
            <v>440168</v>
          </cell>
          <cell r="B2689" t="str">
            <v>Caixa de descarga em plástico, de sobrepor, capacidade 9 litros com engate flexível</v>
          </cell>
          <cell r="C2689" t="str">
            <v>un</v>
          </cell>
          <cell r="D2689">
            <v>32.03</v>
          </cell>
          <cell r="E2689">
            <v>7.88</v>
          </cell>
          <cell r="F2689">
            <v>39.909999999999997</v>
          </cell>
        </row>
        <row r="2690">
          <cell r="A2690" t="str">
            <v>440169</v>
          </cell>
          <cell r="B2690" t="str">
            <v>Tanque de louça sem coluna de 30 litros</v>
          </cell>
          <cell r="C2690" t="str">
            <v>un</v>
          </cell>
          <cell r="D2690">
            <v>232.21</v>
          </cell>
          <cell r="E2690">
            <v>71.64</v>
          </cell>
          <cell r="F2690">
            <v>303.85000000000002</v>
          </cell>
        </row>
        <row r="2691">
          <cell r="A2691" t="str">
            <v>440170</v>
          </cell>
          <cell r="B2691" t="str">
            <v>Banheira em fibra de vidro sem hidromassagem</v>
          </cell>
          <cell r="C2691" t="str">
            <v>un</v>
          </cell>
          <cell r="D2691">
            <v>944.65</v>
          </cell>
          <cell r="E2691">
            <v>50.15</v>
          </cell>
          <cell r="F2691">
            <v>994.80000000000007</v>
          </cell>
        </row>
        <row r="2692">
          <cell r="A2692" t="str">
            <v>440180</v>
          </cell>
          <cell r="B2692" t="str">
            <v>Bacia sifonada com caixa de descarga acoplada sem tampa - 6 litros</v>
          </cell>
          <cell r="C2692" t="str">
            <v>cj</v>
          </cell>
          <cell r="D2692">
            <v>298.39999999999998</v>
          </cell>
          <cell r="E2692">
            <v>28.580000000000002</v>
          </cell>
          <cell r="F2692">
            <v>326.98</v>
          </cell>
        </row>
        <row r="2693">
          <cell r="A2693" t="str">
            <v>440185</v>
          </cell>
          <cell r="B2693" t="str">
            <v>Cuba de louça de embutir redonda, sem pertences</v>
          </cell>
          <cell r="C2693" t="str">
            <v>un</v>
          </cell>
          <cell r="D2693">
            <v>57</v>
          </cell>
          <cell r="E2693">
            <v>11.94</v>
          </cell>
          <cell r="F2693">
            <v>68.94</v>
          </cell>
        </row>
        <row r="2694">
          <cell r="A2694" t="str">
            <v>440206</v>
          </cell>
          <cell r="B2694" t="str">
            <v>Tampo/bancada em granito espessura de 3 cm</v>
          </cell>
          <cell r="C2694" t="str">
            <v>m²</v>
          </cell>
          <cell r="D2694">
            <v>738.57</v>
          </cell>
          <cell r="E2694">
            <v>42.94</v>
          </cell>
          <cell r="F2694">
            <v>781.51</v>
          </cell>
        </row>
        <row r="2695">
          <cell r="A2695" t="str">
            <v>440210</v>
          </cell>
          <cell r="B2695" t="str">
            <v>Tampo/bancada em mármore nacional espessura de 3 cm</v>
          </cell>
          <cell r="C2695" t="str">
            <v>m²</v>
          </cell>
          <cell r="D2695">
            <v>773.80000000000007</v>
          </cell>
          <cell r="E2695">
            <v>42.94</v>
          </cell>
          <cell r="F2695">
            <v>816.74</v>
          </cell>
        </row>
        <row r="2696">
          <cell r="A2696" t="str">
            <v>440220</v>
          </cell>
          <cell r="B2696" t="str">
            <v>Tampo/bancada em concreto armado, revestido em aço inoxidável fosco polido</v>
          </cell>
          <cell r="C2696" t="str">
            <v>m²</v>
          </cell>
          <cell r="D2696">
            <v>621.25</v>
          </cell>
          <cell r="E2696">
            <v>86.070000000000007</v>
          </cell>
          <cell r="F2696">
            <v>707.32</v>
          </cell>
        </row>
        <row r="2697">
          <cell r="A2697" t="str">
            <v>440221</v>
          </cell>
          <cell r="B2697" t="str">
            <v>Tampo/bancada em granito amêndoa, espessura de 2 cm</v>
          </cell>
          <cell r="C2697" t="str">
            <v>m²</v>
          </cell>
          <cell r="D2697">
            <v>355.67</v>
          </cell>
          <cell r="E2697">
            <v>42.94</v>
          </cell>
          <cell r="F2697">
            <v>398.61</v>
          </cell>
        </row>
        <row r="2698">
          <cell r="A2698" t="str">
            <v>440301</v>
          </cell>
          <cell r="B2698" t="str">
            <v>Dispenser toalheiro em ABS e policarbonato para bobina de 20cm x 20m, com alavanca</v>
          </cell>
          <cell r="C2698" t="str">
            <v>un</v>
          </cell>
          <cell r="D2698">
            <v>164.81</v>
          </cell>
          <cell r="E2698">
            <v>2.94</v>
          </cell>
          <cell r="F2698">
            <v>167.75</v>
          </cell>
        </row>
        <row r="2699">
          <cell r="A2699" t="str">
            <v>440302</v>
          </cell>
          <cell r="B2699" t="str">
            <v>Meia saboneteira de louça de embutir</v>
          </cell>
          <cell r="C2699" t="str">
            <v>un</v>
          </cell>
          <cell r="D2699">
            <v>16.89</v>
          </cell>
          <cell r="E2699">
            <v>7.03</v>
          </cell>
          <cell r="F2699">
            <v>23.92</v>
          </cell>
        </row>
        <row r="2700">
          <cell r="A2700" t="str">
            <v>440303</v>
          </cell>
          <cell r="B2700" t="str">
            <v>Dispenser toalheiro metálico esmaltado para bobina de 25cm x 50m, sem alavanca</v>
          </cell>
          <cell r="C2700" t="str">
            <v>un</v>
          </cell>
          <cell r="D2700">
            <v>34.18</v>
          </cell>
          <cell r="E2700">
            <v>2.94</v>
          </cell>
          <cell r="F2700">
            <v>37.119999999999997</v>
          </cell>
        </row>
        <row r="2701">
          <cell r="A2701" t="str">
            <v>440304</v>
          </cell>
          <cell r="B2701" t="str">
            <v>Saboneteira de louça de embutir</v>
          </cell>
          <cell r="C2701" t="str">
            <v>un</v>
          </cell>
          <cell r="D2701">
            <v>19.170000000000002</v>
          </cell>
          <cell r="E2701">
            <v>7.03</v>
          </cell>
          <cell r="F2701">
            <v>26.2</v>
          </cell>
        </row>
        <row r="2702">
          <cell r="A2702" t="str">
            <v>440305</v>
          </cell>
          <cell r="B2702" t="str">
            <v>Dispenser papel higienico em ABS para rolão 300/600m, com visor</v>
          </cell>
          <cell r="C2702" t="str">
            <v>un</v>
          </cell>
          <cell r="D2702">
            <v>32.090000000000003</v>
          </cell>
          <cell r="E2702">
            <v>2.94</v>
          </cell>
          <cell r="F2702">
            <v>35.03</v>
          </cell>
        </row>
        <row r="2703">
          <cell r="A2703" t="str">
            <v>440308</v>
          </cell>
          <cell r="B2703" t="str">
            <v>Porta-papel de louça de embutir</v>
          </cell>
          <cell r="C2703" t="str">
            <v>un</v>
          </cell>
          <cell r="D2703">
            <v>21.330000000000002</v>
          </cell>
          <cell r="E2703">
            <v>7.03</v>
          </cell>
          <cell r="F2703">
            <v>28.36</v>
          </cell>
        </row>
        <row r="2704">
          <cell r="A2704" t="str">
            <v>440309</v>
          </cell>
          <cell r="B2704" t="str">
            <v>Cabide cromado para banheiro</v>
          </cell>
          <cell r="C2704" t="str">
            <v>un</v>
          </cell>
          <cell r="D2704">
            <v>20.27</v>
          </cell>
          <cell r="E2704">
            <v>2.94</v>
          </cell>
          <cell r="F2704">
            <v>23.21</v>
          </cell>
        </row>
        <row r="2705">
          <cell r="A2705" t="str">
            <v>440310</v>
          </cell>
          <cell r="B2705" t="str">
            <v>Cabide de louça com 2 ganchos</v>
          </cell>
          <cell r="C2705" t="str">
            <v>un</v>
          </cell>
          <cell r="D2705">
            <v>5.55</v>
          </cell>
          <cell r="E2705">
            <v>7.03</v>
          </cell>
          <cell r="F2705">
            <v>12.58</v>
          </cell>
        </row>
        <row r="2706">
          <cell r="A2706" t="str">
            <v>440312</v>
          </cell>
          <cell r="B2706" t="str">
            <v>Porta-toalhas com bastão</v>
          </cell>
          <cell r="C2706" t="str">
            <v>un</v>
          </cell>
          <cell r="D2706">
            <v>21.57</v>
          </cell>
          <cell r="E2706">
            <v>7.03</v>
          </cell>
          <cell r="F2706">
            <v>28.6</v>
          </cell>
        </row>
        <row r="2707">
          <cell r="A2707" t="str">
            <v>440313</v>
          </cell>
          <cell r="B2707" t="str">
            <v>Saboneteira tipo dispenser, para refil de 800 ml</v>
          </cell>
          <cell r="C2707" t="str">
            <v>un</v>
          </cell>
          <cell r="D2707">
            <v>19.62</v>
          </cell>
          <cell r="E2707">
            <v>2.94</v>
          </cell>
          <cell r="F2707">
            <v>22.56</v>
          </cell>
        </row>
        <row r="2708">
          <cell r="A2708" t="str">
            <v>440318</v>
          </cell>
          <cell r="B2708" t="str">
            <v>Dispenser toalheiro em ABS, para folhas</v>
          </cell>
          <cell r="C2708" t="str">
            <v>un</v>
          </cell>
          <cell r="D2708">
            <v>31.240000000000002</v>
          </cell>
          <cell r="E2708">
            <v>2.94</v>
          </cell>
          <cell r="F2708">
            <v>34.18</v>
          </cell>
        </row>
        <row r="2709">
          <cell r="A2709" t="str">
            <v>440321</v>
          </cell>
          <cell r="B2709" t="str">
            <v>Ducha cromada simples</v>
          </cell>
          <cell r="C2709" t="str">
            <v>un</v>
          </cell>
          <cell r="D2709">
            <v>43.71</v>
          </cell>
          <cell r="E2709">
            <v>11.94</v>
          </cell>
          <cell r="F2709">
            <v>55.65</v>
          </cell>
        </row>
        <row r="2710">
          <cell r="A2710" t="str">
            <v>440326</v>
          </cell>
          <cell r="B2710" t="str">
            <v>Armário, para lavatório, de embutir plástico</v>
          </cell>
          <cell r="C2710" t="str">
            <v>un</v>
          </cell>
          <cell r="D2710">
            <v>46.69</v>
          </cell>
          <cell r="E2710">
            <v>21.330000000000002</v>
          </cell>
          <cell r="F2710">
            <v>68.02</v>
          </cell>
        </row>
        <row r="2711">
          <cell r="A2711" t="str">
            <v>440330</v>
          </cell>
          <cell r="B2711" t="str">
            <v>Torneira volante tipo alavanca</v>
          </cell>
          <cell r="C2711" t="str">
            <v>un</v>
          </cell>
          <cell r="D2711">
            <v>171.78</v>
          </cell>
          <cell r="E2711">
            <v>9.0399999999999991</v>
          </cell>
          <cell r="F2711">
            <v>180.82</v>
          </cell>
        </row>
        <row r="2712">
          <cell r="A2712" t="str">
            <v>440331</v>
          </cell>
          <cell r="B2712" t="str">
            <v>Torneira de mesa para lavatório, acionamento hidromecânico, com registro integrado regulador de vazão, em latão cromado, DN= 1/2´</v>
          </cell>
          <cell r="C2712" t="str">
            <v>un</v>
          </cell>
          <cell r="D2712">
            <v>421.25</v>
          </cell>
          <cell r="E2712">
            <v>9.0399999999999991</v>
          </cell>
          <cell r="F2712">
            <v>430.29</v>
          </cell>
        </row>
        <row r="2713">
          <cell r="A2713" t="str">
            <v>440336</v>
          </cell>
          <cell r="B2713" t="str">
            <v>Ducha manual cromada</v>
          </cell>
          <cell r="C2713" t="str">
            <v>un</v>
          </cell>
          <cell r="D2713">
            <v>224.36</v>
          </cell>
          <cell r="E2713">
            <v>8.32</v>
          </cell>
          <cell r="F2713">
            <v>232.68</v>
          </cell>
        </row>
        <row r="2714">
          <cell r="A2714" t="str">
            <v>440337</v>
          </cell>
          <cell r="B2714" t="str">
            <v>Torneira curta com rosca para uso geral, em latão fundido sem acabamento, DN= 1/2´</v>
          </cell>
          <cell r="C2714" t="str">
            <v>un</v>
          </cell>
          <cell r="D2714">
            <v>13.89</v>
          </cell>
          <cell r="E2714">
            <v>8.32</v>
          </cell>
          <cell r="F2714">
            <v>22.21</v>
          </cell>
        </row>
        <row r="2715">
          <cell r="A2715" t="str">
            <v>440338</v>
          </cell>
          <cell r="B2715" t="str">
            <v>Torneira curta com rosca para uso geral, em latão fundido sem acabamento, DN= 3/4´</v>
          </cell>
          <cell r="C2715" t="str">
            <v>un</v>
          </cell>
          <cell r="D2715">
            <v>14.14</v>
          </cell>
          <cell r="E2715">
            <v>8.32</v>
          </cell>
          <cell r="F2715">
            <v>22.46</v>
          </cell>
        </row>
        <row r="2716">
          <cell r="A2716" t="str">
            <v>440339</v>
          </cell>
          <cell r="B2716" t="str">
            <v>Torneira curta com rosca para uso geral, em latão fundido cromado, DN= 1/2´</v>
          </cell>
          <cell r="C2716" t="str">
            <v>un</v>
          </cell>
          <cell r="D2716">
            <v>17.27</v>
          </cell>
          <cell r="E2716">
            <v>8.32</v>
          </cell>
          <cell r="F2716">
            <v>25.59</v>
          </cell>
        </row>
        <row r="2717">
          <cell r="A2717" t="str">
            <v>440340</v>
          </cell>
          <cell r="B2717" t="str">
            <v>Torneira curta com rosca para uso geral, em latão fundido cromado, DN= 3/4´</v>
          </cell>
          <cell r="C2717" t="str">
            <v>un</v>
          </cell>
          <cell r="D2717">
            <v>17.3</v>
          </cell>
          <cell r="E2717">
            <v>8.32</v>
          </cell>
          <cell r="F2717">
            <v>25.62</v>
          </cell>
        </row>
        <row r="2718">
          <cell r="A2718" t="str">
            <v>440341</v>
          </cell>
          <cell r="B2718" t="str">
            <v>Torneira curta sem rosca para uso geral, em latão fundido sem acabamento, DN= 1/2´</v>
          </cell>
          <cell r="C2718" t="str">
            <v>un</v>
          </cell>
          <cell r="D2718">
            <v>11.66</v>
          </cell>
          <cell r="E2718">
            <v>8.32</v>
          </cell>
          <cell r="F2718">
            <v>19.98</v>
          </cell>
        </row>
        <row r="2719">
          <cell r="A2719" t="str">
            <v>440342</v>
          </cell>
          <cell r="B2719" t="str">
            <v>Torneira curta sem rosca para uso geral, em latão fundido sem acabamento, DN= 3/4´</v>
          </cell>
          <cell r="C2719" t="str">
            <v>un</v>
          </cell>
          <cell r="D2719">
            <v>11.66</v>
          </cell>
          <cell r="E2719">
            <v>8.32</v>
          </cell>
          <cell r="F2719">
            <v>19.98</v>
          </cell>
        </row>
        <row r="2720">
          <cell r="A2720" t="str">
            <v>440343</v>
          </cell>
          <cell r="B2720" t="str">
            <v>Torneira curta sem rosca para uso geral, em latão fundido cromado, DN= 1/2´</v>
          </cell>
          <cell r="C2720" t="str">
            <v>un</v>
          </cell>
          <cell r="D2720">
            <v>14.06</v>
          </cell>
          <cell r="E2720">
            <v>8.32</v>
          </cell>
          <cell r="F2720">
            <v>22.38</v>
          </cell>
        </row>
        <row r="2721">
          <cell r="A2721" t="str">
            <v>440344</v>
          </cell>
          <cell r="B2721" t="str">
            <v>Torneira curta sem rosca para uso geral, em latão fundido cromado, DN= 3/4´</v>
          </cell>
          <cell r="C2721" t="str">
            <v>un</v>
          </cell>
          <cell r="D2721">
            <v>14.05</v>
          </cell>
          <cell r="E2721">
            <v>8.32</v>
          </cell>
          <cell r="F2721">
            <v>22.37</v>
          </cell>
        </row>
        <row r="2722">
          <cell r="A2722" t="str">
            <v>440345</v>
          </cell>
          <cell r="B2722" t="str">
            <v>Torneira longa sem rosca para uso geral, em latão fundido cromado</v>
          </cell>
          <cell r="C2722" t="str">
            <v>un</v>
          </cell>
          <cell r="D2722">
            <v>25.12</v>
          </cell>
          <cell r="E2722">
            <v>8.32</v>
          </cell>
          <cell r="F2722">
            <v>33.44</v>
          </cell>
        </row>
        <row r="2723">
          <cell r="A2723" t="str">
            <v>440346</v>
          </cell>
          <cell r="B2723" t="str">
            <v>Torneira para lavatório em latão fundido cromado, DN= 1/2´</v>
          </cell>
          <cell r="C2723" t="str">
            <v>un</v>
          </cell>
          <cell r="D2723">
            <v>22.82</v>
          </cell>
          <cell r="E2723">
            <v>9.0399999999999991</v>
          </cell>
          <cell r="F2723">
            <v>31.86</v>
          </cell>
        </row>
        <row r="2724">
          <cell r="A2724" t="str">
            <v>440347</v>
          </cell>
          <cell r="B2724" t="str">
            <v>Torneira de parede para pia com bica móvel e arejador, em latão fundido cromado</v>
          </cell>
          <cell r="C2724" t="str">
            <v>un</v>
          </cell>
          <cell r="D2724">
            <v>37.65</v>
          </cell>
          <cell r="E2724">
            <v>8.32</v>
          </cell>
          <cell r="F2724">
            <v>45.97</v>
          </cell>
        </row>
        <row r="2725">
          <cell r="A2725" t="str">
            <v>440348</v>
          </cell>
          <cell r="B2725" t="str">
            <v>Torneira de mesa para lavatório compacta, acionamento hidromecânico, em latão cromado, DN= 1/2´</v>
          </cell>
          <cell r="C2725" t="str">
            <v>un</v>
          </cell>
          <cell r="D2725">
            <v>170.95000000000002</v>
          </cell>
          <cell r="E2725">
            <v>9.0399999999999991</v>
          </cell>
          <cell r="F2725">
            <v>179.99</v>
          </cell>
        </row>
        <row r="2726">
          <cell r="A2726" t="str">
            <v>440350</v>
          </cell>
          <cell r="B2726" t="str">
            <v>Aparelho misturador de parede, para pia, com bica móvel, acabamento cromado</v>
          </cell>
          <cell r="C2726" t="str">
            <v>un</v>
          </cell>
          <cell r="D2726">
            <v>245.92000000000002</v>
          </cell>
          <cell r="E2726">
            <v>33.43</v>
          </cell>
          <cell r="F2726">
            <v>279.35000000000002</v>
          </cell>
        </row>
        <row r="2727">
          <cell r="A2727" t="str">
            <v>440351</v>
          </cell>
          <cell r="B2727" t="str">
            <v>Torneira de parede antivandalismo, DN= 3/4´</v>
          </cell>
          <cell r="C2727" t="str">
            <v>un</v>
          </cell>
          <cell r="D2727">
            <v>220.63</v>
          </cell>
          <cell r="E2727">
            <v>19.07</v>
          </cell>
          <cell r="F2727">
            <v>239.70000000000002</v>
          </cell>
        </row>
        <row r="2728">
          <cell r="A2728" t="str">
            <v>440352</v>
          </cell>
          <cell r="B2728" t="str">
            <v>Porta-toalha em tubo de aço inoxidável, DN= 1 1/2´</v>
          </cell>
          <cell r="C2728" t="str">
            <v>m</v>
          </cell>
          <cell r="D2728">
            <v>201.1</v>
          </cell>
          <cell r="E2728">
            <v>7.03</v>
          </cell>
          <cell r="F2728">
            <v>208.13</v>
          </cell>
        </row>
        <row r="2729">
          <cell r="A2729" t="str">
            <v>440359</v>
          </cell>
          <cell r="B2729" t="str">
            <v>Torneira de mesa para pia com bica móvel e arejador em latão fundido cromado</v>
          </cell>
          <cell r="C2729" t="str">
            <v>un</v>
          </cell>
          <cell r="D2729">
            <v>103.5</v>
          </cell>
          <cell r="E2729">
            <v>9.0399999999999991</v>
          </cell>
          <cell r="F2729">
            <v>112.54</v>
          </cell>
        </row>
        <row r="2730">
          <cell r="A2730" t="str">
            <v>440363</v>
          </cell>
          <cell r="B2730" t="str">
            <v>Torneira de acionamento restrito, em latão cromado, DN= 1/2´ ou 3/4´</v>
          </cell>
          <cell r="C2730" t="str">
            <v>un</v>
          </cell>
          <cell r="D2730">
            <v>35.71</v>
          </cell>
          <cell r="E2730">
            <v>8.32</v>
          </cell>
          <cell r="F2730">
            <v>44.03</v>
          </cell>
        </row>
        <row r="2731">
          <cell r="A2731" t="str">
            <v>440364</v>
          </cell>
          <cell r="B2731" t="str">
            <v>Torneira de parede acionamento hidromecânico, em latão cromado, DN= 1/2´ ou 3/4´</v>
          </cell>
          <cell r="C2731" t="str">
            <v>un</v>
          </cell>
          <cell r="D2731">
            <v>208.4</v>
          </cell>
          <cell r="E2731">
            <v>8.32</v>
          </cell>
          <cell r="F2731">
            <v>216.72</v>
          </cell>
        </row>
        <row r="2732">
          <cell r="A2732" t="str">
            <v>440367</v>
          </cell>
          <cell r="B2732" t="str">
            <v>Caixa de descarga de embutir, acionamento frontal, completa</v>
          </cell>
          <cell r="C2732" t="str">
            <v>cj</v>
          </cell>
          <cell r="D2732">
            <v>384.66</v>
          </cell>
          <cell r="E2732">
            <v>33.409999999999997</v>
          </cell>
          <cell r="F2732">
            <v>418.07</v>
          </cell>
        </row>
        <row r="2733">
          <cell r="A2733" t="str">
            <v>440369</v>
          </cell>
          <cell r="B2733" t="str">
            <v>Torneira de parede em ABS, DN 1/2´ ou 3/4´, 10cm</v>
          </cell>
          <cell r="C2733" t="str">
            <v>un</v>
          </cell>
          <cell r="D2733">
            <v>1.61</v>
          </cell>
          <cell r="E2733">
            <v>8.32</v>
          </cell>
          <cell r="F2733">
            <v>9.93</v>
          </cell>
        </row>
        <row r="2734">
          <cell r="A2734" t="str">
            <v>440370</v>
          </cell>
          <cell r="B2734" t="str">
            <v>Torneira de parede em ABS, DN 1/2´ ou 3/4´, 15cm</v>
          </cell>
          <cell r="C2734" t="str">
            <v>un</v>
          </cell>
          <cell r="D2734">
            <v>1.6500000000000001</v>
          </cell>
          <cell r="E2734">
            <v>8.32</v>
          </cell>
          <cell r="F2734">
            <v>9.9700000000000006</v>
          </cell>
        </row>
        <row r="2735">
          <cell r="A2735" t="str">
            <v>440372</v>
          </cell>
          <cell r="B2735" t="str">
            <v>Torneira de mesa para lavatório, acionamento hidromecânico com alavanca, registro integrado regulador de vazão, em latão cromado, DN= 1/2´</v>
          </cell>
          <cell r="C2735" t="str">
            <v>un</v>
          </cell>
          <cell r="D2735">
            <v>389.88</v>
          </cell>
          <cell r="E2735">
            <v>9.0399999999999991</v>
          </cell>
          <cell r="F2735">
            <v>398.92</v>
          </cell>
        </row>
        <row r="2736">
          <cell r="A2736" t="str">
            <v>440387</v>
          </cell>
          <cell r="B2736" t="str">
            <v>Ducha higiênica branca de PVC</v>
          </cell>
          <cell r="C2736" t="str">
            <v>un</v>
          </cell>
          <cell r="D2736">
            <v>52.97</v>
          </cell>
          <cell r="E2736">
            <v>11.94</v>
          </cell>
          <cell r="F2736">
            <v>64.91</v>
          </cell>
        </row>
        <row r="2737">
          <cell r="A2737" t="str">
            <v>440390</v>
          </cell>
          <cell r="B2737" t="str">
            <v>Secador de mãos em ABS</v>
          </cell>
          <cell r="C2737" t="str">
            <v>un</v>
          </cell>
          <cell r="D2737">
            <v>345</v>
          </cell>
          <cell r="E2737">
            <v>2.94</v>
          </cell>
          <cell r="F2737">
            <v>347.94</v>
          </cell>
        </row>
        <row r="2738">
          <cell r="A2738" t="str">
            <v>440392</v>
          </cell>
          <cell r="B2738" t="str">
            <v>Ducha higiênica com registro</v>
          </cell>
          <cell r="C2738" t="str">
            <v>un</v>
          </cell>
          <cell r="D2738">
            <v>182.20000000000002</v>
          </cell>
          <cell r="E2738">
            <v>11.94</v>
          </cell>
          <cell r="F2738">
            <v>194.14000000000001</v>
          </cell>
        </row>
        <row r="2739">
          <cell r="A2739" t="str">
            <v>440393</v>
          </cell>
          <cell r="B2739" t="str">
            <v>Desviador para ducha elétrica</v>
          </cell>
          <cell r="C2739" t="str">
            <v>un</v>
          </cell>
          <cell r="D2739">
            <v>31.310000000000002</v>
          </cell>
          <cell r="E2739">
            <v>14.48</v>
          </cell>
          <cell r="F2739">
            <v>45.79</v>
          </cell>
        </row>
        <row r="2740">
          <cell r="A2740" t="str">
            <v>440403</v>
          </cell>
          <cell r="B2740" t="str">
            <v>Prateleira em granito com espessura de 2 cm</v>
          </cell>
          <cell r="C2740" t="str">
            <v>m²</v>
          </cell>
          <cell r="D2740">
            <v>290.56</v>
          </cell>
          <cell r="E2740">
            <v>13.950000000000001</v>
          </cell>
          <cell r="F2740">
            <v>304.51</v>
          </cell>
        </row>
        <row r="2741">
          <cell r="A2741" t="str">
            <v>440404</v>
          </cell>
          <cell r="B2741" t="str">
            <v>Prateleira em granilite</v>
          </cell>
          <cell r="C2741" t="str">
            <v>m²</v>
          </cell>
          <cell r="D2741">
            <v>122.22</v>
          </cell>
          <cell r="E2741">
            <v>42.94</v>
          </cell>
          <cell r="F2741">
            <v>165.16</v>
          </cell>
        </row>
        <row r="2742">
          <cell r="A2742" t="str">
            <v>440405</v>
          </cell>
          <cell r="B2742" t="str">
            <v>Prateleira em granito com espessura de 3 cm</v>
          </cell>
          <cell r="C2742" t="str">
            <v>m²</v>
          </cell>
          <cell r="D2742">
            <v>578.25</v>
          </cell>
          <cell r="E2742">
            <v>13.950000000000001</v>
          </cell>
          <cell r="F2742">
            <v>592.20000000000005</v>
          </cell>
        </row>
        <row r="2743">
          <cell r="A2743" t="str">
            <v>440601</v>
          </cell>
          <cell r="B2743" t="str">
            <v>Lavatório coletivo de aço inoxidável</v>
          </cell>
          <cell r="C2743" t="str">
            <v>m</v>
          </cell>
          <cell r="D2743">
            <v>508.8</v>
          </cell>
          <cell r="E2743">
            <v>33.28</v>
          </cell>
          <cell r="F2743">
            <v>542.08000000000004</v>
          </cell>
        </row>
        <row r="2744">
          <cell r="A2744" t="str">
            <v>440610</v>
          </cell>
          <cell r="B2744" t="str">
            <v>Mictório coletivo em aço inoxidável</v>
          </cell>
          <cell r="C2744" t="str">
            <v>m</v>
          </cell>
          <cell r="D2744">
            <v>466.36</v>
          </cell>
          <cell r="E2744">
            <v>33.28</v>
          </cell>
          <cell r="F2744">
            <v>499.64</v>
          </cell>
        </row>
        <row r="2745">
          <cell r="A2745" t="str">
            <v>440620</v>
          </cell>
          <cell r="B2745" t="str">
            <v>Tanque em aço inoxidável</v>
          </cell>
          <cell r="C2745" t="str">
            <v>un</v>
          </cell>
          <cell r="D2745">
            <v>609.63</v>
          </cell>
          <cell r="E2745">
            <v>71.64</v>
          </cell>
          <cell r="F2745">
            <v>681.27</v>
          </cell>
        </row>
        <row r="2746">
          <cell r="A2746" t="str">
            <v>440630</v>
          </cell>
          <cell r="B2746" t="str">
            <v>Cuba em aço inoxidável simples de 400x340x140mm</v>
          </cell>
          <cell r="C2746" t="str">
            <v>un</v>
          </cell>
          <cell r="D2746">
            <v>120.63</v>
          </cell>
          <cell r="E2746">
            <v>11.94</v>
          </cell>
          <cell r="F2746">
            <v>132.57</v>
          </cell>
        </row>
        <row r="2747">
          <cell r="A2747" t="str">
            <v>440631</v>
          </cell>
          <cell r="B2747" t="str">
            <v>Cuba em aço inoxidável simples de 465x300x140mm</v>
          </cell>
          <cell r="C2747" t="str">
            <v>un</v>
          </cell>
          <cell r="D2747">
            <v>129.94999999999999</v>
          </cell>
          <cell r="E2747">
            <v>11.94</v>
          </cell>
          <cell r="F2747">
            <v>141.88999999999999</v>
          </cell>
        </row>
        <row r="2748">
          <cell r="A2748" t="str">
            <v>440632</v>
          </cell>
          <cell r="B2748" t="str">
            <v>Cuba em aço inoxidável simples de 560x330x140mm</v>
          </cell>
          <cell r="C2748" t="str">
            <v>un</v>
          </cell>
          <cell r="D2748">
            <v>139.1</v>
          </cell>
          <cell r="E2748">
            <v>11.94</v>
          </cell>
          <cell r="F2748">
            <v>151.04</v>
          </cell>
        </row>
        <row r="2749">
          <cell r="A2749" t="str">
            <v>440636</v>
          </cell>
          <cell r="B2749" t="str">
            <v>Cuba em aço inoxidável simples de 500x400x200mm</v>
          </cell>
          <cell r="C2749" t="str">
            <v>un</v>
          </cell>
          <cell r="D2749">
            <v>305.97000000000003</v>
          </cell>
          <cell r="E2749">
            <v>11.94</v>
          </cell>
          <cell r="F2749">
            <v>317.91000000000003</v>
          </cell>
        </row>
        <row r="2750">
          <cell r="A2750" t="str">
            <v>440640</v>
          </cell>
          <cell r="B2750" t="str">
            <v>Cuba em aço inoxidável simples de 500x400x300mm</v>
          </cell>
          <cell r="C2750" t="str">
            <v>un</v>
          </cell>
          <cell r="D2750">
            <v>431.94</v>
          </cell>
          <cell r="E2750">
            <v>11.94</v>
          </cell>
          <cell r="F2750">
            <v>443.88</v>
          </cell>
        </row>
        <row r="2751">
          <cell r="A2751" t="str">
            <v>440641</v>
          </cell>
          <cell r="B2751" t="str">
            <v>Cuba em aço inoxidável simples de 600x500x300mm</v>
          </cell>
          <cell r="C2751" t="str">
            <v>un</v>
          </cell>
          <cell r="D2751">
            <v>546.79999999999995</v>
          </cell>
          <cell r="E2751">
            <v>11.94</v>
          </cell>
          <cell r="F2751">
            <v>558.74</v>
          </cell>
        </row>
        <row r="2752">
          <cell r="A2752" t="str">
            <v>440647</v>
          </cell>
          <cell r="B2752" t="str">
            <v>Cuba em aço inoxidável simples de 600x500x350mm</v>
          </cell>
          <cell r="C2752" t="str">
            <v>un</v>
          </cell>
          <cell r="D2752">
            <v>582.54</v>
          </cell>
          <cell r="E2752">
            <v>11.94</v>
          </cell>
          <cell r="F2752">
            <v>594.48</v>
          </cell>
        </row>
        <row r="2753">
          <cell r="A2753" t="str">
            <v>440651</v>
          </cell>
          <cell r="B2753" t="str">
            <v>Cuba em aço inoxidável simples de 600x400x400mm</v>
          </cell>
          <cell r="C2753" t="str">
            <v>un</v>
          </cell>
          <cell r="D2753">
            <v>619.04999999999995</v>
          </cell>
          <cell r="E2753">
            <v>11.94</v>
          </cell>
          <cell r="F2753">
            <v>630.99</v>
          </cell>
        </row>
        <row r="2754">
          <cell r="A2754" t="str">
            <v>440652</v>
          </cell>
          <cell r="B2754" t="str">
            <v>Cuba em aço inoxidável simples de 600x500x400mm</v>
          </cell>
          <cell r="C2754" t="str">
            <v>un</v>
          </cell>
          <cell r="D2754">
            <v>676.95</v>
          </cell>
          <cell r="E2754">
            <v>11.94</v>
          </cell>
          <cell r="F2754">
            <v>688.89</v>
          </cell>
        </row>
        <row r="2755">
          <cell r="A2755" t="str">
            <v>440657</v>
          </cell>
          <cell r="B2755" t="str">
            <v>Cuba em aço inoxidável simples de 700x600x450mm</v>
          </cell>
          <cell r="C2755" t="str">
            <v>un</v>
          </cell>
          <cell r="D2755">
            <v>956.45</v>
          </cell>
          <cell r="E2755">
            <v>11.94</v>
          </cell>
          <cell r="F2755">
            <v>968.39</v>
          </cell>
        </row>
        <row r="2756">
          <cell r="A2756" t="str">
            <v>440670</v>
          </cell>
          <cell r="B2756" t="str">
            <v>Cuba em aço inoxidável dupla de 715x400x140mm</v>
          </cell>
          <cell r="C2756" t="str">
            <v>un</v>
          </cell>
          <cell r="D2756">
            <v>240.23000000000002</v>
          </cell>
          <cell r="E2756">
            <v>11.94</v>
          </cell>
          <cell r="F2756">
            <v>252.17000000000002</v>
          </cell>
        </row>
        <row r="2757">
          <cell r="A2757" t="str">
            <v>440671</v>
          </cell>
          <cell r="B2757" t="str">
            <v>Cuba em aço inoxidável dupla de 835x340x140mm</v>
          </cell>
          <cell r="C2757" t="str">
            <v>un</v>
          </cell>
          <cell r="D2757">
            <v>240.23000000000002</v>
          </cell>
          <cell r="E2757">
            <v>11.94</v>
          </cell>
          <cell r="F2757">
            <v>252.17000000000002</v>
          </cell>
        </row>
        <row r="2758">
          <cell r="A2758" t="str">
            <v>440675</v>
          </cell>
          <cell r="B2758" t="str">
            <v>Cuba em aço inoxidável dupla de 1020x400x250mm</v>
          </cell>
          <cell r="C2758" t="str">
            <v>un</v>
          </cell>
          <cell r="D2758">
            <v>564.86</v>
          </cell>
          <cell r="E2758">
            <v>11.94</v>
          </cell>
          <cell r="F2758">
            <v>576.79999999999995</v>
          </cell>
        </row>
        <row r="2759">
          <cell r="A2759" t="str">
            <v>442001</v>
          </cell>
          <cell r="B2759" t="str">
            <v>Sifão plástico sanfonado universal de 1´</v>
          </cell>
          <cell r="C2759" t="str">
            <v>un</v>
          </cell>
          <cell r="D2759">
            <v>6.07</v>
          </cell>
          <cell r="E2759">
            <v>9.5500000000000007</v>
          </cell>
          <cell r="F2759">
            <v>15.620000000000001</v>
          </cell>
        </row>
        <row r="2760">
          <cell r="A2760" t="str">
            <v>442002</v>
          </cell>
          <cell r="B2760" t="str">
            <v>Recolocação de torneiras</v>
          </cell>
          <cell r="C2760" t="str">
            <v>un</v>
          </cell>
          <cell r="D2760">
            <v>0.04</v>
          </cell>
          <cell r="E2760">
            <v>11.94</v>
          </cell>
          <cell r="F2760">
            <v>11.98</v>
          </cell>
        </row>
        <row r="2761">
          <cell r="A2761" t="str">
            <v>442004</v>
          </cell>
          <cell r="B2761" t="str">
            <v>Recolocação de sifões</v>
          </cell>
          <cell r="C2761" t="str">
            <v>un</v>
          </cell>
          <cell r="D2761">
            <v>0.04</v>
          </cell>
          <cell r="E2761">
            <v>11.94</v>
          </cell>
          <cell r="F2761">
            <v>11.98</v>
          </cell>
        </row>
        <row r="2762">
          <cell r="A2762" t="str">
            <v>442006</v>
          </cell>
          <cell r="B2762" t="str">
            <v>Recolocação de aparelhos sanitários, incluindo acessórios</v>
          </cell>
          <cell r="C2762" t="str">
            <v>un</v>
          </cell>
          <cell r="D2762">
            <v>0.34</v>
          </cell>
          <cell r="E2762">
            <v>33.28</v>
          </cell>
          <cell r="F2762">
            <v>33.619999999999997</v>
          </cell>
        </row>
        <row r="2763">
          <cell r="A2763" t="str">
            <v>442008</v>
          </cell>
          <cell r="B2763" t="str">
            <v>Recolocação de caixas de descarga de sobrepor</v>
          </cell>
          <cell r="C2763" t="str">
            <v>un</v>
          </cell>
          <cell r="D2763">
            <v>0</v>
          </cell>
          <cell r="E2763">
            <v>59.7</v>
          </cell>
          <cell r="F2763">
            <v>59.7</v>
          </cell>
        </row>
        <row r="2764">
          <cell r="A2764" t="str">
            <v>442010</v>
          </cell>
          <cell r="B2764" t="str">
            <v>Engate flexível metálico DN= 1/2´</v>
          </cell>
          <cell r="C2764" t="str">
            <v>un</v>
          </cell>
          <cell r="D2764">
            <v>29.69</v>
          </cell>
          <cell r="E2764">
            <v>2.89</v>
          </cell>
          <cell r="F2764">
            <v>32.58</v>
          </cell>
        </row>
        <row r="2765">
          <cell r="A2765" t="str">
            <v>442011</v>
          </cell>
          <cell r="B2765" t="str">
            <v>Engate flexível de PVC DN= 1/2´</v>
          </cell>
          <cell r="C2765" t="str">
            <v>un</v>
          </cell>
          <cell r="D2765">
            <v>4.0599999999999996</v>
          </cell>
          <cell r="E2765">
            <v>2.89</v>
          </cell>
          <cell r="F2765">
            <v>6.95</v>
          </cell>
        </row>
        <row r="2766">
          <cell r="A2766" t="str">
            <v>442012</v>
          </cell>
          <cell r="B2766" t="str">
            <v>Canopla para válvula de descarga</v>
          </cell>
          <cell r="C2766" t="str">
            <v>un</v>
          </cell>
          <cell r="D2766">
            <v>65.78</v>
          </cell>
          <cell r="E2766">
            <v>1.6</v>
          </cell>
          <cell r="F2766">
            <v>67.38</v>
          </cell>
        </row>
        <row r="2767">
          <cell r="A2767" t="str">
            <v>442013</v>
          </cell>
          <cell r="B2767" t="str">
            <v>Tubo de ligação para mictório, DN= 1/2´</v>
          </cell>
          <cell r="C2767" t="str">
            <v>un</v>
          </cell>
          <cell r="D2767">
            <v>26.13</v>
          </cell>
          <cell r="E2767">
            <v>2.89</v>
          </cell>
          <cell r="F2767">
            <v>29.02</v>
          </cell>
        </row>
        <row r="2768">
          <cell r="A2768" t="str">
            <v>442015</v>
          </cell>
          <cell r="B2768" t="str">
            <v>Acabamento cromado para registro</v>
          </cell>
          <cell r="C2768" t="str">
            <v>un</v>
          </cell>
          <cell r="D2768">
            <v>23.62</v>
          </cell>
          <cell r="E2768">
            <v>1.6</v>
          </cell>
          <cell r="F2768">
            <v>25.22</v>
          </cell>
        </row>
        <row r="2769">
          <cell r="A2769" t="str">
            <v>442016</v>
          </cell>
          <cell r="B2769" t="str">
            <v>Botão para válvula de descarga</v>
          </cell>
          <cell r="C2769" t="str">
            <v>un</v>
          </cell>
          <cell r="D2769">
            <v>28.2</v>
          </cell>
          <cell r="E2769">
            <v>1.6</v>
          </cell>
          <cell r="F2769">
            <v>29.8</v>
          </cell>
        </row>
        <row r="2770">
          <cell r="A2770" t="str">
            <v>442018</v>
          </cell>
          <cell r="B2770" t="str">
            <v>Reparo para válvula de descarga</v>
          </cell>
          <cell r="C2770" t="str">
            <v>un</v>
          </cell>
          <cell r="D2770">
            <v>28.32</v>
          </cell>
          <cell r="E2770">
            <v>21.490000000000002</v>
          </cell>
          <cell r="F2770">
            <v>49.81</v>
          </cell>
        </row>
        <row r="2771">
          <cell r="A2771" t="str">
            <v>442020</v>
          </cell>
          <cell r="B2771" t="str">
            <v>Sifão de metal cromado de 1 1/2´ x 2´</v>
          </cell>
          <cell r="C2771" t="str">
            <v>un</v>
          </cell>
          <cell r="D2771">
            <v>83.49</v>
          </cell>
          <cell r="E2771">
            <v>11.94</v>
          </cell>
          <cell r="F2771">
            <v>95.43</v>
          </cell>
        </row>
        <row r="2772">
          <cell r="A2772" t="str">
            <v>442022</v>
          </cell>
          <cell r="B2772" t="str">
            <v>Sifão de metal cromado de 1´ x 1 1/2´</v>
          </cell>
          <cell r="C2772" t="str">
            <v>un</v>
          </cell>
          <cell r="D2772">
            <v>86.56</v>
          </cell>
          <cell r="E2772">
            <v>11.94</v>
          </cell>
          <cell r="F2772">
            <v>98.5</v>
          </cell>
        </row>
        <row r="2773">
          <cell r="A2773" t="str">
            <v>442023</v>
          </cell>
          <cell r="B2773" t="str">
            <v>Tubo de ligação para sanitário</v>
          </cell>
          <cell r="C2773" t="str">
            <v>un</v>
          </cell>
          <cell r="D2773">
            <v>18.55</v>
          </cell>
          <cell r="E2773">
            <v>2.89</v>
          </cell>
          <cell r="F2773">
            <v>21.44</v>
          </cell>
        </row>
        <row r="2774">
          <cell r="A2774" t="str">
            <v>442024</v>
          </cell>
          <cell r="B2774" t="str">
            <v>Sifão plástico com copo, rígido, de 1´ x 1 1/2´</v>
          </cell>
          <cell r="C2774" t="str">
            <v>un</v>
          </cell>
          <cell r="D2774">
            <v>9.6300000000000008</v>
          </cell>
          <cell r="E2774">
            <v>9.5500000000000007</v>
          </cell>
          <cell r="F2774">
            <v>19.18</v>
          </cell>
        </row>
        <row r="2775">
          <cell r="A2775" t="str">
            <v>442026</v>
          </cell>
          <cell r="B2775" t="str">
            <v>Sifão plástico com copo, rígido, de 1 1/4´ x 2´</v>
          </cell>
          <cell r="C2775" t="str">
            <v>un</v>
          </cell>
          <cell r="D2775">
            <v>11.450000000000001</v>
          </cell>
          <cell r="E2775">
            <v>9.5500000000000007</v>
          </cell>
          <cell r="F2775">
            <v>21</v>
          </cell>
        </row>
        <row r="2776">
          <cell r="A2776" t="str">
            <v>442028</v>
          </cell>
          <cell r="B2776" t="str">
            <v>Tampa de plástico para bacia sanitária</v>
          </cell>
          <cell r="C2776" t="str">
            <v>un</v>
          </cell>
          <cell r="D2776">
            <v>19.7</v>
          </cell>
          <cell r="E2776">
            <v>1.41</v>
          </cell>
          <cell r="F2776">
            <v>21.11</v>
          </cell>
        </row>
        <row r="2777">
          <cell r="A2777" t="str">
            <v>442030</v>
          </cell>
          <cell r="B2777" t="str">
            <v>Bolsa para bacia sanitária</v>
          </cell>
          <cell r="C2777" t="str">
            <v>un</v>
          </cell>
          <cell r="D2777">
            <v>2.4700000000000002</v>
          </cell>
          <cell r="E2777">
            <v>4.0599999999999996</v>
          </cell>
          <cell r="F2777">
            <v>6.53</v>
          </cell>
        </row>
        <row r="2778">
          <cell r="A2778" t="str">
            <v>442031</v>
          </cell>
          <cell r="B2778" t="str">
            <v>Filtro de pressão em ABS, para 360 l/h</v>
          </cell>
          <cell r="C2778" t="str">
            <v>un</v>
          </cell>
          <cell r="D2778">
            <v>258.22000000000003</v>
          </cell>
          <cell r="E2778">
            <v>16.64</v>
          </cell>
          <cell r="F2778">
            <v>274.86</v>
          </cell>
        </row>
        <row r="2779">
          <cell r="A2779" t="str">
            <v>442039</v>
          </cell>
          <cell r="B2779" t="str">
            <v>Válvula de PVC para lavatório</v>
          </cell>
          <cell r="C2779" t="str">
            <v>un</v>
          </cell>
          <cell r="D2779">
            <v>2.4700000000000002</v>
          </cell>
          <cell r="E2779">
            <v>0.94000000000000006</v>
          </cell>
          <cell r="F2779">
            <v>3.41</v>
          </cell>
        </row>
        <row r="2780">
          <cell r="A2780" t="str">
            <v>442062</v>
          </cell>
          <cell r="B2780" t="str">
            <v>Válvula americana</v>
          </cell>
          <cell r="C2780" t="str">
            <v>un</v>
          </cell>
          <cell r="D2780">
            <v>24.8</v>
          </cell>
          <cell r="E2780">
            <v>0.97</v>
          </cell>
          <cell r="F2780">
            <v>25.77</v>
          </cell>
        </row>
        <row r="2781">
          <cell r="A2781" t="str">
            <v>442064</v>
          </cell>
          <cell r="B2781" t="str">
            <v>Válvula de metal cromado de 1 1/2´</v>
          </cell>
          <cell r="C2781" t="str">
            <v>un</v>
          </cell>
          <cell r="D2781">
            <v>41.76</v>
          </cell>
          <cell r="E2781">
            <v>4.78</v>
          </cell>
          <cell r="F2781">
            <v>46.54</v>
          </cell>
        </row>
        <row r="2782">
          <cell r="A2782" t="str">
            <v>442065</v>
          </cell>
          <cell r="B2782" t="str">
            <v>Válvula de metal cromado de 1´</v>
          </cell>
          <cell r="C2782" t="str">
            <v>un</v>
          </cell>
          <cell r="D2782">
            <v>20.88</v>
          </cell>
          <cell r="E2782">
            <v>4.78</v>
          </cell>
          <cell r="F2782">
            <v>25.66</v>
          </cell>
        </row>
        <row r="2783">
          <cell r="A2783" t="str">
            <v>442070</v>
          </cell>
          <cell r="B2783" t="str">
            <v>Espargidor de ferro galvanizado para mictório tipo cocho</v>
          </cell>
          <cell r="C2783" t="str">
            <v>m</v>
          </cell>
          <cell r="D2783">
            <v>10.47</v>
          </cell>
          <cell r="E2783">
            <v>26.27</v>
          </cell>
          <cell r="F2783">
            <v>36.74</v>
          </cell>
        </row>
        <row r="2784">
          <cell r="A2784" t="str">
            <v>450102</v>
          </cell>
          <cell r="B2784" t="str">
            <v>Entrada completa de água com abrigo e registro de gaveta, DN= 3/4´</v>
          </cell>
          <cell r="C2784" t="str">
            <v>un</v>
          </cell>
          <cell r="D2784">
            <v>383.98</v>
          </cell>
          <cell r="E2784">
            <v>289.92</v>
          </cell>
          <cell r="F2784">
            <v>673.9</v>
          </cell>
        </row>
        <row r="2785">
          <cell r="A2785" t="str">
            <v>450103</v>
          </cell>
          <cell r="B2785" t="str">
            <v>Entrada completa de água com abrigo e registro de gaveta, DN= 3´</v>
          </cell>
          <cell r="C2785" t="str">
            <v>un</v>
          </cell>
          <cell r="D2785">
            <v>1526.31</v>
          </cell>
          <cell r="E2785">
            <v>507.7</v>
          </cell>
          <cell r="F2785">
            <v>2034.01</v>
          </cell>
        </row>
        <row r="2786">
          <cell r="A2786" t="str">
            <v>450104</v>
          </cell>
          <cell r="B2786" t="str">
            <v>Entrada completa de água com abrigo e registro de gaveta, DN= 1´</v>
          </cell>
          <cell r="C2786" t="str">
            <v>un</v>
          </cell>
          <cell r="D2786">
            <v>404.01</v>
          </cell>
          <cell r="E2786">
            <v>289.92</v>
          </cell>
          <cell r="F2786">
            <v>693.93000000000006</v>
          </cell>
        </row>
        <row r="2787">
          <cell r="A2787" t="str">
            <v>450105</v>
          </cell>
          <cell r="B2787" t="str">
            <v>Entrada completa de água com abrigo e registro de gaveta, DN= 2´</v>
          </cell>
          <cell r="C2787" t="str">
            <v>un</v>
          </cell>
          <cell r="D2787">
            <v>1223.55</v>
          </cell>
          <cell r="E2787">
            <v>507.7</v>
          </cell>
          <cell r="F2787">
            <v>1731.25</v>
          </cell>
        </row>
        <row r="2788">
          <cell r="A2788" t="str">
            <v>450106</v>
          </cell>
          <cell r="B2788" t="str">
            <v>Entrada completa de água com abrigo e registro de gaveta, DN= 1 1/2´</v>
          </cell>
          <cell r="C2788" t="str">
            <v>un</v>
          </cell>
          <cell r="D2788">
            <v>1164.1099999999999</v>
          </cell>
          <cell r="E2788">
            <v>507.7</v>
          </cell>
          <cell r="F2788">
            <v>1671.81</v>
          </cell>
        </row>
        <row r="2789">
          <cell r="A2789" t="str">
            <v>450108</v>
          </cell>
          <cell r="B2789" t="str">
            <v>Entrada completa de água com abrigo e registro de gaveta, DN= 2 1/2´</v>
          </cell>
          <cell r="C2789" t="str">
            <v>un</v>
          </cell>
          <cell r="D2789">
            <v>1370.26</v>
          </cell>
          <cell r="E2789">
            <v>507.7</v>
          </cell>
          <cell r="F2789">
            <v>1877.96</v>
          </cell>
        </row>
        <row r="2790">
          <cell r="A2790" t="str">
            <v>450202</v>
          </cell>
          <cell r="B2790" t="str">
            <v>Entrada completa de gás GLP domiciliar com 2 bujões de 13 kg</v>
          </cell>
          <cell r="C2790" t="str">
            <v>un</v>
          </cell>
          <cell r="D2790">
            <v>778.28</v>
          </cell>
          <cell r="E2790">
            <v>366.41</v>
          </cell>
          <cell r="F2790">
            <v>1144.69</v>
          </cell>
        </row>
        <row r="2791">
          <cell r="A2791" t="str">
            <v>450204</v>
          </cell>
          <cell r="B2791" t="str">
            <v>Entrada completa de gás GLP com 2 cilíndros de 45 kg</v>
          </cell>
          <cell r="C2791" t="str">
            <v>un</v>
          </cell>
          <cell r="D2791">
            <v>2415.9499999999998</v>
          </cell>
          <cell r="E2791">
            <v>787.33</v>
          </cell>
          <cell r="F2791">
            <v>3203.28</v>
          </cell>
        </row>
        <row r="2792">
          <cell r="A2792" t="str">
            <v>450206</v>
          </cell>
          <cell r="B2792" t="str">
            <v>Entrada completa de gás GLP com 4 cilíndros de 45 kg</v>
          </cell>
          <cell r="C2792" t="str">
            <v>un</v>
          </cell>
          <cell r="D2792">
            <v>4025.01</v>
          </cell>
          <cell r="E2792">
            <v>1037.78</v>
          </cell>
          <cell r="F2792">
            <v>5062.79</v>
          </cell>
        </row>
        <row r="2793">
          <cell r="A2793" t="str">
            <v>450208</v>
          </cell>
          <cell r="B2793" t="str">
            <v>Entrada completa de gás GLP com 6 cilíndros de 45 kg</v>
          </cell>
          <cell r="C2793" t="str">
            <v>un</v>
          </cell>
          <cell r="D2793">
            <v>5625.92</v>
          </cell>
          <cell r="E2793">
            <v>1258.1099999999999</v>
          </cell>
          <cell r="F2793">
            <v>6884.03</v>
          </cell>
        </row>
        <row r="2794">
          <cell r="A2794" t="str">
            <v>450220</v>
          </cell>
          <cell r="B2794" t="str">
            <v>Abrigo padronizado de gás GLP encanado</v>
          </cell>
          <cell r="C2794" t="str">
            <v>un</v>
          </cell>
          <cell r="D2794">
            <v>269.70999999999998</v>
          </cell>
          <cell r="E2794">
            <v>249.78</v>
          </cell>
          <cell r="F2794">
            <v>519.49</v>
          </cell>
        </row>
        <row r="2795">
          <cell r="A2795" t="str">
            <v>450301</v>
          </cell>
          <cell r="B2795" t="str">
            <v>Hidrômetro em ferro fundido, diâmetro 50 mm (2´)</v>
          </cell>
          <cell r="C2795" t="str">
            <v>un</v>
          </cell>
          <cell r="D2795">
            <v>1680.24</v>
          </cell>
          <cell r="E2795">
            <v>17.91</v>
          </cell>
          <cell r="F2795">
            <v>1698.15</v>
          </cell>
        </row>
        <row r="2796">
          <cell r="A2796" t="str">
            <v>450302</v>
          </cell>
          <cell r="B2796" t="str">
            <v>Hidrômetro em ferro fundido, diâmetro 80 mm (3´)</v>
          </cell>
          <cell r="C2796" t="str">
            <v>un</v>
          </cell>
          <cell r="D2796">
            <v>2268.65</v>
          </cell>
          <cell r="E2796">
            <v>17.91</v>
          </cell>
          <cell r="F2796">
            <v>2286.56</v>
          </cell>
        </row>
        <row r="2797">
          <cell r="A2797" t="str">
            <v>450303</v>
          </cell>
          <cell r="B2797" t="str">
            <v>Hidrômetro em ferro fundido, diâmetro 100 mm (4´)</v>
          </cell>
          <cell r="C2797" t="str">
            <v>un</v>
          </cell>
          <cell r="D2797">
            <v>2672.48</v>
          </cell>
          <cell r="E2797">
            <v>17.91</v>
          </cell>
          <cell r="F2797">
            <v>2690.39</v>
          </cell>
        </row>
        <row r="2798">
          <cell r="A2798" t="str">
            <v>450304</v>
          </cell>
          <cell r="B2798" t="str">
            <v>Hidrômetro em ferro fundido, diâmetro 150 mm (6´)</v>
          </cell>
          <cell r="C2798" t="str">
            <v>un</v>
          </cell>
          <cell r="D2798">
            <v>4222.99</v>
          </cell>
          <cell r="E2798">
            <v>17.91</v>
          </cell>
          <cell r="F2798">
            <v>4240.8999999999996</v>
          </cell>
        </row>
        <row r="2799">
          <cell r="A2799" t="str">
            <v>450310</v>
          </cell>
          <cell r="B2799" t="str">
            <v>Hidrômetro em bronze, diâmetro de 25 mm (1´)</v>
          </cell>
          <cell r="C2799" t="str">
            <v>cj</v>
          </cell>
          <cell r="D2799">
            <v>391.04</v>
          </cell>
          <cell r="E2799">
            <v>28.66</v>
          </cell>
          <cell r="F2799">
            <v>419.7</v>
          </cell>
        </row>
        <row r="2800">
          <cell r="A2800" t="str">
            <v>450311</v>
          </cell>
          <cell r="B2800" t="str">
            <v>Hidrômetro em bronze, diâmetro de 40 mm (1 1/2´)</v>
          </cell>
          <cell r="C2800" t="str">
            <v>cj</v>
          </cell>
          <cell r="D2800">
            <v>687.33</v>
          </cell>
          <cell r="E2800">
            <v>28.66</v>
          </cell>
          <cell r="F2800">
            <v>715.99</v>
          </cell>
        </row>
        <row r="2801">
          <cell r="A2801" t="str">
            <v>450320</v>
          </cell>
          <cell r="B2801" t="str">
            <v>Filtro tipo cesto para hidrômetro de 50 mm (2´)</v>
          </cell>
          <cell r="C2801" t="str">
            <v>un</v>
          </cell>
          <cell r="D2801">
            <v>946.62</v>
          </cell>
          <cell r="E2801">
            <v>17.91</v>
          </cell>
          <cell r="F2801">
            <v>964.53</v>
          </cell>
        </row>
        <row r="2802">
          <cell r="A2802" t="str">
            <v>450321</v>
          </cell>
          <cell r="B2802" t="str">
            <v>Filtro tipo cesto para hidrômetro de 80 mm (3´)</v>
          </cell>
          <cell r="C2802" t="str">
            <v>un</v>
          </cell>
          <cell r="D2802">
            <v>1382.43</v>
          </cell>
          <cell r="E2802">
            <v>17.91</v>
          </cell>
          <cell r="F2802">
            <v>1400.34</v>
          </cell>
        </row>
        <row r="2803">
          <cell r="A2803" t="str">
            <v>450322</v>
          </cell>
          <cell r="B2803" t="str">
            <v>Filtro tipo cesto para hidrômetro de 100 mm (4´)</v>
          </cell>
          <cell r="C2803" t="str">
            <v>un</v>
          </cell>
          <cell r="D2803">
            <v>1744.6000000000001</v>
          </cell>
          <cell r="E2803">
            <v>17.91</v>
          </cell>
          <cell r="F2803">
            <v>1762.51</v>
          </cell>
        </row>
        <row r="2804">
          <cell r="A2804" t="str">
            <v>450323</v>
          </cell>
          <cell r="B2804" t="str">
            <v>Filtro tipo cesto para hidrômetro de 150 mm (6´)</v>
          </cell>
          <cell r="C2804" t="str">
            <v>un</v>
          </cell>
          <cell r="D2804">
            <v>3211.9500000000003</v>
          </cell>
          <cell r="E2804">
            <v>17.91</v>
          </cell>
          <cell r="F2804">
            <v>3229.86</v>
          </cell>
        </row>
        <row r="2805">
          <cell r="A2805" t="str">
            <v>452002</v>
          </cell>
          <cell r="B2805" t="str">
            <v>Cilíndro de gás (GLP) de 45 kg, com carga</v>
          </cell>
          <cell r="C2805" t="str">
            <v>un</v>
          </cell>
          <cell r="D2805">
            <v>499.55</v>
          </cell>
          <cell r="E2805">
            <v>0</v>
          </cell>
          <cell r="F2805">
            <v>499.55</v>
          </cell>
        </row>
        <row r="2806">
          <cell r="A2806" t="str">
            <v>460101</v>
          </cell>
          <cell r="B2806" t="str">
            <v>Tubo de PVC rígido, DN= 20 mm, (1/2´), inclusive conexões</v>
          </cell>
          <cell r="C2806" t="str">
            <v>m</v>
          </cell>
          <cell r="D2806">
            <v>4.47</v>
          </cell>
          <cell r="E2806">
            <v>11.94</v>
          </cell>
          <cell r="F2806">
            <v>16.41</v>
          </cell>
        </row>
        <row r="2807">
          <cell r="A2807" t="str">
            <v>460102</v>
          </cell>
          <cell r="B2807" t="str">
            <v>Tubo de PVC rígido, DN= 25 mm, (3/4´), inclusive conexões</v>
          </cell>
          <cell r="C2807" t="str">
            <v>m</v>
          </cell>
          <cell r="D2807">
            <v>6.04</v>
          </cell>
          <cell r="E2807">
            <v>11.94</v>
          </cell>
          <cell r="F2807">
            <v>17.98</v>
          </cell>
        </row>
        <row r="2808">
          <cell r="A2808" t="str">
            <v>460103</v>
          </cell>
          <cell r="B2808" t="str">
            <v>Tubo de PVC rígido, DN= 32 mm, (1´), inclusive conexões</v>
          </cell>
          <cell r="C2808" t="str">
            <v>m</v>
          </cell>
          <cell r="D2808">
            <v>9.93</v>
          </cell>
          <cell r="E2808">
            <v>11.94</v>
          </cell>
          <cell r="F2808">
            <v>21.87</v>
          </cell>
        </row>
        <row r="2809">
          <cell r="A2809" t="str">
            <v>460104</v>
          </cell>
          <cell r="B2809" t="str">
            <v>Tubo de PVC rígido, DN= 40 mm, (1 1/4´), inclusive conexões</v>
          </cell>
          <cell r="C2809" t="str">
            <v>m</v>
          </cell>
          <cell r="D2809">
            <v>13.47</v>
          </cell>
          <cell r="E2809">
            <v>14.33</v>
          </cell>
          <cell r="F2809">
            <v>27.8</v>
          </cell>
        </row>
        <row r="2810">
          <cell r="A2810" t="str">
            <v>460105</v>
          </cell>
          <cell r="B2810" t="str">
            <v>Tubo de PVC rígido, DN= 50 mm, (1 1/2´), inclusive conexões</v>
          </cell>
          <cell r="C2810" t="str">
            <v>m</v>
          </cell>
          <cell r="D2810">
            <v>15.41</v>
          </cell>
          <cell r="E2810">
            <v>14.33</v>
          </cell>
          <cell r="F2810">
            <v>29.740000000000002</v>
          </cell>
        </row>
        <row r="2811">
          <cell r="A2811" t="str">
            <v>460106</v>
          </cell>
          <cell r="B2811" t="str">
            <v>Tubo de PVC rígido, DN= 60 mm, (2´), inclusive conexões</v>
          </cell>
          <cell r="C2811" t="str">
            <v>m</v>
          </cell>
          <cell r="D2811">
            <v>21.63</v>
          </cell>
          <cell r="E2811">
            <v>19.100000000000001</v>
          </cell>
          <cell r="F2811">
            <v>40.729999999999997</v>
          </cell>
        </row>
        <row r="2812">
          <cell r="A2812" t="str">
            <v>460107</v>
          </cell>
          <cell r="B2812" t="str">
            <v>Tubo de PVC rígido, DN= 75 mm, (2 1/2´), inclusive conexões</v>
          </cell>
          <cell r="C2812" t="str">
            <v>m</v>
          </cell>
          <cell r="D2812">
            <v>31.11</v>
          </cell>
          <cell r="E2812">
            <v>19.100000000000001</v>
          </cell>
          <cell r="F2812">
            <v>50.21</v>
          </cell>
        </row>
        <row r="2813">
          <cell r="A2813" t="str">
            <v>460108</v>
          </cell>
          <cell r="B2813" t="str">
            <v>Tubo de PVC rígido, DN= 85 mm, (3´), inclusive conexões</v>
          </cell>
          <cell r="C2813" t="str">
            <v>m</v>
          </cell>
          <cell r="D2813">
            <v>36.28</v>
          </cell>
          <cell r="E2813">
            <v>21.490000000000002</v>
          </cell>
          <cell r="F2813">
            <v>57.77</v>
          </cell>
        </row>
        <row r="2814">
          <cell r="A2814" t="str">
            <v>460109</v>
          </cell>
          <cell r="B2814" t="str">
            <v>Tubo de PVC rígido, DN= 110 mm, (4´), inclusive conexões</v>
          </cell>
          <cell r="C2814" t="str">
            <v>m</v>
          </cell>
          <cell r="D2814">
            <v>53.2</v>
          </cell>
          <cell r="E2814">
            <v>23.88</v>
          </cell>
          <cell r="F2814">
            <v>77.08</v>
          </cell>
        </row>
        <row r="2815">
          <cell r="A2815" t="str">
            <v>460201</v>
          </cell>
          <cell r="B2815" t="str">
            <v>Tubo de PVC rígido, pontas lisas, DN= 40 mm, inclusive conexões</v>
          </cell>
          <cell r="C2815" t="str">
            <v>m</v>
          </cell>
          <cell r="D2815">
            <v>8.69</v>
          </cell>
          <cell r="E2815">
            <v>19.100000000000001</v>
          </cell>
          <cell r="F2815">
            <v>27.79</v>
          </cell>
        </row>
        <row r="2816">
          <cell r="A2816" t="str">
            <v>460205</v>
          </cell>
          <cell r="B2816" t="str">
            <v>Tubo de PVC rígido, PxB com anel de borracha, DN= 50 mm, inclusive conexões</v>
          </cell>
          <cell r="C2816" t="str">
            <v>m</v>
          </cell>
          <cell r="D2816">
            <v>7.74</v>
          </cell>
          <cell r="E2816">
            <v>19.100000000000001</v>
          </cell>
          <cell r="F2816">
            <v>26.84</v>
          </cell>
        </row>
        <row r="2817">
          <cell r="A2817" t="str">
            <v>460206</v>
          </cell>
          <cell r="B2817" t="str">
            <v>Tubo de PVC rígido, PxB com anel de borracha, DN= 75 mm, inclusive conexões</v>
          </cell>
          <cell r="C2817" t="str">
            <v>m</v>
          </cell>
          <cell r="D2817">
            <v>10.039999999999999</v>
          </cell>
          <cell r="E2817">
            <v>21.490000000000002</v>
          </cell>
          <cell r="F2817">
            <v>31.53</v>
          </cell>
        </row>
        <row r="2818">
          <cell r="A2818" t="str">
            <v>460207</v>
          </cell>
          <cell r="B2818" t="str">
            <v>Tubo de PVC rígido, PxB com anel de borracha, DN= 100 mm, inclusive conexões</v>
          </cell>
          <cell r="C2818" t="str">
            <v>m</v>
          </cell>
          <cell r="D2818">
            <v>10.69</v>
          </cell>
          <cell r="E2818">
            <v>23.88</v>
          </cell>
          <cell r="F2818">
            <v>34.57</v>
          </cell>
        </row>
        <row r="2819">
          <cell r="A2819" t="str">
            <v>460304</v>
          </cell>
          <cell r="B2819" t="str">
            <v>Tubo de PVC rígido série R, tipo PxB com anel de borracha, DN= 75 mm, inclusive conexões</v>
          </cell>
          <cell r="C2819" t="str">
            <v>m</v>
          </cell>
          <cell r="D2819">
            <v>12.63</v>
          </cell>
          <cell r="E2819">
            <v>21.490000000000002</v>
          </cell>
          <cell r="F2819">
            <v>34.119999999999997</v>
          </cell>
        </row>
        <row r="2820">
          <cell r="A2820" t="str">
            <v>460305</v>
          </cell>
          <cell r="B2820" t="str">
            <v>Tubo de PVC rígido série R, tipo PxB com anel de borracha, DN= 100 mm, inclusive conexões</v>
          </cell>
          <cell r="C2820" t="str">
            <v>m</v>
          </cell>
          <cell r="D2820">
            <v>18.62</v>
          </cell>
          <cell r="E2820">
            <v>23.88</v>
          </cell>
          <cell r="F2820">
            <v>42.5</v>
          </cell>
        </row>
        <row r="2821">
          <cell r="A2821" t="str">
            <v>460306</v>
          </cell>
          <cell r="B2821" t="str">
            <v>Tubo de PVC rígido série R, tipo PxB com anel de borracha, DN= 150 mm, inclusive conexões</v>
          </cell>
          <cell r="C2821" t="str">
            <v>m</v>
          </cell>
          <cell r="D2821">
            <v>40.42</v>
          </cell>
          <cell r="E2821">
            <v>28.66</v>
          </cell>
          <cell r="F2821">
            <v>69.08</v>
          </cell>
        </row>
        <row r="2822">
          <cell r="A2822" t="str">
            <v>460308</v>
          </cell>
          <cell r="B2822" t="str">
            <v>Tubo de PVC rígido série R, ponta lisa, DN= 40 mm, inclusive conexões</v>
          </cell>
          <cell r="C2822" t="str">
            <v>m</v>
          </cell>
          <cell r="D2822">
            <v>6.32</v>
          </cell>
          <cell r="E2822">
            <v>19.100000000000001</v>
          </cell>
          <cell r="F2822">
            <v>25.42</v>
          </cell>
        </row>
        <row r="2823">
          <cell r="A2823" t="str">
            <v>460309</v>
          </cell>
          <cell r="B2823" t="str">
            <v>Tubo de PVC rígido série R, tipo PxB com anel de borracha, DN= 50 mm, inclusive conexões</v>
          </cell>
          <cell r="C2823" t="str">
            <v>m</v>
          </cell>
          <cell r="D2823">
            <v>8.7100000000000009</v>
          </cell>
          <cell r="E2823">
            <v>19.100000000000001</v>
          </cell>
          <cell r="F2823">
            <v>27.810000000000002</v>
          </cell>
        </row>
        <row r="2824">
          <cell r="A2824" t="str">
            <v>460401</v>
          </cell>
          <cell r="B2824" t="str">
            <v>Tubo de PVC rígido tipo PBA classe 15, DN= 50mm, (DE= 60mm), inclusive conexões</v>
          </cell>
          <cell r="C2824" t="str">
            <v>m</v>
          </cell>
          <cell r="D2824">
            <v>8</v>
          </cell>
          <cell r="E2824">
            <v>8.32</v>
          </cell>
          <cell r="F2824">
            <v>16.32</v>
          </cell>
        </row>
        <row r="2825">
          <cell r="A2825" t="str">
            <v>460402</v>
          </cell>
          <cell r="B2825" t="str">
            <v>Tubo de PVC rígido tipo PBA classe 15, DN= 75mm, (DE= 85mm), inclusive conexões</v>
          </cell>
          <cell r="C2825" t="str">
            <v>m</v>
          </cell>
          <cell r="D2825">
            <v>13.76</v>
          </cell>
          <cell r="E2825">
            <v>8.32</v>
          </cell>
          <cell r="F2825">
            <v>22.080000000000002</v>
          </cell>
        </row>
        <row r="2826">
          <cell r="A2826" t="str">
            <v>460403</v>
          </cell>
          <cell r="B2826" t="str">
            <v>Tubo de PVC rígido tipo PBA classe 15, DN= 100mm, (DE= 110mm), inclusive conexões</v>
          </cell>
          <cell r="C2826" t="str">
            <v>m</v>
          </cell>
          <cell r="D2826">
            <v>28.59</v>
          </cell>
          <cell r="E2826">
            <v>8.32</v>
          </cell>
          <cell r="F2826">
            <v>36.909999999999997</v>
          </cell>
        </row>
        <row r="2827">
          <cell r="A2827" t="str">
            <v>460404</v>
          </cell>
          <cell r="B2827" t="str">
            <v>Tubo de PVC rígido DEFoFo, DN= 100mm (DE= 118mm), inclusive conexões</v>
          </cell>
          <cell r="C2827" t="str">
            <v>m</v>
          </cell>
          <cell r="D2827">
            <v>25.87</v>
          </cell>
          <cell r="E2827">
            <v>8.32</v>
          </cell>
          <cell r="F2827">
            <v>34.19</v>
          </cell>
        </row>
        <row r="2828">
          <cell r="A2828" t="str">
            <v>460405</v>
          </cell>
          <cell r="B2828" t="str">
            <v>Tubo de PVC rígido DEFoFo, DN= 150mm (DE= 170mm), inclusive conexões</v>
          </cell>
          <cell r="C2828" t="str">
            <v>m</v>
          </cell>
          <cell r="D2828">
            <v>52.120000000000005</v>
          </cell>
          <cell r="E2828">
            <v>8.32</v>
          </cell>
          <cell r="F2828">
            <v>60.44</v>
          </cell>
        </row>
        <row r="2829">
          <cell r="A2829" t="str">
            <v>460407</v>
          </cell>
          <cell r="B2829" t="str">
            <v>Tubo de PVC rígido DEFoFo, DN= 200mm (DE= 222mm), inclusive conexões</v>
          </cell>
          <cell r="C2829" t="str">
            <v>m</v>
          </cell>
          <cell r="D2829">
            <v>83.04</v>
          </cell>
          <cell r="E2829">
            <v>16.64</v>
          </cell>
          <cell r="F2829">
            <v>99.68</v>
          </cell>
        </row>
        <row r="2830">
          <cell r="A2830" t="str">
            <v>460408</v>
          </cell>
          <cell r="B2830" t="str">
            <v>Tubo de PVC rígido DEFoFo, DN= 250mm (DE= 274mm), inclusive conexões</v>
          </cell>
          <cell r="C2830" t="str">
            <v>m</v>
          </cell>
          <cell r="D2830">
            <v>128.91</v>
          </cell>
          <cell r="E2830">
            <v>16.64</v>
          </cell>
          <cell r="F2830">
            <v>145.55000000000001</v>
          </cell>
        </row>
        <row r="2831">
          <cell r="A2831" t="str">
            <v>460409</v>
          </cell>
          <cell r="B2831" t="str">
            <v>Tubo de PVC rígido DEFoFo, DN= 300mm (DE= 326mm), inclusive conexões</v>
          </cell>
          <cell r="C2831" t="str">
            <v>m</v>
          </cell>
          <cell r="D2831">
            <v>182.51</v>
          </cell>
          <cell r="E2831">
            <v>16.64</v>
          </cell>
          <cell r="F2831">
            <v>199.15</v>
          </cell>
        </row>
        <row r="2832">
          <cell r="A2832" t="str">
            <v>460502</v>
          </cell>
          <cell r="B2832" t="str">
            <v>Tubo PVC rígido, junta elástica, tipo Vinilfort, DN= 100 mm, inclusive conexões</v>
          </cell>
          <cell r="C2832" t="str">
            <v>m</v>
          </cell>
          <cell r="D2832">
            <v>11.17</v>
          </cell>
          <cell r="E2832">
            <v>8.32</v>
          </cell>
          <cell r="F2832">
            <v>19.489999999999998</v>
          </cell>
        </row>
        <row r="2833">
          <cell r="A2833" t="str">
            <v>460504</v>
          </cell>
          <cell r="B2833" t="str">
            <v>Tubo PVC rígido, junta elástica, tipo Vinilfort, DN= 150 mm, inclusive conexões</v>
          </cell>
          <cell r="C2833" t="str">
            <v>m</v>
          </cell>
          <cell r="D2833">
            <v>23.11</v>
          </cell>
          <cell r="E2833">
            <v>8.32</v>
          </cell>
          <cell r="F2833">
            <v>31.43</v>
          </cell>
        </row>
        <row r="2834">
          <cell r="A2834" t="str">
            <v>460505</v>
          </cell>
          <cell r="B2834" t="str">
            <v>Tubo PVC rígido, junta elástica, tipo Vinilfort, DN= 200 mm, inclusive conexões</v>
          </cell>
          <cell r="C2834" t="str">
            <v>m</v>
          </cell>
          <cell r="D2834">
            <v>37.58</v>
          </cell>
          <cell r="E2834">
            <v>16.64</v>
          </cell>
          <cell r="F2834">
            <v>54.22</v>
          </cell>
        </row>
        <row r="2835">
          <cell r="A2835" t="str">
            <v>460506</v>
          </cell>
          <cell r="B2835" t="str">
            <v>Tubo PVC rígido, junta elástica, tipo Vinilfort, DN= 250 mm, inclusive conexões</v>
          </cell>
          <cell r="C2835" t="str">
            <v>m</v>
          </cell>
          <cell r="D2835">
            <v>61.92</v>
          </cell>
          <cell r="E2835">
            <v>16.64</v>
          </cell>
          <cell r="F2835">
            <v>78.56</v>
          </cell>
        </row>
        <row r="2836">
          <cell r="A2836" t="str">
            <v>460507</v>
          </cell>
          <cell r="B2836" t="str">
            <v>Tubo PVC rígido, junta elástica, tipo Vinilfort, DN= 300 mm, inclusive conexões</v>
          </cell>
          <cell r="C2836" t="str">
            <v>m</v>
          </cell>
          <cell r="D2836">
            <v>98.02</v>
          </cell>
          <cell r="E2836">
            <v>16.64</v>
          </cell>
          <cell r="F2836">
            <v>114.66</v>
          </cell>
        </row>
        <row r="2837">
          <cell r="A2837" t="str">
            <v>460508</v>
          </cell>
          <cell r="B2837" t="str">
            <v>Tubo PVC rígido, junta elástica, tipo Vinilfort, DN= 350 mm, inclusive conexões</v>
          </cell>
          <cell r="C2837" t="str">
            <v>m</v>
          </cell>
          <cell r="D2837">
            <v>134.84</v>
          </cell>
          <cell r="E2837">
            <v>16.64</v>
          </cell>
          <cell r="F2837">
            <v>151.47999999999999</v>
          </cell>
        </row>
        <row r="2838">
          <cell r="A2838" t="str">
            <v>460509</v>
          </cell>
          <cell r="B2838" t="str">
            <v>Tubo PVC rígido, junta elástica, tipo Vinilfort, DN= 400 mm, inclusive conexões</v>
          </cell>
          <cell r="C2838" t="str">
            <v>m</v>
          </cell>
          <cell r="D2838">
            <v>161.24</v>
          </cell>
          <cell r="E2838">
            <v>16.64</v>
          </cell>
          <cell r="F2838">
            <v>177.88</v>
          </cell>
        </row>
        <row r="2839">
          <cell r="A2839" t="str">
            <v>460701</v>
          </cell>
          <cell r="B2839" t="str">
            <v>Tubo de ferro galvanizado DN= 1/2´, inclusive conexões</v>
          </cell>
          <cell r="C2839" t="str">
            <v>m</v>
          </cell>
          <cell r="D2839">
            <v>13.040000000000001</v>
          </cell>
          <cell r="E2839">
            <v>23.88</v>
          </cell>
          <cell r="F2839">
            <v>36.92</v>
          </cell>
        </row>
        <row r="2840">
          <cell r="A2840" t="str">
            <v>460702</v>
          </cell>
          <cell r="B2840" t="str">
            <v>Tubo de ferro galvanizado DN= 3/4´, inclusive conexões</v>
          </cell>
          <cell r="C2840" t="str">
            <v>m</v>
          </cell>
          <cell r="D2840">
            <v>15.950000000000001</v>
          </cell>
          <cell r="E2840">
            <v>26.27</v>
          </cell>
          <cell r="F2840">
            <v>42.22</v>
          </cell>
        </row>
        <row r="2841">
          <cell r="A2841" t="str">
            <v>460703</v>
          </cell>
          <cell r="B2841" t="str">
            <v>Tubo de ferro galvanizado DN= 1´, inclusive conexões</v>
          </cell>
          <cell r="C2841" t="str">
            <v>m</v>
          </cell>
          <cell r="D2841">
            <v>22.61</v>
          </cell>
          <cell r="E2841">
            <v>31.04</v>
          </cell>
          <cell r="F2841">
            <v>53.65</v>
          </cell>
        </row>
        <row r="2842">
          <cell r="A2842" t="str">
            <v>460704</v>
          </cell>
          <cell r="B2842" t="str">
            <v>Tubo de ferro galvanizado DN= 1 1/4´, inclusive conexões</v>
          </cell>
          <cell r="C2842" t="str">
            <v>m</v>
          </cell>
          <cell r="D2842">
            <v>29.11</v>
          </cell>
          <cell r="E2842">
            <v>33.43</v>
          </cell>
          <cell r="F2842">
            <v>62.54</v>
          </cell>
        </row>
        <row r="2843">
          <cell r="A2843" t="str">
            <v>460705</v>
          </cell>
          <cell r="B2843" t="str">
            <v>Tubo de ferro galvanizado DN= 1 1/2´, inclusive conexões</v>
          </cell>
          <cell r="C2843" t="str">
            <v>m</v>
          </cell>
          <cell r="D2843">
            <v>31.220000000000002</v>
          </cell>
          <cell r="E2843">
            <v>38.21</v>
          </cell>
          <cell r="F2843">
            <v>69.430000000000007</v>
          </cell>
        </row>
        <row r="2844">
          <cell r="A2844" t="str">
            <v>460706</v>
          </cell>
          <cell r="B2844" t="str">
            <v>Tubo de ferro galvanizado DN= 2´, inclusive conexões</v>
          </cell>
          <cell r="C2844" t="str">
            <v>m</v>
          </cell>
          <cell r="D2844">
            <v>43.93</v>
          </cell>
          <cell r="E2844">
            <v>42.980000000000004</v>
          </cell>
          <cell r="F2844">
            <v>86.91</v>
          </cell>
        </row>
        <row r="2845">
          <cell r="A2845" t="str">
            <v>460707</v>
          </cell>
          <cell r="B2845" t="str">
            <v>Tubo de ferro galvanizado DN= 2 1/2´, inclusive conexões</v>
          </cell>
          <cell r="C2845" t="str">
            <v>m</v>
          </cell>
          <cell r="D2845">
            <v>56.18</v>
          </cell>
          <cell r="E2845">
            <v>47.76</v>
          </cell>
          <cell r="F2845">
            <v>103.94</v>
          </cell>
        </row>
        <row r="2846">
          <cell r="A2846" t="str">
            <v>460708</v>
          </cell>
          <cell r="B2846" t="str">
            <v>Tubo de ferro galvanizado DN= 3´, inclusive conexões</v>
          </cell>
          <cell r="C2846" t="str">
            <v>m</v>
          </cell>
          <cell r="D2846">
            <v>66.209999999999994</v>
          </cell>
          <cell r="E2846">
            <v>53.730000000000004</v>
          </cell>
          <cell r="F2846">
            <v>119.94</v>
          </cell>
        </row>
        <row r="2847">
          <cell r="A2847" t="str">
            <v>460709</v>
          </cell>
          <cell r="B2847" t="str">
            <v>Tubo de ferro galvanizado DN= 4´, inclusive conexões</v>
          </cell>
          <cell r="C2847" t="str">
            <v>m</v>
          </cell>
          <cell r="D2847">
            <v>95.38</v>
          </cell>
          <cell r="E2847">
            <v>59.7</v>
          </cell>
          <cell r="F2847">
            <v>155.08000000000001</v>
          </cell>
        </row>
        <row r="2848">
          <cell r="A2848" t="str">
            <v>460710</v>
          </cell>
          <cell r="B2848" t="str">
            <v>Tubo de ferro galvanizado DN= 6´, inclusive conexões</v>
          </cell>
          <cell r="C2848" t="str">
            <v>m</v>
          </cell>
          <cell r="D2848">
            <v>142.27000000000001</v>
          </cell>
          <cell r="E2848">
            <v>65.67</v>
          </cell>
          <cell r="F2848">
            <v>207.94</v>
          </cell>
        </row>
        <row r="2849">
          <cell r="A2849" t="str">
            <v>460801</v>
          </cell>
          <cell r="B2849" t="str">
            <v>Tubo aço galvanizado sem costura schedule 40, DN= 3/4´, inclusive conexões</v>
          </cell>
          <cell r="C2849" t="str">
            <v>m</v>
          </cell>
          <cell r="D2849">
            <v>32.93</v>
          </cell>
          <cell r="E2849">
            <v>26.27</v>
          </cell>
          <cell r="F2849">
            <v>59.2</v>
          </cell>
        </row>
        <row r="2850">
          <cell r="A2850" t="str">
            <v>460802</v>
          </cell>
          <cell r="B2850" t="str">
            <v>Tubo aço galvanizado sem costura schedule 40, DN= 1´, inclusive conexões</v>
          </cell>
          <cell r="C2850" t="str">
            <v>m</v>
          </cell>
          <cell r="D2850">
            <v>34.840000000000003</v>
          </cell>
          <cell r="E2850">
            <v>31.04</v>
          </cell>
          <cell r="F2850">
            <v>65.88</v>
          </cell>
        </row>
        <row r="2851">
          <cell r="A2851" t="str">
            <v>460803</v>
          </cell>
          <cell r="B2851" t="str">
            <v>Tubo aço galvanizado sem costura schedule 40, DN= 1 1/4´, inclusive conexões</v>
          </cell>
          <cell r="C2851" t="str">
            <v>m</v>
          </cell>
          <cell r="D2851">
            <v>46.99</v>
          </cell>
          <cell r="E2851">
            <v>33.43</v>
          </cell>
          <cell r="F2851">
            <v>80.42</v>
          </cell>
        </row>
        <row r="2852">
          <cell r="A2852" t="str">
            <v>460804</v>
          </cell>
          <cell r="B2852" t="str">
            <v>Tubo aço galvanizado sem costura schedule 40, DN= 1 1/2´, inclusive conexões</v>
          </cell>
          <cell r="C2852" t="str">
            <v>m</v>
          </cell>
          <cell r="D2852">
            <v>52.47</v>
          </cell>
          <cell r="E2852">
            <v>38.21</v>
          </cell>
          <cell r="F2852">
            <v>90.68</v>
          </cell>
        </row>
        <row r="2853">
          <cell r="A2853" t="str">
            <v>460805</v>
          </cell>
          <cell r="B2853" t="str">
            <v>Tubo aço galvanizado sem costura schedule 40, DN= 2´, inclusive conexões</v>
          </cell>
          <cell r="C2853" t="str">
            <v>m</v>
          </cell>
          <cell r="D2853">
            <v>66.680000000000007</v>
          </cell>
          <cell r="E2853">
            <v>42.980000000000004</v>
          </cell>
          <cell r="F2853">
            <v>109.66</v>
          </cell>
        </row>
        <row r="2854">
          <cell r="A2854" t="str">
            <v>460806</v>
          </cell>
          <cell r="B2854" t="str">
            <v>Tubo aço galvanizado sem costura schedule 40, DN= 1/2´, inclusive conexões</v>
          </cell>
          <cell r="C2854" t="str">
            <v>m</v>
          </cell>
          <cell r="D2854">
            <v>27.29</v>
          </cell>
          <cell r="E2854">
            <v>23.88</v>
          </cell>
          <cell r="F2854">
            <v>51.17</v>
          </cell>
        </row>
        <row r="2855">
          <cell r="A2855" t="str">
            <v>460807</v>
          </cell>
          <cell r="B2855" t="str">
            <v>Tubo aço galvanizado sem costura schedule 40, DN= 2 1/2´, inclusive conexões</v>
          </cell>
          <cell r="C2855" t="str">
            <v>m</v>
          </cell>
          <cell r="D2855">
            <v>106.4</v>
          </cell>
          <cell r="E2855">
            <v>47.76</v>
          </cell>
          <cell r="F2855">
            <v>154.16</v>
          </cell>
        </row>
        <row r="2856">
          <cell r="A2856" t="str">
            <v>460808</v>
          </cell>
          <cell r="B2856" t="str">
            <v>Tubo aço galvanizado sem costura schedule 40, DN= 3´, inclusive conexões</v>
          </cell>
          <cell r="C2856" t="str">
            <v>m</v>
          </cell>
          <cell r="D2856">
            <v>125.08</v>
          </cell>
          <cell r="E2856">
            <v>53.730000000000004</v>
          </cell>
          <cell r="F2856">
            <v>178.81</v>
          </cell>
        </row>
        <row r="2857">
          <cell r="A2857" t="str">
            <v>460810</v>
          </cell>
          <cell r="B2857" t="str">
            <v>Tubo aço galvanizado sem costura schedule 40, DN= 4´, inclusive conexões</v>
          </cell>
          <cell r="C2857" t="str">
            <v>m</v>
          </cell>
          <cell r="D2857">
            <v>167.85</v>
          </cell>
          <cell r="E2857">
            <v>59.7</v>
          </cell>
          <cell r="F2857">
            <v>227.55</v>
          </cell>
        </row>
        <row r="2858">
          <cell r="A2858" t="str">
            <v>460811</v>
          </cell>
          <cell r="B2858" t="str">
            <v>Tubo aço galvanizado sem costura schedule 40, DN= 6´, inclusive conexões</v>
          </cell>
          <cell r="C2858" t="str">
            <v>m</v>
          </cell>
          <cell r="D2858">
            <v>276.39</v>
          </cell>
          <cell r="E2858">
            <v>65.67</v>
          </cell>
          <cell r="F2858">
            <v>342.06</v>
          </cell>
        </row>
        <row r="2859">
          <cell r="A2859" t="str">
            <v>460905</v>
          </cell>
          <cell r="B2859" t="str">
            <v>Joelho 45° em ferro fundido, linha predial tradicional, DN= 50 mm</v>
          </cell>
          <cell r="C2859" t="str">
            <v>un</v>
          </cell>
          <cell r="D2859">
            <v>43.42</v>
          </cell>
          <cell r="E2859">
            <v>7.16</v>
          </cell>
          <cell r="F2859">
            <v>50.58</v>
          </cell>
        </row>
        <row r="2860">
          <cell r="A2860" t="str">
            <v>460906</v>
          </cell>
          <cell r="B2860" t="str">
            <v>Joelho 45° em ferro fundido, linha predial tradicional, DN= 75 mm</v>
          </cell>
          <cell r="C2860" t="str">
            <v>un</v>
          </cell>
          <cell r="D2860">
            <v>58.2</v>
          </cell>
          <cell r="E2860">
            <v>7.16</v>
          </cell>
          <cell r="F2860">
            <v>65.36</v>
          </cell>
        </row>
        <row r="2861">
          <cell r="A2861" t="str">
            <v>460907</v>
          </cell>
          <cell r="B2861" t="str">
            <v>Joelho 45° em ferro fundido, linha predial tradicional, DN= 100 mm</v>
          </cell>
          <cell r="C2861" t="str">
            <v>un</v>
          </cell>
          <cell r="D2861">
            <v>76.56</v>
          </cell>
          <cell r="E2861">
            <v>9.5500000000000007</v>
          </cell>
          <cell r="F2861">
            <v>86.11</v>
          </cell>
        </row>
        <row r="2862">
          <cell r="A2862" t="str">
            <v>460908</v>
          </cell>
          <cell r="B2862" t="str">
            <v>Joelho 45° em ferro fundido, linha predial tradicional, DN= 150 mm</v>
          </cell>
          <cell r="C2862" t="str">
            <v>un</v>
          </cell>
          <cell r="D2862">
            <v>132.87</v>
          </cell>
          <cell r="E2862">
            <v>9.5500000000000007</v>
          </cell>
          <cell r="F2862">
            <v>142.41999999999999</v>
          </cell>
        </row>
        <row r="2863">
          <cell r="A2863" t="str">
            <v>460910</v>
          </cell>
          <cell r="B2863" t="str">
            <v>Joelho 87° 30´ em ferro fundido, linha predial tradicional, DN= 50 mm</v>
          </cell>
          <cell r="C2863" t="str">
            <v>un</v>
          </cell>
          <cell r="D2863">
            <v>57.61</v>
          </cell>
          <cell r="E2863">
            <v>7.16</v>
          </cell>
          <cell r="F2863">
            <v>64.77</v>
          </cell>
        </row>
        <row r="2864">
          <cell r="A2864" t="str">
            <v>460911</v>
          </cell>
          <cell r="B2864" t="str">
            <v>Joelho 87° 30´ em ferro fundido, linha predial tradicional, DN= 75 mm</v>
          </cell>
          <cell r="C2864" t="str">
            <v>un</v>
          </cell>
          <cell r="D2864">
            <v>78.08</v>
          </cell>
          <cell r="E2864">
            <v>7.16</v>
          </cell>
          <cell r="F2864">
            <v>85.24</v>
          </cell>
        </row>
        <row r="2865">
          <cell r="A2865" t="str">
            <v>460912</v>
          </cell>
          <cell r="B2865" t="str">
            <v>Joelho 87° 30´ em ferro fundido, linha predial tradicional, DN= 100 mm</v>
          </cell>
          <cell r="C2865" t="str">
            <v>un</v>
          </cell>
          <cell r="D2865">
            <v>110.53</v>
          </cell>
          <cell r="E2865">
            <v>9.5500000000000007</v>
          </cell>
          <cell r="F2865">
            <v>120.08</v>
          </cell>
        </row>
        <row r="2866">
          <cell r="A2866" t="str">
            <v>460913</v>
          </cell>
          <cell r="B2866" t="str">
            <v>Joelho 87° 30´ em ferro fundido, linha predial tradicional, DN= 150 mm</v>
          </cell>
          <cell r="C2866" t="str">
            <v>un</v>
          </cell>
          <cell r="D2866">
            <v>187.1</v>
          </cell>
          <cell r="E2866">
            <v>9.5500000000000007</v>
          </cell>
          <cell r="F2866">
            <v>196.65</v>
          </cell>
        </row>
        <row r="2867">
          <cell r="A2867" t="str">
            <v>460915</v>
          </cell>
          <cell r="B2867" t="str">
            <v>Luva bolsa e bolsa em ferro fundido, linha predial tradicional, DN= 50 mm</v>
          </cell>
          <cell r="C2867" t="str">
            <v>un</v>
          </cell>
          <cell r="D2867">
            <v>40.22</v>
          </cell>
          <cell r="E2867">
            <v>7.16</v>
          </cell>
          <cell r="F2867">
            <v>47.38</v>
          </cell>
        </row>
        <row r="2868">
          <cell r="A2868" t="str">
            <v>460916</v>
          </cell>
          <cell r="B2868" t="str">
            <v>Luva bolsa e bolsa em ferro fundido, linha predial tradicional, DN= 75 mm</v>
          </cell>
          <cell r="C2868" t="str">
            <v>un</v>
          </cell>
          <cell r="D2868">
            <v>47.03</v>
          </cell>
          <cell r="E2868">
            <v>7.16</v>
          </cell>
          <cell r="F2868">
            <v>54.19</v>
          </cell>
        </row>
        <row r="2869">
          <cell r="A2869" t="str">
            <v>460917</v>
          </cell>
          <cell r="B2869" t="str">
            <v>Luva bolsa e bolsa em ferro fundido, linha predial tradicional, DN= 100 mm</v>
          </cell>
          <cell r="C2869" t="str">
            <v>un</v>
          </cell>
          <cell r="D2869">
            <v>62.36</v>
          </cell>
          <cell r="E2869">
            <v>9.5500000000000007</v>
          </cell>
          <cell r="F2869">
            <v>71.91</v>
          </cell>
        </row>
        <row r="2870">
          <cell r="A2870" t="str">
            <v>460918</v>
          </cell>
          <cell r="B2870" t="str">
            <v>Luva bolsa e bolsa em ferro fundido, linha predial tradicional, DN= 150 mm</v>
          </cell>
          <cell r="C2870" t="str">
            <v>un</v>
          </cell>
          <cell r="D2870">
            <v>83.99</v>
          </cell>
          <cell r="E2870">
            <v>9.5500000000000007</v>
          </cell>
          <cell r="F2870">
            <v>93.54</v>
          </cell>
        </row>
        <row r="2871">
          <cell r="A2871" t="str">
            <v>460920</v>
          </cell>
          <cell r="B2871" t="str">
            <v>Placa cega em ferro fundido, linha predial tradicional, DN= 75 mm</v>
          </cell>
          <cell r="C2871" t="str">
            <v>un</v>
          </cell>
          <cell r="D2871">
            <v>24.88</v>
          </cell>
          <cell r="E2871">
            <v>7.16</v>
          </cell>
          <cell r="F2871">
            <v>32.04</v>
          </cell>
        </row>
        <row r="2872">
          <cell r="A2872" t="str">
            <v>460921</v>
          </cell>
          <cell r="B2872" t="str">
            <v>Placa cega em ferro fundido, linha predial tradicional, DN= 100 mm</v>
          </cell>
          <cell r="C2872" t="str">
            <v>un</v>
          </cell>
          <cell r="D2872">
            <v>29.43</v>
          </cell>
          <cell r="E2872">
            <v>9.5500000000000007</v>
          </cell>
          <cell r="F2872">
            <v>38.979999999999997</v>
          </cell>
        </row>
        <row r="2873">
          <cell r="A2873" t="str">
            <v>460923</v>
          </cell>
          <cell r="B2873" t="str">
            <v>Junção 45° em ferro fundido, linha predial tradicional, DN= 50 x 50 mm</v>
          </cell>
          <cell r="C2873" t="str">
            <v>un</v>
          </cell>
          <cell r="D2873">
            <v>75.75</v>
          </cell>
          <cell r="E2873">
            <v>7.16</v>
          </cell>
          <cell r="F2873">
            <v>82.91</v>
          </cell>
        </row>
        <row r="2874">
          <cell r="A2874" t="str">
            <v>460924</v>
          </cell>
          <cell r="B2874" t="str">
            <v>Junção 45° em ferro fundido, linha predial tradicional, DN= 75 x 50 mm</v>
          </cell>
          <cell r="C2874" t="str">
            <v>un</v>
          </cell>
          <cell r="D2874">
            <v>101.97</v>
          </cell>
          <cell r="E2874">
            <v>9.5500000000000007</v>
          </cell>
          <cell r="F2874">
            <v>111.52</v>
          </cell>
        </row>
        <row r="2875">
          <cell r="A2875" t="str">
            <v>460925</v>
          </cell>
          <cell r="B2875" t="str">
            <v>Junção 45° em ferro fundido, linha predial tradicional, DN= 75 x 75 mm</v>
          </cell>
          <cell r="C2875" t="str">
            <v>un</v>
          </cell>
          <cell r="D2875">
            <v>109.83</v>
          </cell>
          <cell r="E2875">
            <v>9.5500000000000007</v>
          </cell>
          <cell r="F2875">
            <v>119.38</v>
          </cell>
        </row>
        <row r="2876">
          <cell r="A2876" t="str">
            <v>460926</v>
          </cell>
          <cell r="B2876" t="str">
            <v>Junção 45° em ferro fundido, linha predial tradicional, DN= 100 x 50 mm</v>
          </cell>
          <cell r="C2876" t="str">
            <v>un</v>
          </cell>
          <cell r="D2876">
            <v>126.27</v>
          </cell>
          <cell r="E2876">
            <v>9.5500000000000007</v>
          </cell>
          <cell r="F2876">
            <v>135.82</v>
          </cell>
        </row>
        <row r="2877">
          <cell r="A2877" t="str">
            <v>460927</v>
          </cell>
          <cell r="B2877" t="str">
            <v>Junção 45° em ferro fundido, linha predial tradicional, DN= 100 x 75 mm</v>
          </cell>
          <cell r="C2877" t="str">
            <v>un</v>
          </cell>
          <cell r="D2877">
            <v>137</v>
          </cell>
          <cell r="E2877">
            <v>9.5500000000000007</v>
          </cell>
          <cell r="F2877">
            <v>146.55000000000001</v>
          </cell>
        </row>
        <row r="2878">
          <cell r="A2878" t="str">
            <v>460928</v>
          </cell>
          <cell r="B2878" t="str">
            <v>Junção 45° em ferro fundido, linha predial tradicional, DN= 100 x 100 mm</v>
          </cell>
          <cell r="C2878" t="str">
            <v>un</v>
          </cell>
          <cell r="D2878">
            <v>159.69999999999999</v>
          </cell>
          <cell r="E2878">
            <v>9.5500000000000007</v>
          </cell>
          <cell r="F2878">
            <v>169.25</v>
          </cell>
        </row>
        <row r="2879">
          <cell r="A2879" t="str">
            <v>460929</v>
          </cell>
          <cell r="B2879" t="str">
            <v>Junção 45° em ferro fundido, linha predial tradicional, DN= 150 x 100 mm</v>
          </cell>
          <cell r="C2879" t="str">
            <v>un</v>
          </cell>
          <cell r="D2879">
            <v>179.20000000000002</v>
          </cell>
          <cell r="E2879">
            <v>11.94</v>
          </cell>
          <cell r="F2879">
            <v>191.14000000000001</v>
          </cell>
        </row>
        <row r="2880">
          <cell r="A2880" t="str">
            <v>460930</v>
          </cell>
          <cell r="B2880" t="str">
            <v>Junção dupla 45° em ferro fundido, linha predial tradicional, DN= 100 mm</v>
          </cell>
          <cell r="C2880" t="str">
            <v>un</v>
          </cell>
          <cell r="D2880">
            <v>182.08</v>
          </cell>
          <cell r="E2880">
            <v>9.5500000000000007</v>
          </cell>
          <cell r="F2880">
            <v>191.63</v>
          </cell>
        </row>
        <row r="2881">
          <cell r="A2881" t="str">
            <v>460932</v>
          </cell>
          <cell r="B2881" t="str">
            <v>Te sanitário 87° 30´ em ferro fundido, linha predial tradicional, DN= 50 x 50 mm</v>
          </cell>
          <cell r="C2881" t="str">
            <v>un</v>
          </cell>
          <cell r="D2881">
            <v>67.150000000000006</v>
          </cell>
          <cell r="E2881">
            <v>7.16</v>
          </cell>
          <cell r="F2881">
            <v>74.31</v>
          </cell>
        </row>
        <row r="2882">
          <cell r="A2882" t="str">
            <v>460933</v>
          </cell>
          <cell r="B2882" t="str">
            <v>Te sanitário 87° 30´ em ferro fundido, linha predial tradicional, DN= 75 x 50 mm</v>
          </cell>
          <cell r="C2882" t="str">
            <v>un</v>
          </cell>
          <cell r="D2882">
            <v>86.79</v>
          </cell>
          <cell r="E2882">
            <v>9.5500000000000007</v>
          </cell>
          <cell r="F2882">
            <v>96.34</v>
          </cell>
        </row>
        <row r="2883">
          <cell r="A2883" t="str">
            <v>460934</v>
          </cell>
          <cell r="B2883" t="str">
            <v>Te sanitário 87° 30´ em ferro fundido, linha predial tradicional, DN= 75 x 75 mm</v>
          </cell>
          <cell r="C2883" t="str">
            <v>un</v>
          </cell>
          <cell r="D2883">
            <v>86.23</v>
          </cell>
          <cell r="E2883">
            <v>9.5500000000000007</v>
          </cell>
          <cell r="F2883">
            <v>95.78</v>
          </cell>
        </row>
        <row r="2884">
          <cell r="A2884" t="str">
            <v>460935</v>
          </cell>
          <cell r="B2884" t="str">
            <v>Te sanitário 87° 30´ em ferro fundido, linha predial tradicional, DN= 100 x 50 mm</v>
          </cell>
          <cell r="C2884" t="str">
            <v>un</v>
          </cell>
          <cell r="D2884">
            <v>94.65</v>
          </cell>
          <cell r="E2884">
            <v>9.5500000000000007</v>
          </cell>
          <cell r="F2884">
            <v>104.2</v>
          </cell>
        </row>
        <row r="2885">
          <cell r="A2885" t="str">
            <v>460936</v>
          </cell>
          <cell r="B2885" t="str">
            <v>Te sanitário 87° 30´ em ferro fundido, linha predial tradicional, DN= 100 x 75 mm</v>
          </cell>
          <cell r="C2885" t="str">
            <v>un</v>
          </cell>
          <cell r="D2885">
            <v>109.15</v>
          </cell>
          <cell r="E2885">
            <v>9.5500000000000007</v>
          </cell>
          <cell r="F2885">
            <v>118.7</v>
          </cell>
        </row>
        <row r="2886">
          <cell r="A2886" t="str">
            <v>460937</v>
          </cell>
          <cell r="B2886" t="str">
            <v>Te sanitário 87° 30´ em ferro fundido, linha predial tradicional, DN= 100 x 100 mm</v>
          </cell>
          <cell r="C2886" t="str">
            <v>un</v>
          </cell>
          <cell r="D2886">
            <v>128.80000000000001</v>
          </cell>
          <cell r="E2886">
            <v>9.5500000000000007</v>
          </cell>
          <cell r="F2886">
            <v>138.35</v>
          </cell>
        </row>
        <row r="2887">
          <cell r="A2887" t="str">
            <v>460940</v>
          </cell>
          <cell r="B2887" t="str">
            <v>Bucha de redução em ferro fundido, linha predial tradicional, DN= 75 x 50 mm</v>
          </cell>
          <cell r="C2887" t="str">
            <v>un</v>
          </cell>
          <cell r="D2887">
            <v>28.14</v>
          </cell>
          <cell r="E2887">
            <v>9.5500000000000007</v>
          </cell>
          <cell r="F2887">
            <v>37.69</v>
          </cell>
        </row>
        <row r="2888">
          <cell r="A2888" t="str">
            <v>460941</v>
          </cell>
          <cell r="B2888" t="str">
            <v>Bucha de redução em ferro fundido, linha predial tradicional, DN= 100 x 75 mm</v>
          </cell>
          <cell r="C2888" t="str">
            <v>un</v>
          </cell>
          <cell r="D2888">
            <v>30.67</v>
          </cell>
          <cell r="E2888">
            <v>9.5500000000000007</v>
          </cell>
          <cell r="F2888">
            <v>40.22</v>
          </cell>
        </row>
        <row r="2889">
          <cell r="A2889" t="str">
            <v>460942</v>
          </cell>
          <cell r="B2889" t="str">
            <v>Bucha de redução em ferro fundido, linha predial tradicional, DN= 150 x 100 mm</v>
          </cell>
          <cell r="C2889" t="str">
            <v>un</v>
          </cell>
          <cell r="D2889">
            <v>102.36</v>
          </cell>
          <cell r="E2889">
            <v>11.94</v>
          </cell>
          <cell r="F2889">
            <v>114.3</v>
          </cell>
        </row>
        <row r="2890">
          <cell r="A2890" t="str">
            <v>461001</v>
          </cell>
          <cell r="B2890" t="str">
            <v>Tubo de cobre classe A, DN= 15mm (1/2´), inclusive conexões</v>
          </cell>
          <cell r="C2890" t="str">
            <v>m</v>
          </cell>
          <cell r="D2890">
            <v>25.59</v>
          </cell>
          <cell r="E2890">
            <v>7.88</v>
          </cell>
          <cell r="F2890">
            <v>33.47</v>
          </cell>
        </row>
        <row r="2891">
          <cell r="A2891" t="str">
            <v>461002</v>
          </cell>
          <cell r="B2891" t="str">
            <v>Tubo de cobre classe A, DN= 22mm (3/4´), inclusive conexões</v>
          </cell>
          <cell r="C2891" t="str">
            <v>m</v>
          </cell>
          <cell r="D2891">
            <v>38.68</v>
          </cell>
          <cell r="E2891">
            <v>8.59</v>
          </cell>
          <cell r="F2891">
            <v>47.27</v>
          </cell>
        </row>
        <row r="2892">
          <cell r="A2892" t="str">
            <v>461003</v>
          </cell>
          <cell r="B2892" t="str">
            <v>Tubo de cobre classe A, DN= 28mm (1´), inclusive conexões</v>
          </cell>
          <cell r="C2892" t="str">
            <v>m</v>
          </cell>
          <cell r="D2892">
            <v>45.95</v>
          </cell>
          <cell r="E2892">
            <v>10.75</v>
          </cell>
          <cell r="F2892">
            <v>56.7</v>
          </cell>
        </row>
        <row r="2893">
          <cell r="A2893" t="str">
            <v>461004</v>
          </cell>
          <cell r="B2893" t="str">
            <v>Tubo de cobre classe A, DN= 35mm (1 1/4´), inclusive conexões</v>
          </cell>
          <cell r="C2893" t="str">
            <v>m</v>
          </cell>
          <cell r="D2893">
            <v>70.489999999999995</v>
          </cell>
          <cell r="E2893">
            <v>12.17</v>
          </cell>
          <cell r="F2893">
            <v>82.66</v>
          </cell>
        </row>
        <row r="2894">
          <cell r="A2894" t="str">
            <v>461005</v>
          </cell>
          <cell r="B2894" t="str">
            <v>Tubo de cobre classe A, DN= 42mm (1 1/2´), inclusive conexões</v>
          </cell>
          <cell r="C2894" t="str">
            <v>m</v>
          </cell>
          <cell r="D2894">
            <v>79.900000000000006</v>
          </cell>
          <cell r="E2894">
            <v>12.17</v>
          </cell>
          <cell r="F2894">
            <v>92.070000000000007</v>
          </cell>
        </row>
        <row r="2895">
          <cell r="A2895" t="str">
            <v>461006</v>
          </cell>
          <cell r="B2895" t="str">
            <v>Tubo de cobre classe A, DN= 54mm (2´), inclusive conexões</v>
          </cell>
          <cell r="C2895" t="str">
            <v>m</v>
          </cell>
          <cell r="D2895">
            <v>112.61</v>
          </cell>
          <cell r="E2895">
            <v>16.48</v>
          </cell>
          <cell r="F2895">
            <v>129.09</v>
          </cell>
        </row>
        <row r="2896">
          <cell r="A2896" t="str">
            <v>461007</v>
          </cell>
          <cell r="B2896" t="str">
            <v>Tubo de cobre classe A, DN= 66mm (2 1/2´), inclusive conexões</v>
          </cell>
          <cell r="C2896" t="str">
            <v>m</v>
          </cell>
          <cell r="D2896">
            <v>148.88999999999999</v>
          </cell>
          <cell r="E2896">
            <v>19.34</v>
          </cell>
          <cell r="F2896">
            <v>168.23</v>
          </cell>
        </row>
        <row r="2897">
          <cell r="A2897" t="str">
            <v>461008</v>
          </cell>
          <cell r="B2897" t="str">
            <v>Tubo de cobre classe A, DN= 79mm (3´), inclusive conexões</v>
          </cell>
          <cell r="C2897" t="str">
            <v>m</v>
          </cell>
          <cell r="D2897">
            <v>199.57</v>
          </cell>
          <cell r="E2897">
            <v>20.78</v>
          </cell>
          <cell r="F2897">
            <v>220.35</v>
          </cell>
        </row>
        <row r="2898">
          <cell r="A2898" t="str">
            <v>461009</v>
          </cell>
          <cell r="B2898" t="str">
            <v>Tubo de cobre classe A, DN= 104mm (4´), inclusive conexões</v>
          </cell>
          <cell r="C2898" t="str">
            <v>m</v>
          </cell>
          <cell r="D2898">
            <v>282.14</v>
          </cell>
          <cell r="E2898">
            <v>23.650000000000002</v>
          </cell>
          <cell r="F2898">
            <v>305.79000000000002</v>
          </cell>
        </row>
        <row r="2899">
          <cell r="A2899" t="str">
            <v>461020</v>
          </cell>
          <cell r="B2899" t="str">
            <v>Tubo de cobre classe E, DN= 22mm (3/4´), inclusive conexões</v>
          </cell>
          <cell r="C2899" t="str">
            <v>m</v>
          </cell>
          <cell r="D2899">
            <v>27.990000000000002</v>
          </cell>
          <cell r="E2899">
            <v>8.59</v>
          </cell>
          <cell r="F2899">
            <v>36.58</v>
          </cell>
        </row>
        <row r="2900">
          <cell r="A2900" t="str">
            <v>461021</v>
          </cell>
          <cell r="B2900" t="str">
            <v>Tubo de cobre classe E, DN= 28mm (1´), inclusive conexões</v>
          </cell>
          <cell r="C2900" t="str">
            <v>m</v>
          </cell>
          <cell r="D2900">
            <v>32.479999999999997</v>
          </cell>
          <cell r="E2900">
            <v>10.75</v>
          </cell>
          <cell r="F2900">
            <v>43.230000000000004</v>
          </cell>
        </row>
        <row r="2901">
          <cell r="A2901" t="str">
            <v>461022</v>
          </cell>
          <cell r="B2901" t="str">
            <v>Tubo de cobre classe E, DN= 35mm (1 1/4´), inclusive conexões</v>
          </cell>
          <cell r="C2901" t="str">
            <v>m</v>
          </cell>
          <cell r="D2901">
            <v>46.34</v>
          </cell>
          <cell r="E2901">
            <v>12.17</v>
          </cell>
          <cell r="F2901">
            <v>58.51</v>
          </cell>
        </row>
        <row r="2902">
          <cell r="A2902" t="str">
            <v>461023</v>
          </cell>
          <cell r="B2902" t="str">
            <v>Tubo de cobre classe E, DN= 42mm (1 1/2´), inclusive conexões</v>
          </cell>
          <cell r="C2902" t="str">
            <v>m</v>
          </cell>
          <cell r="D2902">
            <v>58.1</v>
          </cell>
          <cell r="E2902">
            <v>12.17</v>
          </cell>
          <cell r="F2902">
            <v>70.27</v>
          </cell>
        </row>
        <row r="2903">
          <cell r="A2903" t="str">
            <v>461024</v>
          </cell>
          <cell r="B2903" t="str">
            <v>Tubo de cobre classe E, DN= 54mm (2´), inclusive conexões</v>
          </cell>
          <cell r="C2903" t="str">
            <v>m</v>
          </cell>
          <cell r="D2903">
            <v>83.78</v>
          </cell>
          <cell r="E2903">
            <v>16.48</v>
          </cell>
          <cell r="F2903">
            <v>100.26</v>
          </cell>
        </row>
        <row r="2904">
          <cell r="A2904" t="str">
            <v>461025</v>
          </cell>
          <cell r="B2904" t="str">
            <v>Tubo de cobre classe E, DN= 66mm (2 1/2´), inclusive conexões</v>
          </cell>
          <cell r="C2904" t="str">
            <v>m</v>
          </cell>
          <cell r="D2904">
            <v>119.48</v>
          </cell>
          <cell r="E2904">
            <v>19.34</v>
          </cell>
          <cell r="F2904">
            <v>138.82</v>
          </cell>
        </row>
        <row r="2905">
          <cell r="A2905" t="str">
            <v>461201</v>
          </cell>
          <cell r="B2905" t="str">
            <v>Tubo de concreto (PS-1), DN= 300mm</v>
          </cell>
          <cell r="C2905" t="str">
            <v>m</v>
          </cell>
          <cell r="D2905">
            <v>33.79</v>
          </cell>
          <cell r="E2905">
            <v>15.77</v>
          </cell>
          <cell r="F2905">
            <v>49.56</v>
          </cell>
        </row>
        <row r="2906">
          <cell r="A2906" t="str">
            <v>461202</v>
          </cell>
          <cell r="B2906" t="str">
            <v>Tubo de concreto (PS-1), DN= 400mm</v>
          </cell>
          <cell r="C2906" t="str">
            <v>m</v>
          </cell>
          <cell r="D2906">
            <v>43.17</v>
          </cell>
          <cell r="E2906">
            <v>18.29</v>
          </cell>
          <cell r="F2906">
            <v>61.46</v>
          </cell>
        </row>
        <row r="2907">
          <cell r="A2907" t="str">
            <v>461203</v>
          </cell>
          <cell r="B2907" t="str">
            <v>Tubo de concreto (PS-1), DN= 500mm</v>
          </cell>
          <cell r="C2907" t="str">
            <v>m</v>
          </cell>
          <cell r="D2907">
            <v>60.88</v>
          </cell>
          <cell r="E2907">
            <v>22.6</v>
          </cell>
          <cell r="F2907">
            <v>83.48</v>
          </cell>
        </row>
        <row r="2908">
          <cell r="A2908" t="str">
            <v>461204</v>
          </cell>
          <cell r="B2908" t="str">
            <v>Tubo de concreto (PS-1), DN= 600mm</v>
          </cell>
          <cell r="C2908" t="str">
            <v>m</v>
          </cell>
          <cell r="D2908">
            <v>75.78</v>
          </cell>
          <cell r="E2908">
            <v>25.71</v>
          </cell>
          <cell r="F2908">
            <v>101.49000000000001</v>
          </cell>
        </row>
        <row r="2909">
          <cell r="A2909" t="str">
            <v>461205</v>
          </cell>
          <cell r="B2909" t="str">
            <v>Tubo de concreto (PS-2), DN= 300mm</v>
          </cell>
          <cell r="C2909" t="str">
            <v>m</v>
          </cell>
          <cell r="D2909">
            <v>40.14</v>
          </cell>
          <cell r="E2909">
            <v>15.77</v>
          </cell>
          <cell r="F2909">
            <v>55.910000000000004</v>
          </cell>
        </row>
        <row r="2910">
          <cell r="A2910" t="str">
            <v>461206</v>
          </cell>
          <cell r="B2910" t="str">
            <v>Tubo de concreto (PS-2), DN= 400mm</v>
          </cell>
          <cell r="C2910" t="str">
            <v>m</v>
          </cell>
          <cell r="D2910">
            <v>51.46</v>
          </cell>
          <cell r="E2910">
            <v>18.29</v>
          </cell>
          <cell r="F2910">
            <v>69.75</v>
          </cell>
        </row>
        <row r="2911">
          <cell r="A2911" t="str">
            <v>461207</v>
          </cell>
          <cell r="B2911" t="str">
            <v>Tubo de concreto (PS-2), DN= 500mm</v>
          </cell>
          <cell r="C2911" t="str">
            <v>m</v>
          </cell>
          <cell r="D2911">
            <v>72.77</v>
          </cell>
          <cell r="E2911">
            <v>22.6</v>
          </cell>
          <cell r="F2911">
            <v>95.37</v>
          </cell>
        </row>
        <row r="2912">
          <cell r="A2912" t="str">
            <v>461208</v>
          </cell>
          <cell r="B2912" t="str">
            <v>Tubo de concreto (PA-1), DN= 600mm</v>
          </cell>
          <cell r="C2912" t="str">
            <v>m</v>
          </cell>
          <cell r="D2912">
            <v>110</v>
          </cell>
          <cell r="E2912">
            <v>25.71</v>
          </cell>
          <cell r="F2912">
            <v>135.71</v>
          </cell>
        </row>
        <row r="2913">
          <cell r="A2913" t="str">
            <v>461209</v>
          </cell>
          <cell r="B2913" t="str">
            <v>Tubo de concreto (PA-1), DN= 700mm</v>
          </cell>
          <cell r="C2913" t="str">
            <v>m</v>
          </cell>
          <cell r="D2913">
            <v>125.97</v>
          </cell>
          <cell r="E2913">
            <v>28.830000000000002</v>
          </cell>
          <cell r="F2913">
            <v>154.80000000000001</v>
          </cell>
        </row>
        <row r="2914">
          <cell r="A2914" t="str">
            <v>461210</v>
          </cell>
          <cell r="B2914" t="str">
            <v>Tubo de concreto (PA-1), DN= 800mm</v>
          </cell>
          <cell r="C2914" t="str">
            <v>m</v>
          </cell>
          <cell r="D2914">
            <v>185.07</v>
          </cell>
          <cell r="E2914">
            <v>33.119999999999997</v>
          </cell>
          <cell r="F2914">
            <v>218.19</v>
          </cell>
        </row>
        <row r="2915">
          <cell r="A2915" t="str">
            <v>461211</v>
          </cell>
          <cell r="B2915" t="str">
            <v>Tubo de concreto (PA-1), DN= 900mm</v>
          </cell>
          <cell r="C2915" t="str">
            <v>m</v>
          </cell>
          <cell r="D2915">
            <v>217.44</v>
          </cell>
          <cell r="E2915">
            <v>37.409999999999997</v>
          </cell>
          <cell r="F2915">
            <v>254.85</v>
          </cell>
        </row>
        <row r="2916">
          <cell r="A2916" t="str">
            <v>461212</v>
          </cell>
          <cell r="B2916" t="str">
            <v>Tubo de concreto (PA-1), DN= 1000mm</v>
          </cell>
          <cell r="C2916" t="str">
            <v>m</v>
          </cell>
          <cell r="D2916">
            <v>266</v>
          </cell>
          <cell r="E2916">
            <v>41.71</v>
          </cell>
          <cell r="F2916">
            <v>307.70999999999998</v>
          </cell>
        </row>
        <row r="2917">
          <cell r="A2917" t="str">
            <v>461214</v>
          </cell>
          <cell r="B2917" t="str">
            <v>Tubo de concreto (PA-1), DN= 1200mm</v>
          </cell>
          <cell r="C2917" t="str">
            <v>m</v>
          </cell>
          <cell r="D2917">
            <v>387.93</v>
          </cell>
          <cell r="E2917">
            <v>62.36</v>
          </cell>
          <cell r="F2917">
            <v>450.29</v>
          </cell>
        </row>
        <row r="2918">
          <cell r="A2918" t="str">
            <v>461215</v>
          </cell>
          <cell r="B2918" t="str">
            <v>Tubo de concreto (PA-2), DN= 600mm</v>
          </cell>
          <cell r="C2918" t="str">
            <v>m</v>
          </cell>
          <cell r="D2918">
            <v>110.64</v>
          </cell>
          <cell r="E2918">
            <v>25.71</v>
          </cell>
          <cell r="F2918">
            <v>136.35</v>
          </cell>
        </row>
        <row r="2919">
          <cell r="A2919" t="str">
            <v>461216</v>
          </cell>
          <cell r="B2919" t="str">
            <v>Tubo de concreto (PA-2), DN= 800mm</v>
          </cell>
          <cell r="C2919" t="str">
            <v>m</v>
          </cell>
          <cell r="D2919">
            <v>189.34</v>
          </cell>
          <cell r="E2919">
            <v>33.119999999999997</v>
          </cell>
          <cell r="F2919">
            <v>222.46</v>
          </cell>
        </row>
        <row r="2920">
          <cell r="A2920" t="str">
            <v>461217</v>
          </cell>
          <cell r="B2920" t="str">
            <v>Tubo de concreto (PA-2), DN= 1000mm</v>
          </cell>
          <cell r="C2920" t="str">
            <v>m</v>
          </cell>
          <cell r="D2920">
            <v>275.51</v>
          </cell>
          <cell r="E2920">
            <v>41.71</v>
          </cell>
          <cell r="F2920">
            <v>317.22000000000003</v>
          </cell>
        </row>
        <row r="2921">
          <cell r="A2921" t="str">
            <v>461218</v>
          </cell>
          <cell r="B2921" t="str">
            <v>Tubo de concreto (PA-3), DN= 600mm</v>
          </cell>
          <cell r="C2921" t="str">
            <v>m</v>
          </cell>
          <cell r="D2921">
            <v>143.80000000000001</v>
          </cell>
          <cell r="E2921">
            <v>25.71</v>
          </cell>
          <cell r="F2921">
            <v>169.51</v>
          </cell>
        </row>
        <row r="2922">
          <cell r="A2922" t="str">
            <v>461219</v>
          </cell>
          <cell r="B2922" t="str">
            <v>Tubo de concreto (PA-3), DN= 800mm</v>
          </cell>
          <cell r="C2922" t="str">
            <v>m</v>
          </cell>
          <cell r="D2922">
            <v>243.78</v>
          </cell>
          <cell r="E2922">
            <v>33.119999999999997</v>
          </cell>
          <cell r="F2922">
            <v>276.89999999999998</v>
          </cell>
        </row>
        <row r="2923">
          <cell r="A2923" t="str">
            <v>461220</v>
          </cell>
          <cell r="B2923" t="str">
            <v>Tubo de concreto (PA-3), DN= 1000mm</v>
          </cell>
          <cell r="C2923" t="str">
            <v>m</v>
          </cell>
          <cell r="D2923">
            <v>349.43</v>
          </cell>
          <cell r="E2923">
            <v>41.71</v>
          </cell>
          <cell r="F2923">
            <v>391.14</v>
          </cell>
        </row>
        <row r="2924">
          <cell r="A2924" t="str">
            <v>461221</v>
          </cell>
          <cell r="B2924" t="str">
            <v>Meio tubo de concreto, DN= 300mm</v>
          </cell>
          <cell r="C2924" t="str">
            <v>m</v>
          </cell>
          <cell r="D2924">
            <v>22.41</v>
          </cell>
          <cell r="E2924">
            <v>15.280000000000001</v>
          </cell>
          <cell r="F2924">
            <v>37.69</v>
          </cell>
        </row>
        <row r="2925">
          <cell r="A2925" t="str">
            <v>461222</v>
          </cell>
          <cell r="B2925" t="str">
            <v>Meio tubo de concreto, DN= 400mm</v>
          </cell>
          <cell r="C2925" t="str">
            <v>m</v>
          </cell>
          <cell r="D2925">
            <v>22.740000000000002</v>
          </cell>
          <cell r="E2925">
            <v>19.46</v>
          </cell>
          <cell r="F2925">
            <v>42.2</v>
          </cell>
        </row>
        <row r="2926">
          <cell r="A2926" t="str">
            <v>461223</v>
          </cell>
          <cell r="B2926" t="str">
            <v>Meio tubo de concreto, DN= 500mm</v>
          </cell>
          <cell r="C2926" t="str">
            <v>m</v>
          </cell>
          <cell r="D2926">
            <v>29.91</v>
          </cell>
          <cell r="E2926">
            <v>25.59</v>
          </cell>
          <cell r="F2926">
            <v>55.5</v>
          </cell>
        </row>
        <row r="2927">
          <cell r="A2927" t="str">
            <v>461224</v>
          </cell>
          <cell r="B2927" t="str">
            <v>Meio tubo de concreto, DN= 600mm</v>
          </cell>
          <cell r="C2927" t="str">
            <v>m</v>
          </cell>
          <cell r="D2927">
            <v>40.32</v>
          </cell>
          <cell r="E2927">
            <v>32.89</v>
          </cell>
          <cell r="F2927">
            <v>73.209999999999994</v>
          </cell>
        </row>
        <row r="2928">
          <cell r="A2928" t="str">
            <v>461225</v>
          </cell>
          <cell r="B2928" t="str">
            <v>Tubo de concreto (PA-2), DN= 1500mm</v>
          </cell>
          <cell r="C2928" t="str">
            <v>m</v>
          </cell>
          <cell r="D2928">
            <v>626.21</v>
          </cell>
          <cell r="E2928">
            <v>93.54</v>
          </cell>
          <cell r="F2928">
            <v>719.75</v>
          </cell>
        </row>
        <row r="2929">
          <cell r="A2929" t="str">
            <v>461226</v>
          </cell>
          <cell r="B2929" t="str">
            <v>Tubo de concreto (PA-1), DN= 400mm</v>
          </cell>
          <cell r="C2929" t="str">
            <v>m</v>
          </cell>
          <cell r="D2929">
            <v>68.69</v>
          </cell>
          <cell r="E2929">
            <v>18.29</v>
          </cell>
          <cell r="F2929">
            <v>86.98</v>
          </cell>
        </row>
        <row r="2930">
          <cell r="A2930" t="str">
            <v>461227</v>
          </cell>
          <cell r="B2930" t="str">
            <v>Tubo de concreto (PA-2), DN= 400mm</v>
          </cell>
          <cell r="C2930" t="str">
            <v>m</v>
          </cell>
          <cell r="D2930">
            <v>70.069999999999993</v>
          </cell>
          <cell r="E2930">
            <v>18.29</v>
          </cell>
          <cell r="F2930">
            <v>88.36</v>
          </cell>
        </row>
        <row r="2931">
          <cell r="A2931" t="str">
            <v>461228</v>
          </cell>
          <cell r="B2931" t="str">
            <v>Tubo de concreto (PA-3), DN= 400mm</v>
          </cell>
          <cell r="C2931" t="str">
            <v>m</v>
          </cell>
          <cell r="D2931">
            <v>89.25</v>
          </cell>
          <cell r="E2931">
            <v>18.29</v>
          </cell>
          <cell r="F2931">
            <v>107.54</v>
          </cell>
        </row>
        <row r="2932">
          <cell r="A2932" t="str">
            <v>461229</v>
          </cell>
          <cell r="B2932" t="str">
            <v>Tubo de concreto (PA-2), DN= 700mm</v>
          </cell>
          <cell r="C2932" t="str">
            <v>m</v>
          </cell>
          <cell r="D2932">
            <v>193.04</v>
          </cell>
          <cell r="E2932">
            <v>28.830000000000002</v>
          </cell>
          <cell r="F2932">
            <v>221.87</v>
          </cell>
        </row>
        <row r="2933">
          <cell r="A2933" t="str">
            <v>461230</v>
          </cell>
          <cell r="B2933" t="str">
            <v>Tubo de concreto (PA-2), DN= 500mm</v>
          </cell>
          <cell r="C2933" t="str">
            <v>m</v>
          </cell>
          <cell r="D2933">
            <v>99.350000000000009</v>
          </cell>
          <cell r="E2933">
            <v>22.6</v>
          </cell>
          <cell r="F2933">
            <v>121.95</v>
          </cell>
        </row>
        <row r="2934">
          <cell r="A2934" t="str">
            <v>461231</v>
          </cell>
          <cell r="B2934" t="str">
            <v>Tubo de concreto (PA-2), DN= 900mm</v>
          </cell>
          <cell r="C2934" t="str">
            <v>m</v>
          </cell>
          <cell r="D2934">
            <v>217.44</v>
          </cell>
          <cell r="E2934">
            <v>37.409999999999997</v>
          </cell>
          <cell r="F2934">
            <v>254.85</v>
          </cell>
        </row>
        <row r="2935">
          <cell r="A2935" t="str">
            <v>461232</v>
          </cell>
          <cell r="B2935" t="str">
            <v>Tubo de concreto (PA-1), DN= 300mm</v>
          </cell>
          <cell r="C2935" t="str">
            <v>m</v>
          </cell>
          <cell r="D2935">
            <v>61.120000000000005</v>
          </cell>
          <cell r="E2935">
            <v>15.77</v>
          </cell>
          <cell r="F2935">
            <v>76.89</v>
          </cell>
        </row>
        <row r="2936">
          <cell r="A2936" t="str">
            <v>461233</v>
          </cell>
          <cell r="B2936" t="str">
            <v>Tubo de concreto (PA-2), DN= 300mm</v>
          </cell>
          <cell r="C2936" t="str">
            <v>m</v>
          </cell>
          <cell r="D2936">
            <v>65.739999999999995</v>
          </cell>
          <cell r="E2936">
            <v>15.77</v>
          </cell>
          <cell r="F2936">
            <v>81.510000000000005</v>
          </cell>
        </row>
        <row r="2937">
          <cell r="A2937" t="str">
            <v>461234</v>
          </cell>
          <cell r="B2937" t="str">
            <v>Meio tubo de concreto, DN= 200mm</v>
          </cell>
          <cell r="C2937" t="str">
            <v>m</v>
          </cell>
          <cell r="D2937">
            <v>13.64</v>
          </cell>
          <cell r="E2937">
            <v>5.57</v>
          </cell>
          <cell r="F2937">
            <v>19.21</v>
          </cell>
        </row>
        <row r="2938">
          <cell r="A2938" t="str">
            <v>461301</v>
          </cell>
          <cell r="B2938" t="str">
            <v>Tubo em polietileno de alta densidade corrugado perfurado, DN= 3´, inclusive conexões</v>
          </cell>
          <cell r="C2938" t="str">
            <v>m</v>
          </cell>
          <cell r="D2938">
            <v>10.33</v>
          </cell>
          <cell r="E2938">
            <v>0.79</v>
          </cell>
          <cell r="F2938">
            <v>11.120000000000001</v>
          </cell>
        </row>
        <row r="2939">
          <cell r="A2939" t="str">
            <v>461302</v>
          </cell>
          <cell r="B2939" t="str">
            <v>Tubo em polietileno de alta densidade corrugado perfurado, DN= 4´, inclusive conexões</v>
          </cell>
          <cell r="C2939" t="str">
            <v>m</v>
          </cell>
          <cell r="D2939">
            <v>12.38</v>
          </cell>
          <cell r="E2939">
            <v>0.79</v>
          </cell>
          <cell r="F2939">
            <v>13.17</v>
          </cell>
        </row>
        <row r="2940">
          <cell r="A2940" t="str">
            <v>461303</v>
          </cell>
          <cell r="B2940" t="str">
            <v>Tubo em polietileno de alta densidade corrugado perfurado, DN= 8´, inclusive conexões</v>
          </cell>
          <cell r="C2940" t="str">
            <v>m</v>
          </cell>
          <cell r="D2940">
            <v>51.96</v>
          </cell>
          <cell r="E2940">
            <v>0.79</v>
          </cell>
          <cell r="F2940">
            <v>52.75</v>
          </cell>
        </row>
        <row r="2941">
          <cell r="A2941" t="str">
            <v>461304</v>
          </cell>
          <cell r="B2941" t="str">
            <v>Tubo em polietileno de alta densidade corrugado perfurado, DN= 2 1/2´, inclusive conexões</v>
          </cell>
          <cell r="C2941" t="str">
            <v>m</v>
          </cell>
          <cell r="D2941">
            <v>7.87</v>
          </cell>
          <cell r="E2941">
            <v>0.79</v>
          </cell>
          <cell r="F2941">
            <v>8.66</v>
          </cell>
        </row>
        <row r="2942">
          <cell r="A2942" t="str">
            <v>461305</v>
          </cell>
          <cell r="B2942" t="str">
            <v>Tubo em polietileno de alta densidade corrugado perfurado, DN= 6´, inclusive conexões</v>
          </cell>
          <cell r="C2942" t="str">
            <v>m</v>
          </cell>
          <cell r="D2942">
            <v>27.19</v>
          </cell>
          <cell r="E2942">
            <v>0.79</v>
          </cell>
          <cell r="F2942">
            <v>27.98</v>
          </cell>
        </row>
        <row r="2943">
          <cell r="A2943" t="str">
            <v>461306</v>
          </cell>
          <cell r="B2943" t="str">
            <v>Tubo em polietileno de alta densidade corrugado perfurado, DN= 12´, inclusive conexões</v>
          </cell>
          <cell r="C2943" t="str">
            <v>m</v>
          </cell>
          <cell r="D2943">
            <v>63.29</v>
          </cell>
          <cell r="E2943">
            <v>0.79</v>
          </cell>
          <cell r="F2943">
            <v>64.08</v>
          </cell>
        </row>
        <row r="2944">
          <cell r="A2944" t="str">
            <v>461402</v>
          </cell>
          <cell r="B2944" t="str">
            <v>Tubo de ferro fundido classe K-7 com junta elástica, DN= 150mm, inclusive conexões</v>
          </cell>
          <cell r="C2944" t="str">
            <v>m</v>
          </cell>
          <cell r="D2944">
            <v>201.70000000000002</v>
          </cell>
          <cell r="E2944">
            <v>16.64</v>
          </cell>
          <cell r="F2944">
            <v>218.34</v>
          </cell>
        </row>
        <row r="2945">
          <cell r="A2945" t="str">
            <v>461403</v>
          </cell>
          <cell r="B2945" t="str">
            <v>Tubo de ferro fundido classe K-7 com junta elástica, DN= 200mm, inclusive conexões</v>
          </cell>
          <cell r="C2945" t="str">
            <v>m</v>
          </cell>
          <cell r="D2945">
            <v>248.51000000000002</v>
          </cell>
          <cell r="E2945">
            <v>16.64</v>
          </cell>
          <cell r="F2945">
            <v>265.14999999999998</v>
          </cell>
        </row>
        <row r="2946">
          <cell r="A2946" t="str">
            <v>461404</v>
          </cell>
          <cell r="B2946" t="str">
            <v>Tubo de ferro fundido classe K-7 com junta elástica, DN= 250mm, inclusive conexões</v>
          </cell>
          <cell r="C2946" t="str">
            <v>m</v>
          </cell>
          <cell r="D2946">
            <v>310.20999999999998</v>
          </cell>
          <cell r="E2946">
            <v>16.64</v>
          </cell>
          <cell r="F2946">
            <v>326.85000000000002</v>
          </cell>
        </row>
        <row r="2947">
          <cell r="A2947" t="str">
            <v>461405</v>
          </cell>
          <cell r="B2947" t="str">
            <v>Tubo de ferro fundido classe K-7 com junta elástica, DN= 350mm, inclusive conexões</v>
          </cell>
          <cell r="C2947" t="str">
            <v>m</v>
          </cell>
          <cell r="D2947">
            <v>440.46000000000004</v>
          </cell>
          <cell r="E2947">
            <v>16.64</v>
          </cell>
          <cell r="F2947">
            <v>457.1</v>
          </cell>
        </row>
        <row r="2948">
          <cell r="A2948" t="str">
            <v>461406</v>
          </cell>
          <cell r="B2948" t="str">
            <v>Tubo de ferro fundido classe K-7 com junta elástica, DN= 300mm, inclusive conexões</v>
          </cell>
          <cell r="C2948" t="str">
            <v>m</v>
          </cell>
          <cell r="D2948">
            <v>367.96</v>
          </cell>
          <cell r="E2948">
            <v>16.64</v>
          </cell>
          <cell r="F2948">
            <v>384.6</v>
          </cell>
        </row>
        <row r="2949">
          <cell r="A2949" t="str">
            <v>461449</v>
          </cell>
          <cell r="B2949" t="str">
            <v>Tubo de ferro fundido classe k-9 com junta elástica, DN= 80mm, inclusive conexões</v>
          </cell>
          <cell r="C2949" t="str">
            <v>m</v>
          </cell>
          <cell r="D2949">
            <v>163.72</v>
          </cell>
          <cell r="E2949">
            <v>16.64</v>
          </cell>
          <cell r="F2949">
            <v>180.36</v>
          </cell>
        </row>
        <row r="2950">
          <cell r="A2950" t="str">
            <v>461451</v>
          </cell>
          <cell r="B2950" t="str">
            <v>Tubo de ferro fundido classe K-9 com junta elástica, DN= 100mm, inclusive conexões</v>
          </cell>
          <cell r="C2950" t="str">
            <v>m</v>
          </cell>
          <cell r="D2950">
            <v>174.13</v>
          </cell>
          <cell r="E2950">
            <v>16.64</v>
          </cell>
          <cell r="F2950">
            <v>190.77</v>
          </cell>
        </row>
        <row r="2951">
          <cell r="A2951" t="str">
            <v>461452</v>
          </cell>
          <cell r="B2951" t="str">
            <v>Tubo de ferro fundido classe K-9 com junta elástica, DN= 150mm, incluive conexões</v>
          </cell>
          <cell r="C2951" t="str">
            <v>m</v>
          </cell>
          <cell r="D2951">
            <v>227.14000000000001</v>
          </cell>
          <cell r="E2951">
            <v>16.64</v>
          </cell>
          <cell r="F2951">
            <v>243.78</v>
          </cell>
        </row>
        <row r="2952">
          <cell r="A2952" t="str">
            <v>461453</v>
          </cell>
          <cell r="B2952" t="str">
            <v>Tubo de ferro fundido classe K-9 com junta elástica, DN= 200mm, inclusive conexões</v>
          </cell>
          <cell r="C2952" t="str">
            <v>m</v>
          </cell>
          <cell r="D2952">
            <v>287.14</v>
          </cell>
          <cell r="E2952">
            <v>16.64</v>
          </cell>
          <cell r="F2952">
            <v>303.77999999999997</v>
          </cell>
        </row>
        <row r="2953">
          <cell r="A2953" t="str">
            <v>461454</v>
          </cell>
          <cell r="B2953" t="str">
            <v>Tubo de ferro fundido classe k-9 com junta elástica, DN= 250mm, inclusive conexões</v>
          </cell>
          <cell r="C2953" t="str">
            <v>m</v>
          </cell>
          <cell r="D2953">
            <v>370.35</v>
          </cell>
          <cell r="E2953">
            <v>16.64</v>
          </cell>
          <cell r="F2953">
            <v>386.99</v>
          </cell>
        </row>
        <row r="2954">
          <cell r="A2954" t="str">
            <v>461455</v>
          </cell>
          <cell r="B2954" t="str">
            <v>Tubo de ferro fundido classe K-9 com junta elástica, DN= 300mm, inclusive conexões</v>
          </cell>
          <cell r="C2954" t="str">
            <v>m</v>
          </cell>
          <cell r="D2954">
            <v>430.86</v>
          </cell>
          <cell r="E2954">
            <v>16.64</v>
          </cell>
          <cell r="F2954">
            <v>447.5</v>
          </cell>
        </row>
        <row r="2955">
          <cell r="A2955" t="str">
            <v>461456</v>
          </cell>
          <cell r="B2955" t="str">
            <v>Tubo de ferro fundido classe k-9 com junta elástica, DN= 350mm, inclusive conexões</v>
          </cell>
          <cell r="C2955" t="str">
            <v>m</v>
          </cell>
          <cell r="D2955">
            <v>519.49</v>
          </cell>
          <cell r="E2955">
            <v>16.64</v>
          </cell>
          <cell r="F2955">
            <v>536.13</v>
          </cell>
        </row>
        <row r="2956">
          <cell r="A2956" t="str">
            <v>461801</v>
          </cell>
          <cell r="B2956" t="str">
            <v>Tubo em ferro fundido com ponta e ponta TCLA - DN= 80mm, sem juntas e conexões</v>
          </cell>
          <cell r="C2956" t="str">
            <v>m</v>
          </cell>
          <cell r="D2956">
            <v>234.39000000000001</v>
          </cell>
          <cell r="E2956">
            <v>19.03</v>
          </cell>
          <cell r="F2956">
            <v>253.42000000000002</v>
          </cell>
        </row>
        <row r="2957">
          <cell r="A2957" t="str">
            <v>461802</v>
          </cell>
          <cell r="B2957" t="str">
            <v>Tubo em ferro fundido com ponta e ponta TCLA - DN= 100mm, sem juntas e conexões</v>
          </cell>
          <cell r="C2957" t="str">
            <v>m</v>
          </cell>
          <cell r="D2957">
            <v>262.37</v>
          </cell>
          <cell r="E2957">
            <v>19.03</v>
          </cell>
          <cell r="F2957">
            <v>281.39999999999998</v>
          </cell>
        </row>
        <row r="2958">
          <cell r="A2958" t="str">
            <v>461803</v>
          </cell>
          <cell r="B2958" t="str">
            <v>Tubo em ferro fundido com ponta e ponta TCLA - DN= 150mm, sem juntas e conexões</v>
          </cell>
          <cell r="C2958" t="str">
            <v>m</v>
          </cell>
          <cell r="D2958">
            <v>332.47</v>
          </cell>
          <cell r="E2958">
            <v>19.03</v>
          </cell>
          <cell r="F2958">
            <v>351.5</v>
          </cell>
        </row>
        <row r="2959">
          <cell r="A2959" t="str">
            <v>461804</v>
          </cell>
          <cell r="B2959" t="str">
            <v>Tubo em ferro fundido com ponta e ponta TCLA - DN= 200mm, sem juntas e conexões</v>
          </cell>
          <cell r="C2959" t="str">
            <v>m</v>
          </cell>
          <cell r="D2959">
            <v>419.62</v>
          </cell>
          <cell r="E2959">
            <v>19.03</v>
          </cell>
          <cell r="F2959">
            <v>438.65000000000003</v>
          </cell>
        </row>
        <row r="2960">
          <cell r="A2960" t="str">
            <v>461805</v>
          </cell>
          <cell r="B2960" t="str">
            <v>Tubo em ferro fundido com ponta e ponta TCLA - DN= 250mm, sem juntas e conexões</v>
          </cell>
          <cell r="C2960" t="str">
            <v>m</v>
          </cell>
          <cell r="D2960">
            <v>505.47</v>
          </cell>
          <cell r="E2960">
            <v>20.46</v>
          </cell>
          <cell r="F2960">
            <v>525.92999999999995</v>
          </cell>
        </row>
        <row r="2961">
          <cell r="A2961" t="str">
            <v>461806</v>
          </cell>
          <cell r="B2961" t="str">
            <v>Tubo em ferro fundido com ponta e ponta TCLA - DN= 300mm, sem juntas e conexões</v>
          </cell>
          <cell r="C2961" t="str">
            <v>m</v>
          </cell>
          <cell r="D2961">
            <v>615.84</v>
          </cell>
          <cell r="E2961">
            <v>20.46</v>
          </cell>
          <cell r="F2961">
            <v>636.29999999999995</v>
          </cell>
        </row>
        <row r="2962">
          <cell r="A2962" t="str">
            <v>461807</v>
          </cell>
          <cell r="B2962" t="str">
            <v>Tubo em ferro fundido com ponta e ponta TCLA - DN= 350mm, sem juntas e conexões</v>
          </cell>
          <cell r="C2962" t="str">
            <v>m</v>
          </cell>
          <cell r="D2962">
            <v>840.92000000000007</v>
          </cell>
          <cell r="E2962">
            <v>20.46</v>
          </cell>
          <cell r="F2962">
            <v>861.38</v>
          </cell>
        </row>
        <row r="2963">
          <cell r="A2963" t="str">
            <v>461808</v>
          </cell>
          <cell r="B2963" t="str">
            <v>Tubo em ferro fundido com ponta e ponta TCLA - DN= 400mm, sem juntas e conexões</v>
          </cell>
          <cell r="C2963" t="str">
            <v>m</v>
          </cell>
          <cell r="D2963">
            <v>900.96</v>
          </cell>
          <cell r="E2963">
            <v>20.46</v>
          </cell>
          <cell r="F2963">
            <v>921.42000000000007</v>
          </cell>
        </row>
        <row r="2964">
          <cell r="A2964" t="str">
            <v>461809</v>
          </cell>
          <cell r="B2964" t="str">
            <v>Flange avulso em ferro fundido, classe PN-10, DN= 80mm</v>
          </cell>
          <cell r="C2964" t="str">
            <v>un</v>
          </cell>
          <cell r="D2964">
            <v>63.95</v>
          </cell>
          <cell r="E2964">
            <v>10.51</v>
          </cell>
          <cell r="F2964">
            <v>74.459999999999994</v>
          </cell>
        </row>
        <row r="2965">
          <cell r="A2965" t="str">
            <v>461810</v>
          </cell>
          <cell r="B2965" t="str">
            <v>Flange avulso em ferro fundido, classe PN-10, DN= 100mm</v>
          </cell>
          <cell r="C2965" t="str">
            <v>un</v>
          </cell>
          <cell r="D2965">
            <v>75.319999999999993</v>
          </cell>
          <cell r="E2965">
            <v>11.46</v>
          </cell>
          <cell r="F2965">
            <v>86.78</v>
          </cell>
        </row>
        <row r="2966">
          <cell r="A2966" t="str">
            <v>461811</v>
          </cell>
          <cell r="B2966" t="str">
            <v>Flange avulso em ferro fundido, classe PN-10, DN= 150mm</v>
          </cell>
          <cell r="C2966" t="str">
            <v>un</v>
          </cell>
          <cell r="D2966">
            <v>105.26</v>
          </cell>
          <cell r="E2966">
            <v>12.42</v>
          </cell>
          <cell r="F2966">
            <v>117.68</v>
          </cell>
        </row>
        <row r="2967">
          <cell r="A2967" t="str">
            <v>461812</v>
          </cell>
          <cell r="B2967" t="str">
            <v>Flange avulso em ferro fundido, classe PN-10, DN= 200mm</v>
          </cell>
          <cell r="C2967" t="str">
            <v>un</v>
          </cell>
          <cell r="D2967">
            <v>129.09</v>
          </cell>
          <cell r="E2967">
            <v>13.370000000000001</v>
          </cell>
          <cell r="F2967">
            <v>142.46</v>
          </cell>
        </row>
        <row r="2968">
          <cell r="A2968" t="str">
            <v>461813</v>
          </cell>
          <cell r="B2968" t="str">
            <v>Flange avulso em ferro fundido, classe PN-10, DN= 250mm</v>
          </cell>
          <cell r="C2968" t="str">
            <v>un</v>
          </cell>
          <cell r="D2968">
            <v>195.35</v>
          </cell>
          <cell r="E2968">
            <v>14.33</v>
          </cell>
          <cell r="F2968">
            <v>209.68</v>
          </cell>
        </row>
        <row r="2969">
          <cell r="A2969" t="str">
            <v>461814</v>
          </cell>
          <cell r="B2969" t="str">
            <v>Flange avulso em ferro fundido, classe PN-10, DN= 300mm</v>
          </cell>
          <cell r="C2969" t="str">
            <v>un</v>
          </cell>
          <cell r="D2969">
            <v>222.51</v>
          </cell>
          <cell r="E2969">
            <v>15.290000000000001</v>
          </cell>
          <cell r="F2969">
            <v>237.8</v>
          </cell>
        </row>
        <row r="2970">
          <cell r="A2970" t="str">
            <v>461815</v>
          </cell>
          <cell r="B2970" t="str">
            <v>Flange avulso em ferro fundido, classe PN-10, DN= 350mm</v>
          </cell>
          <cell r="C2970" t="str">
            <v>un</v>
          </cell>
          <cell r="D2970">
            <v>361.2</v>
          </cell>
          <cell r="E2970">
            <v>16.239999999999998</v>
          </cell>
          <cell r="F2970">
            <v>377.44</v>
          </cell>
        </row>
        <row r="2971">
          <cell r="A2971" t="str">
            <v>461816</v>
          </cell>
          <cell r="B2971" t="str">
            <v>Flange avulso em ferro fundido, classe PN-10, DN= 400mm</v>
          </cell>
          <cell r="C2971" t="str">
            <v>un</v>
          </cell>
          <cell r="D2971">
            <v>411.27</v>
          </cell>
          <cell r="E2971">
            <v>17.2</v>
          </cell>
          <cell r="F2971">
            <v>428.47</v>
          </cell>
        </row>
        <row r="2972">
          <cell r="A2972" t="str">
            <v>461817</v>
          </cell>
          <cell r="B2972" t="str">
            <v>Curva de 90° em ferro fundido, com flanges, classe PN-10, DN= 80mm</v>
          </cell>
          <cell r="C2972" t="str">
            <v>un</v>
          </cell>
          <cell r="D2972">
            <v>156.30000000000001</v>
          </cell>
          <cell r="E2972">
            <v>10.51</v>
          </cell>
          <cell r="F2972">
            <v>166.81</v>
          </cell>
        </row>
        <row r="2973">
          <cell r="A2973" t="str">
            <v>461818</v>
          </cell>
          <cell r="B2973" t="str">
            <v>Curva de 90° em ferro fundido, com flanges, classe PN-10, DN= 100mm</v>
          </cell>
          <cell r="C2973" t="str">
            <v>un</v>
          </cell>
          <cell r="D2973">
            <v>181.96</v>
          </cell>
          <cell r="E2973">
            <v>13.370000000000001</v>
          </cell>
          <cell r="F2973">
            <v>195.33</v>
          </cell>
        </row>
        <row r="2974">
          <cell r="A2974" t="str">
            <v>461819</v>
          </cell>
          <cell r="B2974" t="str">
            <v>Curva de 90° em ferro fundido, com flanges, classe PN-10, DN= 150mm</v>
          </cell>
          <cell r="C2974" t="str">
            <v>un</v>
          </cell>
          <cell r="D2974">
            <v>295.23</v>
          </cell>
          <cell r="E2974">
            <v>15.290000000000001</v>
          </cell>
          <cell r="F2974">
            <v>310.52</v>
          </cell>
        </row>
        <row r="2975">
          <cell r="A2975" t="str">
            <v>461841</v>
          </cell>
          <cell r="B2975" t="str">
            <v>Te em ferro fundido, com flanges, classe PN-10, DN= 80mm, com derivação de 80mm</v>
          </cell>
          <cell r="C2975" t="str">
            <v>un</v>
          </cell>
          <cell r="D2975">
            <v>226.52</v>
          </cell>
          <cell r="E2975">
            <v>11.46</v>
          </cell>
          <cell r="F2975">
            <v>237.98000000000002</v>
          </cell>
        </row>
        <row r="2976">
          <cell r="A2976" t="str">
            <v>461842</v>
          </cell>
          <cell r="B2976" t="str">
            <v>Te em ferro fundido, com flanges, classe PN-10, DN= 100mm, com derivações de 80 até 100mm</v>
          </cell>
          <cell r="C2976" t="str">
            <v>un</v>
          </cell>
          <cell r="D2976">
            <v>382.78000000000003</v>
          </cell>
          <cell r="E2976">
            <v>13.370000000000001</v>
          </cell>
          <cell r="F2976">
            <v>396.15000000000003</v>
          </cell>
        </row>
        <row r="2977">
          <cell r="A2977" t="str">
            <v>461843</v>
          </cell>
          <cell r="B2977" t="str">
            <v>Te em ferro fundido, com flanges, classe PN-10, DN= 150mm, com derivações de 80 até 150mm</v>
          </cell>
          <cell r="C2977" t="str">
            <v>un</v>
          </cell>
          <cell r="D2977">
            <v>538.27</v>
          </cell>
          <cell r="E2977">
            <v>15.290000000000001</v>
          </cell>
          <cell r="F2977">
            <v>553.55999999999995</v>
          </cell>
        </row>
        <row r="2978">
          <cell r="A2978" t="str">
            <v>461856</v>
          </cell>
          <cell r="B2978" t="str">
            <v>Junta Gibault em ferro fundido, DN= 80mm, completa</v>
          </cell>
          <cell r="C2978" t="str">
            <v>un</v>
          </cell>
          <cell r="D2978">
            <v>119.08</v>
          </cell>
          <cell r="E2978">
            <v>10.51</v>
          </cell>
          <cell r="F2978">
            <v>129.59</v>
          </cell>
        </row>
        <row r="2979">
          <cell r="A2979" t="str">
            <v>461857</v>
          </cell>
          <cell r="B2979" t="str">
            <v>Junta Gibault em ferro fundido, DN= 100 mm, completa</v>
          </cell>
          <cell r="C2979" t="str">
            <v>un</v>
          </cell>
          <cell r="D2979">
            <v>122</v>
          </cell>
          <cell r="E2979">
            <v>11.46</v>
          </cell>
          <cell r="F2979">
            <v>133.46</v>
          </cell>
        </row>
        <row r="2980">
          <cell r="A2980" t="str">
            <v>461930</v>
          </cell>
          <cell r="B2980" t="str">
            <v>Curva de 90° em ferro fundido com flanges, classe PN-10, DN= 50mm</v>
          </cell>
          <cell r="C2980" t="str">
            <v>un</v>
          </cell>
          <cell r="D2980">
            <v>116.18</v>
          </cell>
          <cell r="E2980">
            <v>13.370000000000001</v>
          </cell>
          <cell r="F2980">
            <v>129.55000000000001</v>
          </cell>
        </row>
        <row r="2981">
          <cell r="A2981" t="str">
            <v>461931</v>
          </cell>
          <cell r="B2981" t="str">
            <v>Redução concêntrica em ferro fundido, com flanges, classe PN-10, DN= 80 x 50mm</v>
          </cell>
          <cell r="C2981" t="str">
            <v>un</v>
          </cell>
          <cell r="D2981">
            <v>124.34</v>
          </cell>
          <cell r="E2981">
            <v>13.370000000000001</v>
          </cell>
          <cell r="F2981">
            <v>137.71</v>
          </cell>
        </row>
        <row r="2982">
          <cell r="A2982" t="str">
            <v>461950</v>
          </cell>
          <cell r="B2982" t="str">
            <v>Redução excêntrica em ferro fundido, com flanges, classe PN-10, DN= 100mm x 80mm</v>
          </cell>
          <cell r="C2982" t="str">
            <v>un</v>
          </cell>
          <cell r="D2982">
            <v>346.3</v>
          </cell>
          <cell r="E2982">
            <v>13.370000000000001</v>
          </cell>
          <cell r="F2982">
            <v>359.67</v>
          </cell>
        </row>
        <row r="2983">
          <cell r="A2983" t="str">
            <v>461951</v>
          </cell>
          <cell r="B2983" t="str">
            <v>Redução excêntrica em ferro fundido, com flanges, classe PN-10, DN= 150mm x 80/100mm</v>
          </cell>
          <cell r="C2983" t="str">
            <v>un</v>
          </cell>
          <cell r="D2983">
            <v>407.04</v>
          </cell>
          <cell r="E2983">
            <v>15.290000000000001</v>
          </cell>
          <cell r="F2983">
            <v>422.33</v>
          </cell>
        </row>
        <row r="2984">
          <cell r="A2984" t="str">
            <v>461952</v>
          </cell>
          <cell r="B2984" t="str">
            <v>Redução excêntrica em ferro fundido, com flanges, classe PN-10, DN= 200mm x 100/150mm</v>
          </cell>
          <cell r="C2984" t="str">
            <v>un</v>
          </cell>
          <cell r="D2984">
            <v>612.48</v>
          </cell>
          <cell r="E2984">
            <v>17.2</v>
          </cell>
          <cell r="F2984">
            <v>629.67999999999995</v>
          </cell>
        </row>
        <row r="2985">
          <cell r="A2985" t="str">
            <v>461953</v>
          </cell>
          <cell r="B2985" t="str">
            <v>Redução excêntrica em ferro fundido, com flanges, classe PN-10, DN= 250mm x 150/200mm</v>
          </cell>
          <cell r="C2985" t="str">
            <v>un</v>
          </cell>
          <cell r="D2985">
            <v>690.47</v>
          </cell>
          <cell r="E2985">
            <v>19.100000000000001</v>
          </cell>
          <cell r="F2985">
            <v>709.57</v>
          </cell>
        </row>
        <row r="2986">
          <cell r="A2986" t="str">
            <v>461960</v>
          </cell>
          <cell r="B2986" t="str">
            <v>Redução concêntrica em ferro fundido, com flanges, classe PN-10, DN= 100mm x 80mm</v>
          </cell>
          <cell r="C2986" t="str">
            <v>un</v>
          </cell>
          <cell r="D2986">
            <v>233.44</v>
          </cell>
          <cell r="E2986">
            <v>13.370000000000001</v>
          </cell>
          <cell r="F2986">
            <v>246.81</v>
          </cell>
        </row>
        <row r="2987">
          <cell r="A2987" t="str">
            <v>461961</v>
          </cell>
          <cell r="B2987" t="str">
            <v>Redução concêntrica em ferro fundido, com flanges, classe PN-10, DN= 150mm x 80/100mm</v>
          </cell>
          <cell r="C2987" t="str">
            <v>un</v>
          </cell>
          <cell r="D2987">
            <v>339.39</v>
          </cell>
          <cell r="E2987">
            <v>15.290000000000001</v>
          </cell>
          <cell r="F2987">
            <v>354.68</v>
          </cell>
        </row>
        <row r="2988">
          <cell r="A2988" t="str">
            <v>461962</v>
          </cell>
          <cell r="B2988" t="str">
            <v>Redução concêntrica em ferro fundido, com flanges, classe PN-10, DN= 200mm x 100/150mm</v>
          </cell>
          <cell r="C2988" t="str">
            <v>un</v>
          </cell>
          <cell r="D2988">
            <v>672.92</v>
          </cell>
          <cell r="E2988">
            <v>17.2</v>
          </cell>
          <cell r="F2988">
            <v>690.12</v>
          </cell>
        </row>
        <row r="2989">
          <cell r="A2989" t="str">
            <v>461963</v>
          </cell>
          <cell r="B2989" t="str">
            <v>Redução concêntrica em ferro fundido, com flanges, classe PN-10, DN= 250mm x 150/200mm</v>
          </cell>
          <cell r="C2989" t="str">
            <v>un</v>
          </cell>
          <cell r="D2989">
            <v>748.43000000000006</v>
          </cell>
          <cell r="E2989">
            <v>19.100000000000001</v>
          </cell>
          <cell r="F2989">
            <v>767.53</v>
          </cell>
        </row>
        <row r="2990">
          <cell r="A2990" t="str">
            <v>461970</v>
          </cell>
          <cell r="B2990" t="str">
            <v>Flange avulso em ferro fundido, classe PN-10, DN= 50mm</v>
          </cell>
          <cell r="C2990" t="str">
            <v>un</v>
          </cell>
          <cell r="D2990">
            <v>49.53</v>
          </cell>
          <cell r="E2990">
            <v>10.51</v>
          </cell>
          <cell r="F2990">
            <v>60.04</v>
          </cell>
        </row>
        <row r="2991">
          <cell r="A2991" t="str">
            <v>462001</v>
          </cell>
          <cell r="B2991" t="str">
            <v>Assentamento de tubo de concreto com diâmetro até 600 mm</v>
          </cell>
          <cell r="C2991" t="str">
            <v>m</v>
          </cell>
          <cell r="D2991">
            <v>1.06</v>
          </cell>
          <cell r="E2991">
            <v>32.89</v>
          </cell>
          <cell r="F2991">
            <v>33.950000000000003</v>
          </cell>
        </row>
        <row r="2992">
          <cell r="A2992" t="str">
            <v>462002</v>
          </cell>
          <cell r="B2992" t="str">
            <v>Assentamento de tubo de concreto com diâmetro de 700 até 1500 mm</v>
          </cell>
          <cell r="C2992" t="str">
            <v>m</v>
          </cell>
          <cell r="D2992">
            <v>43.21</v>
          </cell>
          <cell r="E2992">
            <v>19.12</v>
          </cell>
          <cell r="F2992">
            <v>62.33</v>
          </cell>
        </row>
        <row r="2993">
          <cell r="A2993" t="str">
            <v>462103</v>
          </cell>
          <cell r="B2993" t="str">
            <v>Tubo de aço carbono preto sem costura Schedule 40, DN= 2´ - inclusive conexões</v>
          </cell>
          <cell r="C2993" t="str">
            <v>m</v>
          </cell>
          <cell r="D2993">
            <v>51.42</v>
          </cell>
          <cell r="E2993">
            <v>42.980000000000004</v>
          </cell>
          <cell r="F2993">
            <v>94.4</v>
          </cell>
        </row>
        <row r="2994">
          <cell r="A2994" t="str">
            <v>462104</v>
          </cell>
          <cell r="B2994" t="str">
            <v>Tubo de aço carbono preto sem costura Schedule 40, DN= 1 1/2´ - inclusive conexões</v>
          </cell>
          <cell r="C2994" t="str">
            <v>m</v>
          </cell>
          <cell r="D2994">
            <v>41.13</v>
          </cell>
          <cell r="E2994">
            <v>38.21</v>
          </cell>
          <cell r="F2994">
            <v>79.34</v>
          </cell>
        </row>
        <row r="2995">
          <cell r="A2995" t="str">
            <v>462105</v>
          </cell>
          <cell r="B2995" t="str">
            <v>Tubo de aço carbono preto sem costura Schedule 40, DN= 1´ - inclusive conexões</v>
          </cell>
          <cell r="C2995" t="str">
            <v>m</v>
          </cell>
          <cell r="D2995">
            <v>28.59</v>
          </cell>
          <cell r="E2995">
            <v>33.43</v>
          </cell>
          <cell r="F2995">
            <v>62.02</v>
          </cell>
        </row>
        <row r="2996">
          <cell r="A2996" t="str">
            <v>462106</v>
          </cell>
          <cell r="B2996" t="str">
            <v>Tubo de aço carbono preto sem costura Schedule 40, DN= 3´ - inclusive conexões</v>
          </cell>
          <cell r="C2996" t="str">
            <v>m</v>
          </cell>
          <cell r="D2996">
            <v>88.72</v>
          </cell>
          <cell r="E2996">
            <v>53.730000000000004</v>
          </cell>
          <cell r="F2996">
            <v>142.44999999999999</v>
          </cell>
        </row>
        <row r="2997">
          <cell r="A2997" t="str">
            <v>462107</v>
          </cell>
          <cell r="B2997" t="str">
            <v>Tubo de aço carbono preto sem costura Schedule 40, DN= 2 1/2´ - inclusive conexões</v>
          </cell>
          <cell r="C2997" t="str">
            <v>m</v>
          </cell>
          <cell r="D2997">
            <v>79.650000000000006</v>
          </cell>
          <cell r="E2997">
            <v>47.76</v>
          </cell>
          <cell r="F2997">
            <v>127.41</v>
          </cell>
        </row>
        <row r="2998">
          <cell r="A2998" t="str">
            <v>462108</v>
          </cell>
          <cell r="B2998" t="str">
            <v>Tubo de aço carbono preto sem costura Schedule 40, DN= 4´ - inclusive conexões</v>
          </cell>
          <cell r="C2998" t="str">
            <v>m</v>
          </cell>
          <cell r="D2998">
            <v>124.98</v>
          </cell>
          <cell r="E2998">
            <v>59.7</v>
          </cell>
          <cell r="F2998">
            <v>184.68</v>
          </cell>
        </row>
        <row r="2999">
          <cell r="A2999" t="str">
            <v>462109</v>
          </cell>
          <cell r="B2999" t="str">
            <v>Tubo de aço carbono preto sem costura Schedule 40, DN= 5´ - inclusive conexões</v>
          </cell>
          <cell r="C2999" t="str">
            <v>m</v>
          </cell>
          <cell r="D2999">
            <v>168.78</v>
          </cell>
          <cell r="E2999">
            <v>63.28</v>
          </cell>
          <cell r="F2999">
            <v>232.06</v>
          </cell>
        </row>
        <row r="3000">
          <cell r="A3000" t="str">
            <v>462110</v>
          </cell>
          <cell r="B3000" t="str">
            <v>Tubo de aço carbono preto sem costura Schedule 40, DN= 6´ - inclusive conexões</v>
          </cell>
          <cell r="C3000" t="str">
            <v>m</v>
          </cell>
          <cell r="D3000">
            <v>224.05</v>
          </cell>
          <cell r="E3000">
            <v>65.67</v>
          </cell>
          <cell r="F3000">
            <v>289.72000000000003</v>
          </cell>
        </row>
        <row r="3001">
          <cell r="A3001" t="str">
            <v>462111</v>
          </cell>
          <cell r="B3001" t="str">
            <v>Tubo de aço carbono preto sem costura Schedule 40, DN= 8´ - inclusive conexões</v>
          </cell>
          <cell r="C3001" t="str">
            <v>m</v>
          </cell>
          <cell r="D3001">
            <v>328.24</v>
          </cell>
          <cell r="E3001">
            <v>71.64</v>
          </cell>
          <cell r="F3001">
            <v>399.88</v>
          </cell>
        </row>
        <row r="3002">
          <cell r="A3002" t="str">
            <v>462112</v>
          </cell>
          <cell r="B3002" t="str">
            <v>Tubo de aço carbono preto sem costura Schedule 40, DN= 1 1/4´ - inclusive conexões</v>
          </cell>
          <cell r="C3002" t="str">
            <v>m</v>
          </cell>
          <cell r="D3002">
            <v>34.340000000000003</v>
          </cell>
          <cell r="E3002">
            <v>38.21</v>
          </cell>
          <cell r="F3002">
            <v>72.55</v>
          </cell>
        </row>
        <row r="3003">
          <cell r="A3003" t="str">
            <v>462113</v>
          </cell>
          <cell r="B3003" t="str">
            <v>Tubo de aço carbono preto sem costura Schedule 40, DN= 3 1/2´ - inclusive conexões</v>
          </cell>
          <cell r="C3003" t="str">
            <v>m</v>
          </cell>
          <cell r="D3003">
            <v>109.29</v>
          </cell>
          <cell r="E3003">
            <v>57.31</v>
          </cell>
          <cell r="F3003">
            <v>166.6</v>
          </cell>
        </row>
        <row r="3004">
          <cell r="A3004" t="str">
            <v>462158</v>
          </cell>
          <cell r="B3004" t="str">
            <v>Tubo de aço carbono preto com costura Schedule 40, DN= 10´ - inclusive conexões</v>
          </cell>
          <cell r="C3004" t="str">
            <v>m</v>
          </cell>
          <cell r="D3004">
            <v>370.94</v>
          </cell>
          <cell r="E3004">
            <v>78.8</v>
          </cell>
          <cell r="F3004">
            <v>449.74</v>
          </cell>
        </row>
        <row r="3005">
          <cell r="A3005" t="str">
            <v>462159</v>
          </cell>
          <cell r="B3005" t="str">
            <v>Tubo de aço carbono preto com costura Schedule 40, DN= 12´ - inclusive conexões</v>
          </cell>
          <cell r="C3005" t="str">
            <v>m</v>
          </cell>
          <cell r="D3005">
            <v>511.84000000000003</v>
          </cell>
          <cell r="E3005">
            <v>83.58</v>
          </cell>
          <cell r="F3005">
            <v>595.41999999999996</v>
          </cell>
        </row>
        <row r="3006">
          <cell r="A3006" t="str">
            <v>462301</v>
          </cell>
          <cell r="B3006" t="str">
            <v>Tubo de concreto classe EA-2, DN= 400 mm</v>
          </cell>
          <cell r="C3006" t="str">
            <v>m</v>
          </cell>
          <cell r="D3006">
            <v>122.33</v>
          </cell>
          <cell r="E3006">
            <v>7.7700000000000005</v>
          </cell>
          <cell r="F3006">
            <v>130.1</v>
          </cell>
        </row>
        <row r="3007">
          <cell r="A3007" t="str">
            <v>462302</v>
          </cell>
          <cell r="B3007" t="str">
            <v>Tubo de concreto classe EA-2, DN= 500 mm</v>
          </cell>
          <cell r="C3007" t="str">
            <v>m</v>
          </cell>
          <cell r="D3007">
            <v>152.96</v>
          </cell>
          <cell r="E3007">
            <v>11.65</v>
          </cell>
          <cell r="F3007">
            <v>164.61</v>
          </cell>
        </row>
        <row r="3008">
          <cell r="A3008" t="str">
            <v>462303</v>
          </cell>
          <cell r="B3008" t="str">
            <v>Tubo de concreto classe EA-2, DN= 600 mm</v>
          </cell>
          <cell r="C3008" t="str">
            <v>m</v>
          </cell>
          <cell r="D3008">
            <v>191.71</v>
          </cell>
          <cell r="E3008">
            <v>13.59</v>
          </cell>
          <cell r="F3008">
            <v>205.3</v>
          </cell>
        </row>
        <row r="3009">
          <cell r="A3009" t="str">
            <v>462304</v>
          </cell>
          <cell r="B3009" t="str">
            <v>Tubo de concreto classe EA-2, DN= 700 mm</v>
          </cell>
          <cell r="C3009" t="str">
            <v>m</v>
          </cell>
          <cell r="D3009">
            <v>155.57</v>
          </cell>
          <cell r="E3009">
            <v>15.540000000000001</v>
          </cell>
          <cell r="F3009">
            <v>171.11</v>
          </cell>
        </row>
        <row r="3010">
          <cell r="A3010" t="str">
            <v>462305</v>
          </cell>
          <cell r="B3010" t="str">
            <v>Tubo de concreto classe EA-2, DN= 800 mm</v>
          </cell>
          <cell r="C3010" t="str">
            <v>m</v>
          </cell>
          <cell r="D3010">
            <v>308.56</v>
          </cell>
          <cell r="E3010">
            <v>19.420000000000002</v>
          </cell>
          <cell r="F3010">
            <v>327.98</v>
          </cell>
        </row>
        <row r="3011">
          <cell r="A3011" t="str">
            <v>462306</v>
          </cell>
          <cell r="B3011" t="str">
            <v>Tubo de concreto classe EA-2, DN= 900 mm</v>
          </cell>
          <cell r="C3011" t="str">
            <v>m</v>
          </cell>
          <cell r="D3011">
            <v>344.81</v>
          </cell>
          <cell r="E3011">
            <v>23.3</v>
          </cell>
          <cell r="F3011">
            <v>368.11</v>
          </cell>
        </row>
        <row r="3012">
          <cell r="A3012" t="str">
            <v>462307</v>
          </cell>
          <cell r="B3012" t="str">
            <v>Tubo de concreto classe EA-2, DN= 1000 mm</v>
          </cell>
          <cell r="C3012" t="str">
            <v>m</v>
          </cell>
          <cell r="D3012">
            <v>436.61</v>
          </cell>
          <cell r="E3012">
            <v>29.13</v>
          </cell>
          <cell r="F3012">
            <v>465.74</v>
          </cell>
        </row>
        <row r="3013">
          <cell r="A3013" t="str">
            <v>462308</v>
          </cell>
          <cell r="B3013" t="str">
            <v>Tubo de concreto classe EA-2, DN= 1200 mm</v>
          </cell>
          <cell r="C3013" t="str">
            <v>m</v>
          </cell>
          <cell r="D3013">
            <v>615.16999999999996</v>
          </cell>
          <cell r="E3013">
            <v>58.26</v>
          </cell>
          <cell r="F3013">
            <v>673.43000000000006</v>
          </cell>
        </row>
        <row r="3014">
          <cell r="A3014" t="str">
            <v>462311</v>
          </cell>
          <cell r="B3014" t="str">
            <v>Tubo de concreto classe EA-3, DN= 400 mm</v>
          </cell>
          <cell r="C3014" t="str">
            <v>m</v>
          </cell>
          <cell r="D3014">
            <v>130.59</v>
          </cell>
          <cell r="E3014">
            <v>7.7700000000000005</v>
          </cell>
          <cell r="F3014">
            <v>138.36000000000001</v>
          </cell>
        </row>
        <row r="3015">
          <cell r="A3015" t="str">
            <v>462312</v>
          </cell>
          <cell r="B3015" t="str">
            <v>Tubo de concreto classe EA-3, DN= 500 mm</v>
          </cell>
          <cell r="C3015" t="str">
            <v>m</v>
          </cell>
          <cell r="D3015">
            <v>168.43</v>
          </cell>
          <cell r="E3015">
            <v>11.65</v>
          </cell>
          <cell r="F3015">
            <v>180.08</v>
          </cell>
        </row>
        <row r="3016">
          <cell r="A3016" t="str">
            <v>462313</v>
          </cell>
          <cell r="B3016" t="str">
            <v>Tubo de concreto classe EA-3, DN= 600 mm</v>
          </cell>
          <cell r="C3016" t="str">
            <v>m</v>
          </cell>
          <cell r="D3016">
            <v>211.21</v>
          </cell>
          <cell r="E3016">
            <v>13.59</v>
          </cell>
          <cell r="F3016">
            <v>224.8</v>
          </cell>
        </row>
        <row r="3017">
          <cell r="A3017" t="str">
            <v>462314</v>
          </cell>
          <cell r="B3017" t="str">
            <v>Tubo de concreto classe EA-3, DN= 700 mm</v>
          </cell>
          <cell r="C3017" t="str">
            <v>m</v>
          </cell>
          <cell r="D3017">
            <v>184.44</v>
          </cell>
          <cell r="E3017">
            <v>15.540000000000001</v>
          </cell>
          <cell r="F3017">
            <v>199.98000000000002</v>
          </cell>
        </row>
        <row r="3018">
          <cell r="A3018" t="str">
            <v>462315</v>
          </cell>
          <cell r="B3018" t="str">
            <v>Tubo de concreto classe EA-3, DN= 800 mm</v>
          </cell>
          <cell r="C3018" t="str">
            <v>m</v>
          </cell>
          <cell r="D3018">
            <v>353.77</v>
          </cell>
          <cell r="E3018">
            <v>19.420000000000002</v>
          </cell>
          <cell r="F3018">
            <v>373.19</v>
          </cell>
        </row>
        <row r="3019">
          <cell r="A3019" t="str">
            <v>462316</v>
          </cell>
          <cell r="B3019" t="str">
            <v>Tubo de concreto classe EA-3, DN= 900 mm</v>
          </cell>
          <cell r="C3019" t="str">
            <v>m</v>
          </cell>
          <cell r="D3019">
            <v>410.18</v>
          </cell>
          <cell r="E3019">
            <v>23.3</v>
          </cell>
          <cell r="F3019">
            <v>433.48</v>
          </cell>
        </row>
        <row r="3020">
          <cell r="A3020" t="str">
            <v>462317</v>
          </cell>
          <cell r="B3020" t="str">
            <v>Tubo de concreto classe EA-3, DN= 1000 mm</v>
          </cell>
          <cell r="C3020" t="str">
            <v>m</v>
          </cell>
          <cell r="D3020">
            <v>471.99</v>
          </cell>
          <cell r="E3020">
            <v>29.13</v>
          </cell>
          <cell r="F3020">
            <v>501.12</v>
          </cell>
        </row>
        <row r="3021">
          <cell r="A3021" t="str">
            <v>462318</v>
          </cell>
          <cell r="B3021" t="str">
            <v>Tubo de concreto classe EA-3, DN= 1200 mm</v>
          </cell>
          <cell r="C3021" t="str">
            <v>m</v>
          </cell>
          <cell r="D3021">
            <v>697.56000000000006</v>
          </cell>
          <cell r="E3021">
            <v>58.26</v>
          </cell>
          <cell r="F3021">
            <v>755.82</v>
          </cell>
        </row>
        <row r="3022">
          <cell r="A3022" t="str">
            <v>462601</v>
          </cell>
          <cell r="B3022" t="str">
            <v>Tubo em ferro fundido com ponta e ponta, predial SMU, DN= 50 mm</v>
          </cell>
          <cell r="C3022" t="str">
            <v>m</v>
          </cell>
          <cell r="D3022">
            <v>81.84</v>
          </cell>
          <cell r="E3022">
            <v>11.94</v>
          </cell>
          <cell r="F3022">
            <v>93.78</v>
          </cell>
        </row>
        <row r="3023">
          <cell r="A3023" t="str">
            <v>462602</v>
          </cell>
          <cell r="B3023" t="str">
            <v>Tubo em ferro fundido com ponta e ponta, predial SMU, DN= 75 mm</v>
          </cell>
          <cell r="C3023" t="str">
            <v>m</v>
          </cell>
          <cell r="D3023">
            <v>113.67</v>
          </cell>
          <cell r="E3023">
            <v>11.94</v>
          </cell>
          <cell r="F3023">
            <v>125.61</v>
          </cell>
        </row>
        <row r="3024">
          <cell r="A3024" t="str">
            <v>462603</v>
          </cell>
          <cell r="B3024" t="str">
            <v>Tubo em ferro fundido com ponta e ponta, predial SMU, DN= 100 mm</v>
          </cell>
          <cell r="C3024" t="str">
            <v>m</v>
          </cell>
          <cell r="D3024">
            <v>134.82</v>
          </cell>
          <cell r="E3024">
            <v>16.64</v>
          </cell>
          <cell r="F3024">
            <v>151.46</v>
          </cell>
        </row>
        <row r="3025">
          <cell r="A3025" t="str">
            <v>462604</v>
          </cell>
          <cell r="B3025" t="str">
            <v>Tubo em ferro fundido com ponta e ponta, predial SMU, DN= 150 mm</v>
          </cell>
          <cell r="C3025" t="str">
            <v>m</v>
          </cell>
          <cell r="D3025">
            <v>195.68</v>
          </cell>
          <cell r="E3025">
            <v>16.64</v>
          </cell>
          <cell r="F3025">
            <v>212.32</v>
          </cell>
        </row>
        <row r="3026">
          <cell r="A3026" t="str">
            <v>462605</v>
          </cell>
          <cell r="B3026" t="str">
            <v>Tubo em ferro fundido com ponta e ponta, predial SMU, DN= 200 mm</v>
          </cell>
          <cell r="C3026" t="str">
            <v>m</v>
          </cell>
          <cell r="D3026">
            <v>323.17</v>
          </cell>
          <cell r="E3026">
            <v>16.64</v>
          </cell>
          <cell r="F3026">
            <v>339.81</v>
          </cell>
        </row>
        <row r="3027">
          <cell r="A3027" t="str">
            <v>462606</v>
          </cell>
          <cell r="B3027" t="str">
            <v>Junta de união em aço inoxidável com parafuso de aço zincado, para tubo em ferro fundido predial SMU, DN= 50 mm</v>
          </cell>
          <cell r="C3027" t="str">
            <v>un</v>
          </cell>
          <cell r="D3027">
            <v>26.310000000000002</v>
          </cell>
          <cell r="E3027">
            <v>9.5500000000000007</v>
          </cell>
          <cell r="F3027">
            <v>35.86</v>
          </cell>
        </row>
        <row r="3028">
          <cell r="A3028" t="str">
            <v>462607</v>
          </cell>
          <cell r="B3028" t="str">
            <v>Junta de união em aço inoxidável com parafuso de aço zincado, para tubo em ferro fundido predial SMU, DN= 75 mm</v>
          </cell>
          <cell r="C3028" t="str">
            <v>un</v>
          </cell>
          <cell r="D3028">
            <v>30.86</v>
          </cell>
          <cell r="E3028">
            <v>9.5500000000000007</v>
          </cell>
          <cell r="F3028">
            <v>40.409999999999997</v>
          </cell>
        </row>
        <row r="3029">
          <cell r="A3029" t="str">
            <v>462608</v>
          </cell>
          <cell r="B3029" t="str">
            <v>Junta de união em aço inoxidável com parafuso de aço zincado, para tubo em ferro fundido predial SMU, DN= 100 mm</v>
          </cell>
          <cell r="C3029" t="str">
            <v>un</v>
          </cell>
          <cell r="D3029">
            <v>31.82</v>
          </cell>
          <cell r="E3029">
            <v>11.94</v>
          </cell>
          <cell r="F3029">
            <v>43.76</v>
          </cell>
        </row>
        <row r="3030">
          <cell r="A3030" t="str">
            <v>462609</v>
          </cell>
          <cell r="B3030" t="str">
            <v>Junta de união em aço inoxidável com parafuso de aço zincado, para tubo em ferro fundido predial SMU, DN= 150 mm</v>
          </cell>
          <cell r="C3030" t="str">
            <v>un</v>
          </cell>
          <cell r="D3030">
            <v>60.29</v>
          </cell>
          <cell r="E3030">
            <v>11.94</v>
          </cell>
          <cell r="F3030">
            <v>72.23</v>
          </cell>
        </row>
        <row r="3031">
          <cell r="A3031" t="str">
            <v>462610</v>
          </cell>
          <cell r="B3031" t="str">
            <v>Junta de união em aço inoxidável com parafuso de aço zincado, para tubo em ferro fundido predial SMU, DN= 200 mm</v>
          </cell>
          <cell r="C3031" t="str">
            <v>un</v>
          </cell>
          <cell r="D3031">
            <v>95.94</v>
          </cell>
          <cell r="E3031">
            <v>11.94</v>
          </cell>
          <cell r="F3031">
            <v>107.88</v>
          </cell>
        </row>
        <row r="3032">
          <cell r="A3032" t="str">
            <v>462611</v>
          </cell>
          <cell r="B3032" t="str">
            <v>Conjunto de ancoragem para tubo em ferro fundido predial SMU, DN= 50 mm</v>
          </cell>
          <cell r="C3032" t="str">
            <v>cj</v>
          </cell>
          <cell r="D3032">
            <v>696.19</v>
          </cell>
          <cell r="E3032">
            <v>9.5500000000000007</v>
          </cell>
          <cell r="F3032">
            <v>705.74</v>
          </cell>
        </row>
        <row r="3033">
          <cell r="A3033" t="str">
            <v>462612</v>
          </cell>
          <cell r="B3033" t="str">
            <v>Conjunto de ancoragem para tubo em ferro fundido predial SMU, DN= 75 mm</v>
          </cell>
          <cell r="C3033" t="str">
            <v>cj</v>
          </cell>
          <cell r="D3033">
            <v>703.69</v>
          </cell>
          <cell r="E3033">
            <v>9.5500000000000007</v>
          </cell>
          <cell r="F3033">
            <v>713.24</v>
          </cell>
        </row>
        <row r="3034">
          <cell r="A3034" t="str">
            <v>462613</v>
          </cell>
          <cell r="B3034" t="str">
            <v>Conjunto de ancoragem para tubo em ferro fundido predial SMU, DN= 100 mm</v>
          </cell>
          <cell r="C3034" t="str">
            <v>cj</v>
          </cell>
          <cell r="D3034">
            <v>707.13</v>
          </cell>
          <cell r="E3034">
            <v>11.94</v>
          </cell>
          <cell r="F3034">
            <v>719.07</v>
          </cell>
        </row>
        <row r="3035">
          <cell r="A3035" t="str">
            <v>462614</v>
          </cell>
          <cell r="B3035" t="str">
            <v>Conjunto de ancoragem para tubo em ferro fundido predial SMU, DN= 150 mm</v>
          </cell>
          <cell r="C3035" t="str">
            <v>cj</v>
          </cell>
          <cell r="D3035">
            <v>1110.8699999999999</v>
          </cell>
          <cell r="E3035">
            <v>11.94</v>
          </cell>
          <cell r="F3035">
            <v>1122.81</v>
          </cell>
        </row>
        <row r="3036">
          <cell r="A3036" t="str">
            <v>462615</v>
          </cell>
          <cell r="B3036" t="str">
            <v>Conjunto de ancoragem para tubo em ferro fundido predial SMU, DN= 200 mm</v>
          </cell>
          <cell r="C3036" t="str">
            <v>cj</v>
          </cell>
          <cell r="D3036">
            <v>1587.01</v>
          </cell>
          <cell r="E3036">
            <v>11.94</v>
          </cell>
          <cell r="F3036">
            <v>1598.95</v>
          </cell>
        </row>
        <row r="3037">
          <cell r="A3037" t="str">
            <v>462640</v>
          </cell>
          <cell r="B3037" t="str">
            <v>Joelho 45° em ferro fundido, predial SMU, DN= 50 mm</v>
          </cell>
          <cell r="C3037" t="str">
            <v>un</v>
          </cell>
          <cell r="D3037">
            <v>77.87</v>
          </cell>
          <cell r="E3037">
            <v>9.5500000000000007</v>
          </cell>
          <cell r="F3037">
            <v>87.42</v>
          </cell>
        </row>
        <row r="3038">
          <cell r="A3038" t="str">
            <v>462641</v>
          </cell>
          <cell r="B3038" t="str">
            <v>Joelho 45° em ferro fundido, predial SMU, DN= 75 mm</v>
          </cell>
          <cell r="C3038" t="str">
            <v>un</v>
          </cell>
          <cell r="D3038">
            <v>98.23</v>
          </cell>
          <cell r="E3038">
            <v>9.5500000000000007</v>
          </cell>
          <cell r="F3038">
            <v>107.78</v>
          </cell>
        </row>
        <row r="3039">
          <cell r="A3039" t="str">
            <v>462642</v>
          </cell>
          <cell r="B3039" t="str">
            <v>Joelho 45° em ferro fundido, predial SMU, DN= 100 mm</v>
          </cell>
          <cell r="C3039" t="str">
            <v>un</v>
          </cell>
          <cell r="D3039">
            <v>108.12</v>
          </cell>
          <cell r="E3039">
            <v>11.94</v>
          </cell>
          <cell r="F3039">
            <v>120.06</v>
          </cell>
        </row>
        <row r="3040">
          <cell r="A3040" t="str">
            <v>462643</v>
          </cell>
          <cell r="B3040" t="str">
            <v>Joelho 45° em ferro fundido, predial SMU, DN= 150 mm</v>
          </cell>
          <cell r="C3040" t="str">
            <v>un</v>
          </cell>
          <cell r="D3040">
            <v>193.20000000000002</v>
          </cell>
          <cell r="E3040">
            <v>11.94</v>
          </cell>
          <cell r="F3040">
            <v>205.14000000000001</v>
          </cell>
        </row>
        <row r="3041">
          <cell r="A3041" t="str">
            <v>462644</v>
          </cell>
          <cell r="B3041" t="str">
            <v>Joelho 45° em ferro fundido, predial SMU, DN= 200 mm</v>
          </cell>
          <cell r="C3041" t="str">
            <v>un</v>
          </cell>
          <cell r="D3041">
            <v>422.97</v>
          </cell>
          <cell r="E3041">
            <v>11.94</v>
          </cell>
          <cell r="F3041">
            <v>434.91</v>
          </cell>
        </row>
        <row r="3042">
          <cell r="A3042" t="str">
            <v>462646</v>
          </cell>
          <cell r="B3042" t="str">
            <v>Joelho 88° em ferro fundido, predial SMU, DN= 50 mm</v>
          </cell>
          <cell r="C3042" t="str">
            <v>un</v>
          </cell>
          <cell r="D3042">
            <v>93.850000000000009</v>
          </cell>
          <cell r="E3042">
            <v>9.5500000000000007</v>
          </cell>
          <cell r="F3042">
            <v>103.4</v>
          </cell>
        </row>
        <row r="3043">
          <cell r="A3043" t="str">
            <v>462647</v>
          </cell>
          <cell r="B3043" t="str">
            <v>Joelho 88° em ferro fundido, predial SMU, DN= 75 mm</v>
          </cell>
          <cell r="C3043" t="str">
            <v>un</v>
          </cell>
          <cell r="D3043">
            <v>98.23</v>
          </cell>
          <cell r="E3043">
            <v>9.5500000000000007</v>
          </cell>
          <cell r="F3043">
            <v>107.78</v>
          </cell>
        </row>
        <row r="3044">
          <cell r="A3044" t="str">
            <v>462648</v>
          </cell>
          <cell r="B3044" t="str">
            <v>Joelho 88° em ferro fundido, predial SMU, DN= 100 mm</v>
          </cell>
          <cell r="C3044" t="str">
            <v>un</v>
          </cell>
          <cell r="D3044">
            <v>108.12</v>
          </cell>
          <cell r="E3044">
            <v>11.94</v>
          </cell>
          <cell r="F3044">
            <v>120.06</v>
          </cell>
        </row>
        <row r="3045">
          <cell r="A3045" t="str">
            <v>462649</v>
          </cell>
          <cell r="B3045" t="str">
            <v>Joelho 88° em ferro fundido, predial SMU, DN= 150 mm</v>
          </cell>
          <cell r="C3045" t="str">
            <v>un</v>
          </cell>
          <cell r="D3045">
            <v>273.43</v>
          </cell>
          <cell r="E3045">
            <v>11.94</v>
          </cell>
          <cell r="F3045">
            <v>285.37</v>
          </cell>
        </row>
        <row r="3046">
          <cell r="A3046" t="str">
            <v>462650</v>
          </cell>
          <cell r="B3046" t="str">
            <v>Joelho 88° em ferro fundido, predial SMU - DN= 200 mm</v>
          </cell>
          <cell r="C3046" t="str">
            <v>un</v>
          </cell>
          <cell r="D3046">
            <v>423.47</v>
          </cell>
          <cell r="E3046">
            <v>11.94</v>
          </cell>
          <cell r="F3046">
            <v>435.41</v>
          </cell>
        </row>
        <row r="3047">
          <cell r="A3047" t="str">
            <v>462651</v>
          </cell>
          <cell r="B3047" t="str">
            <v>Junção 45° em ferro fundido, predial SMU, DN= 50 x 50 mm</v>
          </cell>
          <cell r="C3047" t="str">
            <v>un</v>
          </cell>
          <cell r="D3047">
            <v>138.26</v>
          </cell>
          <cell r="E3047">
            <v>9.5500000000000007</v>
          </cell>
          <cell r="F3047">
            <v>147.81</v>
          </cell>
        </row>
        <row r="3048">
          <cell r="A3048" t="str">
            <v>462652</v>
          </cell>
          <cell r="B3048" t="str">
            <v>Junção 45° em ferro fundido, predial SMU, DN= 75 x 75 mm</v>
          </cell>
          <cell r="C3048" t="str">
            <v>un</v>
          </cell>
          <cell r="D3048">
            <v>165.92000000000002</v>
          </cell>
          <cell r="E3048">
            <v>9.5500000000000007</v>
          </cell>
          <cell r="F3048">
            <v>175.47</v>
          </cell>
        </row>
        <row r="3049">
          <cell r="A3049" t="str">
            <v>462653</v>
          </cell>
          <cell r="B3049" t="str">
            <v>Junção 45° em ferro fundido, predial SMU, DN= 75 x 50 mm</v>
          </cell>
          <cell r="C3049" t="str">
            <v>un</v>
          </cell>
          <cell r="D3049">
            <v>155.75</v>
          </cell>
          <cell r="E3049">
            <v>9.5500000000000007</v>
          </cell>
          <cell r="F3049">
            <v>165.3</v>
          </cell>
        </row>
        <row r="3050">
          <cell r="A3050" t="str">
            <v>462654</v>
          </cell>
          <cell r="B3050" t="str">
            <v>Junção 45° em ferro fundido, predial SMU, DN= 100 x 75 mm</v>
          </cell>
          <cell r="C3050" t="str">
            <v>un</v>
          </cell>
          <cell r="D3050">
            <v>200.02</v>
          </cell>
          <cell r="E3050">
            <v>11.94</v>
          </cell>
          <cell r="F3050">
            <v>211.96</v>
          </cell>
        </row>
        <row r="3051">
          <cell r="A3051" t="str">
            <v>462655</v>
          </cell>
          <cell r="B3051" t="str">
            <v>Junção 45° em ferro fundido, predial SMU, DN= 100 x 100 mm</v>
          </cell>
          <cell r="C3051" t="str">
            <v>un</v>
          </cell>
          <cell r="D3051">
            <v>199.52</v>
          </cell>
          <cell r="E3051">
            <v>11.94</v>
          </cell>
          <cell r="F3051">
            <v>211.46</v>
          </cell>
        </row>
        <row r="3052">
          <cell r="A3052" t="str">
            <v>462656</v>
          </cell>
          <cell r="B3052" t="str">
            <v>Junção 45° em ferro fundido, predial SMU, DN= 150 x 150 mm</v>
          </cell>
          <cell r="C3052" t="str">
            <v>un</v>
          </cell>
          <cell r="D3052">
            <v>466.32</v>
          </cell>
          <cell r="E3052">
            <v>11.94</v>
          </cell>
          <cell r="F3052">
            <v>478.26</v>
          </cell>
        </row>
        <row r="3053">
          <cell r="A3053" t="str">
            <v>462660</v>
          </cell>
          <cell r="B3053" t="str">
            <v>Redução excêntrica em ferro fundido, predial SMU, DN= 75 x 50 mm</v>
          </cell>
          <cell r="C3053" t="str">
            <v>un</v>
          </cell>
          <cell r="D3053">
            <v>101.04</v>
          </cell>
          <cell r="E3053">
            <v>9.5500000000000007</v>
          </cell>
          <cell r="F3053">
            <v>110.59</v>
          </cell>
        </row>
        <row r="3054">
          <cell r="A3054" t="str">
            <v>462661</v>
          </cell>
          <cell r="B3054" t="str">
            <v>Redução excêntrica em ferro fundido, predial SMU, DN= 100 x 75 mm</v>
          </cell>
          <cell r="C3054" t="str">
            <v>un</v>
          </cell>
          <cell r="D3054">
            <v>125.19</v>
          </cell>
          <cell r="E3054">
            <v>11.94</v>
          </cell>
          <cell r="F3054">
            <v>137.13</v>
          </cell>
        </row>
        <row r="3055">
          <cell r="A3055" t="str">
            <v>462662</v>
          </cell>
          <cell r="B3055" t="str">
            <v>Redução excêntrica em ferro fundido, predial SMU, DN= 150 x 100 mm</v>
          </cell>
          <cell r="C3055" t="str">
            <v>un</v>
          </cell>
          <cell r="D3055">
            <v>191.45000000000002</v>
          </cell>
          <cell r="E3055">
            <v>11.94</v>
          </cell>
          <cell r="F3055">
            <v>203.39000000000001</v>
          </cell>
        </row>
        <row r="3056">
          <cell r="A3056" t="str">
            <v>462663</v>
          </cell>
          <cell r="B3056" t="str">
            <v>Redução excêntrica em ferro fundido, predial SMU, DN= 150 x 75 mm</v>
          </cell>
          <cell r="C3056" t="str">
            <v>un</v>
          </cell>
          <cell r="D3056">
            <v>192.02</v>
          </cell>
          <cell r="E3056">
            <v>11.94</v>
          </cell>
          <cell r="F3056">
            <v>203.96</v>
          </cell>
        </row>
        <row r="3057">
          <cell r="A3057" t="str">
            <v>462664</v>
          </cell>
          <cell r="B3057" t="str">
            <v>Redução excêntrica em ferro fundido, predial SMU, DN= 200 x 150 mm</v>
          </cell>
          <cell r="C3057" t="str">
            <v>un</v>
          </cell>
          <cell r="D3057">
            <v>371.48</v>
          </cell>
          <cell r="E3057">
            <v>11.94</v>
          </cell>
          <cell r="F3057">
            <v>383.42</v>
          </cell>
        </row>
        <row r="3058">
          <cell r="A3058" t="str">
            <v>462670</v>
          </cell>
          <cell r="B3058" t="str">
            <v>Te de visita em ferro fundido, predial SMU, DN= 75 mm</v>
          </cell>
          <cell r="C3058" t="str">
            <v>un</v>
          </cell>
          <cell r="D3058">
            <v>331.36</v>
          </cell>
          <cell r="E3058">
            <v>9.5500000000000007</v>
          </cell>
          <cell r="F3058">
            <v>340.91</v>
          </cell>
        </row>
        <row r="3059">
          <cell r="A3059" t="str">
            <v>462671</v>
          </cell>
          <cell r="B3059" t="str">
            <v>Te de visita em ferro fundido, predial SMU, DN= 100 x 100 mm</v>
          </cell>
          <cell r="C3059" t="str">
            <v>un</v>
          </cell>
          <cell r="D3059">
            <v>405.94</v>
          </cell>
          <cell r="E3059">
            <v>11.94</v>
          </cell>
          <cell r="F3059">
            <v>417.88</v>
          </cell>
        </row>
        <row r="3060">
          <cell r="A3060" t="str">
            <v>462680</v>
          </cell>
          <cell r="B3060" t="str">
            <v>Abraçadeira dentada para travamento em aço inoxidável, com parafuso de aço zincado, para tubo em ferro fundido predial SMU, DN= 50 mm</v>
          </cell>
          <cell r="C3060" t="str">
            <v>un</v>
          </cell>
          <cell r="D3060">
            <v>234.79</v>
          </cell>
          <cell r="E3060">
            <v>9.5500000000000007</v>
          </cell>
          <cell r="F3060">
            <v>244.34</v>
          </cell>
        </row>
        <row r="3061">
          <cell r="A3061" t="str">
            <v>462681</v>
          </cell>
          <cell r="B3061" t="str">
            <v>Abraçadeira dentada para travamento em aço inoxidável, com parafuso de aço zincado, para tubo em ferro fundido predial SMU, DN= 75 mm</v>
          </cell>
          <cell r="C3061" t="str">
            <v>un</v>
          </cell>
          <cell r="D3061">
            <v>254.17000000000002</v>
          </cell>
          <cell r="E3061">
            <v>9.5500000000000007</v>
          </cell>
          <cell r="F3061">
            <v>263.72000000000003</v>
          </cell>
        </row>
        <row r="3062">
          <cell r="A3062" t="str">
            <v>462682</v>
          </cell>
          <cell r="B3062" t="str">
            <v>Abraçadeira dentada para travamento em aço inoxidável, com parafuso de aço zincado, para tubo em ferro fundido predial SMU, DN= 100 mm</v>
          </cell>
          <cell r="C3062" t="str">
            <v>un</v>
          </cell>
          <cell r="D3062">
            <v>298.41000000000003</v>
          </cell>
          <cell r="E3062">
            <v>11.94</v>
          </cell>
          <cell r="F3062">
            <v>310.35000000000002</v>
          </cell>
        </row>
        <row r="3063">
          <cell r="A3063" t="str">
            <v>462683</v>
          </cell>
          <cell r="B3063" t="str">
            <v>Abraçadeira dentada para travamento em aço inoxidável, com parafuso de aço zincado, para tubo em ferro fundido predial SMU, DN= 150 mm</v>
          </cell>
          <cell r="C3063" t="str">
            <v>un</v>
          </cell>
          <cell r="D3063">
            <v>404.63</v>
          </cell>
          <cell r="E3063">
            <v>11.94</v>
          </cell>
          <cell r="F3063">
            <v>416.57</v>
          </cell>
        </row>
        <row r="3064">
          <cell r="A3064" t="str">
            <v>462684</v>
          </cell>
          <cell r="B3064" t="str">
            <v>Tampão simples em ferro fundido, predial SMU, DN= 150 mm</v>
          </cell>
          <cell r="C3064" t="str">
            <v>un</v>
          </cell>
          <cell r="D3064">
            <v>168.24</v>
          </cell>
          <cell r="E3064">
            <v>11.94</v>
          </cell>
          <cell r="F3064">
            <v>180.18</v>
          </cell>
        </row>
        <row r="3065">
          <cell r="A3065" t="str">
            <v>462705</v>
          </cell>
          <cell r="B3065" t="str">
            <v>Tubo de cobre flexível, DN= 4,76 mm (3/16´), inclusive conexões</v>
          </cell>
          <cell r="C3065" t="str">
            <v>m</v>
          </cell>
          <cell r="D3065">
            <v>3.98</v>
          </cell>
          <cell r="E3065">
            <v>3.94</v>
          </cell>
          <cell r="F3065">
            <v>7.92</v>
          </cell>
        </row>
        <row r="3066">
          <cell r="A3066" t="str">
            <v>462706</v>
          </cell>
          <cell r="B3066" t="str">
            <v>Tubo de cobre flexível, DN= 6,35 mm (1/4´), inclusive conexões</v>
          </cell>
          <cell r="C3066" t="str">
            <v>m</v>
          </cell>
          <cell r="D3066">
            <v>5.75</v>
          </cell>
          <cell r="E3066">
            <v>3.94</v>
          </cell>
          <cell r="F3066">
            <v>9.69</v>
          </cell>
        </row>
        <row r="3067">
          <cell r="A3067" t="str">
            <v>462707</v>
          </cell>
          <cell r="B3067" t="str">
            <v>Tubo de cobre flexível, DN= 7,94 mm (5/16´), inclusive conexões</v>
          </cell>
          <cell r="C3067" t="str">
            <v>m</v>
          </cell>
          <cell r="D3067">
            <v>7.3500000000000005</v>
          </cell>
          <cell r="E3067">
            <v>3.94</v>
          </cell>
          <cell r="F3067">
            <v>11.290000000000001</v>
          </cell>
        </row>
        <row r="3068">
          <cell r="A3068" t="str">
            <v>462708</v>
          </cell>
          <cell r="B3068" t="str">
            <v>Tubo de cobre flexível, DN= 9,52 mm (3/8´), inclusive conexões</v>
          </cell>
          <cell r="C3068" t="str">
            <v>m</v>
          </cell>
          <cell r="D3068">
            <v>8.7200000000000006</v>
          </cell>
          <cell r="E3068">
            <v>5.97</v>
          </cell>
          <cell r="F3068">
            <v>14.69</v>
          </cell>
        </row>
        <row r="3069">
          <cell r="A3069" t="str">
            <v>462709</v>
          </cell>
          <cell r="B3069" t="str">
            <v>Tubo de cobre flexível, DN= 12,70 mm (1/2´), inclusive conexões</v>
          </cell>
          <cell r="C3069" t="str">
            <v>m</v>
          </cell>
          <cell r="D3069">
            <v>12.13</v>
          </cell>
          <cell r="E3069">
            <v>5.97</v>
          </cell>
          <cell r="F3069">
            <v>18.100000000000001</v>
          </cell>
        </row>
        <row r="3070">
          <cell r="A3070" t="str">
            <v>462710</v>
          </cell>
          <cell r="B3070" t="str">
            <v>Tubo de cobre flexível, DN= 15,87 mm (5/8´), inclusive conexões</v>
          </cell>
          <cell r="C3070" t="str">
            <v>m</v>
          </cell>
          <cell r="D3070">
            <v>15.120000000000001</v>
          </cell>
          <cell r="E3070">
            <v>5.97</v>
          </cell>
          <cell r="F3070">
            <v>21.09</v>
          </cell>
        </row>
        <row r="3071">
          <cell r="A3071" t="str">
            <v>462711</v>
          </cell>
          <cell r="B3071" t="str">
            <v>Tubo de cobre flexível, DN= 19,05 mm (3/4´), inclusive conexões</v>
          </cell>
          <cell r="C3071" t="str">
            <v>m</v>
          </cell>
          <cell r="D3071">
            <v>18.100000000000001</v>
          </cell>
          <cell r="E3071">
            <v>5.97</v>
          </cell>
          <cell r="F3071">
            <v>24.07</v>
          </cell>
        </row>
        <row r="3072">
          <cell r="A3072" t="str">
            <v>470101</v>
          </cell>
          <cell r="B3072" t="str">
            <v>Registro de gaveta em latão fundido sem acabamento, DN= 1/2´</v>
          </cell>
          <cell r="C3072" t="str">
            <v>un</v>
          </cell>
          <cell r="D3072">
            <v>19.88</v>
          </cell>
          <cell r="E3072">
            <v>10.75</v>
          </cell>
          <cell r="F3072">
            <v>30.63</v>
          </cell>
        </row>
        <row r="3073">
          <cell r="A3073" t="str">
            <v>470102</v>
          </cell>
          <cell r="B3073" t="str">
            <v>Registro de gaveta em latão fundido sem acabamento, DN= 3/4´</v>
          </cell>
          <cell r="C3073" t="str">
            <v>un</v>
          </cell>
          <cell r="D3073">
            <v>21.85</v>
          </cell>
          <cell r="E3073">
            <v>14.33</v>
          </cell>
          <cell r="F3073">
            <v>36.18</v>
          </cell>
        </row>
        <row r="3074">
          <cell r="A3074" t="str">
            <v>470103</v>
          </cell>
          <cell r="B3074" t="str">
            <v>Registro de gaveta em latão fundido sem acabamento, DN= 1´</v>
          </cell>
          <cell r="C3074" t="str">
            <v>un</v>
          </cell>
          <cell r="D3074">
            <v>30.44</v>
          </cell>
          <cell r="E3074">
            <v>17.91</v>
          </cell>
          <cell r="F3074">
            <v>48.35</v>
          </cell>
        </row>
        <row r="3075">
          <cell r="A3075" t="str">
            <v>470104</v>
          </cell>
          <cell r="B3075" t="str">
            <v>Registro de gaveta em latão fundido sem acabamento, DN= 1 1/4´</v>
          </cell>
          <cell r="C3075" t="str">
            <v>un</v>
          </cell>
          <cell r="D3075">
            <v>43.7</v>
          </cell>
          <cell r="E3075">
            <v>21.490000000000002</v>
          </cell>
          <cell r="F3075">
            <v>65.19</v>
          </cell>
        </row>
        <row r="3076">
          <cell r="A3076" t="str">
            <v>470105</v>
          </cell>
          <cell r="B3076" t="str">
            <v>Registro de gaveta em latão fundido sem acabamento, DN= 1 1/2´</v>
          </cell>
          <cell r="C3076" t="str">
            <v>un</v>
          </cell>
          <cell r="D3076">
            <v>56.4</v>
          </cell>
          <cell r="E3076">
            <v>23.88</v>
          </cell>
          <cell r="F3076">
            <v>80.28</v>
          </cell>
        </row>
        <row r="3077">
          <cell r="A3077" t="str">
            <v>470106</v>
          </cell>
          <cell r="B3077" t="str">
            <v>Registro de gaveta em latão fundido sem acabamento, DN= 2´</v>
          </cell>
          <cell r="C3077" t="str">
            <v>un</v>
          </cell>
          <cell r="D3077">
            <v>79.709999999999994</v>
          </cell>
          <cell r="E3077">
            <v>29.85</v>
          </cell>
          <cell r="F3077">
            <v>109.56</v>
          </cell>
        </row>
        <row r="3078">
          <cell r="A3078" t="str">
            <v>470107</v>
          </cell>
          <cell r="B3078" t="str">
            <v>Registro de gaveta em latão fundido sem acabamento, DN= 2 1/2´</v>
          </cell>
          <cell r="C3078" t="str">
            <v>un</v>
          </cell>
          <cell r="D3078">
            <v>191.62</v>
          </cell>
          <cell r="E3078">
            <v>35.82</v>
          </cell>
          <cell r="F3078">
            <v>227.44</v>
          </cell>
        </row>
        <row r="3079">
          <cell r="A3079" t="str">
            <v>470108</v>
          </cell>
          <cell r="B3079" t="str">
            <v>Registro de gaveta em latão fundido sem acabamento, DN= 3´</v>
          </cell>
          <cell r="C3079" t="str">
            <v>un</v>
          </cell>
          <cell r="D3079">
            <v>304.7</v>
          </cell>
          <cell r="E3079">
            <v>47.76</v>
          </cell>
          <cell r="F3079">
            <v>352.46</v>
          </cell>
        </row>
        <row r="3080">
          <cell r="A3080" t="str">
            <v>470109</v>
          </cell>
          <cell r="B3080" t="str">
            <v>Registro de gaveta em latão fundido sem acabamento, DN= 4´</v>
          </cell>
          <cell r="C3080" t="str">
            <v>un</v>
          </cell>
          <cell r="D3080">
            <v>514.15</v>
          </cell>
          <cell r="E3080">
            <v>71.64</v>
          </cell>
          <cell r="F3080">
            <v>585.79</v>
          </cell>
        </row>
        <row r="3081">
          <cell r="A3081" t="str">
            <v>470113</v>
          </cell>
          <cell r="B3081" t="str">
            <v>Registro de pressão em latão fundido sem acabamento, DN= 3/4´</v>
          </cell>
          <cell r="C3081" t="str">
            <v>un</v>
          </cell>
          <cell r="D3081">
            <v>25.62</v>
          </cell>
          <cell r="E3081">
            <v>14.33</v>
          </cell>
          <cell r="F3081">
            <v>39.950000000000003</v>
          </cell>
        </row>
        <row r="3082">
          <cell r="A3082" t="str">
            <v>470117</v>
          </cell>
          <cell r="B3082" t="str">
            <v>Válvula de esfera monobloco em latão fundido passagem plena, acionamento com alavanca, DN= 1/2´</v>
          </cell>
          <cell r="C3082" t="str">
            <v>un</v>
          </cell>
          <cell r="D3082">
            <v>9.19</v>
          </cell>
          <cell r="E3082">
            <v>10.75</v>
          </cell>
          <cell r="F3082">
            <v>19.940000000000001</v>
          </cell>
        </row>
        <row r="3083">
          <cell r="A3083" t="str">
            <v>470118</v>
          </cell>
          <cell r="B3083" t="str">
            <v>Válvula de esfera monobloco em latão fundido passagem plena, acionamento com alavanca, DN= 3/4´</v>
          </cell>
          <cell r="C3083" t="str">
            <v>un</v>
          </cell>
          <cell r="D3083">
            <v>20.580000000000002</v>
          </cell>
          <cell r="E3083">
            <v>10.75</v>
          </cell>
          <cell r="F3083">
            <v>31.330000000000002</v>
          </cell>
        </row>
        <row r="3084">
          <cell r="A3084" t="str">
            <v>470119</v>
          </cell>
          <cell r="B3084" t="str">
            <v>Válvula de esfera monobloco em latão fundido passagem plena, acionamento com alavanca, DN= 1´</v>
          </cell>
          <cell r="C3084" t="str">
            <v>un</v>
          </cell>
          <cell r="D3084">
            <v>20.260000000000002</v>
          </cell>
          <cell r="E3084">
            <v>10.75</v>
          </cell>
          <cell r="F3084">
            <v>31.01</v>
          </cell>
        </row>
        <row r="3085">
          <cell r="A3085" t="str">
            <v>470120</v>
          </cell>
          <cell r="B3085" t="str">
            <v>Válvula de esfera tripartida em latão fundido, classe 150 libras para gás e 300 libras para líquidos e fluidos, DN= 1´</v>
          </cell>
          <cell r="C3085" t="str">
            <v>un</v>
          </cell>
          <cell r="D3085">
            <v>92.63</v>
          </cell>
          <cell r="E3085">
            <v>16.72</v>
          </cell>
          <cell r="F3085">
            <v>109.35000000000001</v>
          </cell>
        </row>
        <row r="3086">
          <cell r="A3086" t="str">
            <v>470121</v>
          </cell>
          <cell r="B3086" t="str">
            <v>Válvula de esfera monobloco em latão fundido passagem plena, acionamento com alavanca, DN= 2´</v>
          </cell>
          <cell r="C3086" t="str">
            <v>un</v>
          </cell>
          <cell r="D3086">
            <v>85.600000000000009</v>
          </cell>
          <cell r="E3086">
            <v>10.75</v>
          </cell>
          <cell r="F3086">
            <v>96.350000000000009</v>
          </cell>
        </row>
        <row r="3087">
          <cell r="A3087" t="str">
            <v>470122</v>
          </cell>
          <cell r="B3087" t="str">
            <v>Válvula de esfera monobloco em latão fundido passagem plena, acionamento com alavanca, DN= 4´</v>
          </cell>
          <cell r="C3087" t="str">
            <v>un</v>
          </cell>
          <cell r="D3087">
            <v>363.26</v>
          </cell>
          <cell r="E3087">
            <v>23.88</v>
          </cell>
          <cell r="F3087">
            <v>387.14</v>
          </cell>
        </row>
        <row r="3088">
          <cell r="A3088" t="str">
            <v>470201</v>
          </cell>
          <cell r="B3088" t="str">
            <v>Registro de gaveta em latão fundido cromado com canopla, DN= 1/2´ - linha especial</v>
          </cell>
          <cell r="C3088" t="str">
            <v>un</v>
          </cell>
          <cell r="D3088">
            <v>46.300000000000004</v>
          </cell>
          <cell r="E3088">
            <v>10.75</v>
          </cell>
          <cell r="F3088">
            <v>57.050000000000004</v>
          </cell>
        </row>
        <row r="3089">
          <cell r="A3089" t="str">
            <v>470202</v>
          </cell>
          <cell r="B3089" t="str">
            <v>Registro de gaveta em latão fundido cromado com canopla, DN= 3/4´ - linha especial</v>
          </cell>
          <cell r="C3089" t="str">
            <v>un</v>
          </cell>
          <cell r="D3089">
            <v>52.230000000000004</v>
          </cell>
          <cell r="E3089">
            <v>10.75</v>
          </cell>
          <cell r="F3089">
            <v>62.980000000000004</v>
          </cell>
        </row>
        <row r="3090">
          <cell r="A3090" t="str">
            <v>470203</v>
          </cell>
          <cell r="B3090" t="str">
            <v>Registro de gaveta em latão fundido cromado com canopla, DN= 1´ - linha especial</v>
          </cell>
          <cell r="C3090" t="str">
            <v>un</v>
          </cell>
          <cell r="D3090">
            <v>62.81</v>
          </cell>
          <cell r="E3090">
            <v>10.75</v>
          </cell>
          <cell r="F3090">
            <v>73.56</v>
          </cell>
        </row>
        <row r="3091">
          <cell r="A3091" t="str">
            <v>470204</v>
          </cell>
          <cell r="B3091" t="str">
            <v>Registro de gaveta em latão fundido cromado com canopla, DN= 1 1/4´ - linha especial</v>
          </cell>
          <cell r="C3091" t="str">
            <v>un</v>
          </cell>
          <cell r="D3091">
            <v>86.05</v>
          </cell>
          <cell r="E3091">
            <v>10.75</v>
          </cell>
          <cell r="F3091">
            <v>96.8</v>
          </cell>
        </row>
        <row r="3092">
          <cell r="A3092" t="str">
            <v>470205</v>
          </cell>
          <cell r="B3092" t="str">
            <v>Registro de gaveta em latão fundido cromado com canopla, DN= 1 1/2´ - linha especial</v>
          </cell>
          <cell r="C3092" t="str">
            <v>un</v>
          </cell>
          <cell r="D3092">
            <v>95.570000000000007</v>
          </cell>
          <cell r="E3092">
            <v>10.75</v>
          </cell>
          <cell r="F3092">
            <v>106.32000000000001</v>
          </cell>
        </row>
        <row r="3093">
          <cell r="A3093" t="str">
            <v>470210</v>
          </cell>
          <cell r="B3093" t="str">
            <v>Registro de pressão em latão fundido cromado com canopla, DN= 1/2´ - linha especial</v>
          </cell>
          <cell r="C3093" t="str">
            <v>un</v>
          </cell>
          <cell r="D3093">
            <v>50.09</v>
          </cell>
          <cell r="E3093">
            <v>10.75</v>
          </cell>
          <cell r="F3093">
            <v>60.84</v>
          </cell>
        </row>
        <row r="3094">
          <cell r="A3094" t="str">
            <v>470211</v>
          </cell>
          <cell r="B3094" t="str">
            <v>Registro de pressão em latão fundido cromado com canopla, DN= 3/4´ - linha especial</v>
          </cell>
          <cell r="C3094" t="str">
            <v>un</v>
          </cell>
          <cell r="D3094">
            <v>55.02</v>
          </cell>
          <cell r="E3094">
            <v>10.75</v>
          </cell>
          <cell r="F3094">
            <v>65.77</v>
          </cell>
        </row>
        <row r="3095">
          <cell r="A3095" t="str">
            <v>470220</v>
          </cell>
          <cell r="B3095" t="str">
            <v>Registro regulador de vazão para chuveiro e ducha em latão cromado com canopla, DN= 1/2´</v>
          </cell>
          <cell r="C3095" t="str">
            <v>un</v>
          </cell>
          <cell r="D3095">
            <v>40.69</v>
          </cell>
          <cell r="E3095">
            <v>10.75</v>
          </cell>
          <cell r="F3095">
            <v>51.44</v>
          </cell>
        </row>
        <row r="3096">
          <cell r="A3096" t="str">
            <v>470221</v>
          </cell>
          <cell r="B3096" t="str">
            <v>Registro regulador de vazão para torneira, misturador e bidê, em latão cromado com canopla, DN= 1/2´</v>
          </cell>
          <cell r="C3096" t="str">
            <v>un</v>
          </cell>
          <cell r="D3096">
            <v>54.36</v>
          </cell>
          <cell r="E3096">
            <v>10.75</v>
          </cell>
          <cell r="F3096">
            <v>65.11</v>
          </cell>
        </row>
        <row r="3097">
          <cell r="A3097" t="str">
            <v>470402</v>
          </cell>
          <cell r="B3097" t="str">
            <v>Válvula de descarga com registro próprio, duplo acionamento limitador de fluxo, DN= 1 1/4´</v>
          </cell>
          <cell r="C3097" t="str">
            <v>un</v>
          </cell>
          <cell r="D3097">
            <v>186.54</v>
          </cell>
          <cell r="E3097">
            <v>35.82</v>
          </cell>
          <cell r="F3097">
            <v>222.36</v>
          </cell>
        </row>
        <row r="3098">
          <cell r="A3098" t="str">
            <v>470403</v>
          </cell>
          <cell r="B3098" t="str">
            <v>Válvula de descarga com registro próprio, DN= 1 1/4´</v>
          </cell>
          <cell r="C3098" t="str">
            <v>un</v>
          </cell>
          <cell r="D3098">
            <v>140.43</v>
          </cell>
          <cell r="E3098">
            <v>35.82</v>
          </cell>
          <cell r="F3098">
            <v>176.25</v>
          </cell>
        </row>
        <row r="3099">
          <cell r="A3099" t="str">
            <v>470404</v>
          </cell>
          <cell r="B3099" t="str">
            <v>Válvula de descarga com registro próprio, DN= 1 1/2´</v>
          </cell>
          <cell r="C3099" t="str">
            <v>un</v>
          </cell>
          <cell r="D3099">
            <v>138.61000000000001</v>
          </cell>
          <cell r="E3099">
            <v>35.82</v>
          </cell>
          <cell r="F3099">
            <v>174.43</v>
          </cell>
        </row>
        <row r="3100">
          <cell r="A3100" t="str">
            <v>470405</v>
          </cell>
          <cell r="B3100" t="str">
            <v>Válvula de descarga antivandalismo, DN= 1 1/2´</v>
          </cell>
          <cell r="C3100" t="str">
            <v>un</v>
          </cell>
          <cell r="D3100">
            <v>213.71</v>
          </cell>
          <cell r="E3100">
            <v>35.82</v>
          </cell>
          <cell r="F3100">
            <v>249.53</v>
          </cell>
        </row>
        <row r="3101">
          <cell r="A3101" t="str">
            <v>470408</v>
          </cell>
          <cell r="B3101" t="str">
            <v>Válvula de descarga externa, tipo alavanca com registro próprio, DN= 1 1/4´ e DN= 1 1/2´</v>
          </cell>
          <cell r="C3101" t="str">
            <v>un</v>
          </cell>
          <cell r="D3101">
            <v>340.92</v>
          </cell>
          <cell r="E3101">
            <v>35.82</v>
          </cell>
          <cell r="F3101">
            <v>376.74</v>
          </cell>
        </row>
        <row r="3102">
          <cell r="A3102" t="str">
            <v>470409</v>
          </cell>
          <cell r="B3102" t="str">
            <v>Válvula de mictório antivandalismo, DN= 3/4´</v>
          </cell>
          <cell r="C3102" t="str">
            <v>un</v>
          </cell>
          <cell r="D3102">
            <v>255.20000000000002</v>
          </cell>
          <cell r="E3102">
            <v>14.33</v>
          </cell>
          <cell r="F3102">
            <v>269.52999999999997</v>
          </cell>
        </row>
        <row r="3103">
          <cell r="A3103" t="str">
            <v>470410</v>
          </cell>
          <cell r="B3103" t="str">
            <v>Válvula de mictório padrão, vazão automática, DN= 3/4´</v>
          </cell>
          <cell r="C3103" t="str">
            <v>un</v>
          </cell>
          <cell r="D3103">
            <v>172.68</v>
          </cell>
          <cell r="E3103">
            <v>14.33</v>
          </cell>
          <cell r="F3103">
            <v>187.01</v>
          </cell>
        </row>
        <row r="3104">
          <cell r="A3104" t="str">
            <v>470411</v>
          </cell>
          <cell r="B3104" t="str">
            <v>Válvula de acionamento hidromecânico para piso</v>
          </cell>
          <cell r="C3104" t="str">
            <v>un</v>
          </cell>
          <cell r="D3104">
            <v>535.4</v>
          </cell>
          <cell r="E3104">
            <v>35.82</v>
          </cell>
          <cell r="F3104">
            <v>571.22</v>
          </cell>
        </row>
        <row r="3105">
          <cell r="A3105" t="str">
            <v>470412</v>
          </cell>
          <cell r="B3105" t="str">
            <v>Válvula de acionamento hidromecânico para ducha, em latão cromado, DN= 3/4´</v>
          </cell>
          <cell r="C3105" t="str">
            <v>un</v>
          </cell>
          <cell r="D3105">
            <v>265.77</v>
          </cell>
          <cell r="E3105">
            <v>10.75</v>
          </cell>
          <cell r="F3105">
            <v>276.52</v>
          </cell>
        </row>
        <row r="3106">
          <cell r="A3106" t="str">
            <v>470418</v>
          </cell>
          <cell r="B3106" t="str">
            <v>Válvula de descarga com registro próprio, duplo acionamento limitador de fluxo, DN = 1 1/2´</v>
          </cell>
          <cell r="C3106" t="str">
            <v>un</v>
          </cell>
          <cell r="D3106">
            <v>161.93</v>
          </cell>
          <cell r="E3106">
            <v>35.82</v>
          </cell>
          <cell r="F3106">
            <v>197.75</v>
          </cell>
        </row>
        <row r="3107">
          <cell r="A3107" t="str">
            <v>470501</v>
          </cell>
          <cell r="B3107" t="str">
            <v>Válvula de retenção horizontal em bronze, DN= 3/4´</v>
          </cell>
          <cell r="C3107" t="str">
            <v>un</v>
          </cell>
          <cell r="D3107">
            <v>46.06</v>
          </cell>
          <cell r="E3107">
            <v>10.75</v>
          </cell>
          <cell r="F3107">
            <v>56.81</v>
          </cell>
        </row>
        <row r="3108">
          <cell r="A3108" t="str">
            <v>470502</v>
          </cell>
          <cell r="B3108" t="str">
            <v>Válvula de retenção horizontal em bronze, DN= 1´</v>
          </cell>
          <cell r="C3108" t="str">
            <v>un</v>
          </cell>
          <cell r="D3108">
            <v>56.03</v>
          </cell>
          <cell r="E3108">
            <v>10.75</v>
          </cell>
          <cell r="F3108">
            <v>66.78</v>
          </cell>
        </row>
        <row r="3109">
          <cell r="A3109" t="str">
            <v>470503</v>
          </cell>
          <cell r="B3109" t="str">
            <v>Válvula de retenção horizontal em bronze, DN= 1 1/4´</v>
          </cell>
          <cell r="C3109" t="str">
            <v>un</v>
          </cell>
          <cell r="D3109">
            <v>75.180000000000007</v>
          </cell>
          <cell r="E3109">
            <v>10.75</v>
          </cell>
          <cell r="F3109">
            <v>85.93</v>
          </cell>
        </row>
        <row r="3110">
          <cell r="A3110" t="str">
            <v>470504</v>
          </cell>
          <cell r="B3110" t="str">
            <v>Válvula de retenção horizontal em bronze, DN= 1 1/2´</v>
          </cell>
          <cell r="C3110" t="str">
            <v>un</v>
          </cell>
          <cell r="D3110">
            <v>88.06</v>
          </cell>
          <cell r="E3110">
            <v>10.75</v>
          </cell>
          <cell r="F3110">
            <v>98.81</v>
          </cell>
        </row>
        <row r="3111">
          <cell r="A3111" t="str">
            <v>470505</v>
          </cell>
          <cell r="B3111" t="str">
            <v>Válvula de retenção horizontal em bronze, DN= 2´</v>
          </cell>
          <cell r="C3111" t="str">
            <v>un</v>
          </cell>
          <cell r="D3111">
            <v>127.79</v>
          </cell>
          <cell r="E3111">
            <v>10.75</v>
          </cell>
          <cell r="F3111">
            <v>138.54</v>
          </cell>
        </row>
        <row r="3112">
          <cell r="A3112" t="str">
            <v>470506</v>
          </cell>
          <cell r="B3112" t="str">
            <v>Válvula de retenção horizontal em bronze, DN= 2 1/2´</v>
          </cell>
          <cell r="C3112" t="str">
            <v>un</v>
          </cell>
          <cell r="D3112">
            <v>216.88</v>
          </cell>
          <cell r="E3112">
            <v>10.75</v>
          </cell>
          <cell r="F3112">
            <v>227.63</v>
          </cell>
        </row>
        <row r="3113">
          <cell r="A3113" t="str">
            <v>470507</v>
          </cell>
          <cell r="B3113" t="str">
            <v>Válvula de retenção horizontal em bronze, DN= 3´</v>
          </cell>
          <cell r="C3113" t="str">
            <v>un</v>
          </cell>
          <cell r="D3113">
            <v>248.45000000000002</v>
          </cell>
          <cell r="E3113">
            <v>10.75</v>
          </cell>
          <cell r="F3113">
            <v>259.2</v>
          </cell>
        </row>
        <row r="3114">
          <cell r="A3114" t="str">
            <v>470508</v>
          </cell>
          <cell r="B3114" t="str">
            <v>Válvula de retenção horizontal em bronze, DN= 4´</v>
          </cell>
          <cell r="C3114" t="str">
            <v>un</v>
          </cell>
          <cell r="D3114">
            <v>450.47</v>
          </cell>
          <cell r="E3114">
            <v>14.33</v>
          </cell>
          <cell r="F3114">
            <v>464.8</v>
          </cell>
        </row>
        <row r="3115">
          <cell r="A3115" t="str">
            <v>470509</v>
          </cell>
          <cell r="B3115" t="str">
            <v>Válvula de retenção vertical em bronze, DN= 3/4´</v>
          </cell>
          <cell r="C3115" t="str">
            <v>un</v>
          </cell>
          <cell r="D3115">
            <v>35.54</v>
          </cell>
          <cell r="E3115">
            <v>10.75</v>
          </cell>
          <cell r="F3115">
            <v>46.29</v>
          </cell>
        </row>
        <row r="3116">
          <cell r="A3116" t="str">
            <v>470510</v>
          </cell>
          <cell r="B3116" t="str">
            <v>Válvula de retenção vertical em bronze, DN= 1´</v>
          </cell>
          <cell r="C3116" t="str">
            <v>un</v>
          </cell>
          <cell r="D3116">
            <v>41.37</v>
          </cell>
          <cell r="E3116">
            <v>10.75</v>
          </cell>
          <cell r="F3116">
            <v>52.120000000000005</v>
          </cell>
        </row>
        <row r="3117">
          <cell r="A3117" t="str">
            <v>470511</v>
          </cell>
          <cell r="B3117" t="str">
            <v>Válvula de retenção vertical em bronze, DN= 1 1/4´</v>
          </cell>
          <cell r="C3117" t="str">
            <v>un</v>
          </cell>
          <cell r="D3117">
            <v>57.57</v>
          </cell>
          <cell r="E3117">
            <v>10.75</v>
          </cell>
          <cell r="F3117">
            <v>68.319999999999993</v>
          </cell>
        </row>
        <row r="3118">
          <cell r="A3118" t="str">
            <v>470512</v>
          </cell>
          <cell r="B3118" t="str">
            <v>Válvula de retenção vertical em bronze, DN= 1 1/2´</v>
          </cell>
          <cell r="C3118" t="str">
            <v>un</v>
          </cell>
          <cell r="D3118">
            <v>70.33</v>
          </cell>
          <cell r="E3118">
            <v>10.75</v>
          </cell>
          <cell r="F3118">
            <v>81.08</v>
          </cell>
        </row>
        <row r="3119">
          <cell r="A3119" t="str">
            <v>470513</v>
          </cell>
          <cell r="B3119" t="str">
            <v>Válvula de retenção vertical em bronze, DN= 2´</v>
          </cell>
          <cell r="C3119" t="str">
            <v>un</v>
          </cell>
          <cell r="D3119">
            <v>100</v>
          </cell>
          <cell r="E3119">
            <v>10.75</v>
          </cell>
          <cell r="F3119">
            <v>110.75</v>
          </cell>
        </row>
        <row r="3120">
          <cell r="A3120" t="str">
            <v>470514</v>
          </cell>
          <cell r="B3120" t="str">
            <v>Válvula de retenção vertical em bronze, DN= 2 1/2´</v>
          </cell>
          <cell r="C3120" t="str">
            <v>un</v>
          </cell>
          <cell r="D3120">
            <v>168.71</v>
          </cell>
          <cell r="E3120">
            <v>10.75</v>
          </cell>
          <cell r="F3120">
            <v>179.46</v>
          </cell>
        </row>
        <row r="3121">
          <cell r="A3121" t="str">
            <v>470515</v>
          </cell>
          <cell r="B3121" t="str">
            <v>Válvula de retenção vertical em bronze, DN= 3´</v>
          </cell>
          <cell r="C3121" t="str">
            <v>un</v>
          </cell>
          <cell r="D3121">
            <v>254</v>
          </cell>
          <cell r="E3121">
            <v>10.75</v>
          </cell>
          <cell r="F3121">
            <v>264.75</v>
          </cell>
        </row>
        <row r="3122">
          <cell r="A3122" t="str">
            <v>470516</v>
          </cell>
          <cell r="B3122" t="str">
            <v>Válvula de retenção vertical em bronze, DN= 4´</v>
          </cell>
          <cell r="C3122" t="str">
            <v>un</v>
          </cell>
          <cell r="D3122">
            <v>419.22</v>
          </cell>
          <cell r="E3122">
            <v>14.33</v>
          </cell>
          <cell r="F3122">
            <v>433.55</v>
          </cell>
        </row>
        <row r="3123">
          <cell r="A3123" t="str">
            <v>470517</v>
          </cell>
          <cell r="B3123" t="str">
            <v>Válvula de retenção de pé com crivo em bronze, DN= 1´</v>
          </cell>
          <cell r="C3123" t="str">
            <v>un</v>
          </cell>
          <cell r="D3123">
            <v>36.21</v>
          </cell>
          <cell r="E3123">
            <v>10.75</v>
          </cell>
          <cell r="F3123">
            <v>46.96</v>
          </cell>
        </row>
        <row r="3124">
          <cell r="A3124" t="str">
            <v>470518</v>
          </cell>
          <cell r="B3124" t="str">
            <v>Válvula de retenção de pé com crivo em bronze, DN= 1 1/4´</v>
          </cell>
          <cell r="C3124" t="str">
            <v>un</v>
          </cell>
          <cell r="D3124">
            <v>49.86</v>
          </cell>
          <cell r="E3124">
            <v>10.75</v>
          </cell>
          <cell r="F3124">
            <v>60.61</v>
          </cell>
        </row>
        <row r="3125">
          <cell r="A3125" t="str">
            <v>470519</v>
          </cell>
          <cell r="B3125" t="str">
            <v>Válvula de retenção de pé com crivo em bronze, DN= 1 1/2´</v>
          </cell>
          <cell r="C3125" t="str">
            <v>un</v>
          </cell>
          <cell r="D3125">
            <v>61.6</v>
          </cell>
          <cell r="E3125">
            <v>10.75</v>
          </cell>
          <cell r="F3125">
            <v>72.349999999999994</v>
          </cell>
        </row>
        <row r="3126">
          <cell r="A3126" t="str">
            <v>470520</v>
          </cell>
          <cell r="B3126" t="str">
            <v>Válvula de retenção de pé com crivo em bronze, DN= 2´</v>
          </cell>
          <cell r="C3126" t="str">
            <v>un</v>
          </cell>
          <cell r="D3126">
            <v>84.43</v>
          </cell>
          <cell r="E3126">
            <v>10.75</v>
          </cell>
          <cell r="F3126">
            <v>95.18</v>
          </cell>
        </row>
        <row r="3127">
          <cell r="A3127" t="str">
            <v>470521</v>
          </cell>
          <cell r="B3127" t="str">
            <v>Válvula de retenção de pé com crivo em bronze, DN= 2 1/2´</v>
          </cell>
          <cell r="C3127" t="str">
            <v>un</v>
          </cell>
          <cell r="D3127">
            <v>136.09</v>
          </cell>
          <cell r="E3127">
            <v>10.75</v>
          </cell>
          <cell r="F3127">
            <v>146.84</v>
          </cell>
        </row>
        <row r="3128">
          <cell r="A3128" t="str">
            <v>470522</v>
          </cell>
          <cell r="B3128" t="str">
            <v>Válvula de gaveta em bronze, classe 125 libras para vapor e classe 200 libras para água, óleo e gás, DN= 6´</v>
          </cell>
          <cell r="C3128" t="str">
            <v>un</v>
          </cell>
          <cell r="D3128">
            <v>3267.05</v>
          </cell>
          <cell r="E3128">
            <v>17.91</v>
          </cell>
          <cell r="F3128">
            <v>3284.96</v>
          </cell>
        </row>
        <row r="3129">
          <cell r="A3129" t="str">
            <v>470523</v>
          </cell>
          <cell r="B3129" t="str">
            <v>Válvula de gaveta em bronze, classe 125 libras para vapor e classe 200 libras para água, óleo e gás, DN= 2´</v>
          </cell>
          <cell r="C3129" t="str">
            <v>un</v>
          </cell>
          <cell r="D3129">
            <v>97.100000000000009</v>
          </cell>
          <cell r="E3129">
            <v>10.75</v>
          </cell>
          <cell r="F3129">
            <v>107.85000000000001</v>
          </cell>
        </row>
        <row r="3130">
          <cell r="A3130" t="str">
            <v>470524</v>
          </cell>
          <cell r="B3130" t="str">
            <v>Válvula globo em bronze, classe 125 libras para vapor e classe 200 libras para água, óleo e gás, DN= 2´</v>
          </cell>
          <cell r="C3130" t="str">
            <v>un</v>
          </cell>
          <cell r="D3130">
            <v>214.46</v>
          </cell>
          <cell r="E3130">
            <v>10.75</v>
          </cell>
          <cell r="F3130">
            <v>225.21</v>
          </cell>
        </row>
        <row r="3131">
          <cell r="A3131" t="str">
            <v>470526</v>
          </cell>
          <cell r="B3131" t="str">
            <v>Válvula de retenção de pé com crivo em bronze, DN= 3´</v>
          </cell>
          <cell r="C3131" t="str">
            <v>un</v>
          </cell>
          <cell r="D3131">
            <v>199.08</v>
          </cell>
          <cell r="E3131">
            <v>10.75</v>
          </cell>
          <cell r="F3131">
            <v>209.83</v>
          </cell>
        </row>
        <row r="3132">
          <cell r="A3132" t="str">
            <v>470527</v>
          </cell>
          <cell r="B3132" t="str">
            <v>Válvula de retenção de pé com crivo em bronze, DN= 4´</v>
          </cell>
          <cell r="C3132" t="str">
            <v>un</v>
          </cell>
          <cell r="D3132">
            <v>374.17</v>
          </cell>
          <cell r="E3132">
            <v>14.33</v>
          </cell>
          <cell r="F3132">
            <v>388.5</v>
          </cell>
        </row>
        <row r="3133">
          <cell r="A3133" t="str">
            <v>470528</v>
          </cell>
          <cell r="B3133" t="str">
            <v>Válvula globo angular de 45° em bronze, DN= 2 1/2´</v>
          </cell>
          <cell r="C3133" t="str">
            <v>un</v>
          </cell>
          <cell r="D3133">
            <v>125.06</v>
          </cell>
          <cell r="E3133">
            <v>10.75</v>
          </cell>
          <cell r="F3133">
            <v>135.81</v>
          </cell>
        </row>
        <row r="3134">
          <cell r="A3134" t="str">
            <v>470529</v>
          </cell>
          <cell r="B3134" t="str">
            <v>Válvula de gaveta em bronze, haste ascendente, classe 150 libras para vapor saturado e 300 libras para água, óleo e gás, DN= 1/2´</v>
          </cell>
          <cell r="C3134" t="str">
            <v>un</v>
          </cell>
          <cell r="D3134">
            <v>64.58</v>
          </cell>
          <cell r="E3134">
            <v>5.97</v>
          </cell>
          <cell r="F3134">
            <v>70.55</v>
          </cell>
        </row>
        <row r="3135">
          <cell r="A3135" t="str">
            <v>470530</v>
          </cell>
          <cell r="B3135" t="str">
            <v>Válvula de gaveta em bronze, haste não ascendente, classe 150 libras para vapor saturado e 300 libras para água, óleo e gás, DN= 4´</v>
          </cell>
          <cell r="C3135" t="str">
            <v>un</v>
          </cell>
          <cell r="D3135">
            <v>987.28</v>
          </cell>
          <cell r="E3135">
            <v>14.33</v>
          </cell>
          <cell r="F3135">
            <v>1001.61</v>
          </cell>
        </row>
        <row r="3136">
          <cell r="A3136" t="str">
            <v>470531</v>
          </cell>
          <cell r="B3136" t="str">
            <v>Válvula de gaveta em bronze, haste não ascendente, classe 150 libras para vapor saturado e 300 libras para água, óleo e gás, DN= 2´</v>
          </cell>
          <cell r="C3136" t="str">
            <v>un</v>
          </cell>
          <cell r="D3136">
            <v>180.55</v>
          </cell>
          <cell r="E3136">
            <v>10.75</v>
          </cell>
          <cell r="F3136">
            <v>191.3</v>
          </cell>
        </row>
        <row r="3137">
          <cell r="A3137" t="str">
            <v>470532</v>
          </cell>
          <cell r="B3137" t="str">
            <v>Válvula globo em bronze, classe 150 libras para vapor saturado e 300 libras para água, óleo e gás, DN= 4´</v>
          </cell>
          <cell r="C3137" t="str">
            <v>un</v>
          </cell>
          <cell r="D3137">
            <v>3139.87</v>
          </cell>
          <cell r="E3137">
            <v>14.33</v>
          </cell>
          <cell r="F3137">
            <v>3154.2000000000003</v>
          </cell>
        </row>
        <row r="3138">
          <cell r="A3138" t="str">
            <v>470534</v>
          </cell>
          <cell r="B3138" t="str">
            <v>Válvula globo em bronze, classe 150 libras para vapor saturado e 300 libras para água, óleo e gás, DN= 3/4´</v>
          </cell>
          <cell r="C3138" t="str">
            <v>un</v>
          </cell>
          <cell r="D3138">
            <v>87.13</v>
          </cell>
          <cell r="E3138">
            <v>10.75</v>
          </cell>
          <cell r="F3138">
            <v>97.88</v>
          </cell>
        </row>
        <row r="3139">
          <cell r="A3139" t="str">
            <v>470535</v>
          </cell>
          <cell r="B3139" t="str">
            <v>Válvula globo em bronze, classe 150 libras para vapor saturado e 300 libras para água, óleo e gás, DN= 1´</v>
          </cell>
          <cell r="C3139" t="str">
            <v>un</v>
          </cell>
          <cell r="D3139">
            <v>122.61</v>
          </cell>
          <cell r="E3139">
            <v>10.75</v>
          </cell>
          <cell r="F3139">
            <v>133.36000000000001</v>
          </cell>
        </row>
        <row r="3140">
          <cell r="A3140" t="str">
            <v>470536</v>
          </cell>
          <cell r="B3140" t="str">
            <v>Válvula globo em bronze, classe 150 libras para vapor saturado e 300 libras para água, óleo e gás, DN= 1 1/2´</v>
          </cell>
          <cell r="C3140" t="str">
            <v>un</v>
          </cell>
          <cell r="D3140">
            <v>237.08</v>
          </cell>
          <cell r="E3140">
            <v>10.75</v>
          </cell>
          <cell r="F3140">
            <v>247.83</v>
          </cell>
        </row>
        <row r="3141">
          <cell r="A3141" t="str">
            <v>470537</v>
          </cell>
          <cell r="B3141" t="str">
            <v>Válvula globo em bronze, classe 150 libras para vapor saturado e 300 libras para água, óleo e gás, DN= 2´</v>
          </cell>
          <cell r="C3141" t="str">
            <v>un</v>
          </cell>
          <cell r="D3141">
            <v>325.77999999999997</v>
          </cell>
          <cell r="E3141">
            <v>10.75</v>
          </cell>
          <cell r="F3141">
            <v>336.53000000000003</v>
          </cell>
        </row>
        <row r="3142">
          <cell r="A3142" t="str">
            <v>470539</v>
          </cell>
          <cell r="B3142" t="str">
            <v>Válvula globo em bronze, classe 150 libras para vapor saturado e classe 300 libras para água, óleo e gás, DN= 2 1/2´</v>
          </cell>
          <cell r="C3142" t="str">
            <v>un</v>
          </cell>
          <cell r="D3142">
            <v>524.79999999999995</v>
          </cell>
          <cell r="E3142">
            <v>10.75</v>
          </cell>
          <cell r="F3142">
            <v>535.54999999999995</v>
          </cell>
        </row>
        <row r="3143">
          <cell r="A3143" t="str">
            <v>470540</v>
          </cell>
          <cell r="B3143" t="str">
            <v>Válvula de gaveta em bronze, classe 125 libras para vapor e classe 200 libras para água, óleo e gás, DN= 1´</v>
          </cell>
          <cell r="C3143" t="str">
            <v>un</v>
          </cell>
          <cell r="D3143">
            <v>38.549999999999997</v>
          </cell>
          <cell r="E3143">
            <v>10.75</v>
          </cell>
          <cell r="F3143">
            <v>49.300000000000004</v>
          </cell>
        </row>
        <row r="3144">
          <cell r="A3144" t="str">
            <v>470541</v>
          </cell>
          <cell r="B3144" t="str">
            <v>Válvula de gaveta em bronze, classe 125 libras para vapor e classe 200 libras para água, óleo e gás, DN= 1 1/2´</v>
          </cell>
          <cell r="C3144" t="str">
            <v>un</v>
          </cell>
          <cell r="D3144">
            <v>64.430000000000007</v>
          </cell>
          <cell r="E3144">
            <v>10.75</v>
          </cell>
          <cell r="F3144">
            <v>75.180000000000007</v>
          </cell>
        </row>
        <row r="3145">
          <cell r="A3145" t="str">
            <v>470542</v>
          </cell>
          <cell r="B3145" t="str">
            <v>Válvula de gaveta em bronze, classe 125 libras para vapor e classe 200 libras para água, óleo e gás, DN= 2 1/2´</v>
          </cell>
          <cell r="C3145" t="str">
            <v>un</v>
          </cell>
          <cell r="D3145">
            <v>191.20000000000002</v>
          </cell>
          <cell r="E3145">
            <v>10.75</v>
          </cell>
          <cell r="F3145">
            <v>201.95000000000002</v>
          </cell>
        </row>
        <row r="3146">
          <cell r="A3146" t="str">
            <v>470543</v>
          </cell>
          <cell r="B3146" t="str">
            <v>Válvula de gaveta em bronze, classe 125 libras para vapor e classe 200 libras para água, óleo e gás, DN= 3´</v>
          </cell>
          <cell r="C3146" t="str">
            <v>un</v>
          </cell>
          <cell r="D3146">
            <v>282.36</v>
          </cell>
          <cell r="E3146">
            <v>10.75</v>
          </cell>
          <cell r="F3146">
            <v>293.11</v>
          </cell>
        </row>
        <row r="3147">
          <cell r="A3147" t="str">
            <v>470544</v>
          </cell>
          <cell r="B3147" t="str">
            <v>Válvula globo em bronze, classe 150 libras para vapor saturado e 300 libras para água, óleo e gás, DN= 3´</v>
          </cell>
          <cell r="C3147" t="str">
            <v>un</v>
          </cell>
          <cell r="D3147">
            <v>738.2</v>
          </cell>
          <cell r="E3147">
            <v>14.33</v>
          </cell>
          <cell r="F3147">
            <v>752.53</v>
          </cell>
        </row>
        <row r="3148">
          <cell r="A3148" t="str">
            <v>470545</v>
          </cell>
          <cell r="B3148" t="str">
            <v>Válvula redutora de pressão em bronze, de ação direta, extremidade roscada, para água, ar, óleo e gás, PE= 200 psi e PS= 20 à 90 psi, DN= 1 1/4´</v>
          </cell>
          <cell r="C3148" t="str">
            <v>un</v>
          </cell>
          <cell r="D3148">
            <v>1686.04</v>
          </cell>
          <cell r="E3148">
            <v>47.76</v>
          </cell>
          <cell r="F3148">
            <v>1733.8</v>
          </cell>
        </row>
        <row r="3149">
          <cell r="A3149" t="str">
            <v>470546</v>
          </cell>
          <cell r="B3149" t="str">
            <v>Válvula redutora de pressão em bronze, de ação direta, extremidade roscada, para água, ar, óleo e gás, PE= 200 psi e PS= 20 à 90 psi, DN= 2´</v>
          </cell>
          <cell r="C3149" t="str">
            <v>un</v>
          </cell>
          <cell r="D3149">
            <v>2755.4700000000003</v>
          </cell>
          <cell r="E3149">
            <v>47.76</v>
          </cell>
          <cell r="F3149">
            <v>2803.23</v>
          </cell>
        </row>
        <row r="3150">
          <cell r="A3150" t="str">
            <v>470557</v>
          </cell>
          <cell r="B3150" t="str">
            <v>Válvula de gaveta em bronze, haste ascendente, classe 150 libras para vapor saturado e 300 libras para água, óleo e gás, DN= 4´</v>
          </cell>
          <cell r="C3150" t="str">
            <v>un</v>
          </cell>
          <cell r="D3150">
            <v>2150.27</v>
          </cell>
          <cell r="E3150">
            <v>14.33</v>
          </cell>
          <cell r="F3150">
            <v>2164.6</v>
          </cell>
        </row>
        <row r="3151">
          <cell r="A3151" t="str">
            <v>470558</v>
          </cell>
          <cell r="B3151" t="str">
            <v>Válvula de gaveta em bronze com fecho rápido, DN= 1 1/2´</v>
          </cell>
          <cell r="C3151" t="str">
            <v>un</v>
          </cell>
          <cell r="D3151">
            <v>312.38</v>
          </cell>
          <cell r="E3151">
            <v>23.88</v>
          </cell>
          <cell r="F3151">
            <v>336.26</v>
          </cell>
        </row>
        <row r="3152">
          <cell r="A3152" t="str">
            <v>470603</v>
          </cell>
          <cell r="B3152" t="str">
            <v>Válvula de gaveta em ferro fundido, haste ascendente com flange, classe 125 libras, DN= 2´</v>
          </cell>
          <cell r="C3152" t="str">
            <v>un</v>
          </cell>
          <cell r="D3152">
            <v>534.70000000000005</v>
          </cell>
          <cell r="E3152">
            <v>29.85</v>
          </cell>
          <cell r="F3152">
            <v>564.54999999999995</v>
          </cell>
        </row>
        <row r="3153">
          <cell r="A3153" t="str">
            <v>470604</v>
          </cell>
          <cell r="B3153" t="str">
            <v>Válvula de retenção de pé com crivo em ferro fundido, flangeada, DN= 6´</v>
          </cell>
          <cell r="C3153" t="str">
            <v>un</v>
          </cell>
          <cell r="D3153">
            <v>757.75</v>
          </cell>
          <cell r="E3153">
            <v>83.58</v>
          </cell>
          <cell r="F3153">
            <v>841.33</v>
          </cell>
        </row>
        <row r="3154">
          <cell r="A3154" t="str">
            <v>470605</v>
          </cell>
          <cell r="B3154" t="str">
            <v>Válvula de retenção tipo portinhola dupla em ferro fundido, DN= 6´</v>
          </cell>
          <cell r="C3154" t="str">
            <v>un</v>
          </cell>
          <cell r="D3154">
            <v>348.89</v>
          </cell>
          <cell r="E3154">
            <v>83.58</v>
          </cell>
          <cell r="F3154">
            <v>432.47</v>
          </cell>
        </row>
        <row r="3155">
          <cell r="A3155" t="str">
            <v>470606</v>
          </cell>
          <cell r="B3155" t="str">
            <v>Válvula de gaveta em ferro fundido com bolsa, DN= 150 mm</v>
          </cell>
          <cell r="C3155" t="str">
            <v>un</v>
          </cell>
          <cell r="D3155">
            <v>782.97</v>
          </cell>
          <cell r="E3155">
            <v>47.76</v>
          </cell>
          <cell r="F3155">
            <v>830.73</v>
          </cell>
        </row>
        <row r="3156">
          <cell r="A3156" t="str">
            <v>470607</v>
          </cell>
          <cell r="B3156" t="str">
            <v>Válvula de gaveta em ferro fundido com bolsa, DN= 200 mm</v>
          </cell>
          <cell r="C3156" t="str">
            <v>un</v>
          </cell>
          <cell r="D3156">
            <v>1448.33</v>
          </cell>
          <cell r="E3156">
            <v>47.76</v>
          </cell>
          <cell r="F3156">
            <v>1496.09</v>
          </cell>
        </row>
        <row r="3157">
          <cell r="A3157" t="str">
            <v>470608</v>
          </cell>
          <cell r="B3157" t="str">
            <v>Válvula de retenção tipo portinhola simples em ferro fundido, DN= 4´</v>
          </cell>
          <cell r="C3157" t="str">
            <v>un</v>
          </cell>
          <cell r="D3157">
            <v>1151.04</v>
          </cell>
          <cell r="E3157">
            <v>47.76</v>
          </cell>
          <cell r="F3157">
            <v>1198.8</v>
          </cell>
        </row>
        <row r="3158">
          <cell r="A3158" t="str">
            <v>470609</v>
          </cell>
          <cell r="B3158" t="str">
            <v>Válvula de retenção tipo portinhola dupla em ferro fundido, DN= 4´</v>
          </cell>
          <cell r="C3158" t="str">
            <v>un</v>
          </cell>
          <cell r="D3158">
            <v>244.87</v>
          </cell>
          <cell r="E3158">
            <v>47.76</v>
          </cell>
          <cell r="F3158">
            <v>292.63</v>
          </cell>
        </row>
        <row r="3159">
          <cell r="A3159" t="str">
            <v>470610</v>
          </cell>
          <cell r="B3159" t="str">
            <v>Válvula de segurança em ferro fundido rosqueada com pressão de ajuste 0,4 até 0,75kgf/cm², DN= 2´</v>
          </cell>
          <cell r="C3159" t="str">
            <v>un</v>
          </cell>
          <cell r="D3159">
            <v>3230.42</v>
          </cell>
          <cell r="E3159">
            <v>29.85</v>
          </cell>
          <cell r="F3159">
            <v>3260.27</v>
          </cell>
        </row>
        <row r="3160">
          <cell r="A3160" t="str">
            <v>470611</v>
          </cell>
          <cell r="B3160" t="str">
            <v>Válvula de segurança em ferro fundido rosqueada com pressão de ajuste 6,1 até 10,0kgf/cm², DN= 3/4´</v>
          </cell>
          <cell r="C3160" t="str">
            <v>un</v>
          </cell>
          <cell r="D3160">
            <v>1364.33</v>
          </cell>
          <cell r="E3160">
            <v>14.33</v>
          </cell>
          <cell r="F3160">
            <v>1378.66</v>
          </cell>
        </row>
        <row r="3161">
          <cell r="A3161" t="str">
            <v>470618</v>
          </cell>
          <cell r="B3161" t="str">
            <v>Válvula de gaveta em ferro fundido com bolsa, DN= 100mm</v>
          </cell>
          <cell r="C3161" t="str">
            <v>un</v>
          </cell>
          <cell r="D3161">
            <v>562.41</v>
          </cell>
          <cell r="E3161">
            <v>47.76</v>
          </cell>
          <cell r="F3161">
            <v>610.16999999999996</v>
          </cell>
        </row>
        <row r="3162">
          <cell r="A3162" t="str">
            <v>470631</v>
          </cell>
          <cell r="B3162" t="str">
            <v>Visor de fluxo com janela simples, corpo em ferro fundido ou aço carbono, DN = 1´</v>
          </cell>
          <cell r="C3162" t="str">
            <v>un</v>
          </cell>
          <cell r="D3162">
            <v>344.95</v>
          </cell>
          <cell r="E3162">
            <v>17.91</v>
          </cell>
          <cell r="F3162">
            <v>362.86</v>
          </cell>
        </row>
        <row r="3163">
          <cell r="A3163" t="str">
            <v>470632</v>
          </cell>
          <cell r="B3163" t="str">
            <v>Válvula de governo (retenção e alarme) completa, corpo em ferro fundido, classe 125 libras, DN= 4´</v>
          </cell>
          <cell r="C3163" t="str">
            <v>cj</v>
          </cell>
          <cell r="D3163">
            <v>3984.64</v>
          </cell>
          <cell r="E3163">
            <v>71.64</v>
          </cell>
          <cell r="F3163">
            <v>4056.28</v>
          </cell>
        </row>
        <row r="3164">
          <cell r="A3164" t="str">
            <v>470633</v>
          </cell>
          <cell r="B3164" t="str">
            <v>Válvula de gaveta em ferro fundido, haste ascendente com flange, classe 125 libras, DN= 4´</v>
          </cell>
          <cell r="C3164" t="str">
            <v>un</v>
          </cell>
          <cell r="D3164">
            <v>832</v>
          </cell>
          <cell r="E3164">
            <v>47.76</v>
          </cell>
          <cell r="F3164">
            <v>879.76</v>
          </cell>
        </row>
        <row r="3165">
          <cell r="A3165" t="str">
            <v>470634</v>
          </cell>
          <cell r="B3165" t="str">
            <v>Válvula de gaveta em ferro fundido, haste ascendente com flange, classe 125 libras, DN= 6´</v>
          </cell>
          <cell r="C3165" t="str">
            <v>un</v>
          </cell>
          <cell r="D3165">
            <v>1250.9000000000001</v>
          </cell>
          <cell r="E3165">
            <v>47.76</v>
          </cell>
          <cell r="F3165">
            <v>1298.6600000000001</v>
          </cell>
        </row>
        <row r="3166">
          <cell r="A3166" t="str">
            <v>470635</v>
          </cell>
          <cell r="B3166" t="str">
            <v>Válvula de retenção vertical em ferro fundido com flange, classe 125 libras, DN= 4´</v>
          </cell>
          <cell r="C3166" t="str">
            <v>un</v>
          </cell>
          <cell r="D3166">
            <v>891.13</v>
          </cell>
          <cell r="E3166">
            <v>47.76</v>
          </cell>
          <cell r="F3166">
            <v>938.89</v>
          </cell>
        </row>
        <row r="3167">
          <cell r="A3167" t="str">
            <v>470701</v>
          </cell>
          <cell r="B3167" t="str">
            <v>Válvula esfera em aço carbono fundido, passagem plena, classe 150 libras para vapor e classe 600 libras para água, óleo e gás, DN= 1/2´</v>
          </cell>
          <cell r="C3167" t="str">
            <v>un</v>
          </cell>
          <cell r="D3167">
            <v>38.97</v>
          </cell>
          <cell r="E3167">
            <v>10.75</v>
          </cell>
          <cell r="F3167">
            <v>49.72</v>
          </cell>
        </row>
        <row r="3168">
          <cell r="A3168" t="str">
            <v>470702</v>
          </cell>
          <cell r="B3168" t="str">
            <v>Válvula esfera em aço carbono fundido, passagem plena, classe 150 libras para vapor e classe 600 libras para água, óleo e gás, DN= 3/4´</v>
          </cell>
          <cell r="C3168" t="str">
            <v>un</v>
          </cell>
          <cell r="D3168">
            <v>51.14</v>
          </cell>
          <cell r="E3168">
            <v>14.33</v>
          </cell>
          <cell r="F3168">
            <v>65.47</v>
          </cell>
        </row>
        <row r="3169">
          <cell r="A3169" t="str">
            <v>470703</v>
          </cell>
          <cell r="B3169" t="str">
            <v>Válvula esfera em aço carbono fundido, passagem plena, classe 150 libras para vapor e classe 600 libras para água, óleo e gás, DN= 1´</v>
          </cell>
          <cell r="C3169" t="str">
            <v>un</v>
          </cell>
          <cell r="D3169">
            <v>72.47</v>
          </cell>
          <cell r="E3169">
            <v>17.91</v>
          </cell>
          <cell r="F3169">
            <v>90.38</v>
          </cell>
        </row>
        <row r="3170">
          <cell r="A3170" t="str">
            <v>470708</v>
          </cell>
          <cell r="B3170" t="str">
            <v>Válvula esfera em aço carbono fundido, passagem plena, estremidades rosqueáveis, classe 300 libras para vapor saturado, DN= 1´</v>
          </cell>
          <cell r="C3170" t="str">
            <v>un</v>
          </cell>
          <cell r="D3170">
            <v>91.39</v>
          </cell>
          <cell r="E3170">
            <v>17.91</v>
          </cell>
          <cell r="F3170">
            <v>109.3</v>
          </cell>
        </row>
        <row r="3171">
          <cell r="A3171" t="str">
            <v>470709</v>
          </cell>
          <cell r="B3171" t="str">
            <v>Válvula esfera em aço carbono fundido, passagem plena, estremidades rosqueáveis, classe 300 libras para vapor saturado, DN= 2´</v>
          </cell>
          <cell r="C3171" t="str">
            <v>un</v>
          </cell>
          <cell r="D3171">
            <v>230.31</v>
          </cell>
          <cell r="E3171">
            <v>29.85</v>
          </cell>
          <cell r="F3171">
            <v>260.16000000000003</v>
          </cell>
        </row>
        <row r="3172">
          <cell r="A3172" t="str">
            <v>470710</v>
          </cell>
          <cell r="B3172" t="str">
            <v>Válvula esfera em aço carbono fundido, passagem reduzida, classe 150 libras para vapor e classe 600 libras para água, óleo e gás, DN= 1/2´</v>
          </cell>
          <cell r="C3172" t="str">
            <v>un</v>
          </cell>
          <cell r="D3172">
            <v>32.78</v>
          </cell>
          <cell r="E3172">
            <v>10.75</v>
          </cell>
          <cell r="F3172">
            <v>43.53</v>
          </cell>
        </row>
        <row r="3173">
          <cell r="A3173" t="str">
            <v>470711</v>
          </cell>
          <cell r="B3173" t="str">
            <v>Válvula esfera em aço carbono fundido, passagem reduzida, classe 150 libras para vapor e classe 600 libras para água, óleo e gás, DN= 3/4´</v>
          </cell>
          <cell r="C3173" t="str">
            <v>un</v>
          </cell>
          <cell r="D3173">
            <v>39.97</v>
          </cell>
          <cell r="E3173">
            <v>14.33</v>
          </cell>
          <cell r="F3173">
            <v>54.300000000000004</v>
          </cell>
        </row>
        <row r="3174">
          <cell r="A3174" t="str">
            <v>470712</v>
          </cell>
          <cell r="B3174" t="str">
            <v>Válvula esfera em aço carbono fundido, passagem reduzida, classe 150 libras para vapor e classe 600 libras para água, óleo e gás, DN=1 1/2´</v>
          </cell>
          <cell r="C3174" t="str">
            <v>un</v>
          </cell>
          <cell r="D3174">
            <v>110.56</v>
          </cell>
          <cell r="E3174">
            <v>23.88</v>
          </cell>
          <cell r="F3174">
            <v>134.44</v>
          </cell>
        </row>
        <row r="3175">
          <cell r="A3175" t="str">
            <v>470716</v>
          </cell>
          <cell r="B3175" t="str">
            <v>Válvula de esfera monobloco em aço carbono fundido, passagem reduzida, classe 150 libras para gás e 300 libras para líquidos e fluidos, DN= 3/4´</v>
          </cell>
          <cell r="C3175" t="str">
            <v>un</v>
          </cell>
          <cell r="D3175">
            <v>39.72</v>
          </cell>
          <cell r="E3175">
            <v>16.72</v>
          </cell>
          <cell r="F3175">
            <v>56.44</v>
          </cell>
        </row>
        <row r="3176">
          <cell r="A3176" t="str">
            <v>470901</v>
          </cell>
          <cell r="B3176" t="str">
            <v>Válvula globo em aço carbono forjado, classe 800 libras para vapor e classe 2000 libras para água, óleo e gás, DN= 3/4´</v>
          </cell>
          <cell r="C3176" t="str">
            <v>un</v>
          </cell>
          <cell r="D3176">
            <v>145</v>
          </cell>
          <cell r="E3176">
            <v>14.33</v>
          </cell>
          <cell r="F3176">
            <v>159.33000000000001</v>
          </cell>
        </row>
        <row r="3177">
          <cell r="A3177" t="str">
            <v>470902</v>
          </cell>
          <cell r="B3177" t="str">
            <v>Válvula globo em aço carbono forjado, classe 800 libras para vapor e classe 2000 libras para água, óleo e gás, DN= 1´</v>
          </cell>
          <cell r="C3177" t="str">
            <v>un</v>
          </cell>
          <cell r="D3177">
            <v>208.97</v>
          </cell>
          <cell r="E3177">
            <v>17.91</v>
          </cell>
          <cell r="F3177">
            <v>226.88</v>
          </cell>
        </row>
        <row r="3178">
          <cell r="A3178" t="str">
            <v>470903</v>
          </cell>
          <cell r="B3178" t="str">
            <v>Válvula globo em aço carbono forjado, classe 800 libras para vapor e classe 2000 libras para água, óleo e gás, DN= 1 1/2´</v>
          </cell>
          <cell r="C3178" t="str">
            <v>un</v>
          </cell>
          <cell r="D3178">
            <v>386.3</v>
          </cell>
          <cell r="E3178">
            <v>23.88</v>
          </cell>
          <cell r="F3178">
            <v>410.18</v>
          </cell>
        </row>
        <row r="3179">
          <cell r="A3179" t="str">
            <v>470904</v>
          </cell>
          <cell r="B3179" t="str">
            <v>Válvula globo em aço carbono forjado, classe 800 libras para vapor e classe 2000 libras para água, óleo e gás, DN= 2´</v>
          </cell>
          <cell r="C3179" t="str">
            <v>un</v>
          </cell>
          <cell r="D3179">
            <v>486</v>
          </cell>
          <cell r="E3179">
            <v>29.85</v>
          </cell>
          <cell r="F3179">
            <v>515.85</v>
          </cell>
        </row>
        <row r="3180">
          <cell r="A3180" t="str">
            <v>471001</v>
          </cell>
          <cell r="B3180" t="str">
            <v>Purgador termodinâmico com filtro incorporado, em aço inoxidável forjado, pressão de 0,25 a 42 kg/cm², temperaturas até 425°C, DN= 1/2´</v>
          </cell>
          <cell r="C3180" t="str">
            <v>un</v>
          </cell>
          <cell r="D3180">
            <v>346.28000000000003</v>
          </cell>
          <cell r="E3180">
            <v>10.75</v>
          </cell>
          <cell r="F3180">
            <v>357.03000000000003</v>
          </cell>
        </row>
        <row r="3181">
          <cell r="A3181" t="str">
            <v>471102</v>
          </cell>
          <cell r="B3181" t="str">
            <v>Pressostato de diferencial ajustável, montagem inferior diâmetro 1/2´, faixa de operação entre 32,00 e 45,00 mca</v>
          </cell>
          <cell r="C3181" t="str">
            <v>un</v>
          </cell>
          <cell r="D3181">
            <v>296.68</v>
          </cell>
          <cell r="E3181">
            <v>49.160000000000004</v>
          </cell>
          <cell r="F3181">
            <v>345.84000000000003</v>
          </cell>
        </row>
        <row r="3182">
          <cell r="A3182" t="str">
            <v>471108</v>
          </cell>
          <cell r="B3182" t="str">
            <v>Termômetro bimetálico, mostrador com 4´, saída angular, escala 0-100°C</v>
          </cell>
          <cell r="C3182" t="str">
            <v>un</v>
          </cell>
          <cell r="D3182">
            <v>62.25</v>
          </cell>
          <cell r="E3182">
            <v>4.78</v>
          </cell>
          <cell r="F3182">
            <v>67.03</v>
          </cell>
        </row>
        <row r="3183">
          <cell r="A3183" t="str">
            <v>471110</v>
          </cell>
          <cell r="B3183" t="str">
            <v>Manômetro com mostrador de 4´, escalas: 0-4 / 0-7 / 0-10 / 0-17 / 0-21 / 0-28 kg/cm²</v>
          </cell>
          <cell r="C3183" t="str">
            <v>un</v>
          </cell>
          <cell r="D3183">
            <v>67.59</v>
          </cell>
          <cell r="E3183">
            <v>11.94</v>
          </cell>
          <cell r="F3183">
            <v>79.53</v>
          </cell>
        </row>
        <row r="3184">
          <cell r="A3184" t="str">
            <v>471111</v>
          </cell>
          <cell r="B3184" t="str">
            <v>Pressostato de diferencial ajustável, unidade sensora em latão/buna ´N´, faixa de operação entre 1,4 a 14 bar, para água, ar, óleo e gás, DN= 1/2´</v>
          </cell>
          <cell r="C3184" t="str">
            <v>un</v>
          </cell>
          <cell r="D3184">
            <v>634.20000000000005</v>
          </cell>
          <cell r="E3184">
            <v>49.160000000000004</v>
          </cell>
          <cell r="F3184">
            <v>683.36</v>
          </cell>
        </row>
        <row r="3185">
          <cell r="A3185" t="str">
            <v>471204</v>
          </cell>
          <cell r="B3185" t="str">
            <v>Válvula de gaveta em ferro dúctil com flanges, classe PN-10, DN= 200mm</v>
          </cell>
          <cell r="C3185" t="str">
            <v>un</v>
          </cell>
          <cell r="D3185">
            <v>1398.47</v>
          </cell>
          <cell r="E3185">
            <v>82.12</v>
          </cell>
          <cell r="F3185">
            <v>1480.59</v>
          </cell>
        </row>
        <row r="3186">
          <cell r="A3186" t="str">
            <v>471227</v>
          </cell>
          <cell r="B3186" t="str">
            <v>Válvula de gaveta em ferro dúctil com flanges, classe PN-10, DN= 80mm</v>
          </cell>
          <cell r="C3186" t="str">
            <v>un</v>
          </cell>
          <cell r="D3186">
            <v>506.44</v>
          </cell>
          <cell r="E3186">
            <v>82.12</v>
          </cell>
          <cell r="F3186">
            <v>588.55999999999995</v>
          </cell>
        </row>
        <row r="3187">
          <cell r="A3187" t="str">
            <v>471228</v>
          </cell>
          <cell r="B3187" t="str">
            <v>Válvula globo auto-operada hidráulicamente, em ferro dúctil, classe PN-10/16, DN= 50mm</v>
          </cell>
          <cell r="C3187" t="str">
            <v>un</v>
          </cell>
          <cell r="D3187">
            <v>748.80000000000007</v>
          </cell>
          <cell r="E3187">
            <v>29.85</v>
          </cell>
          <cell r="F3187">
            <v>778.65</v>
          </cell>
        </row>
        <row r="3188">
          <cell r="A3188" t="str">
            <v>471229</v>
          </cell>
          <cell r="B3188" t="str">
            <v>Válvula globo auto-operada hidráulicamente, comandada por solenóide, em ferro dúctil, classe PN-10, DN= 50mm</v>
          </cell>
          <cell r="C3188" t="str">
            <v>un</v>
          </cell>
          <cell r="D3188">
            <v>1113.5999999999999</v>
          </cell>
          <cell r="E3188">
            <v>52.59</v>
          </cell>
          <cell r="F3188">
            <v>1166.19</v>
          </cell>
        </row>
        <row r="3189">
          <cell r="A3189" t="str">
            <v>471230</v>
          </cell>
          <cell r="B3189" t="str">
            <v>Válvula globo auto-operada hidráulicamente, comandada por solenóide, em ferro dúctil, classe PN-10, DN= 100mm</v>
          </cell>
          <cell r="C3189" t="str">
            <v>un</v>
          </cell>
          <cell r="D3189">
            <v>1438.08</v>
          </cell>
          <cell r="E3189">
            <v>52.59</v>
          </cell>
          <cell r="F3189">
            <v>1490.67</v>
          </cell>
        </row>
        <row r="3190">
          <cell r="A3190" t="str">
            <v>471231</v>
          </cell>
          <cell r="B3190" t="str">
            <v>Válvula de gaveta em ferro dúctil com flanges, classe PN-10, DN= 300mm</v>
          </cell>
          <cell r="C3190" t="str">
            <v>un</v>
          </cell>
          <cell r="D3190">
            <v>3701.32</v>
          </cell>
          <cell r="E3190">
            <v>82.12</v>
          </cell>
          <cell r="F3190">
            <v>3783.44</v>
          </cell>
        </row>
        <row r="3191">
          <cell r="A3191" t="str">
            <v>471232</v>
          </cell>
          <cell r="B3191" t="str">
            <v>Válvula de gaveta em ferro dúctil com flanges, classe PN-10, DN= 100mm</v>
          </cell>
          <cell r="C3191" t="str">
            <v>un</v>
          </cell>
          <cell r="D3191">
            <v>516.72</v>
          </cell>
          <cell r="E3191">
            <v>82.12</v>
          </cell>
          <cell r="F3191">
            <v>598.84</v>
          </cell>
        </row>
        <row r="3192">
          <cell r="A3192" t="str">
            <v>471233</v>
          </cell>
          <cell r="B3192" t="str">
            <v>Válvula de gaveta em ferro dúctil com flanges, classe PN-10, DN= 150mm</v>
          </cell>
          <cell r="C3192" t="str">
            <v>un</v>
          </cell>
          <cell r="D3192">
            <v>840.88</v>
          </cell>
          <cell r="E3192">
            <v>82.12</v>
          </cell>
          <cell r="F3192">
            <v>923</v>
          </cell>
        </row>
        <row r="3193">
          <cell r="A3193" t="str">
            <v>471234</v>
          </cell>
          <cell r="B3193" t="str">
            <v>Ventosa simples rosqueada em ferro dúctil, classe PN-25, DN= 3/4´</v>
          </cell>
          <cell r="C3193" t="str">
            <v>un</v>
          </cell>
          <cell r="D3193">
            <v>401.90000000000003</v>
          </cell>
          <cell r="E3193">
            <v>7.16</v>
          </cell>
          <cell r="F3193">
            <v>409.06</v>
          </cell>
        </row>
        <row r="3194">
          <cell r="A3194" t="str">
            <v>471235</v>
          </cell>
          <cell r="B3194" t="str">
            <v>Ventosa de tríplice função em ferro dúctil flangeada, classe PN-10/16/25, DN= 50mm</v>
          </cell>
          <cell r="C3194" t="str">
            <v>un</v>
          </cell>
          <cell r="D3194">
            <v>1219.29</v>
          </cell>
          <cell r="E3194">
            <v>10.51</v>
          </cell>
          <cell r="F3194">
            <v>1229.8</v>
          </cell>
        </row>
        <row r="3195">
          <cell r="A3195" t="str">
            <v>471402</v>
          </cell>
          <cell r="B3195" t="str">
            <v>Registro de pressão em PVC rígido, soldável, DN= 25mm (3/4´)</v>
          </cell>
          <cell r="C3195" t="str">
            <v>un</v>
          </cell>
          <cell r="D3195">
            <v>13.56</v>
          </cell>
          <cell r="E3195">
            <v>10.75</v>
          </cell>
          <cell r="F3195">
            <v>24.310000000000002</v>
          </cell>
        </row>
        <row r="3196">
          <cell r="A3196" t="str">
            <v>471420</v>
          </cell>
          <cell r="B3196" t="str">
            <v>Registro regulador de vazão para torneira, misturador e bidê, em ABS com canopla, DN= 1/2´</v>
          </cell>
          <cell r="C3196" t="str">
            <v>un</v>
          </cell>
          <cell r="D3196">
            <v>27.810000000000002</v>
          </cell>
          <cell r="E3196">
            <v>10.75</v>
          </cell>
          <cell r="F3196">
            <v>38.56</v>
          </cell>
        </row>
        <row r="3197">
          <cell r="A3197" t="str">
            <v>472001</v>
          </cell>
          <cell r="B3197" t="str">
            <v>Pig Tail em latão para manômetro, DN= 1/2´</v>
          </cell>
          <cell r="C3197" t="str">
            <v>un</v>
          </cell>
          <cell r="D3197">
            <v>41.800000000000004</v>
          </cell>
          <cell r="E3197">
            <v>3.58</v>
          </cell>
          <cell r="F3197">
            <v>45.38</v>
          </cell>
        </row>
        <row r="3198">
          <cell r="A3198" t="str">
            <v>472002</v>
          </cell>
          <cell r="B3198" t="str">
            <v>Filtro ´Y´ em bronze para gás combustível, DN= 2´</v>
          </cell>
          <cell r="C3198" t="str">
            <v>un</v>
          </cell>
          <cell r="D3198">
            <v>165.61</v>
          </cell>
          <cell r="E3198">
            <v>29.85</v>
          </cell>
          <cell r="F3198">
            <v>195.46</v>
          </cell>
        </row>
        <row r="3199">
          <cell r="A3199" t="str">
            <v>472003</v>
          </cell>
          <cell r="B3199" t="str">
            <v>Filtro ´Y´ em ferro fundido, classe 125 libras para vapor saturado, com extremidades rosqueaveis, DN= 2´</v>
          </cell>
          <cell r="C3199" t="str">
            <v>un</v>
          </cell>
          <cell r="D3199">
            <v>430.26</v>
          </cell>
          <cell r="E3199">
            <v>29.85</v>
          </cell>
          <cell r="F3199">
            <v>460.11</v>
          </cell>
        </row>
        <row r="3200">
          <cell r="A3200" t="str">
            <v>472005</v>
          </cell>
          <cell r="B3200" t="str">
            <v>Separador de umidade horizontal em ferro fundido flangeado, DN= 2´</v>
          </cell>
          <cell r="C3200" t="str">
            <v>un</v>
          </cell>
          <cell r="D3200">
            <v>1862.16</v>
          </cell>
          <cell r="E3200">
            <v>29.85</v>
          </cell>
          <cell r="F3200">
            <v>1892.01</v>
          </cell>
        </row>
        <row r="3201">
          <cell r="A3201" t="str">
            <v>472006</v>
          </cell>
          <cell r="B3201" t="str">
            <v>Separador de umidade horizontal em ferro fundido flangeado, DN= 4´</v>
          </cell>
          <cell r="C3201" t="str">
            <v>un</v>
          </cell>
          <cell r="D3201">
            <v>5565.46</v>
          </cell>
          <cell r="E3201">
            <v>71.64</v>
          </cell>
          <cell r="F3201">
            <v>5637.1</v>
          </cell>
        </row>
        <row r="3202">
          <cell r="A3202" t="str">
            <v>472007</v>
          </cell>
          <cell r="B3202" t="str">
            <v>Pigtail flexível, revestido com borracha sintética resistente, DN= 7/16´ comprimento até 1,00 m</v>
          </cell>
          <cell r="C3202" t="str">
            <v>un</v>
          </cell>
          <cell r="D3202">
            <v>20.79</v>
          </cell>
          <cell r="E3202">
            <v>4.99</v>
          </cell>
          <cell r="F3202">
            <v>25.78</v>
          </cell>
        </row>
        <row r="3203">
          <cell r="A3203" t="str">
            <v>472008</v>
          </cell>
          <cell r="B3203" t="str">
            <v>Regulador de primeiro estágio de alta pressão até 2kgf/cm², vazão de 90kg GLP/hora</v>
          </cell>
          <cell r="C3203" t="str">
            <v>un</v>
          </cell>
          <cell r="D3203">
            <v>346.97</v>
          </cell>
          <cell r="E3203">
            <v>16.64</v>
          </cell>
          <cell r="F3203">
            <v>363.61</v>
          </cell>
        </row>
        <row r="3204">
          <cell r="A3204" t="str">
            <v>472010</v>
          </cell>
          <cell r="B3204" t="str">
            <v>Regulador de primeiro estágio, tipo alta pressão até 1,3 kgf/cm², vazão de 50kg GLP/hora</v>
          </cell>
          <cell r="C3204" t="str">
            <v>un</v>
          </cell>
          <cell r="D3204">
            <v>160.81</v>
          </cell>
          <cell r="E3204">
            <v>16.64</v>
          </cell>
          <cell r="F3204">
            <v>177.45000000000002</v>
          </cell>
        </row>
        <row r="3205">
          <cell r="A3205" t="str">
            <v>472012</v>
          </cell>
          <cell r="B3205" t="str">
            <v>Regulador de segundo estágio para gás, uso industrial, vazão até 12kg GLP/hora</v>
          </cell>
          <cell r="C3205" t="str">
            <v>un</v>
          </cell>
          <cell r="D3205">
            <v>35.4</v>
          </cell>
          <cell r="E3205">
            <v>11.94</v>
          </cell>
          <cell r="F3205">
            <v>47.34</v>
          </cell>
        </row>
        <row r="3206">
          <cell r="A3206" t="str">
            <v>472018</v>
          </cell>
          <cell r="B3206" t="str">
            <v>Filtro ´Y´ em aço carbono, classe 150 libras para vapor saturado, com extremidades flangeadas, DN= 4´</v>
          </cell>
          <cell r="C3206" t="str">
            <v>un</v>
          </cell>
          <cell r="D3206">
            <v>1860.22</v>
          </cell>
          <cell r="E3206">
            <v>71.64</v>
          </cell>
          <cell r="F3206">
            <v>1931.8600000000001</v>
          </cell>
        </row>
        <row r="3207">
          <cell r="A3207" t="str">
            <v>472019</v>
          </cell>
          <cell r="B3207" t="str">
            <v>Chave de fluxo tipo palheta para tubulação de líquidos.</v>
          </cell>
          <cell r="C3207" t="str">
            <v>un</v>
          </cell>
          <cell r="D3207">
            <v>98.54</v>
          </cell>
          <cell r="E3207">
            <v>9.1</v>
          </cell>
          <cell r="F3207">
            <v>107.64</v>
          </cell>
        </row>
        <row r="3208">
          <cell r="A3208" t="str">
            <v>472024</v>
          </cell>
          <cell r="B3208" t="str">
            <v>Filtro ´Y´ em bronze, pressão de serviço até 15,5 bar, classe PN 20, com extremidades rosqueaveis, DN= 1 1/4´</v>
          </cell>
          <cell r="C3208" t="str">
            <v>un</v>
          </cell>
          <cell r="D3208">
            <v>83.75</v>
          </cell>
          <cell r="E3208">
            <v>29.85</v>
          </cell>
          <cell r="F3208">
            <v>113.60000000000001</v>
          </cell>
        </row>
        <row r="3209">
          <cell r="A3209" t="str">
            <v>472025</v>
          </cell>
          <cell r="B3209" t="str">
            <v>Filtro ´Y´ em bronze, pressão de serviço até 15,5 bar, classe PN 20, com extremidades rosqueaveis, DN= 1 1/2´</v>
          </cell>
          <cell r="C3209" t="str">
            <v>un</v>
          </cell>
          <cell r="D3209">
            <v>123.33</v>
          </cell>
          <cell r="E3209">
            <v>29.85</v>
          </cell>
          <cell r="F3209">
            <v>153.18</v>
          </cell>
        </row>
        <row r="3210">
          <cell r="A3210" t="str">
            <v>472026</v>
          </cell>
          <cell r="B3210" t="str">
            <v>Filtro ´Y´ em bronze, pressão de serviço até 15,5 bar, classe PN 20, com extremidades rosqueaveis, DN= 2´</v>
          </cell>
          <cell r="C3210" t="str">
            <v>un</v>
          </cell>
          <cell r="D3210">
            <v>165.29</v>
          </cell>
          <cell r="E3210">
            <v>29.85</v>
          </cell>
          <cell r="F3210">
            <v>195.14000000000001</v>
          </cell>
        </row>
        <row r="3211">
          <cell r="A3211" t="str">
            <v>472030</v>
          </cell>
          <cell r="B3211" t="str">
            <v>Chave de fluxo de água com retardo para tubulações com diâmetro nominal de 1´ a 6´ - conexão BSP</v>
          </cell>
          <cell r="C3211" t="str">
            <v>un</v>
          </cell>
          <cell r="D3211">
            <v>246.08</v>
          </cell>
          <cell r="E3211">
            <v>27.82</v>
          </cell>
          <cell r="F3211">
            <v>273.89999999999998</v>
          </cell>
        </row>
        <row r="3212">
          <cell r="A3212" t="str">
            <v>480201</v>
          </cell>
          <cell r="B3212" t="str">
            <v>Reservatório de fibra de vidro - capacidade de 15.000 litros</v>
          </cell>
          <cell r="C3212" t="str">
            <v>un</v>
          </cell>
          <cell r="D3212">
            <v>3711.53</v>
          </cell>
          <cell r="E3212">
            <v>52.08</v>
          </cell>
          <cell r="F3212">
            <v>3763.61</v>
          </cell>
        </row>
        <row r="3213">
          <cell r="A3213" t="str">
            <v>480202</v>
          </cell>
          <cell r="B3213" t="str">
            <v>Reservatório de fibra de vidro - capacidade de 1.000 litros</v>
          </cell>
          <cell r="C3213" t="str">
            <v>un</v>
          </cell>
          <cell r="D3213">
            <v>286.23</v>
          </cell>
          <cell r="E3213">
            <v>23.88</v>
          </cell>
          <cell r="F3213">
            <v>310.11</v>
          </cell>
        </row>
        <row r="3214">
          <cell r="A3214" t="str">
            <v>480203</v>
          </cell>
          <cell r="B3214" t="str">
            <v>Reservatório de fibra de vidro - capacidade de 500 litros</v>
          </cell>
          <cell r="C3214" t="str">
            <v>un</v>
          </cell>
          <cell r="D3214">
            <v>176.91</v>
          </cell>
          <cell r="E3214">
            <v>23.88</v>
          </cell>
          <cell r="F3214">
            <v>200.79</v>
          </cell>
        </row>
        <row r="3215">
          <cell r="A3215" t="str">
            <v>480204</v>
          </cell>
          <cell r="B3215" t="str">
            <v>Reservatório de fibra de vidro - capacidade de 250 litros</v>
          </cell>
          <cell r="C3215" t="str">
            <v>un</v>
          </cell>
          <cell r="D3215">
            <v>125.18</v>
          </cell>
          <cell r="E3215">
            <v>23.88</v>
          </cell>
          <cell r="F3215">
            <v>149.06</v>
          </cell>
        </row>
        <row r="3216">
          <cell r="A3216" t="str">
            <v>480205</v>
          </cell>
          <cell r="B3216" t="str">
            <v>Reservatório de fibra de vidro - capacidade de 3.000 litros</v>
          </cell>
          <cell r="C3216" t="str">
            <v>un</v>
          </cell>
          <cell r="D3216">
            <v>792.46</v>
          </cell>
          <cell r="E3216">
            <v>33.28</v>
          </cell>
          <cell r="F3216">
            <v>825.74</v>
          </cell>
        </row>
        <row r="3217">
          <cell r="A3217" t="str">
            <v>480207</v>
          </cell>
          <cell r="B3217" t="str">
            <v>Reservatório de fibra de vidro - capacidade de 10.000 litros</v>
          </cell>
          <cell r="C3217" t="str">
            <v>un</v>
          </cell>
          <cell r="D3217">
            <v>2438.56</v>
          </cell>
          <cell r="E3217">
            <v>52.08</v>
          </cell>
          <cell r="F3217">
            <v>2490.64</v>
          </cell>
        </row>
        <row r="3218">
          <cell r="A3218" t="str">
            <v>480208</v>
          </cell>
          <cell r="B3218" t="str">
            <v>Reservatório de fibra de vidro - capacidade de 1.500 litros</v>
          </cell>
          <cell r="C3218" t="str">
            <v>un</v>
          </cell>
          <cell r="D3218">
            <v>425.88</v>
          </cell>
          <cell r="E3218">
            <v>33.28</v>
          </cell>
          <cell r="F3218">
            <v>459.16</v>
          </cell>
        </row>
        <row r="3219">
          <cell r="A3219" t="str">
            <v>480210</v>
          </cell>
          <cell r="B3219" t="str">
            <v>Reservatório de fibra de vidro - capacidade de 2.000 litros</v>
          </cell>
          <cell r="C3219" t="str">
            <v>un</v>
          </cell>
          <cell r="D3219">
            <v>548.67999999999995</v>
          </cell>
          <cell r="E3219">
            <v>33.28</v>
          </cell>
          <cell r="F3219">
            <v>581.96</v>
          </cell>
        </row>
        <row r="3220">
          <cell r="A3220" t="str">
            <v>480222</v>
          </cell>
          <cell r="B3220" t="str">
            <v>Reservatório vertical de fibra de vidro - capacidade de 1.000 litros</v>
          </cell>
          <cell r="C3220" t="str">
            <v>un</v>
          </cell>
          <cell r="D3220">
            <v>6815.57</v>
          </cell>
          <cell r="E3220">
            <v>33.28</v>
          </cell>
          <cell r="F3220">
            <v>6848.85</v>
          </cell>
        </row>
        <row r="3221">
          <cell r="A3221" t="str">
            <v>480230</v>
          </cell>
          <cell r="B3221" t="str">
            <v>Reservatório em polietileno de alta densidade (cisterna) com antioxidante e proteção contra raios ultravioleta (UV) - capacidade de 5.000 litros</v>
          </cell>
          <cell r="C3221" t="str">
            <v>cj</v>
          </cell>
          <cell r="D3221">
            <v>5458.4000000000005</v>
          </cell>
          <cell r="E3221">
            <v>37.979999999999997</v>
          </cell>
          <cell r="F3221">
            <v>5496.38</v>
          </cell>
        </row>
        <row r="3222">
          <cell r="A3222" t="str">
            <v>480231</v>
          </cell>
          <cell r="B3222" t="str">
            <v>Reservatório em polietileno de alta densidade (cisterna) com antioxidante e proteção contra raios ultravioleta (UV) - capacidade de 10.000 litros</v>
          </cell>
          <cell r="C3222" t="str">
            <v>cj</v>
          </cell>
          <cell r="D3222">
            <v>8591.98</v>
          </cell>
          <cell r="E3222">
            <v>52.08</v>
          </cell>
          <cell r="F3222">
            <v>8644.06</v>
          </cell>
        </row>
        <row r="3223">
          <cell r="A3223" t="str">
            <v>480232</v>
          </cell>
          <cell r="B3223" t="str">
            <v>Reservatório em polietileno de alta densidade com antioxidante e proteção contra raios ultravioleta (UV) - capacidade de 8.000 litros</v>
          </cell>
          <cell r="C3223" t="str">
            <v>un</v>
          </cell>
          <cell r="D3223">
            <v>2853.73</v>
          </cell>
          <cell r="E3223">
            <v>52.08</v>
          </cell>
          <cell r="F3223">
            <v>2905.81</v>
          </cell>
        </row>
        <row r="3224">
          <cell r="A3224" t="str">
            <v>480301</v>
          </cell>
          <cell r="B3224" t="str">
            <v>Reservatório metálico cilíndrico horizontal - capacidade de 1.000 litros</v>
          </cell>
          <cell r="C3224" t="str">
            <v>cj</v>
          </cell>
          <cell r="D3224">
            <v>1059.3</v>
          </cell>
          <cell r="E3224">
            <v>33.28</v>
          </cell>
          <cell r="F3224">
            <v>1092.58</v>
          </cell>
        </row>
        <row r="3225">
          <cell r="A3225" t="str">
            <v>480312</v>
          </cell>
          <cell r="B3225" t="str">
            <v>Reservatório metálico cilíndrico horizontal - capacidade de 10.000 litros</v>
          </cell>
          <cell r="C3225" t="str">
            <v>cj</v>
          </cell>
          <cell r="D3225">
            <v>9173.4</v>
          </cell>
          <cell r="E3225">
            <v>33.28</v>
          </cell>
          <cell r="F3225">
            <v>9206.68</v>
          </cell>
        </row>
        <row r="3226">
          <cell r="A3226" t="str">
            <v>480313</v>
          </cell>
          <cell r="B3226" t="str">
            <v>Reservatório metálico cilíndrico horizontal - capacidade de 5.000 litros</v>
          </cell>
          <cell r="C3226" t="str">
            <v>cj</v>
          </cell>
          <cell r="D3226">
            <v>5885.88</v>
          </cell>
          <cell r="E3226">
            <v>33.28</v>
          </cell>
          <cell r="F3226">
            <v>5919.16</v>
          </cell>
        </row>
        <row r="3227">
          <cell r="A3227" t="str">
            <v>480317</v>
          </cell>
          <cell r="B3227" t="str">
            <v>Reservatório metálico cilíndrico horizontal - capacidade de 3.000 litros</v>
          </cell>
          <cell r="C3227" t="str">
            <v>cj</v>
          </cell>
          <cell r="D3227">
            <v>3272.79</v>
          </cell>
          <cell r="E3227">
            <v>33.28</v>
          </cell>
          <cell r="F3227">
            <v>3306.07</v>
          </cell>
        </row>
        <row r="3228">
          <cell r="A3228" t="str">
            <v>480426</v>
          </cell>
          <cell r="B3228" t="str">
            <v>Reservatório em concreto armado cilíndrico vertical, tipo duas células, capacidade total 425.000 litros</v>
          </cell>
          <cell r="C3228" t="str">
            <v>cj</v>
          </cell>
          <cell r="D3228">
            <v>1052500</v>
          </cell>
          <cell r="E3228">
            <v>0</v>
          </cell>
          <cell r="F3228">
            <v>1052500</v>
          </cell>
        </row>
        <row r="3229">
          <cell r="A3229" t="str">
            <v>480501</v>
          </cell>
          <cell r="B3229" t="str">
            <v>Torneira de bóia, DN= 3/4´</v>
          </cell>
          <cell r="C3229" t="str">
            <v>un</v>
          </cell>
          <cell r="D3229">
            <v>36.32</v>
          </cell>
          <cell r="E3229">
            <v>7.16</v>
          </cell>
          <cell r="F3229">
            <v>43.480000000000004</v>
          </cell>
        </row>
        <row r="3230">
          <cell r="A3230" t="str">
            <v>480502</v>
          </cell>
          <cell r="B3230" t="str">
            <v>Torneira de bóia, DN= 1´</v>
          </cell>
          <cell r="C3230" t="str">
            <v>un</v>
          </cell>
          <cell r="D3230">
            <v>45.71</v>
          </cell>
          <cell r="E3230">
            <v>9.5500000000000007</v>
          </cell>
          <cell r="F3230">
            <v>55.26</v>
          </cell>
        </row>
        <row r="3231">
          <cell r="A3231" t="str">
            <v>480503</v>
          </cell>
          <cell r="B3231" t="str">
            <v>Torneira de bóia, DN= 1 1/4´</v>
          </cell>
          <cell r="C3231" t="str">
            <v>un</v>
          </cell>
          <cell r="D3231">
            <v>65.040000000000006</v>
          </cell>
          <cell r="E3231">
            <v>10.75</v>
          </cell>
          <cell r="F3231">
            <v>75.790000000000006</v>
          </cell>
        </row>
        <row r="3232">
          <cell r="A3232" t="str">
            <v>480504</v>
          </cell>
          <cell r="B3232" t="str">
            <v>Torneira de bóia, DN= 1 1/2´</v>
          </cell>
          <cell r="C3232" t="str">
            <v>un</v>
          </cell>
          <cell r="D3232">
            <v>86.08</v>
          </cell>
          <cell r="E3232">
            <v>10.75</v>
          </cell>
          <cell r="F3232">
            <v>96.83</v>
          </cell>
        </row>
        <row r="3233">
          <cell r="A3233" t="str">
            <v>480505</v>
          </cell>
          <cell r="B3233" t="str">
            <v>Torneira de bóia, DN= 2´</v>
          </cell>
          <cell r="C3233" t="str">
            <v>un</v>
          </cell>
          <cell r="D3233">
            <v>102.98</v>
          </cell>
          <cell r="E3233">
            <v>14.33</v>
          </cell>
          <cell r="F3233">
            <v>117.31</v>
          </cell>
        </row>
        <row r="3234">
          <cell r="A3234" t="str">
            <v>480507</v>
          </cell>
          <cell r="B3234" t="str">
            <v>Torneira de bóia, tipo registro automático de entrada, DN= 3´</v>
          </cell>
          <cell r="C3234" t="str">
            <v>un</v>
          </cell>
          <cell r="D3234">
            <v>1143.67</v>
          </cell>
          <cell r="E3234">
            <v>47.76</v>
          </cell>
          <cell r="F3234">
            <v>1191.43</v>
          </cell>
        </row>
        <row r="3235">
          <cell r="A3235" t="str">
            <v>480508</v>
          </cell>
          <cell r="B3235" t="str">
            <v>Torneira de bóia, tipo registro automático de entrada, em ferro dúctil, DN= 8´</v>
          </cell>
          <cell r="C3235" t="str">
            <v>un</v>
          </cell>
          <cell r="D3235">
            <v>4197.4399999999996</v>
          </cell>
          <cell r="E3235">
            <v>95.52</v>
          </cell>
          <cell r="F3235">
            <v>4292.96</v>
          </cell>
        </row>
        <row r="3236">
          <cell r="A3236" t="str">
            <v>480509</v>
          </cell>
          <cell r="B3236" t="str">
            <v>Torneira de bóia, DN= 2 1/2´</v>
          </cell>
          <cell r="C3236" t="str">
            <v>un</v>
          </cell>
          <cell r="D3236">
            <v>145.30000000000001</v>
          </cell>
          <cell r="E3236">
            <v>10.75</v>
          </cell>
          <cell r="F3236">
            <v>156.05000000000001</v>
          </cell>
        </row>
        <row r="3237">
          <cell r="A3237" t="str">
            <v>482002</v>
          </cell>
          <cell r="B3237" t="str">
            <v>Limpeza de caixa d´água até 1.000 litros</v>
          </cell>
          <cell r="C3237" t="str">
            <v>un</v>
          </cell>
          <cell r="D3237">
            <v>0</v>
          </cell>
          <cell r="E3237">
            <v>29.13</v>
          </cell>
          <cell r="F3237">
            <v>29.13</v>
          </cell>
        </row>
        <row r="3238">
          <cell r="A3238" t="str">
            <v>482004</v>
          </cell>
          <cell r="B3238" t="str">
            <v>Limpeza de caixa d´água de 1.001 até 10.000 litros</v>
          </cell>
          <cell r="C3238" t="str">
            <v>un</v>
          </cell>
          <cell r="D3238">
            <v>0</v>
          </cell>
          <cell r="E3238">
            <v>77.680000000000007</v>
          </cell>
          <cell r="F3238">
            <v>77.680000000000007</v>
          </cell>
        </row>
        <row r="3239">
          <cell r="A3239" t="str">
            <v>482006</v>
          </cell>
          <cell r="B3239" t="str">
            <v>Limpeza de caixa d´água acima de 10.000 litros</v>
          </cell>
          <cell r="C3239" t="str">
            <v>un</v>
          </cell>
          <cell r="D3239">
            <v>0</v>
          </cell>
          <cell r="E3239">
            <v>174.78</v>
          </cell>
          <cell r="F3239">
            <v>174.78</v>
          </cell>
        </row>
        <row r="3240">
          <cell r="A3240" t="str">
            <v>490102</v>
          </cell>
          <cell r="B3240" t="str">
            <v>Caixa sifonada de PVC rígido de 100 x 150 x 50 mm, com grelha</v>
          </cell>
          <cell r="C3240" t="str">
            <v>un</v>
          </cell>
          <cell r="D3240">
            <v>22</v>
          </cell>
          <cell r="E3240">
            <v>23.88</v>
          </cell>
          <cell r="F3240">
            <v>45.88</v>
          </cell>
        </row>
        <row r="3241">
          <cell r="A3241" t="str">
            <v>490103</v>
          </cell>
          <cell r="B3241" t="str">
            <v>Caixa sifonada de PVC rígido de 150 x 150 x 50 mm, com grelha</v>
          </cell>
          <cell r="C3241" t="str">
            <v>un</v>
          </cell>
          <cell r="D3241">
            <v>40.270000000000003</v>
          </cell>
          <cell r="E3241">
            <v>23.88</v>
          </cell>
          <cell r="F3241">
            <v>64.150000000000006</v>
          </cell>
        </row>
        <row r="3242">
          <cell r="A3242" t="str">
            <v>490104</v>
          </cell>
          <cell r="B3242" t="str">
            <v>Caixa sifonada de PVC rígido de 150 x 185 x 75 mm, com grelha</v>
          </cell>
          <cell r="C3242" t="str">
            <v>un</v>
          </cell>
          <cell r="D3242">
            <v>23.93</v>
          </cell>
          <cell r="E3242">
            <v>23.88</v>
          </cell>
          <cell r="F3242">
            <v>47.81</v>
          </cell>
        </row>
        <row r="3243">
          <cell r="A3243" t="str">
            <v>490105</v>
          </cell>
          <cell r="B3243" t="str">
            <v>Caixa sifonada de PVC rígido de 250 x 172 x 50 mm, com tampa cega</v>
          </cell>
          <cell r="C3243" t="str">
            <v>un</v>
          </cell>
          <cell r="D3243">
            <v>28.080000000000002</v>
          </cell>
          <cell r="E3243">
            <v>23.88</v>
          </cell>
          <cell r="F3243">
            <v>51.96</v>
          </cell>
        </row>
        <row r="3244">
          <cell r="A3244" t="str">
            <v>490107</v>
          </cell>
          <cell r="B3244" t="str">
            <v>Caixa sifonada de PVC rígido de 250 x 230 x 75 mm, com tampa cega</v>
          </cell>
          <cell r="C3244" t="str">
            <v>un</v>
          </cell>
          <cell r="D3244">
            <v>31.45</v>
          </cell>
          <cell r="E3244">
            <v>23.88</v>
          </cell>
          <cell r="F3244">
            <v>55.33</v>
          </cell>
        </row>
        <row r="3245">
          <cell r="A3245" t="str">
            <v>490108</v>
          </cell>
          <cell r="B3245" t="str">
            <v>Caixa sifonada de PVC rígido de 100 x 100 x 50 mm, com grelha</v>
          </cell>
          <cell r="C3245" t="str">
            <v>un</v>
          </cell>
          <cell r="D3245">
            <v>11.99</v>
          </cell>
          <cell r="E3245">
            <v>23.88</v>
          </cell>
          <cell r="F3245">
            <v>35.869999999999997</v>
          </cell>
        </row>
        <row r="3246">
          <cell r="A3246" t="str">
            <v>490302</v>
          </cell>
          <cell r="B3246" t="str">
            <v>Caixa de gordura em alvenaria, 60 x 60 x 60 cm</v>
          </cell>
          <cell r="C3246" t="str">
            <v>un</v>
          </cell>
          <cell r="D3246">
            <v>52.050000000000004</v>
          </cell>
          <cell r="E3246">
            <v>107.7</v>
          </cell>
          <cell r="F3246">
            <v>159.75</v>
          </cell>
        </row>
        <row r="3247">
          <cell r="A3247" t="str">
            <v>490401</v>
          </cell>
          <cell r="B3247" t="str">
            <v>Ralo seco em PVC rígido de 100 x 40 mm, com grelha</v>
          </cell>
          <cell r="C3247" t="str">
            <v>un</v>
          </cell>
          <cell r="D3247">
            <v>10.33</v>
          </cell>
          <cell r="E3247">
            <v>23.88</v>
          </cell>
          <cell r="F3247">
            <v>34.21</v>
          </cell>
        </row>
        <row r="3248">
          <cell r="A3248" t="str">
            <v>490502</v>
          </cell>
          <cell r="B3248" t="str">
            <v>Ralo seco em ferro fundido, 100 x 165 x 50 mm, com grelha metálica saída vertical</v>
          </cell>
          <cell r="C3248" t="str">
            <v>un</v>
          </cell>
          <cell r="D3248">
            <v>39.51</v>
          </cell>
          <cell r="E3248">
            <v>28.66</v>
          </cell>
          <cell r="F3248">
            <v>68.17</v>
          </cell>
        </row>
        <row r="3249">
          <cell r="A3249" t="str">
            <v>490504</v>
          </cell>
          <cell r="B3249" t="str">
            <v>Ralo sifonado em ferro fundido de 150 x 240 x 75 mm, com grelha</v>
          </cell>
          <cell r="C3249" t="str">
            <v>un</v>
          </cell>
          <cell r="D3249">
            <v>239.36</v>
          </cell>
          <cell r="E3249">
            <v>35.82</v>
          </cell>
          <cell r="F3249">
            <v>275.18</v>
          </cell>
        </row>
        <row r="3250">
          <cell r="A3250" t="str">
            <v>490601</v>
          </cell>
          <cell r="B3250" t="str">
            <v>Grelha hemisférica em ferro fundido de 4´</v>
          </cell>
          <cell r="C3250" t="str">
            <v>un</v>
          </cell>
          <cell r="D3250">
            <v>4.96</v>
          </cell>
          <cell r="E3250">
            <v>1.43</v>
          </cell>
          <cell r="F3250">
            <v>6.3900000000000006</v>
          </cell>
        </row>
        <row r="3251">
          <cell r="A3251" t="str">
            <v>490602</v>
          </cell>
          <cell r="B3251" t="str">
            <v>Grelha em ferro fundido para caixas e canaletas</v>
          </cell>
          <cell r="C3251" t="str">
            <v>m²</v>
          </cell>
          <cell r="D3251">
            <v>514.54999999999995</v>
          </cell>
          <cell r="E3251">
            <v>15.59</v>
          </cell>
          <cell r="F3251">
            <v>530.14</v>
          </cell>
        </row>
        <row r="3252">
          <cell r="A3252" t="str">
            <v>490603</v>
          </cell>
          <cell r="B3252" t="str">
            <v>Grelha hemisférica em ferro fundido de 3´</v>
          </cell>
          <cell r="C3252" t="str">
            <v>un</v>
          </cell>
          <cell r="D3252">
            <v>3.7600000000000002</v>
          </cell>
          <cell r="E3252">
            <v>1.43</v>
          </cell>
          <cell r="F3252">
            <v>5.19</v>
          </cell>
        </row>
        <row r="3253">
          <cell r="A3253" t="str">
            <v>490607</v>
          </cell>
          <cell r="B3253" t="str">
            <v>Grelha articulada em ferro fundido para boca de leão</v>
          </cell>
          <cell r="C3253" t="str">
            <v>un</v>
          </cell>
          <cell r="D3253">
            <v>254.13</v>
          </cell>
          <cell r="E3253">
            <v>12.47</v>
          </cell>
          <cell r="F3253">
            <v>266.60000000000002</v>
          </cell>
        </row>
        <row r="3254">
          <cell r="A3254" t="str">
            <v>490608</v>
          </cell>
          <cell r="B3254" t="str">
            <v>Grelha hemisférica em ferro fundido de 6´</v>
          </cell>
          <cell r="C3254" t="str">
            <v>un</v>
          </cell>
          <cell r="D3254">
            <v>11.96</v>
          </cell>
          <cell r="E3254">
            <v>1.43</v>
          </cell>
          <cell r="F3254">
            <v>13.39</v>
          </cell>
        </row>
        <row r="3255">
          <cell r="A3255" t="str">
            <v>490611</v>
          </cell>
          <cell r="B3255" t="str">
            <v>Grelha hemisférica em ferro fundido de 2´</v>
          </cell>
          <cell r="C3255" t="str">
            <v>un</v>
          </cell>
          <cell r="D3255">
            <v>3.19</v>
          </cell>
          <cell r="E3255">
            <v>1.43</v>
          </cell>
          <cell r="F3255">
            <v>4.62</v>
          </cell>
        </row>
        <row r="3256">
          <cell r="A3256" t="str">
            <v>490614</v>
          </cell>
          <cell r="B3256" t="str">
            <v>Grelha redonda com disco rotativo em aço inoxidável de 15 cm</v>
          </cell>
          <cell r="C3256" t="str">
            <v>un</v>
          </cell>
          <cell r="D3256">
            <v>10.029999999999999</v>
          </cell>
          <cell r="E3256">
            <v>1.43</v>
          </cell>
          <cell r="F3256">
            <v>11.46</v>
          </cell>
        </row>
        <row r="3257">
          <cell r="A3257" t="str">
            <v>490616</v>
          </cell>
          <cell r="B3257" t="str">
            <v>Grelha quadriculada em ferro fundido para caixas e canaletas</v>
          </cell>
          <cell r="C3257" t="str">
            <v>m²</v>
          </cell>
          <cell r="D3257">
            <v>720.1</v>
          </cell>
          <cell r="E3257">
            <v>15.59</v>
          </cell>
          <cell r="F3257">
            <v>735.69</v>
          </cell>
        </row>
        <row r="3258">
          <cell r="A3258" t="str">
            <v>490617</v>
          </cell>
          <cell r="B3258" t="str">
            <v>Grelha em alumínio fundido para caixas e canaletas - linha comercial</v>
          </cell>
          <cell r="C3258" t="str">
            <v>m²</v>
          </cell>
          <cell r="D3258">
            <v>461.22</v>
          </cell>
          <cell r="E3258">
            <v>15.59</v>
          </cell>
          <cell r="F3258">
            <v>476.81</v>
          </cell>
        </row>
        <row r="3259">
          <cell r="A3259" t="str">
            <v>490619</v>
          </cell>
          <cell r="B3259" t="str">
            <v>Grelha pré-moldada em concreto, com furos redondos, 79,5 x 24,5 x 8 cm</v>
          </cell>
          <cell r="C3259" t="str">
            <v>un</v>
          </cell>
          <cell r="D3259">
            <v>46.53</v>
          </cell>
          <cell r="E3259">
            <v>7.8</v>
          </cell>
          <cell r="F3259">
            <v>54.33</v>
          </cell>
        </row>
        <row r="3260">
          <cell r="A3260" t="str">
            <v>490620</v>
          </cell>
          <cell r="B3260" t="str">
            <v>Captador pluvial, corpo em aço inoxidável e grelha, com mecanismo anti-vórtice, DN= 50 mm</v>
          </cell>
          <cell r="C3260" t="str">
            <v>un</v>
          </cell>
          <cell r="D3260">
            <v>2937.68</v>
          </cell>
          <cell r="E3260">
            <v>28.66</v>
          </cell>
          <cell r="F3260">
            <v>2966.34</v>
          </cell>
        </row>
        <row r="3261">
          <cell r="A3261" t="str">
            <v>490621</v>
          </cell>
          <cell r="B3261" t="str">
            <v>Captador pluvial, corpo em aço inoxidável e grelha, com mecanismo anti-vórtice, DN= 75 mm</v>
          </cell>
          <cell r="C3261" t="str">
            <v>un</v>
          </cell>
          <cell r="D3261">
            <v>3737.81</v>
          </cell>
          <cell r="E3261">
            <v>28.66</v>
          </cell>
          <cell r="F3261">
            <v>3766.4700000000003</v>
          </cell>
        </row>
        <row r="3262">
          <cell r="A3262" t="str">
            <v>490640</v>
          </cell>
          <cell r="B3262" t="str">
            <v>Tampão em ferro fundido de Ø 600 mm, classe 125 (ruptura &gt; 125 kN)</v>
          </cell>
          <cell r="C3262" t="str">
            <v>un</v>
          </cell>
          <cell r="D3262">
            <v>260.76</v>
          </cell>
          <cell r="E3262">
            <v>32.090000000000003</v>
          </cell>
          <cell r="F3262">
            <v>292.85000000000002</v>
          </cell>
        </row>
        <row r="3263">
          <cell r="A3263" t="str">
            <v>490641</v>
          </cell>
          <cell r="B3263" t="str">
            <v>Tampão em ferro fundido de Ø 600 mm, classe 250 (ruptura &gt; 250 kN)</v>
          </cell>
          <cell r="C3263" t="str">
            <v>un</v>
          </cell>
          <cell r="D3263">
            <v>313.16000000000003</v>
          </cell>
          <cell r="E3263">
            <v>32.090000000000003</v>
          </cell>
          <cell r="F3263">
            <v>345.25</v>
          </cell>
        </row>
        <row r="3264">
          <cell r="A3264" t="str">
            <v>490642</v>
          </cell>
          <cell r="B3264" t="str">
            <v>Tampão em ferro fundido de Ø 600 mm, classe 400 (ruptura&gt; 400 kN)</v>
          </cell>
          <cell r="C3264" t="str">
            <v>un</v>
          </cell>
          <cell r="D3264">
            <v>361.2</v>
          </cell>
          <cell r="E3264">
            <v>32.090000000000003</v>
          </cell>
          <cell r="F3264">
            <v>393.29</v>
          </cell>
        </row>
        <row r="3265">
          <cell r="A3265" t="str">
            <v>490643</v>
          </cell>
          <cell r="B3265" t="str">
            <v>Tampão em ferro fundido de 300 x 300 mm, classe 125 (ruptura &gt; 125 kN)</v>
          </cell>
          <cell r="C3265" t="str">
            <v>un</v>
          </cell>
          <cell r="D3265">
            <v>97.13</v>
          </cell>
          <cell r="E3265">
            <v>32.090000000000003</v>
          </cell>
          <cell r="F3265">
            <v>129.22</v>
          </cell>
        </row>
        <row r="3266">
          <cell r="A3266" t="str">
            <v>490644</v>
          </cell>
          <cell r="B3266" t="str">
            <v>Tampão em ferro fundido de 400 x 400 mm, classe 125 (ruptura &gt; 125 kN)</v>
          </cell>
          <cell r="C3266" t="str">
            <v>un</v>
          </cell>
          <cell r="D3266">
            <v>130.80000000000001</v>
          </cell>
          <cell r="E3266">
            <v>32.090000000000003</v>
          </cell>
          <cell r="F3266">
            <v>162.88999999999999</v>
          </cell>
        </row>
        <row r="3267">
          <cell r="A3267" t="str">
            <v>490645</v>
          </cell>
          <cell r="B3267" t="str">
            <v>Tampão em ferro fundido de 500 x 500 mm, classe 125 (ruptura &gt; 125 kN)</v>
          </cell>
          <cell r="C3267" t="str">
            <v>un</v>
          </cell>
          <cell r="D3267">
            <v>171.13</v>
          </cell>
          <cell r="E3267">
            <v>32.090000000000003</v>
          </cell>
          <cell r="F3267">
            <v>203.22</v>
          </cell>
        </row>
        <row r="3268">
          <cell r="A3268" t="str">
            <v>490646</v>
          </cell>
          <cell r="B3268" t="str">
            <v>Tampão de ferro fundido de 600 x 600 mm, classe 125 (ruptura &gt; 125 kN)</v>
          </cell>
          <cell r="C3268" t="str">
            <v>un</v>
          </cell>
          <cell r="D3268">
            <v>245.55</v>
          </cell>
          <cell r="E3268">
            <v>32.090000000000003</v>
          </cell>
          <cell r="F3268">
            <v>277.64</v>
          </cell>
        </row>
        <row r="3269">
          <cell r="A3269" t="str">
            <v>490647</v>
          </cell>
          <cell r="B3269" t="str">
            <v>Tampão em ferro fundido com tampa articulada, de 500 x 400mm, classe 250 (ruptura&gt; 250 kN)</v>
          </cell>
          <cell r="C3269" t="str">
            <v>un</v>
          </cell>
          <cell r="D3269">
            <v>227.47</v>
          </cell>
          <cell r="E3269">
            <v>32.090000000000003</v>
          </cell>
          <cell r="F3269">
            <v>259.56</v>
          </cell>
        </row>
        <row r="3270">
          <cell r="A3270" t="str">
            <v>490648</v>
          </cell>
          <cell r="B3270" t="str">
            <v>Tampão em ferro fundido com tampa articulada, de 400 x 600 mm, classe 15 (ruptura &gt; 1500 kg)</v>
          </cell>
          <cell r="C3270" t="str">
            <v>un</v>
          </cell>
          <cell r="D3270">
            <v>142.02000000000001</v>
          </cell>
          <cell r="E3270">
            <v>32.090000000000003</v>
          </cell>
          <cell r="F3270">
            <v>174.11</v>
          </cell>
        </row>
        <row r="3271">
          <cell r="A3271" t="str">
            <v>490825</v>
          </cell>
          <cell r="B3271" t="str">
            <v>Caixa de areia em pvc, diâmetro nominal = 100 mm</v>
          </cell>
          <cell r="C3271" t="str">
            <v>un</v>
          </cell>
          <cell r="D3271">
            <v>153.43</v>
          </cell>
          <cell r="E3271">
            <v>23.88</v>
          </cell>
          <cell r="F3271">
            <v>177.31</v>
          </cell>
        </row>
        <row r="3272">
          <cell r="A3272" t="str">
            <v>491113</v>
          </cell>
          <cell r="B3272" t="str">
            <v>Canaleta com grelha em alumínio, largura de 80mm</v>
          </cell>
          <cell r="C3272" t="str">
            <v>m</v>
          </cell>
          <cell r="D3272">
            <v>166.17000000000002</v>
          </cell>
          <cell r="E3272">
            <v>5.37</v>
          </cell>
          <cell r="F3272">
            <v>171.54</v>
          </cell>
        </row>
        <row r="3273">
          <cell r="A3273" t="str">
            <v>491201</v>
          </cell>
          <cell r="B3273" t="str">
            <v>Boca de lobo simples tipo PMSP, com tampa de concreto</v>
          </cell>
          <cell r="C3273" t="str">
            <v>un</v>
          </cell>
          <cell r="D3273">
            <v>900.41</v>
          </cell>
          <cell r="E3273">
            <v>766.82</v>
          </cell>
          <cell r="F3273">
            <v>1667.23</v>
          </cell>
        </row>
        <row r="3274">
          <cell r="A3274" t="str">
            <v>491203</v>
          </cell>
          <cell r="B3274" t="str">
            <v>Boca de lobo dupla tipo PMSP, com tampa de concreto</v>
          </cell>
          <cell r="C3274" t="str">
            <v>un</v>
          </cell>
          <cell r="D3274">
            <v>1530.08</v>
          </cell>
          <cell r="E3274">
            <v>1191.3800000000001</v>
          </cell>
          <cell r="F3274">
            <v>2721.46</v>
          </cell>
        </row>
        <row r="3275">
          <cell r="A3275" t="str">
            <v>491204</v>
          </cell>
          <cell r="B3275" t="str">
            <v>Boca de leão simples tipo PMSP, com grelha</v>
          </cell>
          <cell r="C3275" t="str">
            <v>un</v>
          </cell>
          <cell r="D3275">
            <v>658.65</v>
          </cell>
          <cell r="E3275">
            <v>757.08</v>
          </cell>
          <cell r="F3275">
            <v>1415.73</v>
          </cell>
        </row>
        <row r="3276">
          <cell r="A3276" t="str">
            <v>491205</v>
          </cell>
          <cell r="B3276" t="str">
            <v>Boca de lobo tripla tipo PMSP, com tampa de concreto</v>
          </cell>
          <cell r="C3276" t="str">
            <v>un</v>
          </cell>
          <cell r="D3276">
            <v>2129.4299999999998</v>
          </cell>
          <cell r="E3276">
            <v>1612.81</v>
          </cell>
          <cell r="F3276">
            <v>3742.2400000000002</v>
          </cell>
        </row>
        <row r="3277">
          <cell r="A3277" t="str">
            <v>491210</v>
          </cell>
          <cell r="B3277" t="str">
            <v>Caixa coletora em concreto armado 0,30 x 0,70 x 1,00 m</v>
          </cell>
          <cell r="C3277" t="str">
            <v>un</v>
          </cell>
          <cell r="D3277">
            <v>230.84</v>
          </cell>
          <cell r="E3277">
            <v>199.53</v>
          </cell>
          <cell r="F3277">
            <v>430.37</v>
          </cell>
        </row>
        <row r="3278">
          <cell r="A3278" t="str">
            <v>491211</v>
          </cell>
          <cell r="B3278" t="str">
            <v>Poço de visita de 1,60 x 1,60 x 1,60 m - tipo PMSP</v>
          </cell>
          <cell r="C3278" t="str">
            <v>un</v>
          </cell>
          <cell r="D3278">
            <v>1738.8700000000001</v>
          </cell>
          <cell r="E3278">
            <v>1294.52</v>
          </cell>
          <cell r="F3278">
            <v>3033.39</v>
          </cell>
        </row>
        <row r="3279">
          <cell r="A3279" t="str">
            <v>491212</v>
          </cell>
          <cell r="B3279" t="str">
            <v>Chaminé para poço de visita tipo PMSP em alvenaria diâmetro interno 70 cm - pescoço</v>
          </cell>
          <cell r="C3279" t="str">
            <v>m</v>
          </cell>
          <cell r="D3279">
            <v>136.44</v>
          </cell>
          <cell r="E3279">
            <v>189.06</v>
          </cell>
          <cell r="F3279">
            <v>325.5</v>
          </cell>
        </row>
        <row r="3280">
          <cell r="A3280" t="str">
            <v>491214</v>
          </cell>
          <cell r="B3280" t="str">
            <v>Poço de visita em alvenaria tipo PMSP - balão</v>
          </cell>
          <cell r="C3280" t="str">
            <v>un</v>
          </cell>
          <cell r="D3280">
            <v>1021.39</v>
          </cell>
          <cell r="E3280">
            <v>1199.3</v>
          </cell>
          <cell r="F3280">
            <v>2220.69</v>
          </cell>
        </row>
        <row r="3281">
          <cell r="A3281" t="str">
            <v>491301</v>
          </cell>
          <cell r="B3281" t="str">
            <v>Filtro biológico anaeróbio com anéis pré-moldados de concreto diâmetro de 1,40 m - h= 2,00 m</v>
          </cell>
          <cell r="C3281" t="str">
            <v>un</v>
          </cell>
          <cell r="D3281">
            <v>1822.21</v>
          </cell>
          <cell r="E3281">
            <v>1500.68</v>
          </cell>
          <cell r="F3281">
            <v>3322.89</v>
          </cell>
        </row>
        <row r="3282">
          <cell r="A3282" t="str">
            <v>491302</v>
          </cell>
          <cell r="B3282" t="str">
            <v>Filtro biológico anaeróbio com anéis pré-moldados de concreto diâmetro de 2,00 m - h= 2,00 m</v>
          </cell>
          <cell r="C3282" t="str">
            <v>un</v>
          </cell>
          <cell r="D3282">
            <v>2921.94</v>
          </cell>
          <cell r="E3282">
            <v>2438.34</v>
          </cell>
          <cell r="F3282">
            <v>5360.28</v>
          </cell>
        </row>
        <row r="3283">
          <cell r="A3283" t="str">
            <v>491303</v>
          </cell>
          <cell r="B3283" t="str">
            <v>Filtro biológico anaeróbio com anéis pré-moldados de concreto diâmetro de 2,40 m - h= 2,00 m</v>
          </cell>
          <cell r="C3283" t="str">
            <v>un</v>
          </cell>
          <cell r="D3283">
            <v>4184.34</v>
          </cell>
          <cell r="E3283">
            <v>3219.57</v>
          </cell>
          <cell r="F3283">
            <v>7403.91</v>
          </cell>
        </row>
        <row r="3284">
          <cell r="A3284" t="str">
            <v>491304</v>
          </cell>
          <cell r="B3284" t="str">
            <v>Filtro biológico anaeróbio com anéis pré-moldados de concreto diâmetro de 2,84 m - h= 2,50 m</v>
          </cell>
          <cell r="C3284" t="str">
            <v>un</v>
          </cell>
          <cell r="D3284">
            <v>6477.53</v>
          </cell>
          <cell r="E3284">
            <v>4015.84</v>
          </cell>
          <cell r="F3284">
            <v>10493.37</v>
          </cell>
        </row>
        <row r="3285">
          <cell r="A3285" t="str">
            <v>491401</v>
          </cell>
          <cell r="B3285" t="str">
            <v>Fossa séptica câmara única com anéis pré-moldados em concreto, diâmetro externo de 1,50 m, altura útil de 1,50 m</v>
          </cell>
          <cell r="C3285" t="str">
            <v>un</v>
          </cell>
          <cell r="D3285">
            <v>1375.28</v>
          </cell>
          <cell r="E3285">
            <v>751.58</v>
          </cell>
          <cell r="F3285">
            <v>2126.86</v>
          </cell>
        </row>
        <row r="3286">
          <cell r="A3286" t="str">
            <v>491402</v>
          </cell>
          <cell r="B3286" t="str">
            <v>Fossa séptica câmara única com anéis pré-moldados em concreto, diâmetro externo de 2,50 m, altura útil de 2,50 m</v>
          </cell>
          <cell r="C3286" t="str">
            <v>un</v>
          </cell>
          <cell r="D3286">
            <v>3705.79</v>
          </cell>
          <cell r="E3286">
            <v>1122.33</v>
          </cell>
          <cell r="F3286">
            <v>4828.12</v>
          </cell>
        </row>
        <row r="3287">
          <cell r="A3287" t="str">
            <v>491403</v>
          </cell>
          <cell r="B3287" t="str">
            <v>Fossa séptica câmara única com anéis pré-moldados em concreto, diâmetro externo de 2,50 m, altura útil de 4,00 m</v>
          </cell>
          <cell r="C3287" t="str">
            <v>un</v>
          </cell>
          <cell r="D3287">
            <v>5571.97</v>
          </cell>
          <cell r="E3287">
            <v>2244.65</v>
          </cell>
          <cell r="F3287">
            <v>7816.62</v>
          </cell>
        </row>
        <row r="3288">
          <cell r="A3288" t="str">
            <v>491406</v>
          </cell>
          <cell r="B3288" t="str">
            <v>SM-01 sumidouro - poço absorvente</v>
          </cell>
          <cell r="C3288" t="str">
            <v>m</v>
          </cell>
          <cell r="D3288">
            <v>195.43</v>
          </cell>
          <cell r="E3288">
            <v>358.5</v>
          </cell>
          <cell r="F3288">
            <v>553.92999999999995</v>
          </cell>
        </row>
        <row r="3289">
          <cell r="A3289" t="str">
            <v>491407</v>
          </cell>
          <cell r="B3289" t="str">
            <v>Tampão de concreto para sumidouro - diâmetro interno de 2,0 m</v>
          </cell>
          <cell r="C3289" t="str">
            <v>un</v>
          </cell>
          <cell r="D3289">
            <v>471.74</v>
          </cell>
          <cell r="E3289">
            <v>258.3</v>
          </cell>
          <cell r="F3289">
            <v>730.04</v>
          </cell>
        </row>
        <row r="3290">
          <cell r="A3290" t="str">
            <v>491501</v>
          </cell>
          <cell r="B3290" t="str">
            <v>Anel pré-moldado de concreto com diâmetro de 0,60 m</v>
          </cell>
          <cell r="C3290" t="str">
            <v>m</v>
          </cell>
          <cell r="D3290">
            <v>234.73000000000002</v>
          </cell>
          <cell r="E3290">
            <v>15.59</v>
          </cell>
          <cell r="F3290">
            <v>250.32</v>
          </cell>
        </row>
        <row r="3291">
          <cell r="A3291" t="str">
            <v>491503</v>
          </cell>
          <cell r="B3291" t="str">
            <v>Anel pré-moldado de concreto com diâmetro de 0,80 m</v>
          </cell>
          <cell r="C3291" t="str">
            <v>m</v>
          </cell>
          <cell r="D3291">
            <v>305.81</v>
          </cell>
          <cell r="E3291">
            <v>23.39</v>
          </cell>
          <cell r="F3291">
            <v>329.2</v>
          </cell>
        </row>
        <row r="3292">
          <cell r="A3292" t="str">
            <v>491504</v>
          </cell>
          <cell r="B3292" t="str">
            <v>Anel pré-moldado de concreto com diâmetro de 1,20 m</v>
          </cell>
          <cell r="C3292" t="str">
            <v>m</v>
          </cell>
          <cell r="D3292">
            <v>337.63</v>
          </cell>
          <cell r="E3292">
            <v>31.18</v>
          </cell>
          <cell r="F3292">
            <v>368.81</v>
          </cell>
        </row>
        <row r="3293">
          <cell r="A3293" t="str">
            <v>491505</v>
          </cell>
          <cell r="B3293" t="str">
            <v>Anel pré-moldado de concreto com diâmetro de 1,50 m</v>
          </cell>
          <cell r="C3293" t="str">
            <v>m</v>
          </cell>
          <cell r="D3293">
            <v>541.24</v>
          </cell>
          <cell r="E3293">
            <v>38.979999999999997</v>
          </cell>
          <cell r="F3293">
            <v>580.22</v>
          </cell>
        </row>
        <row r="3294">
          <cell r="A3294" t="str">
            <v>491506</v>
          </cell>
          <cell r="B3294" t="str">
            <v>Anel pré-moldado de concreto com diâmetro de 1,80 m</v>
          </cell>
          <cell r="C3294" t="str">
            <v>m</v>
          </cell>
          <cell r="D3294">
            <v>724.80000000000007</v>
          </cell>
          <cell r="E3294">
            <v>46.77</v>
          </cell>
          <cell r="F3294">
            <v>771.57</v>
          </cell>
        </row>
        <row r="3295">
          <cell r="A3295" t="str">
            <v>491510</v>
          </cell>
          <cell r="B3295" t="str">
            <v>Anel pré-moldado de concreto com diâmetro de 3,00 m</v>
          </cell>
          <cell r="C3295" t="str">
            <v>m</v>
          </cell>
          <cell r="D3295">
            <v>1478.1200000000001</v>
          </cell>
          <cell r="E3295">
            <v>77.95</v>
          </cell>
          <cell r="F3295">
            <v>1556.07</v>
          </cell>
        </row>
        <row r="3296">
          <cell r="A3296" t="str">
            <v>500103</v>
          </cell>
          <cell r="B3296" t="str">
            <v>Abrigo duplo para hidrante/mangueira, com visor e suporte (embutir e externo)</v>
          </cell>
          <cell r="C3296" t="str">
            <v>un</v>
          </cell>
          <cell r="D3296">
            <v>492.29</v>
          </cell>
          <cell r="E3296">
            <v>83.58</v>
          </cell>
          <cell r="F3296">
            <v>575.87</v>
          </cell>
        </row>
        <row r="3297">
          <cell r="A3297" t="str">
            <v>500106</v>
          </cell>
          <cell r="B3297" t="str">
            <v>Abrigo para hidrante/mangueira (embutir e externo)</v>
          </cell>
          <cell r="C3297" t="str">
            <v>un</v>
          </cell>
          <cell r="D3297">
            <v>178.54</v>
          </cell>
          <cell r="E3297">
            <v>83.58</v>
          </cell>
          <cell r="F3297">
            <v>262.12</v>
          </cell>
        </row>
        <row r="3298">
          <cell r="A3298" t="str">
            <v>500108</v>
          </cell>
          <cell r="B3298" t="str">
            <v>Mangueira com união de engate rápido, DN= 1 1/2´ (38 mm)</v>
          </cell>
          <cell r="C3298" t="str">
            <v>m</v>
          </cell>
          <cell r="D3298">
            <v>13.44</v>
          </cell>
          <cell r="E3298">
            <v>2.39</v>
          </cell>
          <cell r="F3298">
            <v>15.83</v>
          </cell>
        </row>
        <row r="3299">
          <cell r="A3299" t="str">
            <v>500109</v>
          </cell>
          <cell r="B3299" t="str">
            <v>Botoeira para acionamento de bomba de incêndio tipo quebra-vidro</v>
          </cell>
          <cell r="C3299" t="str">
            <v>un</v>
          </cell>
          <cell r="D3299">
            <v>45.800000000000004</v>
          </cell>
          <cell r="E3299">
            <v>6.82</v>
          </cell>
          <cell r="F3299">
            <v>52.620000000000005</v>
          </cell>
        </row>
        <row r="3300">
          <cell r="A3300" t="str">
            <v>500110</v>
          </cell>
          <cell r="B3300" t="str">
            <v>Mangueira com união de engate rápido, DN= 2 1/2´ (63 mm)</v>
          </cell>
          <cell r="C3300" t="str">
            <v>m</v>
          </cell>
          <cell r="D3300">
            <v>20.399999999999999</v>
          </cell>
          <cell r="E3300">
            <v>2.39</v>
          </cell>
          <cell r="F3300">
            <v>22.79</v>
          </cell>
        </row>
        <row r="3301">
          <cell r="A3301" t="str">
            <v>500111</v>
          </cell>
          <cell r="B3301" t="str">
            <v>Esguicho latão com engate rápido, DN= 2 1/2´, jato regulável</v>
          </cell>
          <cell r="C3301" t="str">
            <v>un</v>
          </cell>
          <cell r="D3301">
            <v>113.62</v>
          </cell>
          <cell r="E3301">
            <v>2.39</v>
          </cell>
          <cell r="F3301">
            <v>116.01</v>
          </cell>
        </row>
        <row r="3302">
          <cell r="A3302" t="str">
            <v>500113</v>
          </cell>
          <cell r="B3302" t="str">
            <v>Abrigo simples com suporte, em aço inoxidável escovado, para mangueira de 1 1/2´, porta em vidro temperado jateado - inclusive mangueira de 30 m (2 x 15 m)</v>
          </cell>
          <cell r="C3302" t="str">
            <v>un</v>
          </cell>
          <cell r="D3302">
            <v>2268.2199999999998</v>
          </cell>
          <cell r="E3302">
            <v>130.62</v>
          </cell>
          <cell r="F3302">
            <v>2398.84</v>
          </cell>
        </row>
        <row r="3303">
          <cell r="A3303" t="str">
            <v>500116</v>
          </cell>
          <cell r="B3303" t="str">
            <v>Adaptador de engate rápido em latão de 2 1/2´ x 1 1/2´</v>
          </cell>
          <cell r="C3303" t="str">
            <v>un</v>
          </cell>
          <cell r="D3303">
            <v>26.76</v>
          </cell>
          <cell r="E3303">
            <v>2.39</v>
          </cell>
          <cell r="F3303">
            <v>29.150000000000002</v>
          </cell>
        </row>
        <row r="3304">
          <cell r="A3304" t="str">
            <v>500117</v>
          </cell>
          <cell r="B3304" t="str">
            <v>Adaptador de engate rápido em latão de 2 1/2´ x 2 1/2´</v>
          </cell>
          <cell r="C3304" t="str">
            <v>un</v>
          </cell>
          <cell r="D3304">
            <v>34.96</v>
          </cell>
          <cell r="E3304">
            <v>2.39</v>
          </cell>
          <cell r="F3304">
            <v>37.35</v>
          </cell>
        </row>
        <row r="3305">
          <cell r="A3305" t="str">
            <v>500118</v>
          </cell>
          <cell r="B3305" t="str">
            <v>Hidrante de coluna com duas saídas, 4´x 2 1/2´ - simples</v>
          </cell>
          <cell r="C3305" t="str">
            <v>un</v>
          </cell>
          <cell r="D3305">
            <v>771.46</v>
          </cell>
          <cell r="E3305">
            <v>30.490000000000002</v>
          </cell>
          <cell r="F3305">
            <v>801.95</v>
          </cell>
        </row>
        <row r="3306">
          <cell r="A3306" t="str">
            <v>500119</v>
          </cell>
          <cell r="B3306" t="str">
            <v>Tampão de engate rápido em latão, DN= 2 1/2´, com corrente</v>
          </cell>
          <cell r="C3306" t="str">
            <v>un</v>
          </cell>
          <cell r="D3306">
            <v>46.050000000000004</v>
          </cell>
          <cell r="E3306">
            <v>2.39</v>
          </cell>
          <cell r="F3306">
            <v>48.44</v>
          </cell>
        </row>
        <row r="3307">
          <cell r="A3307" t="str">
            <v>500120</v>
          </cell>
          <cell r="B3307" t="str">
            <v>Tampão de engate rápido em latão, DN= 1 1/2´, com corrente</v>
          </cell>
          <cell r="C3307" t="str">
            <v>un</v>
          </cell>
          <cell r="D3307">
            <v>30.42</v>
          </cell>
          <cell r="E3307">
            <v>2.39</v>
          </cell>
          <cell r="F3307">
            <v>32.81</v>
          </cell>
        </row>
        <row r="3308">
          <cell r="A3308" t="str">
            <v>500121</v>
          </cell>
          <cell r="B3308" t="str">
            <v>Chave para conexão de engate rápido</v>
          </cell>
          <cell r="C3308" t="str">
            <v>un</v>
          </cell>
          <cell r="D3308">
            <v>10.58</v>
          </cell>
          <cell r="E3308">
            <v>0.31</v>
          </cell>
          <cell r="F3308">
            <v>10.89</v>
          </cell>
        </row>
        <row r="3309">
          <cell r="A3309" t="str">
            <v>500122</v>
          </cell>
          <cell r="B3309" t="str">
            <v>Esguicho latão com engate rápido, DN= 1 1/2´, jato regulável</v>
          </cell>
          <cell r="C3309" t="str">
            <v>un</v>
          </cell>
          <cell r="D3309">
            <v>86</v>
          </cell>
          <cell r="E3309">
            <v>2.39</v>
          </cell>
          <cell r="F3309">
            <v>88.39</v>
          </cell>
        </row>
        <row r="3310">
          <cell r="A3310" t="str">
            <v>500132</v>
          </cell>
          <cell r="B3310" t="str">
            <v>Abrigo de hidrante de 1 1/2´ completo - inclusive mangueira de 30 m (2 x 15 m)</v>
          </cell>
          <cell r="C3310" t="str">
            <v>un</v>
          </cell>
          <cell r="D3310">
            <v>977.53</v>
          </cell>
          <cell r="E3310">
            <v>124.18</v>
          </cell>
          <cell r="F3310">
            <v>1101.71</v>
          </cell>
        </row>
        <row r="3311">
          <cell r="A3311" t="str">
            <v>500133</v>
          </cell>
          <cell r="B3311" t="str">
            <v>Abrigo de hidrante de 2 1/2´ completo - inclusive mangueira de 30 m (2 x 15 m)</v>
          </cell>
          <cell r="C3311" t="str">
            <v>un</v>
          </cell>
          <cell r="D3311">
            <v>1250.96</v>
          </cell>
          <cell r="E3311">
            <v>124.18</v>
          </cell>
          <cell r="F3311">
            <v>1375.14</v>
          </cell>
        </row>
        <row r="3312">
          <cell r="A3312" t="str">
            <v>500134</v>
          </cell>
          <cell r="B3312" t="str">
            <v>Abrigo para registro de recalque tipo coluna, completo - inclusive tubulações e válvulas</v>
          </cell>
          <cell r="C3312" t="str">
            <v>un</v>
          </cell>
          <cell r="D3312">
            <v>1185.69</v>
          </cell>
          <cell r="E3312">
            <v>373.42</v>
          </cell>
          <cell r="F3312">
            <v>1559.1100000000001</v>
          </cell>
        </row>
        <row r="3313">
          <cell r="A3313" t="str">
            <v>500202</v>
          </cell>
          <cell r="B3313" t="str">
            <v>Bico de sprinkler cromado pendente com rompimento da ampola a 68°C</v>
          </cell>
          <cell r="C3313" t="str">
            <v>un</v>
          </cell>
          <cell r="D3313">
            <v>15.01</v>
          </cell>
          <cell r="E3313">
            <v>8.32</v>
          </cell>
          <cell r="F3313">
            <v>23.330000000000002</v>
          </cell>
        </row>
        <row r="3314">
          <cell r="A3314" t="str">
            <v>500205</v>
          </cell>
          <cell r="B3314" t="str">
            <v>Alarme hidráulico tipo gongo</v>
          </cell>
          <cell r="C3314" t="str">
            <v>un</v>
          </cell>
          <cell r="D3314">
            <v>427.73</v>
          </cell>
          <cell r="E3314">
            <v>11.94</v>
          </cell>
          <cell r="F3314">
            <v>439.67</v>
          </cell>
        </row>
        <row r="3315">
          <cell r="A3315" t="str">
            <v>500206</v>
          </cell>
          <cell r="B3315" t="str">
            <v>Bico de sprinkler tipo ´Up Right´ com rompimento da ampola a 68º C</v>
          </cell>
          <cell r="C3315" t="str">
            <v>un</v>
          </cell>
          <cell r="D3315">
            <v>24.51</v>
          </cell>
          <cell r="E3315">
            <v>8.32</v>
          </cell>
          <cell r="F3315">
            <v>32.83</v>
          </cell>
        </row>
        <row r="3316">
          <cell r="A3316" t="str">
            <v>500506</v>
          </cell>
          <cell r="B3316" t="str">
            <v>Central de iluminação de emergência, completa, para até 6.000 W</v>
          </cell>
          <cell r="C3316" t="str">
            <v>un</v>
          </cell>
          <cell r="D3316">
            <v>9007.2099999999991</v>
          </cell>
          <cell r="E3316">
            <v>7.22</v>
          </cell>
          <cell r="F3316">
            <v>9014.43</v>
          </cell>
        </row>
        <row r="3317">
          <cell r="A3317" t="str">
            <v>500507</v>
          </cell>
          <cell r="B3317" t="str">
            <v>Luminária para unidade centralizada pendente completa com lâmpadas fluorescentes compactas de 9 W</v>
          </cell>
          <cell r="C3317" t="str">
            <v>un</v>
          </cell>
          <cell r="D3317">
            <v>147.74</v>
          </cell>
          <cell r="E3317">
            <v>11.370000000000001</v>
          </cell>
          <cell r="F3317">
            <v>159.11000000000001</v>
          </cell>
        </row>
        <row r="3318">
          <cell r="A3318" t="str">
            <v>500508</v>
          </cell>
          <cell r="B3318" t="str">
            <v>Luminária para unidade centralizada de sobrepor completa com lâmpada fluorescente compacta de 15 W</v>
          </cell>
          <cell r="C3318" t="str">
            <v>un</v>
          </cell>
          <cell r="D3318">
            <v>66.02</v>
          </cell>
          <cell r="E3318">
            <v>11.370000000000001</v>
          </cell>
          <cell r="F3318">
            <v>77.39</v>
          </cell>
        </row>
        <row r="3319">
          <cell r="A3319" t="str">
            <v>500509</v>
          </cell>
          <cell r="B3319" t="str">
            <v>Luminária para unidade centralizada de sobrepor completa com lâmpada incandescente até 25 W</v>
          </cell>
          <cell r="C3319" t="str">
            <v>un</v>
          </cell>
          <cell r="D3319">
            <v>23.05</v>
          </cell>
          <cell r="E3319">
            <v>11.370000000000001</v>
          </cell>
          <cell r="F3319">
            <v>34.42</v>
          </cell>
        </row>
        <row r="3320">
          <cell r="A3320" t="str">
            <v>500516</v>
          </cell>
          <cell r="B3320" t="str">
            <v>Módulo para adaptação de luminária de emergência, autonomia 90 minutos para lâmpada fluorescente de 32 W</v>
          </cell>
          <cell r="C3320" t="str">
            <v>un</v>
          </cell>
          <cell r="D3320">
            <v>140.47999999999999</v>
          </cell>
          <cell r="E3320">
            <v>6.82</v>
          </cell>
          <cell r="F3320">
            <v>147.30000000000001</v>
          </cell>
        </row>
        <row r="3321">
          <cell r="A3321" t="str">
            <v>500517</v>
          </cell>
          <cell r="B3321" t="str">
            <v>Acionador manual tipo quebra vidro, em caixa plástica</v>
          </cell>
          <cell r="C3321" t="str">
            <v>un</v>
          </cell>
          <cell r="D3321">
            <v>35.950000000000003</v>
          </cell>
          <cell r="E3321">
            <v>6.82</v>
          </cell>
          <cell r="F3321">
            <v>42.77</v>
          </cell>
        </row>
        <row r="3322">
          <cell r="A3322" t="str">
            <v>500521</v>
          </cell>
          <cell r="B3322" t="str">
            <v>Detector termovelocimétrico endereçável com base endereçável</v>
          </cell>
          <cell r="C3322" t="str">
            <v>un</v>
          </cell>
          <cell r="D3322">
            <v>214.99</v>
          </cell>
          <cell r="E3322">
            <v>6.82</v>
          </cell>
          <cell r="F3322">
            <v>221.81</v>
          </cell>
        </row>
        <row r="3323">
          <cell r="A3323" t="str">
            <v>500523</v>
          </cell>
          <cell r="B3323" t="str">
            <v>Sirene audiovisual tipo endereçável</v>
          </cell>
          <cell r="C3323" t="str">
            <v>un</v>
          </cell>
          <cell r="D3323">
            <v>145.19999999999999</v>
          </cell>
          <cell r="E3323">
            <v>6.82</v>
          </cell>
          <cell r="F3323">
            <v>152.02000000000001</v>
          </cell>
        </row>
        <row r="3324">
          <cell r="A3324" t="str">
            <v>500524</v>
          </cell>
          <cell r="B3324" t="str">
            <v>Luminária para balizamento ou aclaramento de sobrepor completa com lâmpada fluorescente compacta de 9 W</v>
          </cell>
          <cell r="C3324" t="str">
            <v>un</v>
          </cell>
          <cell r="D3324">
            <v>76.209999999999994</v>
          </cell>
          <cell r="E3324">
            <v>11.370000000000001</v>
          </cell>
          <cell r="F3324">
            <v>87.58</v>
          </cell>
        </row>
        <row r="3325">
          <cell r="A3325" t="str">
            <v>500525</v>
          </cell>
          <cell r="B3325" t="str">
            <v>Central de iluminação de emergência, completa, autonomia 1 hora, para até 240 W</v>
          </cell>
          <cell r="C3325" t="str">
            <v>un</v>
          </cell>
          <cell r="D3325">
            <v>403.41</v>
          </cell>
          <cell r="E3325">
            <v>7.22</v>
          </cell>
          <cell r="F3325">
            <v>410.63</v>
          </cell>
        </row>
        <row r="3326">
          <cell r="A3326" t="str">
            <v>500526</v>
          </cell>
          <cell r="B3326" t="str">
            <v>Bloco autônomo de iluminação de emergência com autonomia mínima de 1 hora, equipado com 2 lâmpadas de 11 W</v>
          </cell>
          <cell r="C3326" t="str">
            <v>un</v>
          </cell>
          <cell r="D3326">
            <v>158.27000000000001</v>
          </cell>
          <cell r="E3326">
            <v>7.22</v>
          </cell>
          <cell r="F3326">
            <v>165.49</v>
          </cell>
        </row>
        <row r="3327">
          <cell r="A3327" t="str">
            <v>500527</v>
          </cell>
          <cell r="B3327" t="str">
            <v>Central de detecção e alarme de incêndio completa, autonomia de 1 hora para 12 laços, 220 V/12 V</v>
          </cell>
          <cell r="C3327" t="str">
            <v>un</v>
          </cell>
          <cell r="D3327">
            <v>490.2</v>
          </cell>
          <cell r="E3327">
            <v>7.22</v>
          </cell>
          <cell r="F3327">
            <v>497.42</v>
          </cell>
        </row>
        <row r="3328">
          <cell r="A3328" t="str">
            <v>500528</v>
          </cell>
          <cell r="B3328" t="str">
            <v>Sirene tipo corneta de 12 V</v>
          </cell>
          <cell r="C3328" t="str">
            <v>un</v>
          </cell>
          <cell r="D3328">
            <v>38.14</v>
          </cell>
          <cell r="E3328">
            <v>6.82</v>
          </cell>
          <cell r="F3328">
            <v>44.96</v>
          </cell>
        </row>
        <row r="3329">
          <cell r="A3329" t="str">
            <v>500531</v>
          </cell>
          <cell r="B3329" t="str">
            <v>Bloco autônomo de iluminação de emergência com autonomia mínima de 3 horas, equipado com 2 faróis de lâmpadas de 21/55 W</v>
          </cell>
          <cell r="C3329" t="str">
            <v>un</v>
          </cell>
          <cell r="D3329">
            <v>352.81</v>
          </cell>
          <cell r="E3329">
            <v>7.22</v>
          </cell>
          <cell r="F3329">
            <v>360.03000000000003</v>
          </cell>
        </row>
        <row r="3330">
          <cell r="A3330" t="str">
            <v>500540</v>
          </cell>
          <cell r="B3330" t="str">
            <v>Sirene eletrônica em caixa metálica de 4 x 4</v>
          </cell>
          <cell r="C3330" t="str">
            <v>un</v>
          </cell>
          <cell r="D3330">
            <v>73.180000000000007</v>
          </cell>
          <cell r="E3330">
            <v>25.01</v>
          </cell>
          <cell r="F3330">
            <v>98.19</v>
          </cell>
        </row>
        <row r="3331">
          <cell r="A3331" t="str">
            <v>500543</v>
          </cell>
          <cell r="B3331" t="str">
            <v>Detector óptico de fumaça com base - endereçável</v>
          </cell>
          <cell r="C3331" t="str">
            <v>un</v>
          </cell>
          <cell r="D3331">
            <v>113.73</v>
          </cell>
          <cell r="E3331">
            <v>22.740000000000002</v>
          </cell>
          <cell r="F3331">
            <v>136.47</v>
          </cell>
        </row>
        <row r="3332">
          <cell r="A3332" t="str">
            <v>500544</v>
          </cell>
          <cell r="B3332" t="str">
            <v>Painel repetidor de detecção e alarme de incêndio tipo endereçável</v>
          </cell>
          <cell r="C3332" t="str">
            <v>un</v>
          </cell>
          <cell r="D3332">
            <v>914.53</v>
          </cell>
          <cell r="E3332">
            <v>6.82</v>
          </cell>
          <cell r="F3332">
            <v>921.35</v>
          </cell>
        </row>
        <row r="3333">
          <cell r="A3333" t="str">
            <v>500545</v>
          </cell>
          <cell r="B3333" t="str">
            <v>Acionador manual quebra-vidro endereçável</v>
          </cell>
          <cell r="C3333" t="str">
            <v>un</v>
          </cell>
          <cell r="D3333">
            <v>93.62</v>
          </cell>
          <cell r="E3333">
            <v>6.82</v>
          </cell>
          <cell r="F3333">
            <v>100.44</v>
          </cell>
        </row>
        <row r="3334">
          <cell r="A3334" t="str">
            <v>500546</v>
          </cell>
          <cell r="B3334" t="str">
            <v>Sinalizador audiovisual endereçável com luz estroboscópica</v>
          </cell>
          <cell r="C3334" t="str">
            <v>un</v>
          </cell>
          <cell r="D3334">
            <v>109.87</v>
          </cell>
          <cell r="E3334">
            <v>6.82</v>
          </cell>
          <cell r="F3334">
            <v>116.69</v>
          </cell>
        </row>
        <row r="3335">
          <cell r="A3335" t="str">
            <v>500547</v>
          </cell>
          <cell r="B3335" t="str">
            <v>Módulo isolador, módulo endereçador para áudio visual</v>
          </cell>
          <cell r="C3335" t="str">
            <v>un</v>
          </cell>
          <cell r="D3335">
            <v>143.19999999999999</v>
          </cell>
          <cell r="E3335">
            <v>11.370000000000001</v>
          </cell>
          <cell r="F3335">
            <v>154.57</v>
          </cell>
        </row>
        <row r="3336">
          <cell r="A3336" t="str">
            <v>501003</v>
          </cell>
          <cell r="B3336" t="str">
            <v>Extintor sobre rodas de gás carbônico - capacidade de 10 kg</v>
          </cell>
          <cell r="C3336" t="str">
            <v>un</v>
          </cell>
          <cell r="D3336">
            <v>614.69000000000005</v>
          </cell>
          <cell r="E3336">
            <v>10.14</v>
          </cell>
          <cell r="F3336">
            <v>624.83000000000004</v>
          </cell>
        </row>
        <row r="3337">
          <cell r="A3337" t="str">
            <v>501004</v>
          </cell>
          <cell r="B3337" t="str">
            <v>Extintor manual de pó químico seco BC - capacidade de 4 kg</v>
          </cell>
          <cell r="C3337" t="str">
            <v>un</v>
          </cell>
          <cell r="D3337">
            <v>84.79</v>
          </cell>
          <cell r="E3337">
            <v>10.14</v>
          </cell>
          <cell r="F3337">
            <v>94.93</v>
          </cell>
        </row>
        <row r="3338">
          <cell r="A3338" t="str">
            <v>501005</v>
          </cell>
          <cell r="B3338" t="str">
            <v>Extintor de gás carbônico, em carreta - capacidade de 25 kg</v>
          </cell>
          <cell r="C3338" t="str">
            <v>un</v>
          </cell>
          <cell r="D3338">
            <v>2353.7800000000002</v>
          </cell>
          <cell r="E3338">
            <v>10.14</v>
          </cell>
          <cell r="F3338">
            <v>2363.92</v>
          </cell>
        </row>
        <row r="3339">
          <cell r="A3339" t="str">
            <v>501006</v>
          </cell>
          <cell r="B3339" t="str">
            <v>Extintor manual de pó químico seco BC - capacidade de 8 kg</v>
          </cell>
          <cell r="C3339" t="str">
            <v>un</v>
          </cell>
          <cell r="D3339">
            <v>118.24000000000001</v>
          </cell>
          <cell r="E3339">
            <v>10.14</v>
          </cell>
          <cell r="F3339">
            <v>128.38</v>
          </cell>
        </row>
        <row r="3340">
          <cell r="A3340" t="str">
            <v>501008</v>
          </cell>
          <cell r="B3340" t="str">
            <v>Extintor manual de pó químico seco BC - capacidade de 12 kg</v>
          </cell>
          <cell r="C3340" t="str">
            <v>un</v>
          </cell>
          <cell r="D3340">
            <v>141.31</v>
          </cell>
          <cell r="E3340">
            <v>10.14</v>
          </cell>
          <cell r="F3340">
            <v>151.44999999999999</v>
          </cell>
        </row>
        <row r="3341">
          <cell r="A3341" t="str">
            <v>501009</v>
          </cell>
          <cell r="B3341" t="str">
            <v>Extintor de pó químico seco 20BC, em carreta - capacidade de 20 kg</v>
          </cell>
          <cell r="C3341" t="str">
            <v>un</v>
          </cell>
          <cell r="D3341">
            <v>569.13</v>
          </cell>
          <cell r="E3341">
            <v>0</v>
          </cell>
          <cell r="F3341">
            <v>569.13</v>
          </cell>
        </row>
        <row r="3342">
          <cell r="A3342" t="str">
            <v>501010</v>
          </cell>
          <cell r="B3342" t="str">
            <v>Extintor manual de água pressurizada - capacidade de 10 litros</v>
          </cell>
          <cell r="C3342" t="str">
            <v>un</v>
          </cell>
          <cell r="D3342">
            <v>86.99</v>
          </cell>
          <cell r="E3342">
            <v>10.14</v>
          </cell>
          <cell r="F3342">
            <v>97.13</v>
          </cell>
        </row>
        <row r="3343">
          <cell r="A3343" t="str">
            <v>501011</v>
          </cell>
          <cell r="B3343" t="str">
            <v>Extintor manual de pó químico seco ABC - capacidade de 4 kg</v>
          </cell>
          <cell r="C3343" t="str">
            <v>un</v>
          </cell>
          <cell r="D3343">
            <v>117.88</v>
          </cell>
          <cell r="E3343">
            <v>10.14</v>
          </cell>
          <cell r="F3343">
            <v>128.02000000000001</v>
          </cell>
        </row>
        <row r="3344">
          <cell r="A3344" t="str">
            <v>501012</v>
          </cell>
          <cell r="B3344" t="str">
            <v>Extintor manual de pó químico seco ABC - capacidade de 6 kg</v>
          </cell>
          <cell r="C3344" t="str">
            <v>un</v>
          </cell>
          <cell r="D3344">
            <v>130.52000000000001</v>
          </cell>
          <cell r="E3344">
            <v>10.14</v>
          </cell>
          <cell r="F3344">
            <v>140.66</v>
          </cell>
        </row>
        <row r="3345">
          <cell r="A3345" t="str">
            <v>501014</v>
          </cell>
          <cell r="B3345" t="str">
            <v>Extintor portátil de gás carbônico 5BC - capacidade de 06 kg</v>
          </cell>
          <cell r="C3345" t="str">
            <v>un</v>
          </cell>
          <cell r="D3345">
            <v>355.15000000000003</v>
          </cell>
          <cell r="E3345">
            <v>10.14</v>
          </cell>
          <cell r="F3345">
            <v>365.29</v>
          </cell>
        </row>
        <row r="3346">
          <cell r="A3346" t="str">
            <v>501021</v>
          </cell>
          <cell r="B3346" t="str">
            <v>Suporte para extintor de piso em fibra de vidro</v>
          </cell>
          <cell r="C3346" t="str">
            <v>un</v>
          </cell>
          <cell r="D3346">
            <v>80.5</v>
          </cell>
          <cell r="E3346">
            <v>0.96</v>
          </cell>
          <cell r="F3346">
            <v>81.459999999999994</v>
          </cell>
        </row>
        <row r="3347">
          <cell r="A3347" t="str">
            <v>501022</v>
          </cell>
          <cell r="B3347" t="str">
            <v>Suporte para extintor de piso em aço inox</v>
          </cell>
          <cell r="C3347" t="str">
            <v>un</v>
          </cell>
          <cell r="D3347">
            <v>211.81</v>
          </cell>
          <cell r="E3347">
            <v>0.96</v>
          </cell>
          <cell r="F3347">
            <v>212.77</v>
          </cell>
        </row>
        <row r="3348">
          <cell r="A3348" t="str">
            <v>502002</v>
          </cell>
          <cell r="B3348" t="str">
            <v>Destravador magnético (Eletroimã), para porta corta-fogo de 24 Vcc</v>
          </cell>
          <cell r="C3348" t="str">
            <v>un</v>
          </cell>
          <cell r="D3348">
            <v>156.66999999999999</v>
          </cell>
          <cell r="E3348">
            <v>18.190000000000001</v>
          </cell>
          <cell r="F3348">
            <v>174.86</v>
          </cell>
        </row>
        <row r="3349">
          <cell r="A3349" t="str">
            <v>502011</v>
          </cell>
          <cell r="B3349" t="str">
            <v>Recarga de extintor de água pressurizada</v>
          </cell>
          <cell r="C3349" t="str">
            <v>l</v>
          </cell>
          <cell r="D3349">
            <v>1.6400000000000001</v>
          </cell>
          <cell r="E3349">
            <v>0</v>
          </cell>
          <cell r="F3349">
            <v>1.6400000000000001</v>
          </cell>
        </row>
        <row r="3350">
          <cell r="A3350" t="str">
            <v>502012</v>
          </cell>
          <cell r="B3350" t="str">
            <v>Recarga de extintor de gás carbônico</v>
          </cell>
          <cell r="C3350" t="str">
            <v>kg</v>
          </cell>
          <cell r="D3350">
            <v>7.0600000000000005</v>
          </cell>
          <cell r="E3350">
            <v>0</v>
          </cell>
          <cell r="F3350">
            <v>7.0600000000000005</v>
          </cell>
        </row>
        <row r="3351">
          <cell r="A3351" t="str">
            <v>502013</v>
          </cell>
          <cell r="B3351" t="str">
            <v>Recarga de extintor de pó químico seco</v>
          </cell>
          <cell r="C3351" t="str">
            <v>kg</v>
          </cell>
          <cell r="D3351">
            <v>6.9</v>
          </cell>
          <cell r="E3351">
            <v>0</v>
          </cell>
          <cell r="F3351">
            <v>6.9</v>
          </cell>
        </row>
        <row r="3352">
          <cell r="A3352" t="str">
            <v>502016</v>
          </cell>
          <cell r="B3352" t="str">
            <v>Pintura de extintor de gás carbônico, pó químico seco, ou água pressurizada, com capacidade acima de 12 kg até 20 kg</v>
          </cell>
          <cell r="C3352" t="str">
            <v>un</v>
          </cell>
          <cell r="D3352">
            <v>18.25</v>
          </cell>
          <cell r="E3352">
            <v>0</v>
          </cell>
          <cell r="F3352">
            <v>18.25</v>
          </cell>
        </row>
        <row r="3353">
          <cell r="A3353" t="str">
            <v>502017</v>
          </cell>
          <cell r="B3353" t="str">
            <v>Pintura de extintor de gás carbônico, pó químico seco, ou água pressurizada, com capacidade até 12 kg</v>
          </cell>
          <cell r="C3353" t="str">
            <v>un</v>
          </cell>
          <cell r="D3353">
            <v>11.27</v>
          </cell>
          <cell r="E3353">
            <v>0</v>
          </cell>
          <cell r="F3353">
            <v>11.27</v>
          </cell>
        </row>
        <row r="3354">
          <cell r="A3354" t="str">
            <v>540101</v>
          </cell>
          <cell r="B3354" t="str">
            <v>Regularização e compactação mecanizada de superfície, sem controle do proctor normal</v>
          </cell>
          <cell r="C3354" t="str">
            <v>m²</v>
          </cell>
          <cell r="D3354">
            <v>1.49</v>
          </cell>
          <cell r="E3354">
            <v>0.2</v>
          </cell>
          <cell r="F3354">
            <v>1.69</v>
          </cell>
        </row>
        <row r="3355">
          <cell r="A3355" t="str">
            <v>540103</v>
          </cell>
          <cell r="B3355" t="str">
            <v>Abertura e preparo de caixa até 40 cm, compactação do subleito mínimo de 95% do PN e transporte até o raio de 1,0 km</v>
          </cell>
          <cell r="C3355" t="str">
            <v>m²</v>
          </cell>
          <cell r="D3355">
            <v>11.06</v>
          </cell>
          <cell r="E3355">
            <v>0.35000000000000003</v>
          </cell>
          <cell r="F3355">
            <v>11.41</v>
          </cell>
        </row>
        <row r="3356">
          <cell r="A3356" t="str">
            <v>540105</v>
          </cell>
          <cell r="B3356" t="str">
            <v>Compactação do subleito mínimo de 95% do PN</v>
          </cell>
          <cell r="C3356" t="str">
            <v>m³</v>
          </cell>
          <cell r="D3356">
            <v>7.9300000000000006</v>
          </cell>
          <cell r="E3356">
            <v>0.69000000000000006</v>
          </cell>
          <cell r="F3356">
            <v>8.6199999999999992</v>
          </cell>
        </row>
        <row r="3357">
          <cell r="A3357" t="str">
            <v>540120</v>
          </cell>
          <cell r="B3357" t="str">
            <v>Base de macadame hidráulico</v>
          </cell>
          <cell r="C3357" t="str">
            <v>m³</v>
          </cell>
          <cell r="D3357">
            <v>141.49</v>
          </cell>
          <cell r="E3357">
            <v>14.57</v>
          </cell>
          <cell r="F3357">
            <v>156.06</v>
          </cell>
        </row>
        <row r="3358">
          <cell r="A3358" t="str">
            <v>540121</v>
          </cell>
          <cell r="B3358" t="str">
            <v>Base de brita graduada</v>
          </cell>
          <cell r="C3358" t="str">
            <v>m³</v>
          </cell>
          <cell r="D3358">
            <v>113.3</v>
          </cell>
          <cell r="E3358">
            <v>9.7100000000000009</v>
          </cell>
          <cell r="F3358">
            <v>123.01</v>
          </cell>
        </row>
        <row r="3359">
          <cell r="A3359" t="str">
            <v>540122</v>
          </cell>
          <cell r="B3359" t="str">
            <v>Base de bica corrida</v>
          </cell>
          <cell r="C3359" t="str">
            <v>m³</v>
          </cell>
          <cell r="D3359">
            <v>101.8</v>
          </cell>
          <cell r="E3359">
            <v>1.5</v>
          </cell>
          <cell r="F3359">
            <v>103.3</v>
          </cell>
        </row>
        <row r="3360">
          <cell r="A3360" t="str">
            <v>540123</v>
          </cell>
          <cell r="B3360" t="str">
            <v>Base de macadame betuminoso</v>
          </cell>
          <cell r="C3360" t="str">
            <v>m³</v>
          </cell>
          <cell r="D3360">
            <v>289.89</v>
          </cell>
          <cell r="E3360">
            <v>7.28</v>
          </cell>
          <cell r="F3360">
            <v>297.17</v>
          </cell>
        </row>
        <row r="3361">
          <cell r="A3361" t="str">
            <v>540140</v>
          </cell>
          <cell r="B3361" t="str">
            <v>Abertura de caixa até 25 cm, inclui escavação, compactação, transporte e preparo do sub-leito</v>
          </cell>
          <cell r="C3361" t="str">
            <v>m²</v>
          </cell>
          <cell r="D3361">
            <v>9.35</v>
          </cell>
          <cell r="E3361">
            <v>0.22</v>
          </cell>
          <cell r="F3361">
            <v>9.57</v>
          </cell>
        </row>
        <row r="3362">
          <cell r="A3362" t="str">
            <v>540141</v>
          </cell>
          <cell r="B3362" t="str">
            <v>Varrição de pavimento para recapeamento</v>
          </cell>
          <cell r="C3362" t="str">
            <v>m²</v>
          </cell>
          <cell r="D3362">
            <v>0</v>
          </cell>
          <cell r="E3362">
            <v>0.39</v>
          </cell>
          <cell r="F3362">
            <v>0.39</v>
          </cell>
        </row>
        <row r="3363">
          <cell r="A3363" t="str">
            <v>540203</v>
          </cell>
          <cell r="B3363" t="str">
            <v>Revestimento primário com pedra britada, compactação mínima de 95% do PN</v>
          </cell>
          <cell r="C3363" t="str">
            <v>m³</v>
          </cell>
          <cell r="D3363">
            <v>53.370000000000005</v>
          </cell>
          <cell r="E3363">
            <v>6.21</v>
          </cell>
          <cell r="F3363">
            <v>59.58</v>
          </cell>
        </row>
        <row r="3364">
          <cell r="A3364" t="str">
            <v>540320</v>
          </cell>
          <cell r="B3364" t="str">
            <v>Concreto asfáltico usinado a quente - Blinder</v>
          </cell>
          <cell r="C3364" t="str">
            <v>m³</v>
          </cell>
          <cell r="D3364">
            <v>571.27</v>
          </cell>
          <cell r="E3364">
            <v>14.77</v>
          </cell>
          <cell r="F3364">
            <v>586.04</v>
          </cell>
        </row>
        <row r="3365">
          <cell r="A3365" t="str">
            <v>540321</v>
          </cell>
          <cell r="B3365" t="str">
            <v>Camada de rolamento em concreto asfáltico usinado a quente - (CBUQ)</v>
          </cell>
          <cell r="C3365" t="str">
            <v>m³</v>
          </cell>
          <cell r="D3365">
            <v>570.53</v>
          </cell>
          <cell r="E3365">
            <v>14.77</v>
          </cell>
          <cell r="F3365">
            <v>585.29999999999995</v>
          </cell>
        </row>
        <row r="3366">
          <cell r="A3366" t="str">
            <v>540322</v>
          </cell>
          <cell r="B3366" t="str">
            <v>Revestimento com massa asfáltica</v>
          </cell>
          <cell r="C3366" t="str">
            <v>m³</v>
          </cell>
          <cell r="D3366">
            <v>530.4</v>
          </cell>
          <cell r="E3366">
            <v>14.77</v>
          </cell>
          <cell r="F3366">
            <v>545.16999999999996</v>
          </cell>
        </row>
        <row r="3367">
          <cell r="A3367" t="str">
            <v>540323</v>
          </cell>
          <cell r="B3367" t="str">
            <v>Imprimação betuminosa ligante</v>
          </cell>
          <cell r="C3367" t="str">
            <v>m²</v>
          </cell>
          <cell r="D3367">
            <v>1.95</v>
          </cell>
          <cell r="E3367">
            <v>0.05</v>
          </cell>
          <cell r="F3367">
            <v>2</v>
          </cell>
        </row>
        <row r="3368">
          <cell r="A3368" t="str">
            <v>540324</v>
          </cell>
          <cell r="B3368" t="str">
            <v>Imprimação betuminosa impermeabilizante</v>
          </cell>
          <cell r="C3368" t="str">
            <v>m²</v>
          </cell>
          <cell r="D3368">
            <v>3.93</v>
          </cell>
          <cell r="E3368">
            <v>0.06</v>
          </cell>
          <cell r="F3368">
            <v>3.99</v>
          </cell>
        </row>
        <row r="3369">
          <cell r="A3369" t="str">
            <v>540325</v>
          </cell>
          <cell r="B3369" t="str">
            <v>Revestimento de pré-misturado a quente</v>
          </cell>
          <cell r="C3369" t="str">
            <v>m³</v>
          </cell>
          <cell r="D3369">
            <v>422.49</v>
          </cell>
          <cell r="E3369">
            <v>14.77</v>
          </cell>
          <cell r="F3369">
            <v>437.26</v>
          </cell>
        </row>
        <row r="3370">
          <cell r="A3370" t="str">
            <v>540326</v>
          </cell>
          <cell r="B3370" t="str">
            <v>Revestimento de pré-misturado a frio</v>
          </cell>
          <cell r="C3370" t="str">
            <v>m³</v>
          </cell>
          <cell r="D3370">
            <v>402.84000000000003</v>
          </cell>
          <cell r="E3370">
            <v>19.420000000000002</v>
          </cell>
          <cell r="F3370">
            <v>422.26</v>
          </cell>
        </row>
        <row r="3371">
          <cell r="A3371" t="str">
            <v>540403</v>
          </cell>
          <cell r="B3371" t="str">
            <v>Pavimentação em paralelepípedo, sem rejunte</v>
          </cell>
          <cell r="C3371" t="str">
            <v>m²</v>
          </cell>
          <cell r="D3371">
            <v>92.25</v>
          </cell>
          <cell r="E3371">
            <v>12.39</v>
          </cell>
          <cell r="F3371">
            <v>104.64</v>
          </cell>
        </row>
        <row r="3372">
          <cell r="A3372" t="str">
            <v>540404</v>
          </cell>
          <cell r="B3372" t="str">
            <v>Rejuntamento de paralelepípedo com areia</v>
          </cell>
          <cell r="C3372" t="str">
            <v>m²</v>
          </cell>
          <cell r="D3372">
            <v>6.44</v>
          </cell>
          <cell r="E3372">
            <v>0.97</v>
          </cell>
          <cell r="F3372">
            <v>7.41</v>
          </cell>
        </row>
        <row r="3373">
          <cell r="A3373" t="str">
            <v>540405</v>
          </cell>
          <cell r="B3373" t="str">
            <v>Rejuntamento de paralelepípedo com argamassa de cimento e areia 1:3</v>
          </cell>
          <cell r="C3373" t="str">
            <v>m²</v>
          </cell>
          <cell r="D3373">
            <v>6.1000000000000005</v>
          </cell>
          <cell r="E3373">
            <v>3.0100000000000002</v>
          </cell>
          <cell r="F3373">
            <v>9.11</v>
          </cell>
        </row>
        <row r="3374">
          <cell r="A3374" t="str">
            <v>540406</v>
          </cell>
          <cell r="B3374" t="str">
            <v>Rejuntamento de paralelepípedo com asfalto e pedrisco</v>
          </cell>
          <cell r="C3374" t="str">
            <v>m²</v>
          </cell>
          <cell r="D3374">
            <v>15.610000000000001</v>
          </cell>
          <cell r="E3374">
            <v>2.4300000000000002</v>
          </cell>
          <cell r="F3374">
            <v>18.04</v>
          </cell>
        </row>
        <row r="3375">
          <cell r="A3375" t="str">
            <v>540434</v>
          </cell>
          <cell r="B3375" t="str">
            <v>Pavimentação em lajota de concreto 35 MPa, espessura 6 cm, tipos: raquete, retangular, sextavado e 16 faces, com rejunte em areia</v>
          </cell>
          <cell r="C3375" t="str">
            <v>m²</v>
          </cell>
          <cell r="D3375">
            <v>42.59</v>
          </cell>
          <cell r="E3375">
            <v>9.31</v>
          </cell>
          <cell r="F3375">
            <v>51.9</v>
          </cell>
        </row>
        <row r="3376">
          <cell r="A3376" t="str">
            <v>540435</v>
          </cell>
          <cell r="B3376" t="str">
            <v>Pavimentação em lajota de concreto 35 MPa, espessura 8 cm, tipos: raquete, retangular, sextavado e 16 faces, com rejunte em areia</v>
          </cell>
          <cell r="C3376" t="str">
            <v>m²</v>
          </cell>
          <cell r="D3376">
            <v>49.92</v>
          </cell>
          <cell r="E3376">
            <v>12.4</v>
          </cell>
          <cell r="F3376">
            <v>62.32</v>
          </cell>
        </row>
        <row r="3377">
          <cell r="A3377" t="str">
            <v>540436</v>
          </cell>
          <cell r="B3377" t="str">
            <v>Bloco diagonal em concreto tipo piso drenante para plantio de grama - 50 x 50 x 10 cm</v>
          </cell>
          <cell r="C3377" t="str">
            <v>m²</v>
          </cell>
          <cell r="D3377">
            <v>52.6</v>
          </cell>
          <cell r="E3377">
            <v>4.58</v>
          </cell>
          <cell r="F3377">
            <v>57.18</v>
          </cell>
        </row>
        <row r="3378">
          <cell r="A3378" t="str">
            <v>540602</v>
          </cell>
          <cell r="B3378" t="str">
            <v>Guia pré-moldada curva tipo PMSP 100 - fck 25 MPa</v>
          </cell>
          <cell r="C3378" t="str">
            <v>m</v>
          </cell>
          <cell r="D3378">
            <v>30.55</v>
          </cell>
          <cell r="E3378">
            <v>5.8500000000000005</v>
          </cell>
          <cell r="F3378">
            <v>36.4</v>
          </cell>
        </row>
        <row r="3379">
          <cell r="A3379" t="str">
            <v>540604</v>
          </cell>
          <cell r="B3379" t="str">
            <v>Guia pré-moldada reta tipo PMSP 100 - fck 25 MPa</v>
          </cell>
          <cell r="C3379" t="str">
            <v>m</v>
          </cell>
          <cell r="D3379">
            <v>30.13</v>
          </cell>
          <cell r="E3379">
            <v>5.8500000000000005</v>
          </cell>
          <cell r="F3379">
            <v>35.979999999999997</v>
          </cell>
        </row>
        <row r="3380">
          <cell r="A3380" t="str">
            <v>540610</v>
          </cell>
          <cell r="B3380" t="str">
            <v>Base em concreto com fck de 20 MPa, para guias, sarjetas ou sarjetões</v>
          </cell>
          <cell r="C3380" t="str">
            <v>m³</v>
          </cell>
          <cell r="D3380">
            <v>286.95</v>
          </cell>
          <cell r="E3380">
            <v>21.06</v>
          </cell>
          <cell r="F3380">
            <v>308.01</v>
          </cell>
        </row>
        <row r="3381">
          <cell r="A3381" t="str">
            <v>540611</v>
          </cell>
          <cell r="B3381" t="str">
            <v>Base em concreto com fck de 25 MPa, para guias, sarjetas ou sarjetões</v>
          </cell>
          <cell r="C3381" t="str">
            <v>m³</v>
          </cell>
          <cell r="D3381">
            <v>300.12</v>
          </cell>
          <cell r="E3381">
            <v>21.06</v>
          </cell>
          <cell r="F3381">
            <v>321.18</v>
          </cell>
        </row>
        <row r="3382">
          <cell r="A3382" t="str">
            <v>540615</v>
          </cell>
          <cell r="B3382" t="str">
            <v>Execução de perfil extrusado no local</v>
          </cell>
          <cell r="C3382" t="str">
            <v>m³</v>
          </cell>
          <cell r="D3382">
            <v>260.52</v>
          </cell>
          <cell r="E3382">
            <v>0</v>
          </cell>
          <cell r="F3382">
            <v>260.52</v>
          </cell>
        </row>
        <row r="3383">
          <cell r="A3383" t="str">
            <v>540616</v>
          </cell>
          <cell r="B3383" t="str">
            <v>Sarjeta ou sarjetão moldado no local, tipo PMSP em concreto com fck 20 MPa</v>
          </cell>
          <cell r="C3383" t="str">
            <v>m³</v>
          </cell>
          <cell r="D3383">
            <v>362.43</v>
          </cell>
          <cell r="E3383">
            <v>42.94</v>
          </cell>
          <cell r="F3383">
            <v>405.37</v>
          </cell>
        </row>
        <row r="3384">
          <cell r="A3384" t="str">
            <v>540617</v>
          </cell>
          <cell r="B3384" t="str">
            <v>Sarjeta ou sarjetão moldado no local, tipo PMSP em concreto com fck 25 MPa</v>
          </cell>
          <cell r="C3384" t="str">
            <v>m³</v>
          </cell>
          <cell r="D3384">
            <v>375.6</v>
          </cell>
          <cell r="E3384">
            <v>42.94</v>
          </cell>
          <cell r="F3384">
            <v>418.54</v>
          </cell>
        </row>
        <row r="3385">
          <cell r="A3385" t="str">
            <v>540704</v>
          </cell>
          <cell r="B3385" t="str">
            <v>Passeio em mosaico português</v>
          </cell>
          <cell r="C3385" t="str">
            <v>m²</v>
          </cell>
          <cell r="D3385">
            <v>124.33</v>
          </cell>
          <cell r="E3385">
            <v>0</v>
          </cell>
          <cell r="F3385">
            <v>124.33</v>
          </cell>
        </row>
        <row r="3386">
          <cell r="A3386" t="str">
            <v>540710</v>
          </cell>
          <cell r="B3386" t="str">
            <v>Piso em ladrilho hidráulico preto, branco e cinza 20 x 20 cm, assentado com argamassa mista</v>
          </cell>
          <cell r="C3386" t="str">
            <v>m²</v>
          </cell>
          <cell r="D3386">
            <v>52.76</v>
          </cell>
          <cell r="E3386">
            <v>30.63</v>
          </cell>
          <cell r="F3386">
            <v>83.39</v>
          </cell>
        </row>
        <row r="3387">
          <cell r="A3387" t="str">
            <v>540711</v>
          </cell>
          <cell r="B3387" t="str">
            <v>Piso em ladrilho hidráulico preto, branco e cinza 20 x 20 cm, assentado com argamassa colante industrializada</v>
          </cell>
          <cell r="C3387" t="str">
            <v>m²</v>
          </cell>
          <cell r="D3387">
            <v>42.53</v>
          </cell>
          <cell r="E3387">
            <v>5.43</v>
          </cell>
          <cell r="F3387">
            <v>47.96</v>
          </cell>
        </row>
        <row r="3388">
          <cell r="A3388" t="str">
            <v>540712</v>
          </cell>
          <cell r="B3388" t="str">
            <v>Piso em ladrilho hidráulico várias cores 20 x 20 cm, assentado com argamassa mista</v>
          </cell>
          <cell r="C3388" t="str">
            <v>m²</v>
          </cell>
          <cell r="D3388">
            <v>50.81</v>
          </cell>
          <cell r="E3388">
            <v>30.63</v>
          </cell>
          <cell r="F3388">
            <v>81.44</v>
          </cell>
        </row>
        <row r="3389">
          <cell r="A3389" t="str">
            <v>540713</v>
          </cell>
          <cell r="B3389" t="str">
            <v>Piso em ladrilho hidráulico várias cores 20 x 20 cm, assentado com argamassa colante industrializada</v>
          </cell>
          <cell r="C3389" t="str">
            <v>m²</v>
          </cell>
          <cell r="D3389">
            <v>40.58</v>
          </cell>
          <cell r="E3389">
            <v>5.43</v>
          </cell>
          <cell r="F3389">
            <v>46.01</v>
          </cell>
        </row>
        <row r="3390">
          <cell r="A3390" t="str">
            <v>540720</v>
          </cell>
          <cell r="B3390" t="str">
            <v>Rejuntamento de piso em ladrilho hidráulico (20 x 20 x 1,8 cm) com cimento branco, juntas de 2 mm</v>
          </cell>
          <cell r="C3390" t="str">
            <v>m²</v>
          </cell>
          <cell r="D3390">
            <v>0.70000000000000007</v>
          </cell>
          <cell r="E3390">
            <v>4.8499999999999996</v>
          </cell>
          <cell r="F3390">
            <v>5.55</v>
          </cell>
        </row>
        <row r="3391">
          <cell r="A3391" t="str">
            <v>540721</v>
          </cell>
          <cell r="B3391" t="str">
            <v>Rejuntamento de piso em ladrilho hidráulico (20 x 20 x 1,8 cm) com argamassa industrializada para rejunte, juntas de 2 mm</v>
          </cell>
          <cell r="C3391" t="str">
            <v>m²</v>
          </cell>
          <cell r="D3391">
            <v>1.58</v>
          </cell>
          <cell r="E3391">
            <v>4.8499999999999996</v>
          </cell>
          <cell r="F3391">
            <v>6.43</v>
          </cell>
        </row>
        <row r="3392">
          <cell r="A3392" t="str">
            <v>542010</v>
          </cell>
          <cell r="B3392" t="str">
            <v>Reassentamento de guia pré-moldada reta e/ou curva</v>
          </cell>
          <cell r="C3392" t="str">
            <v>m</v>
          </cell>
          <cell r="D3392">
            <v>5.94</v>
          </cell>
          <cell r="E3392">
            <v>5.8500000000000005</v>
          </cell>
          <cell r="F3392">
            <v>11.790000000000001</v>
          </cell>
        </row>
        <row r="3393">
          <cell r="A3393" t="str">
            <v>542011</v>
          </cell>
          <cell r="B3393" t="str">
            <v>Reassentamento de paralelepípedos, sem rejunte</v>
          </cell>
          <cell r="C3393" t="str">
            <v>m²</v>
          </cell>
          <cell r="D3393">
            <v>7.44</v>
          </cell>
          <cell r="E3393">
            <v>12.39</v>
          </cell>
          <cell r="F3393">
            <v>19.829999999999998</v>
          </cell>
        </row>
        <row r="3394">
          <cell r="A3394" t="str">
            <v>542012</v>
          </cell>
          <cell r="B3394" t="str">
            <v>Reassentamento de pavimentação em lajota de concreto, espessura 6 cm, com rejunte em areia</v>
          </cell>
          <cell r="C3394" t="str">
            <v>m²</v>
          </cell>
          <cell r="D3394">
            <v>4.8899999999999997</v>
          </cell>
          <cell r="E3394">
            <v>7.6400000000000006</v>
          </cell>
          <cell r="F3394">
            <v>12.530000000000001</v>
          </cell>
        </row>
        <row r="3395">
          <cell r="A3395" t="str">
            <v>542013</v>
          </cell>
          <cell r="B3395" t="str">
            <v>Reassentamento de pavimentação em lajota de concreto, espessura 8 cm, com rejunte em areia</v>
          </cell>
          <cell r="C3395" t="str">
            <v>m²</v>
          </cell>
          <cell r="D3395">
            <v>4.95</v>
          </cell>
          <cell r="E3395">
            <v>8.85</v>
          </cell>
          <cell r="F3395">
            <v>13.8</v>
          </cell>
        </row>
        <row r="3396">
          <cell r="A3396" t="str">
            <v>542014</v>
          </cell>
          <cell r="B3396" t="str">
            <v>Reassentamento de pavimentação em lajota de concreto, espessura 10 cm, com rejunte em areia</v>
          </cell>
          <cell r="C3396" t="str">
            <v>m²</v>
          </cell>
          <cell r="D3396">
            <v>5.03</v>
          </cell>
          <cell r="E3396">
            <v>10.64</v>
          </cell>
          <cell r="F3396">
            <v>15.67</v>
          </cell>
        </row>
        <row r="3397">
          <cell r="A3397" t="str">
            <v>550102</v>
          </cell>
          <cell r="B3397" t="str">
            <v>Limpeza final da obra</v>
          </cell>
          <cell r="C3397" t="str">
            <v>m²</v>
          </cell>
          <cell r="D3397">
            <v>0</v>
          </cell>
          <cell r="E3397">
            <v>4.08</v>
          </cell>
          <cell r="F3397">
            <v>4.08</v>
          </cell>
        </row>
        <row r="3398">
          <cell r="A3398" t="str">
            <v>550103</v>
          </cell>
          <cell r="B3398" t="str">
            <v>Limpeza complementar com hidrojateamento</v>
          </cell>
          <cell r="C3398" t="str">
            <v>m²</v>
          </cell>
          <cell r="D3398">
            <v>1.4000000000000001</v>
          </cell>
          <cell r="E3398">
            <v>2.82</v>
          </cell>
          <cell r="F3398">
            <v>4.22</v>
          </cell>
        </row>
        <row r="3399">
          <cell r="A3399" t="str">
            <v>550107</v>
          </cell>
          <cell r="B3399" t="str">
            <v>Limpeza complementar e especial de piso com produtos químicos</v>
          </cell>
          <cell r="C3399" t="str">
            <v>m²</v>
          </cell>
          <cell r="D3399">
            <v>0.25</v>
          </cell>
          <cell r="E3399">
            <v>1.94</v>
          </cell>
          <cell r="F3399">
            <v>2.19</v>
          </cell>
        </row>
        <row r="3400">
          <cell r="A3400" t="str">
            <v>550108</v>
          </cell>
          <cell r="B3400" t="str">
            <v>Limpeza complementar e especial de peças e aparelhos sanitários</v>
          </cell>
          <cell r="C3400" t="str">
            <v>un</v>
          </cell>
          <cell r="D3400">
            <v>0</v>
          </cell>
          <cell r="E3400">
            <v>7.7700000000000005</v>
          </cell>
          <cell r="F3400">
            <v>7.7700000000000005</v>
          </cell>
        </row>
        <row r="3401">
          <cell r="A3401" t="str">
            <v>550110</v>
          </cell>
          <cell r="B3401" t="str">
            <v>Limpeza complementar e especial de vidros</v>
          </cell>
          <cell r="C3401" t="str">
            <v>m²</v>
          </cell>
          <cell r="D3401">
            <v>0</v>
          </cell>
          <cell r="E3401">
            <v>7.28</v>
          </cell>
          <cell r="F3401">
            <v>7.28</v>
          </cell>
        </row>
        <row r="3402">
          <cell r="A3402" t="str">
            <v>550113</v>
          </cell>
          <cell r="B3402" t="str">
            <v>Limpeza e lavagem de superfície revestida com material cerâmico ou pastilhas por hidrojateamento com rejuntamento</v>
          </cell>
          <cell r="C3402" t="str">
            <v>m²</v>
          </cell>
          <cell r="D3402">
            <v>3.66</v>
          </cell>
          <cell r="E3402">
            <v>2.82</v>
          </cell>
          <cell r="F3402">
            <v>6.48</v>
          </cell>
        </row>
        <row r="3403">
          <cell r="A3403" t="str">
            <v>550114</v>
          </cell>
          <cell r="B3403" t="str">
            <v>Limpeza de superfície com hidrojateamento</v>
          </cell>
          <cell r="C3403" t="str">
            <v>m²</v>
          </cell>
          <cell r="D3403">
            <v>3.63</v>
          </cell>
          <cell r="E3403">
            <v>0</v>
          </cell>
          <cell r="F3403">
            <v>3.63</v>
          </cell>
        </row>
        <row r="3404">
          <cell r="A3404" t="str">
            <v>550201</v>
          </cell>
          <cell r="B3404" t="str">
            <v>Limpeza de caixa de inspeção</v>
          </cell>
          <cell r="C3404" t="str">
            <v>un</v>
          </cell>
          <cell r="D3404">
            <v>0</v>
          </cell>
          <cell r="E3404">
            <v>2.91</v>
          </cell>
          <cell r="F3404">
            <v>2.91</v>
          </cell>
        </row>
        <row r="3405">
          <cell r="A3405" t="str">
            <v>550202</v>
          </cell>
          <cell r="B3405" t="str">
            <v>Limpeza de fossa</v>
          </cell>
          <cell r="C3405" t="str">
            <v>m³</v>
          </cell>
          <cell r="D3405">
            <v>74.66</v>
          </cell>
          <cell r="E3405">
            <v>0</v>
          </cell>
          <cell r="F3405">
            <v>74.66</v>
          </cell>
        </row>
        <row r="3406">
          <cell r="A3406" t="str">
            <v>550204</v>
          </cell>
          <cell r="B3406" t="str">
            <v>Limpeza e desobstrução de boca de lobo</v>
          </cell>
          <cell r="C3406" t="str">
            <v>un</v>
          </cell>
          <cell r="D3406">
            <v>0</v>
          </cell>
          <cell r="E3406">
            <v>10.039999999999999</v>
          </cell>
          <cell r="F3406">
            <v>10.039999999999999</v>
          </cell>
        </row>
        <row r="3407">
          <cell r="A3407" t="str">
            <v>550205</v>
          </cell>
          <cell r="B3407" t="str">
            <v>Limpeza e desobstrução de canaletas ou tubulações de águas pluviais</v>
          </cell>
          <cell r="C3407" t="str">
            <v>m</v>
          </cell>
          <cell r="D3407">
            <v>0</v>
          </cell>
          <cell r="E3407">
            <v>5.0199999999999996</v>
          </cell>
          <cell r="F3407">
            <v>5.0199999999999996</v>
          </cell>
        </row>
        <row r="3408">
          <cell r="A3408" t="str">
            <v>550206</v>
          </cell>
          <cell r="B3408" t="str">
            <v>Limpeza e desentupimento manual de tubulação de esgoto predial</v>
          </cell>
          <cell r="C3408" t="str">
            <v>m</v>
          </cell>
          <cell r="D3408">
            <v>0</v>
          </cell>
          <cell r="E3408">
            <v>5.8100000000000005</v>
          </cell>
          <cell r="F3408">
            <v>5.8100000000000005</v>
          </cell>
        </row>
        <row r="3409">
          <cell r="A3409" t="str">
            <v>610167</v>
          </cell>
          <cell r="B3409" t="str">
            <v>Elevador para passageiros, uso interno com capacidade mínima de 600kg para duas paradas, portas unilaterais</v>
          </cell>
          <cell r="C3409" t="str">
            <v>cj</v>
          </cell>
          <cell r="D3409">
            <v>72625</v>
          </cell>
          <cell r="E3409">
            <v>0</v>
          </cell>
          <cell r="F3409">
            <v>72625</v>
          </cell>
        </row>
        <row r="3410">
          <cell r="A3410" t="str">
            <v>610168</v>
          </cell>
          <cell r="B3410" t="str">
            <v>Elevador para passageiros, uso interno com capacidade mínima de 600kg para três paradas, portas unilaterais</v>
          </cell>
          <cell r="C3410" t="str">
            <v>cj</v>
          </cell>
          <cell r="D3410">
            <v>76875</v>
          </cell>
          <cell r="E3410">
            <v>0</v>
          </cell>
          <cell r="F3410">
            <v>76875</v>
          </cell>
        </row>
        <row r="3411">
          <cell r="A3411" t="str">
            <v>610169</v>
          </cell>
          <cell r="B3411" t="str">
            <v>Elevador para passageiros, uso interno com capacidade mínima de 600kg para três paradas, portas bilaterais</v>
          </cell>
          <cell r="C3411" t="str">
            <v>cj</v>
          </cell>
          <cell r="D3411">
            <v>87500</v>
          </cell>
          <cell r="E3411">
            <v>0</v>
          </cell>
          <cell r="F3411">
            <v>87500</v>
          </cell>
        </row>
        <row r="3412">
          <cell r="A3412" t="str">
            <v>610176</v>
          </cell>
          <cell r="B3412" t="str">
            <v>Elevador para passageiros, uso interno com capacidade mínima de 600 kg para quatro paradas, portas bilaterais</v>
          </cell>
          <cell r="C3412" t="str">
            <v>cj</v>
          </cell>
          <cell r="D3412">
            <v>105250</v>
          </cell>
          <cell r="E3412">
            <v>0</v>
          </cell>
          <cell r="F3412">
            <v>105250</v>
          </cell>
        </row>
        <row r="3413">
          <cell r="A3413" t="str">
            <v>610177</v>
          </cell>
          <cell r="B3413" t="str">
            <v>Elevador para passageiros, uso interno com capacidade mínima de 600 kg para quatro paradas, portas unilaterais</v>
          </cell>
          <cell r="C3413" t="str">
            <v>cj</v>
          </cell>
          <cell r="D3413">
            <v>82250</v>
          </cell>
          <cell r="E3413">
            <v>0</v>
          </cell>
          <cell r="F3413">
            <v>82250</v>
          </cell>
        </row>
        <row r="3414">
          <cell r="A3414" t="str">
            <v>610180</v>
          </cell>
          <cell r="B3414" t="str">
            <v>Fechamento em vidro laminado para caixa de elevador</v>
          </cell>
          <cell r="C3414" t="str">
            <v>m²</v>
          </cell>
          <cell r="D3414">
            <v>314.38</v>
          </cell>
          <cell r="E3414">
            <v>0</v>
          </cell>
          <cell r="F3414">
            <v>314.38</v>
          </cell>
        </row>
        <row r="3415">
          <cell r="A3415" t="str">
            <v>611212</v>
          </cell>
          <cell r="B3415" t="str">
            <v>Exaustor eólico vazão de ar 4.000 m³/h e ventos a 10 km/h</v>
          </cell>
          <cell r="C3415" t="str">
            <v>un</v>
          </cell>
          <cell r="D3415">
            <v>288.33</v>
          </cell>
          <cell r="E3415">
            <v>0</v>
          </cell>
          <cell r="F3415">
            <v>288.33</v>
          </cell>
        </row>
        <row r="3416">
          <cell r="A3416" t="str">
            <v>611404</v>
          </cell>
          <cell r="B3416" t="str">
            <v>Caixa ventiladora com ventilador centrífugo, vazão 4400 m³/h, pressão 35 mmCA - 220/380 V / 60Hz</v>
          </cell>
          <cell r="C3416" t="str">
            <v>un</v>
          </cell>
          <cell r="D3416">
            <v>3264.9700000000003</v>
          </cell>
          <cell r="E3416">
            <v>136.44</v>
          </cell>
          <cell r="F3416">
            <v>3401.41</v>
          </cell>
        </row>
        <row r="3417">
          <cell r="A3417" t="str">
            <v>611405</v>
          </cell>
          <cell r="B3417" t="str">
            <v>Caixa ventiladora com ventilador centrífugo, vazão 8800 m³/h, pressão 35 mmCA - 220/380 V / 60Hz</v>
          </cell>
          <cell r="C3417" t="str">
            <v>un</v>
          </cell>
          <cell r="D3417">
            <v>4845.05</v>
          </cell>
          <cell r="E3417">
            <v>136.44</v>
          </cell>
          <cell r="F3417">
            <v>4981.49</v>
          </cell>
        </row>
        <row r="3418">
          <cell r="A3418" t="str">
            <v>611406</v>
          </cell>
          <cell r="B3418" t="str">
            <v>Caixa ventiladora com ventilador centrífugo, vazão 700 m³/h, pressão 35 mmCA - 220/380 V / 60Hz</v>
          </cell>
          <cell r="C3418" t="str">
            <v>un</v>
          </cell>
          <cell r="D3418">
            <v>1852.55</v>
          </cell>
          <cell r="E3418">
            <v>136.44</v>
          </cell>
          <cell r="F3418">
            <v>1988.99</v>
          </cell>
        </row>
        <row r="3419">
          <cell r="A3419" t="str">
            <v>611407</v>
          </cell>
          <cell r="B3419" t="str">
            <v>Caixa ventiladora com ventilador centrífugo, vazão 1710 m³/h, pressão 35 mmCA - 220/380 V / 60Hz</v>
          </cell>
          <cell r="C3419" t="str">
            <v>un</v>
          </cell>
          <cell r="D3419">
            <v>2165</v>
          </cell>
          <cell r="E3419">
            <v>136.44</v>
          </cell>
          <cell r="F3419">
            <v>2301.44</v>
          </cell>
        </row>
        <row r="3420">
          <cell r="A3420" t="str">
            <v>611408</v>
          </cell>
          <cell r="B3420" t="str">
            <v>Caixa ventiladora com ventilador centrífugo, vazão 1190 m³/h, pressão 35 mmCA - 220/380 V / 60Hz</v>
          </cell>
          <cell r="C3420" t="str">
            <v>un</v>
          </cell>
          <cell r="D3420">
            <v>2001</v>
          </cell>
          <cell r="E3420">
            <v>136.44</v>
          </cell>
          <cell r="F3420">
            <v>2137.44</v>
          </cell>
        </row>
        <row r="3421">
          <cell r="A3421" t="str">
            <v>612010</v>
          </cell>
          <cell r="B3421" t="str">
            <v>Ligação típica, (cavalete), para ar condicionado ´fancoil´, diâmetro de 1/2´</v>
          </cell>
          <cell r="C3421" t="str">
            <v>cj</v>
          </cell>
          <cell r="D3421">
            <v>507.32</v>
          </cell>
          <cell r="E3421">
            <v>251.26000000000002</v>
          </cell>
          <cell r="F3421">
            <v>758.58</v>
          </cell>
        </row>
        <row r="3422">
          <cell r="A3422" t="str">
            <v>612011</v>
          </cell>
          <cell r="B3422" t="str">
            <v>Ligação típica, (cavalete), para ar condicionado ´fancoil´, diâmetro de 3/4´</v>
          </cell>
          <cell r="C3422" t="str">
            <v>cj</v>
          </cell>
          <cell r="D3422">
            <v>614.82000000000005</v>
          </cell>
          <cell r="E3422">
            <v>267.89999999999998</v>
          </cell>
          <cell r="F3422">
            <v>882.72</v>
          </cell>
        </row>
        <row r="3423">
          <cell r="A3423" t="str">
            <v>612012</v>
          </cell>
          <cell r="B3423" t="str">
            <v>Ligação típica, (cavalete), para ar condicionado ´fancoil´, diâmetro de 1´</v>
          </cell>
          <cell r="C3423" t="str">
            <v>cj</v>
          </cell>
          <cell r="D3423">
            <v>716.95</v>
          </cell>
          <cell r="E3423">
            <v>301.18</v>
          </cell>
          <cell r="F3423">
            <v>1018.13</v>
          </cell>
        </row>
        <row r="3424">
          <cell r="A3424" t="str">
            <v>612013</v>
          </cell>
          <cell r="B3424" t="str">
            <v>Ligação típica, (cavalete), para ar condicionado ´fancoil´, diâmetro de 1 1/4´</v>
          </cell>
          <cell r="C3424" t="str">
            <v>cj</v>
          </cell>
          <cell r="D3424">
            <v>928.58</v>
          </cell>
          <cell r="E3424">
            <v>317.82</v>
          </cell>
          <cell r="F3424">
            <v>1246.4000000000001</v>
          </cell>
        </row>
        <row r="3425">
          <cell r="A3425" t="str">
            <v>612045</v>
          </cell>
          <cell r="B3425" t="str">
            <v>Duto em chapa de aço galvanizado</v>
          </cell>
          <cell r="C3425" t="str">
            <v>kg</v>
          </cell>
          <cell r="D3425">
            <v>8.5299999999999994</v>
          </cell>
          <cell r="E3425">
            <v>13.66</v>
          </cell>
          <cell r="F3425">
            <v>22.19</v>
          </cell>
        </row>
        <row r="3426">
          <cell r="A3426" t="str">
            <v>620406</v>
          </cell>
          <cell r="B3426" t="str">
            <v>Tanque duplo com pés em aço inoxidável de 1600 x 700 x 850 mm</v>
          </cell>
          <cell r="C3426" t="str">
            <v>un</v>
          </cell>
          <cell r="D3426">
            <v>2799.52</v>
          </cell>
          <cell r="E3426">
            <v>11.94</v>
          </cell>
          <cell r="F3426">
            <v>2811.46</v>
          </cell>
        </row>
        <row r="3427">
          <cell r="A3427" t="str">
            <v>620407</v>
          </cell>
          <cell r="B3427" t="str">
            <v>Mesa em aço inoxidável, largura até 700 mm</v>
          </cell>
          <cell r="C3427" t="str">
            <v>m</v>
          </cell>
          <cell r="D3427">
            <v>1150.4000000000001</v>
          </cell>
          <cell r="E3427">
            <v>0</v>
          </cell>
          <cell r="F3427">
            <v>1150.4000000000001</v>
          </cell>
        </row>
        <row r="3428">
          <cell r="A3428" t="str">
            <v>620409</v>
          </cell>
          <cell r="B3428" t="str">
            <v>Mesa lateral em aço inoxidável com prateleira inferior, largura até 700 mm</v>
          </cell>
          <cell r="C3428" t="str">
            <v>m</v>
          </cell>
          <cell r="D3428">
            <v>1898.3600000000001</v>
          </cell>
          <cell r="E3428">
            <v>0</v>
          </cell>
          <cell r="F3428">
            <v>1898.3600000000001</v>
          </cell>
        </row>
        <row r="3429">
          <cell r="A3429" t="str">
            <v>622033</v>
          </cell>
          <cell r="B3429" t="str">
            <v>Coifa em aço inoxidável com filtro e exaustor axial - área até 3,00 m²</v>
          </cell>
          <cell r="C3429" t="str">
            <v>m²</v>
          </cell>
          <cell r="D3429">
            <v>7285.83</v>
          </cell>
          <cell r="E3429">
            <v>0</v>
          </cell>
          <cell r="F3429">
            <v>7285.83</v>
          </cell>
        </row>
        <row r="3430">
          <cell r="A3430" t="str">
            <v>622034</v>
          </cell>
          <cell r="B3430" t="str">
            <v>Coifa em aço inoxidável com filtro e exaustor axial - área de 3,01 até 7,50 m²</v>
          </cell>
          <cell r="C3430" t="str">
            <v>m²</v>
          </cell>
          <cell r="D3430">
            <v>5363.77</v>
          </cell>
          <cell r="E3430">
            <v>0</v>
          </cell>
          <cell r="F3430">
            <v>5363.77</v>
          </cell>
        </row>
        <row r="3431">
          <cell r="A3431" t="str">
            <v>622035</v>
          </cell>
          <cell r="B3431" t="str">
            <v>Coifa em aço inoxidável com filtro e exaustor axial - área de 7,51 até 16,00 m²</v>
          </cell>
          <cell r="C3431" t="str">
            <v>m²</v>
          </cell>
          <cell r="D3431">
            <v>2819.9900000000002</v>
          </cell>
          <cell r="E3431">
            <v>0</v>
          </cell>
          <cell r="F3431">
            <v>2819.9900000000002</v>
          </cell>
        </row>
        <row r="3432">
          <cell r="A3432" t="str">
            <v>650121</v>
          </cell>
          <cell r="B3432" t="str">
            <v>Câmara frigorífica para resfriados</v>
          </cell>
          <cell r="C3432" t="str">
            <v>m²</v>
          </cell>
          <cell r="D3432">
            <v>1999.56</v>
          </cell>
          <cell r="E3432">
            <v>0</v>
          </cell>
          <cell r="F3432">
            <v>1999.56</v>
          </cell>
        </row>
        <row r="3433">
          <cell r="A3433" t="str">
            <v>650210</v>
          </cell>
          <cell r="B3433" t="str">
            <v>Câmara frigorífica para congelados</v>
          </cell>
          <cell r="C3433" t="str">
            <v>m²</v>
          </cell>
          <cell r="D3433">
            <v>2400.4499999999998</v>
          </cell>
          <cell r="E3433">
            <v>0</v>
          </cell>
          <cell r="F3433">
            <v>2400.4499999999998</v>
          </cell>
        </row>
        <row r="3434">
          <cell r="A3434" t="str">
            <v>660206</v>
          </cell>
          <cell r="B3434" t="str">
            <v>Repetidora de sinais de ocorrências, do painel sinóptico da central de alarme</v>
          </cell>
          <cell r="C3434" t="str">
            <v>un</v>
          </cell>
          <cell r="D3434">
            <v>727.58</v>
          </cell>
          <cell r="E3434">
            <v>6.82</v>
          </cell>
          <cell r="F3434">
            <v>734.4</v>
          </cell>
        </row>
        <row r="3435">
          <cell r="A3435" t="str">
            <v>660209</v>
          </cell>
          <cell r="B3435" t="str">
            <v>Detector de metais, tipo portal, microprocessado</v>
          </cell>
          <cell r="C3435" t="str">
            <v>un</v>
          </cell>
          <cell r="D3435">
            <v>5603.88</v>
          </cell>
          <cell r="E3435">
            <v>0</v>
          </cell>
          <cell r="F3435">
            <v>5603.88</v>
          </cell>
        </row>
        <row r="3436">
          <cell r="A3436" t="str">
            <v>660213</v>
          </cell>
          <cell r="B3436" t="str">
            <v>Porteiro eletrônico com um interfone</v>
          </cell>
          <cell r="C3436" t="str">
            <v>cj</v>
          </cell>
          <cell r="D3436">
            <v>122.12</v>
          </cell>
          <cell r="E3436">
            <v>22.740000000000002</v>
          </cell>
          <cell r="F3436">
            <v>144.86000000000001</v>
          </cell>
        </row>
        <row r="3437">
          <cell r="A3437" t="str">
            <v>660224</v>
          </cell>
          <cell r="B3437" t="str">
            <v>Sistema eletrônico de automatização de portão deslizante, esforço até 1400 kg</v>
          </cell>
          <cell r="C3437" t="str">
            <v>cj</v>
          </cell>
          <cell r="D3437">
            <v>2755.54</v>
          </cell>
          <cell r="E3437">
            <v>0</v>
          </cell>
          <cell r="F3437">
            <v>2755.54</v>
          </cell>
        </row>
        <row r="3438">
          <cell r="A3438" t="str">
            <v>660246</v>
          </cell>
          <cell r="B3438" t="str">
            <v>Vídeo porteiro eletrônico colorido, com um interfone e fechadura elétrica</v>
          </cell>
          <cell r="C3438" t="str">
            <v>cj</v>
          </cell>
          <cell r="D3438">
            <v>1035.77</v>
          </cell>
          <cell r="E3438">
            <v>56.85</v>
          </cell>
          <cell r="F3438">
            <v>1092.6199999999999</v>
          </cell>
        </row>
        <row r="3439">
          <cell r="A3439" t="str">
            <v>660250</v>
          </cell>
          <cell r="B3439" t="str">
            <v>Central de alarme microprocessada, para até 125 zonas</v>
          </cell>
          <cell r="C3439" t="str">
            <v>un</v>
          </cell>
          <cell r="D3439">
            <v>1416.27</v>
          </cell>
          <cell r="E3439">
            <v>6.82</v>
          </cell>
          <cell r="F3439">
            <v>1423.09</v>
          </cell>
        </row>
        <row r="3440">
          <cell r="A3440" t="str">
            <v>660803</v>
          </cell>
          <cell r="B3440" t="str">
            <v>Unidade gerenciadora de vídeo local - DVR</v>
          </cell>
          <cell r="C3440" t="str">
            <v>un</v>
          </cell>
          <cell r="D3440">
            <v>32428.530000000002</v>
          </cell>
          <cell r="E3440">
            <v>1328.2</v>
          </cell>
          <cell r="F3440">
            <v>33756.730000000003</v>
          </cell>
        </row>
        <row r="3441">
          <cell r="A3441" t="str">
            <v>660806</v>
          </cell>
          <cell r="B3441" t="str">
            <v>Manipulador ou teclado para as câmeras móveis</v>
          </cell>
          <cell r="C3441" t="str">
            <v>un</v>
          </cell>
          <cell r="D3441">
            <v>4664.3500000000004</v>
          </cell>
          <cell r="E3441">
            <v>531.28</v>
          </cell>
          <cell r="F3441">
            <v>5195.63</v>
          </cell>
        </row>
        <row r="3442">
          <cell r="A3442" t="str">
            <v>660807</v>
          </cell>
          <cell r="B3442" t="str">
            <v>Rack fechado de piso padrão metálico, 19 x 44Us x 770 mm</v>
          </cell>
          <cell r="C3442" t="str">
            <v>un</v>
          </cell>
          <cell r="D3442">
            <v>1660.06</v>
          </cell>
          <cell r="E3442">
            <v>332.05</v>
          </cell>
          <cell r="F3442">
            <v>1992.1100000000001</v>
          </cell>
        </row>
        <row r="3443">
          <cell r="A3443" t="str">
            <v>660808</v>
          </cell>
          <cell r="B3443" t="str">
            <v>Gabinete de comando e visualização, com mesa de apoio para até 3 monitores de 17´ e 3 monitores de 20´</v>
          </cell>
          <cell r="C3443" t="str">
            <v>un</v>
          </cell>
          <cell r="D3443">
            <v>11146.28</v>
          </cell>
          <cell r="E3443">
            <v>398.46000000000004</v>
          </cell>
          <cell r="F3443">
            <v>11544.74</v>
          </cell>
        </row>
        <row r="3444">
          <cell r="A3444" t="str">
            <v>660810</v>
          </cell>
          <cell r="B3444" t="str">
            <v>Rack fechado padrão metálico, 19 x 12 Us x 470 mm</v>
          </cell>
          <cell r="C3444" t="str">
            <v>un</v>
          </cell>
          <cell r="D3444">
            <v>533.66999999999996</v>
          </cell>
          <cell r="E3444">
            <v>166.03</v>
          </cell>
          <cell r="F3444">
            <v>699.7</v>
          </cell>
        </row>
        <row r="3445">
          <cell r="A3445" t="str">
            <v>660811</v>
          </cell>
          <cell r="B3445" t="str">
            <v>Rack fechado padrão metálico, 19 x 20 Us x 470 mm</v>
          </cell>
          <cell r="C3445" t="str">
            <v>un</v>
          </cell>
          <cell r="D3445">
            <v>1021.71</v>
          </cell>
          <cell r="E3445">
            <v>166.03</v>
          </cell>
          <cell r="F3445">
            <v>1187.74</v>
          </cell>
        </row>
        <row r="3446">
          <cell r="A3446" t="str">
            <v>660812</v>
          </cell>
          <cell r="B3446" t="str">
            <v>Monitor LCD colorido tela plana de 17´</v>
          </cell>
          <cell r="C3446" t="str">
            <v>un</v>
          </cell>
          <cell r="D3446">
            <v>528.58000000000004</v>
          </cell>
          <cell r="E3446">
            <v>5.3</v>
          </cell>
          <cell r="F3446">
            <v>533.88</v>
          </cell>
        </row>
        <row r="3447">
          <cell r="A3447" t="str">
            <v>660813</v>
          </cell>
          <cell r="B3447" t="str">
            <v>Monitor LCD colorido tela plana de 20´</v>
          </cell>
          <cell r="C3447" t="str">
            <v>un</v>
          </cell>
          <cell r="D3447">
            <v>710.04</v>
          </cell>
          <cell r="E3447">
            <v>5.3</v>
          </cell>
          <cell r="F3447">
            <v>715.34</v>
          </cell>
        </row>
        <row r="3448">
          <cell r="A3448" t="str">
            <v>660816</v>
          </cell>
          <cell r="B3448" t="str">
            <v>Lente com diâmetro de 1/3´, com foco variável entre 3,5 mm a 8,0 mm</v>
          </cell>
          <cell r="C3448" t="str">
            <v>un</v>
          </cell>
          <cell r="D3448">
            <v>86.05</v>
          </cell>
          <cell r="E3448">
            <v>132.82</v>
          </cell>
          <cell r="F3448">
            <v>218.87</v>
          </cell>
        </row>
        <row r="3449">
          <cell r="A3449" t="str">
            <v>660819</v>
          </cell>
          <cell r="B3449" t="str">
            <v>Rack fechado de piso padrão metálico, 19 x 24 Us x 570 mm</v>
          </cell>
          <cell r="C3449" t="str">
            <v>un</v>
          </cell>
          <cell r="D3449">
            <v>944.59</v>
          </cell>
          <cell r="E3449">
            <v>166.03</v>
          </cell>
          <cell r="F3449">
            <v>1110.6199999999999</v>
          </cell>
        </row>
        <row r="3450">
          <cell r="A3450" t="str">
            <v>660823</v>
          </cell>
          <cell r="B3450" t="str">
            <v>Gravador e reprodutor de DVD</v>
          </cell>
          <cell r="C3450" t="str">
            <v>un</v>
          </cell>
          <cell r="D3450">
            <v>1269.6400000000001</v>
          </cell>
          <cell r="E3450">
            <v>11.370000000000001</v>
          </cell>
          <cell r="F3450">
            <v>1281.01</v>
          </cell>
        </row>
        <row r="3451">
          <cell r="A3451" t="str">
            <v>660824</v>
          </cell>
          <cell r="B3451" t="str">
            <v>Filtro e misturador de sinais</v>
          </cell>
          <cell r="C3451" t="str">
            <v>un</v>
          </cell>
          <cell r="D3451">
            <v>14.56</v>
          </cell>
          <cell r="E3451">
            <v>11.370000000000001</v>
          </cell>
          <cell r="F3451">
            <v>25.93</v>
          </cell>
        </row>
        <row r="3452">
          <cell r="A3452" t="str">
            <v>660825</v>
          </cell>
          <cell r="B3452" t="str">
            <v>Receptor de sinais via satélite para 8 canais (rack)</v>
          </cell>
          <cell r="C3452" t="str">
            <v>un</v>
          </cell>
          <cell r="D3452">
            <v>2201.61</v>
          </cell>
          <cell r="E3452">
            <v>90.960000000000008</v>
          </cell>
          <cell r="F3452">
            <v>2292.5700000000002</v>
          </cell>
        </row>
        <row r="3453">
          <cell r="A3453" t="str">
            <v>660826</v>
          </cell>
          <cell r="B3453" t="str">
            <v>Modulador de canais</v>
          </cell>
          <cell r="C3453" t="str">
            <v>un</v>
          </cell>
          <cell r="D3453">
            <v>153.69999999999999</v>
          </cell>
          <cell r="E3453">
            <v>22.740000000000002</v>
          </cell>
          <cell r="F3453">
            <v>176.44</v>
          </cell>
        </row>
        <row r="3454">
          <cell r="A3454" t="str">
            <v>660827</v>
          </cell>
          <cell r="B3454" t="str">
            <v>Amplificador de linha VHF + UHF com conector de F50 dB</v>
          </cell>
          <cell r="C3454" t="str">
            <v>un</v>
          </cell>
          <cell r="D3454">
            <v>353.66</v>
          </cell>
          <cell r="E3454">
            <v>6.82</v>
          </cell>
          <cell r="F3454">
            <v>360.48</v>
          </cell>
        </row>
        <row r="3455">
          <cell r="A3455" t="str">
            <v>662015</v>
          </cell>
          <cell r="B3455" t="str">
            <v>Guia organizadora de cabos para rack, 19´ 1 U</v>
          </cell>
          <cell r="C3455" t="str">
            <v>un</v>
          </cell>
          <cell r="D3455">
            <v>14.19</v>
          </cell>
          <cell r="E3455">
            <v>6.6400000000000006</v>
          </cell>
          <cell r="F3455">
            <v>20.830000000000002</v>
          </cell>
        </row>
        <row r="3456">
          <cell r="A3456" t="str">
            <v>662016</v>
          </cell>
          <cell r="B3456" t="str">
            <v>Switch 24 portas com capacidade de 10/100/1000/Mbps</v>
          </cell>
          <cell r="C3456" t="str">
            <v>cj</v>
          </cell>
          <cell r="D3456">
            <v>1487.02</v>
          </cell>
          <cell r="E3456">
            <v>8.83</v>
          </cell>
          <cell r="F3456">
            <v>1495.8500000000001</v>
          </cell>
        </row>
        <row r="3457">
          <cell r="A3457" t="str">
            <v>662017</v>
          </cell>
          <cell r="B3457" t="str">
            <v>Guia organizadora de cabos para rack, 19´ 2 U</v>
          </cell>
          <cell r="C3457" t="str">
            <v>un</v>
          </cell>
          <cell r="D3457">
            <v>21.91</v>
          </cell>
          <cell r="E3457">
            <v>6.6400000000000006</v>
          </cell>
          <cell r="F3457">
            <v>28.55</v>
          </cell>
        </row>
        <row r="3458">
          <cell r="A3458" t="str">
            <v>662018</v>
          </cell>
          <cell r="B3458" t="str">
            <v>Caixa de proteção com suporte para câmera fixa interna ou externa</v>
          </cell>
          <cell r="C3458" t="str">
            <v>un</v>
          </cell>
          <cell r="D3458">
            <v>31.23</v>
          </cell>
          <cell r="E3458">
            <v>27.28</v>
          </cell>
          <cell r="F3458">
            <v>58.51</v>
          </cell>
        </row>
        <row r="3459">
          <cell r="A3459" t="str">
            <v>662019</v>
          </cell>
          <cell r="B3459" t="str">
            <v>Suporte para câmera dome</v>
          </cell>
          <cell r="C3459" t="str">
            <v>un</v>
          </cell>
          <cell r="D3459">
            <v>172.14000000000001</v>
          </cell>
          <cell r="E3459">
            <v>54.56</v>
          </cell>
          <cell r="F3459">
            <v>226.70000000000002</v>
          </cell>
        </row>
        <row r="3460">
          <cell r="A3460" t="str">
            <v>662020</v>
          </cell>
          <cell r="B3460" t="str">
            <v>Instalação de câmera fixa, para CFTV</v>
          </cell>
          <cell r="C3460" t="str">
            <v>un</v>
          </cell>
          <cell r="D3460">
            <v>0</v>
          </cell>
          <cell r="E3460">
            <v>398.46000000000004</v>
          </cell>
          <cell r="F3460">
            <v>398.46000000000004</v>
          </cell>
        </row>
        <row r="3461">
          <cell r="A3461" t="str">
            <v>662021</v>
          </cell>
          <cell r="B3461" t="str">
            <v>Instalação de câmera móvel, para CFTV</v>
          </cell>
          <cell r="C3461" t="str">
            <v>un</v>
          </cell>
          <cell r="D3461">
            <v>0</v>
          </cell>
          <cell r="E3461">
            <v>796.92000000000007</v>
          </cell>
          <cell r="F3461">
            <v>796.92000000000007</v>
          </cell>
        </row>
        <row r="3462">
          <cell r="A3462" t="str">
            <v>670204</v>
          </cell>
          <cell r="B3462" t="str">
            <v>Medidor de vazão tipo calha Parshall com garganta W= 6´</v>
          </cell>
          <cell r="C3462" t="str">
            <v>un</v>
          </cell>
          <cell r="D3462">
            <v>1227.77</v>
          </cell>
          <cell r="E3462">
            <v>42.78</v>
          </cell>
          <cell r="F3462">
            <v>1270.55</v>
          </cell>
        </row>
        <row r="3463">
          <cell r="A3463" t="str">
            <v>670216</v>
          </cell>
          <cell r="B3463" t="str">
            <v>Medidor de vazão tipo calha Parshall com garganta W= 3´</v>
          </cell>
          <cell r="C3463" t="str">
            <v>un</v>
          </cell>
          <cell r="D3463">
            <v>765.34</v>
          </cell>
          <cell r="E3463">
            <v>42.78</v>
          </cell>
          <cell r="F3463">
            <v>808.12</v>
          </cell>
        </row>
        <row r="3464">
          <cell r="A3464" t="str">
            <v>670218</v>
          </cell>
          <cell r="B3464" t="str">
            <v>Grade fina em aço carbono, espaçamento de 3 cm, com barras chatas de 1´x 1/4´</v>
          </cell>
          <cell r="C3464" t="str">
            <v>m²</v>
          </cell>
          <cell r="D3464">
            <v>849.5</v>
          </cell>
          <cell r="E3464">
            <v>4.82</v>
          </cell>
          <cell r="F3464">
            <v>854.32</v>
          </cell>
        </row>
        <row r="3465">
          <cell r="A3465" t="str">
            <v>670219</v>
          </cell>
          <cell r="B3465" t="str">
            <v>Grade grossa em aço carbono, espaçamento de 5 cm, com barras chatas de 1´ x 1/4´</v>
          </cell>
          <cell r="C3465" t="str">
            <v>m²</v>
          </cell>
          <cell r="D3465">
            <v>655</v>
          </cell>
          <cell r="E3465">
            <v>4.82</v>
          </cell>
          <cell r="F3465">
            <v>659.82</v>
          </cell>
        </row>
        <row r="3466">
          <cell r="A3466" t="str">
            <v>670221</v>
          </cell>
          <cell r="B3466" t="str">
            <v>Tela galvanizada revestida em poliamida, malha de 10 mm</v>
          </cell>
          <cell r="C3466" t="str">
            <v>m²</v>
          </cell>
          <cell r="D3466">
            <v>387.36</v>
          </cell>
          <cell r="E3466">
            <v>4.82</v>
          </cell>
          <cell r="F3466">
            <v>392.18</v>
          </cell>
        </row>
        <row r="3467">
          <cell r="A3467" t="str">
            <v>670223</v>
          </cell>
          <cell r="B3467" t="str">
            <v>Grade fina em aço carbono, espaçamento 1 cm com barras chatas de 1´ x 3/8´</v>
          </cell>
          <cell r="C3467" t="str">
            <v>m²</v>
          </cell>
          <cell r="D3467">
            <v>1376.29</v>
          </cell>
          <cell r="E3467">
            <v>4.82</v>
          </cell>
          <cell r="F3467">
            <v>1381.1100000000001</v>
          </cell>
        </row>
        <row r="3468">
          <cell r="A3468" t="str">
            <v>670224</v>
          </cell>
          <cell r="B3468" t="str">
            <v>Grade média em aço carbono, espaçamento 2 cm com barras chatas de 1´ x 3/8´</v>
          </cell>
          <cell r="C3468" t="str">
            <v>m²</v>
          </cell>
          <cell r="D3468">
            <v>828.80000000000007</v>
          </cell>
          <cell r="E3468">
            <v>4.82</v>
          </cell>
          <cell r="F3468">
            <v>833.62</v>
          </cell>
        </row>
        <row r="3469">
          <cell r="A3469" t="str">
            <v>670225</v>
          </cell>
          <cell r="B3469" t="str">
            <v>Grade grossa em aço carbono, espaçamento 4 cm com barras chatas de 1´ x 3/8´</v>
          </cell>
          <cell r="C3469" t="str">
            <v>m²</v>
          </cell>
          <cell r="D3469">
            <v>722.12</v>
          </cell>
          <cell r="E3469">
            <v>4.82</v>
          </cell>
          <cell r="F3469">
            <v>726.94</v>
          </cell>
        </row>
        <row r="3470">
          <cell r="A3470" t="str">
            <v>670228</v>
          </cell>
          <cell r="B3470" t="str">
            <v>Cesto em chapa de aço inoxidável com espessura de 1,5 mm e furos de 1/2´</v>
          </cell>
          <cell r="C3470" t="str">
            <v>un</v>
          </cell>
          <cell r="D3470">
            <v>500</v>
          </cell>
          <cell r="E3470">
            <v>2.41</v>
          </cell>
          <cell r="F3470">
            <v>502.41</v>
          </cell>
        </row>
        <row r="3471">
          <cell r="A3471" t="str">
            <v>670229</v>
          </cell>
          <cell r="B3471" t="str">
            <v>Estação de tratamento de esgoto compacta, vazão máxima horária 12,0 l/s, para obras de segurança</v>
          </cell>
          <cell r="C3471" t="str">
            <v>gl</v>
          </cell>
          <cell r="D3471">
            <v>1208337.8700000001</v>
          </cell>
          <cell r="E3471">
            <v>0</v>
          </cell>
          <cell r="F3471">
            <v>1208337.8700000001</v>
          </cell>
        </row>
        <row r="3472">
          <cell r="A3472" t="str">
            <v>670232</v>
          </cell>
          <cell r="B3472" t="str">
            <v>Comporta em fibra de vidro (stop log) - espessura de 10 mm</v>
          </cell>
          <cell r="C3472" t="str">
            <v>m²</v>
          </cell>
          <cell r="D3472">
            <v>764.99</v>
          </cell>
          <cell r="E3472">
            <v>15.59</v>
          </cell>
          <cell r="F3472">
            <v>780.58</v>
          </cell>
        </row>
        <row r="3473">
          <cell r="A3473" t="str">
            <v>680101</v>
          </cell>
          <cell r="B3473" t="str">
            <v>Poste de concreto duplo ´T´ - 10/150</v>
          </cell>
          <cell r="C3473" t="str">
            <v>un</v>
          </cell>
          <cell r="D3473">
            <v>765.79</v>
          </cell>
          <cell r="E3473">
            <v>145.09</v>
          </cell>
          <cell r="F3473">
            <v>910.88</v>
          </cell>
        </row>
        <row r="3474">
          <cell r="A3474" t="str">
            <v>680102</v>
          </cell>
          <cell r="B3474" t="str">
            <v>Poste de concreto duplo ´T´ - 10/300</v>
          </cell>
          <cell r="C3474" t="str">
            <v>un</v>
          </cell>
          <cell r="D3474">
            <v>921.13</v>
          </cell>
          <cell r="E3474">
            <v>145.09</v>
          </cell>
          <cell r="F3474">
            <v>1066.22</v>
          </cell>
        </row>
        <row r="3475">
          <cell r="A3475" t="str">
            <v>680103</v>
          </cell>
          <cell r="B3475" t="str">
            <v>Poste de concreto duplo ´T´ - 10/600</v>
          </cell>
          <cell r="C3475" t="str">
            <v>un</v>
          </cell>
          <cell r="D3475">
            <v>1109.9100000000001</v>
          </cell>
          <cell r="E3475">
            <v>145.09</v>
          </cell>
          <cell r="F3475">
            <v>1255</v>
          </cell>
        </row>
        <row r="3476">
          <cell r="A3476" t="str">
            <v>680104</v>
          </cell>
          <cell r="B3476" t="str">
            <v>Poste de concreto duplo ´T´ - 11/600</v>
          </cell>
          <cell r="C3476" t="str">
            <v>un</v>
          </cell>
          <cell r="D3476">
            <v>1272.3900000000001</v>
          </cell>
          <cell r="E3476">
            <v>145.09</v>
          </cell>
          <cell r="F3476">
            <v>1417.48</v>
          </cell>
        </row>
        <row r="3477">
          <cell r="A3477" t="str">
            <v>680110</v>
          </cell>
          <cell r="B3477" t="str">
            <v>Poste de concreto tubular cônico - 11/200</v>
          </cell>
          <cell r="C3477" t="str">
            <v>un</v>
          </cell>
          <cell r="D3477">
            <v>946.44</v>
          </cell>
          <cell r="E3477">
            <v>145.09</v>
          </cell>
          <cell r="F3477">
            <v>1091.53</v>
          </cell>
        </row>
        <row r="3478">
          <cell r="A3478" t="str">
            <v>680111</v>
          </cell>
          <cell r="B3478" t="str">
            <v>Poste de concreto tubular cônico - 11/400</v>
          </cell>
          <cell r="C3478" t="str">
            <v>un</v>
          </cell>
          <cell r="D3478">
            <v>1157.24</v>
          </cell>
          <cell r="E3478">
            <v>145.09</v>
          </cell>
          <cell r="F3478">
            <v>1302.33</v>
          </cell>
        </row>
        <row r="3479">
          <cell r="A3479" t="str">
            <v>680112</v>
          </cell>
          <cell r="B3479" t="str">
            <v>Poste de concreto tubular cônico - 11/600</v>
          </cell>
          <cell r="C3479" t="str">
            <v>un</v>
          </cell>
          <cell r="D3479">
            <v>1425.42</v>
          </cell>
          <cell r="E3479">
            <v>145.09</v>
          </cell>
          <cell r="F3479">
            <v>1570.51</v>
          </cell>
        </row>
        <row r="3480">
          <cell r="A3480" t="str">
            <v>680113</v>
          </cell>
          <cell r="B3480" t="str">
            <v>Poste de concreto tubular cônico - 12/400</v>
          </cell>
          <cell r="C3480" t="str">
            <v>un</v>
          </cell>
          <cell r="D3480">
            <v>1307.55</v>
          </cell>
          <cell r="E3480">
            <v>145.09</v>
          </cell>
          <cell r="F3480">
            <v>1452.64</v>
          </cell>
        </row>
        <row r="3481">
          <cell r="A3481" t="str">
            <v>680114</v>
          </cell>
          <cell r="B3481" t="str">
            <v>Poste de concreto tubular cônico - 12/600</v>
          </cell>
          <cell r="C3481" t="str">
            <v>un</v>
          </cell>
          <cell r="D3481">
            <v>1563.63</v>
          </cell>
          <cell r="E3481">
            <v>145.09</v>
          </cell>
          <cell r="F3481">
            <v>1708.72</v>
          </cell>
        </row>
        <row r="3482">
          <cell r="A3482" t="str">
            <v>680115</v>
          </cell>
          <cell r="B3482" t="str">
            <v>Poste de concreto tubular cônico - 12/1000</v>
          </cell>
          <cell r="C3482" t="str">
            <v>un</v>
          </cell>
          <cell r="D3482">
            <v>2311.83</v>
          </cell>
          <cell r="E3482">
            <v>145.09</v>
          </cell>
          <cell r="F3482">
            <v>2456.92</v>
          </cell>
        </row>
        <row r="3483">
          <cell r="A3483" t="str">
            <v>680116</v>
          </cell>
          <cell r="B3483" t="str">
            <v>Poste de concreto tubular cônico - 12/200</v>
          </cell>
          <cell r="C3483" t="str">
            <v>un</v>
          </cell>
          <cell r="D3483">
            <v>1065.47</v>
          </cell>
          <cell r="E3483">
            <v>145.09</v>
          </cell>
          <cell r="F3483">
            <v>1210.56</v>
          </cell>
        </row>
        <row r="3484">
          <cell r="A3484" t="str">
            <v>680118</v>
          </cell>
          <cell r="B3484" t="str">
            <v>Poste de concreto tubular cônico - 10/400</v>
          </cell>
          <cell r="C3484" t="str">
            <v>un</v>
          </cell>
          <cell r="D3484">
            <v>1077.79</v>
          </cell>
          <cell r="E3484">
            <v>145.09</v>
          </cell>
          <cell r="F3484">
            <v>1222.8800000000001</v>
          </cell>
        </row>
        <row r="3485">
          <cell r="A3485" t="str">
            <v>680124</v>
          </cell>
          <cell r="B3485" t="str">
            <v>Poste de concreto duplo ´T´ - 6/200</v>
          </cell>
          <cell r="C3485" t="str">
            <v>un</v>
          </cell>
          <cell r="D3485">
            <v>561.99</v>
          </cell>
          <cell r="E3485">
            <v>145.09</v>
          </cell>
          <cell r="F3485">
            <v>707.08</v>
          </cell>
        </row>
        <row r="3486">
          <cell r="A3486" t="str">
            <v>680125</v>
          </cell>
          <cell r="B3486" t="str">
            <v>Poste de concreto duplo ´T´ - 6/300</v>
          </cell>
          <cell r="C3486" t="str">
            <v>un</v>
          </cell>
          <cell r="D3486">
            <v>612.82000000000005</v>
          </cell>
          <cell r="E3486">
            <v>145.09</v>
          </cell>
          <cell r="F3486">
            <v>757.91</v>
          </cell>
        </row>
        <row r="3487">
          <cell r="A3487" t="str">
            <v>680126</v>
          </cell>
          <cell r="B3487" t="str">
            <v>Poste de concreto duplo ´T´ - 7,5/200</v>
          </cell>
          <cell r="C3487" t="str">
            <v>un</v>
          </cell>
          <cell r="D3487">
            <v>604.72</v>
          </cell>
          <cell r="E3487">
            <v>145.09</v>
          </cell>
          <cell r="F3487">
            <v>749.81000000000006</v>
          </cell>
        </row>
        <row r="3488">
          <cell r="A3488" t="str">
            <v>680127</v>
          </cell>
          <cell r="B3488" t="str">
            <v>Poste de concreto duplo ´T´ - 7,5/300</v>
          </cell>
          <cell r="C3488" t="str">
            <v>un</v>
          </cell>
          <cell r="D3488">
            <v>705.55000000000007</v>
          </cell>
          <cell r="E3488">
            <v>145.09</v>
          </cell>
          <cell r="F3488">
            <v>850.64</v>
          </cell>
        </row>
        <row r="3489">
          <cell r="A3489" t="str">
            <v>680128</v>
          </cell>
          <cell r="B3489" t="str">
            <v>Poste de concreto tubular cônico - 7/200</v>
          </cell>
          <cell r="C3489" t="str">
            <v>un</v>
          </cell>
          <cell r="D3489">
            <v>707.42</v>
          </cell>
          <cell r="E3489">
            <v>145.09</v>
          </cell>
          <cell r="F3489">
            <v>852.51</v>
          </cell>
        </row>
        <row r="3490">
          <cell r="A3490" t="str">
            <v>680129</v>
          </cell>
          <cell r="B3490" t="str">
            <v>Poste de concreto tubular cônico - 8/200</v>
          </cell>
          <cell r="C3490" t="str">
            <v>un</v>
          </cell>
          <cell r="D3490">
            <v>904.49</v>
          </cell>
          <cell r="E3490">
            <v>145.09</v>
          </cell>
          <cell r="F3490">
            <v>1049.58</v>
          </cell>
        </row>
        <row r="3491">
          <cell r="A3491" t="str">
            <v>680130</v>
          </cell>
          <cell r="B3491" t="str">
            <v>Poste de concreto tubular cônico - 10/200</v>
          </cell>
          <cell r="C3491" t="str">
            <v>un</v>
          </cell>
          <cell r="D3491">
            <v>937.08</v>
          </cell>
          <cell r="E3491">
            <v>145.09</v>
          </cell>
          <cell r="F3491">
            <v>1082.17</v>
          </cell>
        </row>
        <row r="3492">
          <cell r="A3492" t="str">
            <v>680201</v>
          </cell>
          <cell r="B3492" t="str">
            <v>Estai</v>
          </cell>
          <cell r="C3492" t="str">
            <v>un</v>
          </cell>
          <cell r="D3492">
            <v>200.98000000000002</v>
          </cell>
          <cell r="E3492">
            <v>84.7</v>
          </cell>
          <cell r="F3492">
            <v>285.68</v>
          </cell>
        </row>
        <row r="3493">
          <cell r="A3493" t="str">
            <v>680202</v>
          </cell>
          <cell r="B3493" t="str">
            <v>Estrutura tipo M1</v>
          </cell>
          <cell r="C3493" t="str">
            <v>un</v>
          </cell>
          <cell r="D3493">
            <v>168.23</v>
          </cell>
          <cell r="E3493">
            <v>101.64</v>
          </cell>
          <cell r="F3493">
            <v>269.87</v>
          </cell>
        </row>
        <row r="3494">
          <cell r="A3494" t="str">
            <v>680203</v>
          </cell>
          <cell r="B3494" t="str">
            <v>Estrutura tipo M2</v>
          </cell>
          <cell r="C3494" t="str">
            <v>un</v>
          </cell>
          <cell r="D3494">
            <v>361.55</v>
          </cell>
          <cell r="E3494">
            <v>101.64</v>
          </cell>
          <cell r="F3494">
            <v>463.19</v>
          </cell>
        </row>
        <row r="3495">
          <cell r="A3495" t="str">
            <v>680204</v>
          </cell>
          <cell r="B3495" t="str">
            <v>Estrutura tipo N3</v>
          </cell>
          <cell r="C3495" t="str">
            <v>un</v>
          </cell>
          <cell r="D3495">
            <v>449.25</v>
          </cell>
          <cell r="E3495">
            <v>152.46</v>
          </cell>
          <cell r="F3495">
            <v>601.71</v>
          </cell>
        </row>
        <row r="3496">
          <cell r="A3496" t="str">
            <v>680205</v>
          </cell>
          <cell r="B3496" t="str">
            <v>Estrutura tipo M1 - N3</v>
          </cell>
          <cell r="C3496" t="str">
            <v>un</v>
          </cell>
          <cell r="D3496">
            <v>517.22</v>
          </cell>
          <cell r="E3496">
            <v>203.28</v>
          </cell>
          <cell r="F3496">
            <v>720.5</v>
          </cell>
        </row>
        <row r="3497">
          <cell r="A3497" t="str">
            <v>680206</v>
          </cell>
          <cell r="B3497" t="str">
            <v>Estrutura tipo M4</v>
          </cell>
          <cell r="C3497" t="str">
            <v>un</v>
          </cell>
          <cell r="D3497">
            <v>822.27</v>
          </cell>
          <cell r="E3497">
            <v>152.46</v>
          </cell>
          <cell r="F3497">
            <v>974.73</v>
          </cell>
        </row>
        <row r="3498">
          <cell r="A3498" t="str">
            <v>680207</v>
          </cell>
          <cell r="B3498" t="str">
            <v>Estrutura tipo N2</v>
          </cell>
          <cell r="C3498" t="str">
            <v>un</v>
          </cell>
          <cell r="D3498">
            <v>402.22</v>
          </cell>
          <cell r="E3498">
            <v>152.46</v>
          </cell>
          <cell r="F3498">
            <v>554.67999999999995</v>
          </cell>
        </row>
        <row r="3499">
          <cell r="A3499" t="str">
            <v>680209</v>
          </cell>
          <cell r="B3499" t="str">
            <v>Estrutura tipo N4</v>
          </cell>
          <cell r="C3499" t="str">
            <v>un</v>
          </cell>
          <cell r="D3499">
            <v>810.02</v>
          </cell>
          <cell r="E3499">
            <v>203.28</v>
          </cell>
          <cell r="F3499">
            <v>1013.3000000000001</v>
          </cell>
        </row>
        <row r="3500">
          <cell r="A3500" t="str">
            <v>680210</v>
          </cell>
          <cell r="B3500" t="str">
            <v>Armação secundária tipo 1C - 2R</v>
          </cell>
          <cell r="C3500" t="str">
            <v>un</v>
          </cell>
          <cell r="D3500">
            <v>41.01</v>
          </cell>
          <cell r="E3500">
            <v>67.760000000000005</v>
          </cell>
          <cell r="F3500">
            <v>108.77</v>
          </cell>
        </row>
        <row r="3501">
          <cell r="A3501" t="str">
            <v>680211</v>
          </cell>
          <cell r="B3501" t="str">
            <v>Armação secundária tipo 1C - 3R</v>
          </cell>
          <cell r="C3501" t="str">
            <v>un</v>
          </cell>
          <cell r="D3501">
            <v>43.83</v>
          </cell>
          <cell r="E3501">
            <v>67.760000000000005</v>
          </cell>
          <cell r="F3501">
            <v>111.59</v>
          </cell>
        </row>
        <row r="3502">
          <cell r="A3502" t="str">
            <v>680212</v>
          </cell>
          <cell r="B3502" t="str">
            <v>Armação secundária tipo 2C - 3R</v>
          </cell>
          <cell r="C3502" t="str">
            <v>un</v>
          </cell>
          <cell r="D3502">
            <v>70.489999999999995</v>
          </cell>
          <cell r="E3502">
            <v>84.7</v>
          </cell>
          <cell r="F3502">
            <v>155.19</v>
          </cell>
        </row>
        <row r="3503">
          <cell r="A3503" t="str">
            <v>680213</v>
          </cell>
          <cell r="B3503" t="str">
            <v>Armação secundária tipo 2C - 4R</v>
          </cell>
          <cell r="C3503" t="str">
            <v>un</v>
          </cell>
          <cell r="D3503">
            <v>73.31</v>
          </cell>
          <cell r="E3503">
            <v>84.7</v>
          </cell>
          <cell r="F3503">
            <v>158.01</v>
          </cell>
        </row>
        <row r="3504">
          <cell r="A3504" t="str">
            <v>680214</v>
          </cell>
          <cell r="B3504" t="str">
            <v>Armação secundária tipo 4C - 6R</v>
          </cell>
          <cell r="C3504" t="str">
            <v>un</v>
          </cell>
          <cell r="D3504">
            <v>140.97999999999999</v>
          </cell>
          <cell r="E3504">
            <v>101.64</v>
          </cell>
          <cell r="F3504">
            <v>242.62</v>
          </cell>
        </row>
        <row r="3505">
          <cell r="A3505" t="str">
            <v>682001</v>
          </cell>
          <cell r="B3505" t="str">
            <v>Recolocação de poste de madeira</v>
          </cell>
          <cell r="C3505" t="str">
            <v>un</v>
          </cell>
          <cell r="D3505">
            <v>146.37</v>
          </cell>
          <cell r="E3505">
            <v>114.9</v>
          </cell>
          <cell r="F3505">
            <v>261.27</v>
          </cell>
        </row>
        <row r="3506">
          <cell r="A3506" t="str">
            <v>682004</v>
          </cell>
          <cell r="B3506" t="str">
            <v>Braçadeira circular em aço carbono galvanizado, diâmetro nominal de 140 até 300 mm</v>
          </cell>
          <cell r="C3506" t="str">
            <v>un</v>
          </cell>
          <cell r="D3506">
            <v>18.59</v>
          </cell>
          <cell r="E3506">
            <v>8.0399999999999991</v>
          </cell>
          <cell r="F3506">
            <v>26.63</v>
          </cell>
        </row>
        <row r="3507">
          <cell r="A3507" t="str">
            <v>682005</v>
          </cell>
          <cell r="B3507" t="str">
            <v>Cruzeta em aço carbono galvanizado perfil ´L´ 75 x 75 x 8 mm, comprimento 2500 mm</v>
          </cell>
          <cell r="C3507" t="str">
            <v>un</v>
          </cell>
          <cell r="D3507">
            <v>280.16000000000003</v>
          </cell>
          <cell r="E3507">
            <v>16.07</v>
          </cell>
          <cell r="F3507">
            <v>296.23</v>
          </cell>
        </row>
        <row r="3508">
          <cell r="A3508" t="str">
            <v>682012</v>
          </cell>
          <cell r="B3508" t="str">
            <v>Bengala em PVC para ramal de entrada, diâmetro de 32 mm</v>
          </cell>
          <cell r="C3508" t="str">
            <v>un</v>
          </cell>
          <cell r="D3508">
            <v>8.9600000000000009</v>
          </cell>
          <cell r="E3508">
            <v>15.92</v>
          </cell>
          <cell r="F3508">
            <v>24.88</v>
          </cell>
        </row>
        <row r="3509">
          <cell r="A3509" t="str">
            <v>690301</v>
          </cell>
          <cell r="B3509" t="str">
            <v>Conector RJ-45 - fêmea - categoria 5</v>
          </cell>
          <cell r="C3509" t="str">
            <v>un</v>
          </cell>
          <cell r="D3509">
            <v>8.8800000000000008</v>
          </cell>
          <cell r="E3509">
            <v>3.41</v>
          </cell>
          <cell r="F3509">
            <v>12.290000000000001</v>
          </cell>
        </row>
        <row r="3510">
          <cell r="A3510" t="str">
            <v>690309</v>
          </cell>
          <cell r="B3510" t="str">
            <v>Aparelho telefônico multifrequencial, com teclas ´FLASH´, ´HOOK´, ´PAUSE´, ´LND´, ´MODE´</v>
          </cell>
          <cell r="C3510" t="str">
            <v>un</v>
          </cell>
          <cell r="D3510">
            <v>41.65</v>
          </cell>
          <cell r="E3510">
            <v>0</v>
          </cell>
          <cell r="F3510">
            <v>41.65</v>
          </cell>
        </row>
        <row r="3511">
          <cell r="A3511" t="str">
            <v>690313</v>
          </cell>
          <cell r="B3511" t="str">
            <v>Caixa subterrânea de entrada de telefonia, tipo R1 (60 x 35 x 50) cm, padrão TELEBRÁS, com tampa</v>
          </cell>
          <cell r="C3511" t="str">
            <v>un</v>
          </cell>
          <cell r="D3511">
            <v>200.95000000000002</v>
          </cell>
          <cell r="E3511">
            <v>29.6</v>
          </cell>
          <cell r="F3511">
            <v>230.55</v>
          </cell>
        </row>
        <row r="3512">
          <cell r="A3512" t="str">
            <v>690314</v>
          </cell>
          <cell r="B3512" t="str">
            <v>Caixa subterrânea de entrada de telefonia, tipo R2 (107 x 52 x 50) cm, padrão TELEBRÁS, com tampa</v>
          </cell>
          <cell r="C3512" t="str">
            <v>un</v>
          </cell>
          <cell r="D3512">
            <v>389.24</v>
          </cell>
          <cell r="E3512">
            <v>62.82</v>
          </cell>
          <cell r="F3512">
            <v>452.06</v>
          </cell>
        </row>
        <row r="3513">
          <cell r="A3513" t="str">
            <v>690325</v>
          </cell>
          <cell r="B3513" t="str">
            <v>Central de telefonia para 8 linhas e 24 ramais</v>
          </cell>
          <cell r="C3513" t="str">
            <v>cj</v>
          </cell>
          <cell r="D3513">
            <v>3195.75</v>
          </cell>
          <cell r="E3513">
            <v>0</v>
          </cell>
          <cell r="F3513">
            <v>3195.75</v>
          </cell>
        </row>
        <row r="3514">
          <cell r="A3514" t="str">
            <v>690331</v>
          </cell>
          <cell r="B3514" t="str">
            <v>Caixa de tomada em poliamida e tampa para piso elevado, com 4 alojamentos para elétrica e até 8 alojamentos para telefonia e dados</v>
          </cell>
          <cell r="C3514" t="str">
            <v>un</v>
          </cell>
          <cell r="D3514">
            <v>79.98</v>
          </cell>
          <cell r="E3514">
            <v>9.1</v>
          </cell>
          <cell r="F3514">
            <v>89.08</v>
          </cell>
        </row>
        <row r="3515">
          <cell r="A3515" t="str">
            <v>690334</v>
          </cell>
          <cell r="B3515" t="str">
            <v>Conector RJ-45 fêmea - categoria 6</v>
          </cell>
          <cell r="C3515" t="str">
            <v>un</v>
          </cell>
          <cell r="D3515">
            <v>19.78</v>
          </cell>
          <cell r="E3515">
            <v>3.41</v>
          </cell>
          <cell r="F3515">
            <v>23.19</v>
          </cell>
        </row>
        <row r="3516">
          <cell r="A3516" t="str">
            <v>690336</v>
          </cell>
          <cell r="B3516" t="str">
            <v>Conector RJ-45 fêmea - categoria 6A</v>
          </cell>
          <cell r="C3516" t="str">
            <v>un</v>
          </cell>
          <cell r="D3516">
            <v>65.900000000000006</v>
          </cell>
          <cell r="E3516">
            <v>3.41</v>
          </cell>
          <cell r="F3516">
            <v>69.31</v>
          </cell>
        </row>
        <row r="3517">
          <cell r="A3517" t="str">
            <v>690501</v>
          </cell>
          <cell r="B3517" t="str">
            <v>Estabilizador eletrônico de tensão, monofásico, com potência de 5 kVA</v>
          </cell>
          <cell r="C3517" t="str">
            <v>un</v>
          </cell>
          <cell r="D3517">
            <v>5071.9399999999996</v>
          </cell>
          <cell r="E3517">
            <v>34.11</v>
          </cell>
          <cell r="F3517">
            <v>5106.05</v>
          </cell>
        </row>
        <row r="3518">
          <cell r="A3518" t="str">
            <v>690503</v>
          </cell>
          <cell r="B3518" t="str">
            <v>Estabilizador eletrônico de tensão, monofásico, com potência de 7,5 kVA</v>
          </cell>
          <cell r="C3518" t="str">
            <v>un</v>
          </cell>
          <cell r="D3518">
            <v>6088.05</v>
          </cell>
          <cell r="E3518">
            <v>34.11</v>
          </cell>
          <cell r="F3518">
            <v>6122.16</v>
          </cell>
        </row>
        <row r="3519">
          <cell r="A3519" t="str">
            <v>690504</v>
          </cell>
          <cell r="B3519" t="str">
            <v>Estabilizador eletrônico de tensão, monofásico, com potência de 10 kVA</v>
          </cell>
          <cell r="C3519" t="str">
            <v>un</v>
          </cell>
          <cell r="D3519">
            <v>7348.8</v>
          </cell>
          <cell r="E3519">
            <v>34.11</v>
          </cell>
          <cell r="F3519">
            <v>7382.91</v>
          </cell>
        </row>
        <row r="3520">
          <cell r="A3520" t="str">
            <v>690505</v>
          </cell>
          <cell r="B3520" t="str">
            <v>Estabilizador eletrônico de tensão, monofásico, com potência de 15 kVA</v>
          </cell>
          <cell r="C3520" t="str">
            <v>un</v>
          </cell>
          <cell r="D3520">
            <v>9530.2800000000007</v>
          </cell>
          <cell r="E3520">
            <v>34.11</v>
          </cell>
          <cell r="F3520">
            <v>9564.39</v>
          </cell>
        </row>
        <row r="3521">
          <cell r="A3521" t="str">
            <v>690506</v>
          </cell>
          <cell r="B3521" t="str">
            <v>Estabilizador eletrônico de tensão, monofásico, com potência de 20 kVA</v>
          </cell>
          <cell r="C3521" t="str">
            <v>un</v>
          </cell>
          <cell r="D3521">
            <v>11240.02</v>
          </cell>
          <cell r="E3521">
            <v>34.11</v>
          </cell>
          <cell r="F3521">
            <v>11274.130000000001</v>
          </cell>
        </row>
        <row r="3522">
          <cell r="A3522" t="str">
            <v>690515</v>
          </cell>
          <cell r="B3522" t="str">
            <v>Estabilizador eletrônico de tensão, trifásico, com potência de 15 kVA</v>
          </cell>
          <cell r="C3522" t="str">
            <v>un</v>
          </cell>
          <cell r="D3522">
            <v>12375.36</v>
          </cell>
          <cell r="E3522">
            <v>34.11</v>
          </cell>
          <cell r="F3522">
            <v>12409.470000000001</v>
          </cell>
        </row>
        <row r="3523">
          <cell r="A3523" t="str">
            <v>690516</v>
          </cell>
          <cell r="B3523" t="str">
            <v>Estabilizador eletrônico de tensão, trifásico, com potência de 20 kVA</v>
          </cell>
          <cell r="C3523" t="str">
            <v>un</v>
          </cell>
          <cell r="D3523">
            <v>13690.36</v>
          </cell>
          <cell r="E3523">
            <v>34.11</v>
          </cell>
          <cell r="F3523">
            <v>13724.470000000001</v>
          </cell>
        </row>
        <row r="3524">
          <cell r="A3524" t="str">
            <v>690517</v>
          </cell>
          <cell r="B3524" t="str">
            <v>Estabilizador eletrônico de tensão, trifásico, com potência de 10 kVA, tensão de entrada 220 V e de saída 110 V</v>
          </cell>
          <cell r="C3524" t="str">
            <v>un</v>
          </cell>
          <cell r="D3524">
            <v>9528.73</v>
          </cell>
          <cell r="E3524">
            <v>34.11</v>
          </cell>
          <cell r="F3524">
            <v>9562.84</v>
          </cell>
        </row>
        <row r="3525">
          <cell r="A3525" t="str">
            <v>690519</v>
          </cell>
          <cell r="B3525" t="str">
            <v>Estabilizador eletrônico de tensão, trifásico, com potência de 25 kVA</v>
          </cell>
          <cell r="C3525" t="str">
            <v>un</v>
          </cell>
          <cell r="D3525">
            <v>15791.68</v>
          </cell>
          <cell r="E3525">
            <v>34.11</v>
          </cell>
          <cell r="F3525">
            <v>15825.79</v>
          </cell>
        </row>
        <row r="3526">
          <cell r="A3526" t="str">
            <v>690522</v>
          </cell>
          <cell r="B3526" t="str">
            <v>Estabilizador eletrônico de tensão, trifásico, com potência de 30 kVA</v>
          </cell>
          <cell r="C3526" t="str">
            <v>un</v>
          </cell>
          <cell r="D3526">
            <v>17042.03</v>
          </cell>
          <cell r="E3526">
            <v>34.11</v>
          </cell>
          <cell r="F3526">
            <v>17076.14</v>
          </cell>
        </row>
        <row r="3527">
          <cell r="A3527" t="str">
            <v>690523</v>
          </cell>
          <cell r="B3527" t="str">
            <v>Estabilizador eletrônico de tensão, trifásico, com potência de 40 kVA</v>
          </cell>
          <cell r="C3527" t="str">
            <v>un</v>
          </cell>
          <cell r="D3527">
            <v>21225.8</v>
          </cell>
          <cell r="E3527">
            <v>34.11</v>
          </cell>
          <cell r="F3527">
            <v>21259.91</v>
          </cell>
        </row>
        <row r="3528">
          <cell r="A3528" t="str">
            <v>690528</v>
          </cell>
          <cell r="B3528" t="str">
            <v>Estabilizador eletrônico de tensão, trifásico, com potência de 150 kVA, com trafo isolador</v>
          </cell>
          <cell r="C3528" t="str">
            <v>un</v>
          </cell>
          <cell r="D3528">
            <v>60466</v>
          </cell>
          <cell r="E3528">
            <v>68.22</v>
          </cell>
          <cell r="F3528">
            <v>60534.22</v>
          </cell>
        </row>
        <row r="3529">
          <cell r="A3529" t="str">
            <v>690601</v>
          </cell>
          <cell r="B3529" t="str">
            <v>Sistema ininterrupto de energia, monofásico on line senoidal de 2,4 kVA (110 V/110 V), com autonomia de 15 minutos</v>
          </cell>
          <cell r="C3529" t="str">
            <v>un</v>
          </cell>
          <cell r="D3529">
            <v>5917</v>
          </cell>
          <cell r="E3529">
            <v>64.28</v>
          </cell>
          <cell r="F3529">
            <v>5981.28</v>
          </cell>
        </row>
        <row r="3530">
          <cell r="A3530" t="str">
            <v>690602</v>
          </cell>
          <cell r="B3530" t="str">
            <v>Sistema ininterrupto de energia, trifásico on line de 10 kVA (220 V/220 V), com autonomia de 15 minutos</v>
          </cell>
          <cell r="C3530" t="str">
            <v>un</v>
          </cell>
          <cell r="D3530">
            <v>26874.73</v>
          </cell>
          <cell r="E3530">
            <v>64.28</v>
          </cell>
          <cell r="F3530">
            <v>26939.010000000002</v>
          </cell>
        </row>
        <row r="3531">
          <cell r="A3531" t="str">
            <v>690603</v>
          </cell>
          <cell r="B3531" t="str">
            <v>Sistema ininterrupto de energia, trifásico on line de 20 kVA (220 V/208 V-108 V), com autonomia 15 minutos</v>
          </cell>
          <cell r="C3531" t="str">
            <v>un</v>
          </cell>
          <cell r="D3531">
            <v>34824.019999999997</v>
          </cell>
          <cell r="E3531">
            <v>64.28</v>
          </cell>
          <cell r="F3531">
            <v>34888.300000000003</v>
          </cell>
        </row>
        <row r="3532">
          <cell r="A3532" t="str">
            <v>690604</v>
          </cell>
          <cell r="B3532" t="str">
            <v>Sistema ininterrupto de energia, trifásico on line senoidal de 15 kVA (208 V/110 V), com autonomia de 15 minutos</v>
          </cell>
          <cell r="C3532" t="str">
            <v>un</v>
          </cell>
          <cell r="D3532">
            <v>37051.29</v>
          </cell>
          <cell r="E3532">
            <v>64.28</v>
          </cell>
          <cell r="F3532">
            <v>37115.57</v>
          </cell>
        </row>
        <row r="3533">
          <cell r="A3533" t="str">
            <v>690605</v>
          </cell>
          <cell r="B3533" t="str">
            <v>Sistema ininterrupto de energia, monofásico, com potência de 2 kVA</v>
          </cell>
          <cell r="C3533" t="str">
            <v>un</v>
          </cell>
          <cell r="D3533">
            <v>3261</v>
          </cell>
          <cell r="E3533">
            <v>45.480000000000004</v>
          </cell>
          <cell r="F3533">
            <v>3306.48</v>
          </cell>
        </row>
        <row r="3534">
          <cell r="A3534" t="str">
            <v>690608</v>
          </cell>
          <cell r="B3534" t="str">
            <v>Sistema ininterrupto de energia, monofásico on line senoidal de 5 kVA (220 V/110 V), com autonomia de 15 minutos</v>
          </cell>
          <cell r="C3534" t="str">
            <v>un</v>
          </cell>
          <cell r="D3534">
            <v>10126.75</v>
          </cell>
          <cell r="E3534">
            <v>64.28</v>
          </cell>
          <cell r="F3534">
            <v>10191.030000000001</v>
          </cell>
        </row>
        <row r="3535">
          <cell r="A3535" t="str">
            <v>690610</v>
          </cell>
          <cell r="B3535" t="str">
            <v>Sistema ininterrupto de energia, monofásico, com potência entre 5 a 7,5 kVA</v>
          </cell>
          <cell r="C3535" t="str">
            <v>un</v>
          </cell>
          <cell r="D3535">
            <v>12401.89</v>
          </cell>
          <cell r="E3535">
            <v>45.480000000000004</v>
          </cell>
          <cell r="F3535">
            <v>12447.37</v>
          </cell>
        </row>
        <row r="3536">
          <cell r="A3536" t="str">
            <v>690611</v>
          </cell>
          <cell r="B3536" t="str">
            <v>Sistema ininterrupto de energia, monofásico de 600 VA (127 V/127 V), com autonomia de 10 a 15 minutos</v>
          </cell>
          <cell r="C3536" t="str">
            <v>un</v>
          </cell>
          <cell r="D3536">
            <v>435</v>
          </cell>
          <cell r="E3536">
            <v>22.740000000000002</v>
          </cell>
          <cell r="F3536">
            <v>457.74</v>
          </cell>
        </row>
        <row r="3537">
          <cell r="A3537" t="str">
            <v>690612</v>
          </cell>
          <cell r="B3537" t="str">
            <v>Sistema ininterrupto de energia, trifásico on line senoidal de 10 kVA (220 V/110 V), com autonomia de 2 horas</v>
          </cell>
          <cell r="C3537" t="str">
            <v>un</v>
          </cell>
          <cell r="D3537">
            <v>35935.25</v>
          </cell>
          <cell r="E3537">
            <v>64.28</v>
          </cell>
          <cell r="F3537">
            <v>35999.53</v>
          </cell>
        </row>
        <row r="3538">
          <cell r="A3538" t="str">
            <v>690613</v>
          </cell>
          <cell r="B3538" t="str">
            <v>Sistema ininterrupto de energia, monofásico on line senoidal de 10 kVA (110 V/110 V), com autonomia de 30 minutos</v>
          </cell>
          <cell r="C3538" t="str">
            <v>un</v>
          </cell>
          <cell r="D3538">
            <v>17551.830000000002</v>
          </cell>
          <cell r="E3538">
            <v>64.28</v>
          </cell>
          <cell r="F3538">
            <v>17616.11</v>
          </cell>
        </row>
        <row r="3539">
          <cell r="A3539" t="str">
            <v>690614</v>
          </cell>
          <cell r="B3539" t="str">
            <v>Sistema ininterrupto de energia, monofásico on line senoidal de 15 kVA (127/127 V) com autonomia de 30 minutos</v>
          </cell>
          <cell r="C3539" t="str">
            <v>un</v>
          </cell>
          <cell r="D3539">
            <v>22194.25</v>
          </cell>
          <cell r="E3539">
            <v>64.28</v>
          </cell>
          <cell r="F3539">
            <v>22258.53</v>
          </cell>
        </row>
        <row r="3540">
          <cell r="A3540" t="str">
            <v>690620</v>
          </cell>
          <cell r="B3540" t="str">
            <v>Sistema ininterrupto de energia, trifásico on line de 20 kVA (220/127 V), com autonomia de 15 minutos</v>
          </cell>
          <cell r="C3540" t="str">
            <v>un</v>
          </cell>
          <cell r="D3540">
            <v>35947.660000000003</v>
          </cell>
          <cell r="E3540">
            <v>64.28</v>
          </cell>
          <cell r="F3540">
            <v>36011.94</v>
          </cell>
        </row>
        <row r="3541">
          <cell r="A3541" t="str">
            <v>690621</v>
          </cell>
          <cell r="B3541" t="str">
            <v>Sistema ininterrupto de energia, trifásico on line de 60 kVA (220/127 V), com autonomia de 15 minutos</v>
          </cell>
          <cell r="C3541" t="str">
            <v>un</v>
          </cell>
          <cell r="D3541">
            <v>84338.91</v>
          </cell>
          <cell r="E3541">
            <v>64.28</v>
          </cell>
          <cell r="F3541">
            <v>84403.19</v>
          </cell>
        </row>
        <row r="3542">
          <cell r="A3542" t="str">
            <v>690622</v>
          </cell>
          <cell r="B3542" t="str">
            <v>Sistema ininterrupto de energia, trifásico on line de 80 kVA (220/127 V), com autonomia de 15 minutos</v>
          </cell>
          <cell r="C3542" t="str">
            <v>un</v>
          </cell>
          <cell r="D3542">
            <v>107487.04000000001</v>
          </cell>
          <cell r="E3542">
            <v>64.28</v>
          </cell>
          <cell r="F3542">
            <v>107551.32</v>
          </cell>
        </row>
        <row r="3543">
          <cell r="A3543" t="str">
            <v>690623</v>
          </cell>
          <cell r="B3543" t="str">
            <v>Sistema ininterrupto de energia, trifásico on line de 20 kVA (380/380 V), com autonomia de 15 minutos</v>
          </cell>
          <cell r="C3543" t="str">
            <v>un</v>
          </cell>
          <cell r="D3543">
            <v>34804.839999999997</v>
          </cell>
          <cell r="E3543">
            <v>64.28</v>
          </cell>
          <cell r="F3543">
            <v>34869.120000000003</v>
          </cell>
        </row>
        <row r="3544">
          <cell r="A3544" t="str">
            <v>690624</v>
          </cell>
          <cell r="B3544" t="str">
            <v>Sistema ininterrupto de energia, trifásico on line de 20 kVA (380/220 V), com autonomia de 15 minutos</v>
          </cell>
          <cell r="C3544" t="str">
            <v>un</v>
          </cell>
          <cell r="D3544">
            <v>35644.199999999997</v>
          </cell>
          <cell r="E3544">
            <v>64.28</v>
          </cell>
          <cell r="F3544">
            <v>35708.480000000003</v>
          </cell>
        </row>
        <row r="3545">
          <cell r="A3545" t="str">
            <v>690628</v>
          </cell>
          <cell r="B3545" t="str">
            <v>Sistema ininterrupto de energia, trifásico on line senoidal de 5 kVA (220/110 V), com autonomia de 15 minutos</v>
          </cell>
          <cell r="C3545" t="str">
            <v>un</v>
          </cell>
          <cell r="D3545">
            <v>17553.349999999999</v>
          </cell>
          <cell r="E3545">
            <v>64.28</v>
          </cell>
          <cell r="F3545">
            <v>17617.63</v>
          </cell>
        </row>
        <row r="3546">
          <cell r="A3546" t="str">
            <v>690629</v>
          </cell>
          <cell r="B3546" t="str">
            <v>Sistema ininterrupto de energia, trifásico on line senoidal de 10 kVA (220/110 V), com autonomia de 10 a 15 minutos</v>
          </cell>
          <cell r="C3546" t="str">
            <v>un</v>
          </cell>
          <cell r="D3546">
            <v>26742.07</v>
          </cell>
          <cell r="E3546">
            <v>64.28</v>
          </cell>
          <cell r="F3546">
            <v>26806.350000000002</v>
          </cell>
        </row>
        <row r="3547">
          <cell r="A3547" t="str">
            <v>690630</v>
          </cell>
          <cell r="B3547" t="str">
            <v>Sistema ininterrupto de energia, trifásico on line senoidal de 50 kVA (220/110 V), com autonomia de 15 minutos</v>
          </cell>
          <cell r="C3547" t="str">
            <v>un</v>
          </cell>
          <cell r="D3547">
            <v>69827.490000000005</v>
          </cell>
          <cell r="E3547">
            <v>64.28</v>
          </cell>
          <cell r="F3547">
            <v>69891.77</v>
          </cell>
        </row>
        <row r="3548">
          <cell r="A3548" t="str">
            <v>690632</v>
          </cell>
          <cell r="B3548" t="str">
            <v>Sistema ininterrupto de energia, trifásico on line senoidal de 7,5 kVA (220/110 V), com autonomia de 15 minutos</v>
          </cell>
          <cell r="C3548" t="str">
            <v>un</v>
          </cell>
          <cell r="D3548">
            <v>21043.54</v>
          </cell>
          <cell r="E3548">
            <v>64.28</v>
          </cell>
          <cell r="F3548">
            <v>21107.82</v>
          </cell>
        </row>
        <row r="3549">
          <cell r="A3549" t="str">
            <v>690801</v>
          </cell>
          <cell r="B3549" t="str">
            <v>Distribuidor interno óptico - 1 U para até 24 fibras</v>
          </cell>
          <cell r="C3549" t="str">
            <v>un</v>
          </cell>
          <cell r="D3549">
            <v>454.88</v>
          </cell>
          <cell r="E3549">
            <v>27.05</v>
          </cell>
          <cell r="F3549">
            <v>481.93</v>
          </cell>
        </row>
        <row r="3550">
          <cell r="A3550" t="str">
            <v>690925</v>
          </cell>
          <cell r="B3550" t="str">
            <v>Patch cords de 1,50 ou 3,00 m - RJ-45 / RJ-45 - categoria 6</v>
          </cell>
          <cell r="C3550" t="str">
            <v>un</v>
          </cell>
          <cell r="D3550">
            <v>23.75</v>
          </cell>
          <cell r="E3550">
            <v>4.55</v>
          </cell>
          <cell r="F3550">
            <v>28.3</v>
          </cell>
        </row>
        <row r="3551">
          <cell r="A3551" t="str">
            <v>690926</v>
          </cell>
          <cell r="B3551" t="str">
            <v>Patch panel de 24 portas - categoria 6</v>
          </cell>
          <cell r="C3551" t="str">
            <v>un</v>
          </cell>
          <cell r="D3551">
            <v>502.90000000000003</v>
          </cell>
          <cell r="E3551">
            <v>18.190000000000001</v>
          </cell>
          <cell r="F3551">
            <v>521.09</v>
          </cell>
        </row>
        <row r="3552">
          <cell r="A3552" t="str">
            <v>690930</v>
          </cell>
          <cell r="B3552" t="str">
            <v>Voice panel de 50 portas - categoria 3</v>
          </cell>
          <cell r="C3552" t="str">
            <v>cj</v>
          </cell>
          <cell r="D3552">
            <v>372.36</v>
          </cell>
          <cell r="E3552">
            <v>18.190000000000001</v>
          </cell>
          <cell r="F3552">
            <v>390.55</v>
          </cell>
        </row>
        <row r="3553">
          <cell r="A3553" t="str">
            <v>690936</v>
          </cell>
          <cell r="B3553" t="str">
            <v>Patch cords de 2,00 ou 3,00 m - RJ-45 / RJ-45 - categoria 6A</v>
          </cell>
          <cell r="C3553" t="str">
            <v>un</v>
          </cell>
          <cell r="D3553">
            <v>100.5</v>
          </cell>
          <cell r="E3553">
            <v>4.55</v>
          </cell>
          <cell r="F3553">
            <v>105.05</v>
          </cell>
        </row>
        <row r="3554">
          <cell r="A3554" t="str">
            <v>691013</v>
          </cell>
          <cell r="B3554" t="str">
            <v>Amplificador de potência para VHF e CATV-50 dB, frequencia 40 a 550 MHz</v>
          </cell>
          <cell r="C3554" t="str">
            <v>un</v>
          </cell>
          <cell r="D3554">
            <v>345.32</v>
          </cell>
          <cell r="E3554">
            <v>10.82</v>
          </cell>
          <cell r="F3554">
            <v>356.14</v>
          </cell>
        </row>
        <row r="3555">
          <cell r="A3555" t="str">
            <v>691014</v>
          </cell>
          <cell r="B3555" t="str">
            <v>Antena parabólica com captador de sinais e modulador de áudio e vídeo</v>
          </cell>
          <cell r="C3555" t="str">
            <v>cj</v>
          </cell>
          <cell r="D3555">
            <v>420.94</v>
          </cell>
          <cell r="E3555">
            <v>181.92000000000002</v>
          </cell>
          <cell r="F3555">
            <v>602.86</v>
          </cell>
        </row>
        <row r="3556">
          <cell r="A3556" t="str">
            <v>692001</v>
          </cell>
          <cell r="B3556" t="str">
            <v>Arame de espinar em aço inoxidável nu, padrão TELESP</v>
          </cell>
          <cell r="C3556" t="str">
            <v>m</v>
          </cell>
          <cell r="D3556">
            <v>0.18</v>
          </cell>
          <cell r="E3556">
            <v>2.27</v>
          </cell>
          <cell r="F3556">
            <v>2.4500000000000002</v>
          </cell>
        </row>
        <row r="3557">
          <cell r="A3557" t="str">
            <v>692002</v>
          </cell>
          <cell r="B3557" t="str">
            <v>Braçadeira ajustável para poste tubular, tipo BAP 2, padrão TELEBRÁS</v>
          </cell>
          <cell r="C3557" t="str">
            <v>un</v>
          </cell>
          <cell r="D3557">
            <v>5.29</v>
          </cell>
          <cell r="E3557">
            <v>4.55</v>
          </cell>
          <cell r="F3557">
            <v>9.84</v>
          </cell>
        </row>
        <row r="3558">
          <cell r="A3558" t="str">
            <v>692003</v>
          </cell>
          <cell r="B3558" t="str">
            <v>Suporte para isolador roldana tipo SIR, padrão TELEBRÁS</v>
          </cell>
          <cell r="C3558" t="str">
            <v>un</v>
          </cell>
          <cell r="D3558">
            <v>5.67</v>
          </cell>
          <cell r="E3558">
            <v>4.55</v>
          </cell>
          <cell r="F3558">
            <v>10.220000000000001</v>
          </cell>
        </row>
        <row r="3559">
          <cell r="A3559" t="str">
            <v>692004</v>
          </cell>
          <cell r="B3559" t="str">
            <v>Isolador roldana em porcelana de 72 x 72 mm</v>
          </cell>
          <cell r="C3559" t="str">
            <v>un</v>
          </cell>
          <cell r="D3559">
            <v>2.2400000000000002</v>
          </cell>
          <cell r="E3559">
            <v>4.55</v>
          </cell>
          <cell r="F3559">
            <v>6.79</v>
          </cell>
        </row>
        <row r="3560">
          <cell r="A3560" t="str">
            <v>692005</v>
          </cell>
          <cell r="B3560" t="str">
            <v>Suporte para isolador roldana tipo DM, padrão TELEBRÁS</v>
          </cell>
          <cell r="C3560" t="str">
            <v>un</v>
          </cell>
          <cell r="D3560">
            <v>0.96</v>
          </cell>
          <cell r="E3560">
            <v>4.55</v>
          </cell>
          <cell r="F3560">
            <v>5.51</v>
          </cell>
        </row>
        <row r="3561">
          <cell r="A3561" t="str">
            <v>692007</v>
          </cell>
          <cell r="B3561" t="str">
            <v>Fita em aço inoxidável para poste de 0,50 m x 19 mm, com fecho em aço inoxidável</v>
          </cell>
          <cell r="C3561" t="str">
            <v>un</v>
          </cell>
          <cell r="D3561">
            <v>1.28</v>
          </cell>
          <cell r="E3561">
            <v>4.55</v>
          </cell>
          <cell r="F3561">
            <v>5.83</v>
          </cell>
        </row>
        <row r="3562">
          <cell r="A3562" t="str">
            <v>692010</v>
          </cell>
          <cell r="B3562" t="str">
            <v>Tampa para caixa R1, padrão TELEBRÁS</v>
          </cell>
          <cell r="C3562" t="str">
            <v>un</v>
          </cell>
          <cell r="D3562">
            <v>152.18</v>
          </cell>
          <cell r="E3562">
            <v>5.09</v>
          </cell>
          <cell r="F3562">
            <v>157.27000000000001</v>
          </cell>
        </row>
        <row r="3563">
          <cell r="A3563" t="str">
            <v>692011</v>
          </cell>
          <cell r="B3563" t="str">
            <v>Tampa para caixa R2, padrão TELEBRÁS</v>
          </cell>
          <cell r="C3563" t="str">
            <v>un</v>
          </cell>
          <cell r="D3563">
            <v>301.14999999999998</v>
          </cell>
          <cell r="E3563">
            <v>5.09</v>
          </cell>
          <cell r="F3563">
            <v>306.24</v>
          </cell>
        </row>
        <row r="3564">
          <cell r="A3564" t="str">
            <v>692013</v>
          </cell>
          <cell r="B3564" t="str">
            <v>Bloco de ligação interna para 10 pares, BLI-10</v>
          </cell>
          <cell r="C3564" t="str">
            <v>un</v>
          </cell>
          <cell r="D3564">
            <v>2.5099999999999998</v>
          </cell>
          <cell r="E3564">
            <v>8.0399999999999991</v>
          </cell>
          <cell r="F3564">
            <v>10.55</v>
          </cell>
        </row>
        <row r="3565">
          <cell r="A3565" t="str">
            <v>692014</v>
          </cell>
          <cell r="B3565" t="str">
            <v>Bloco de ligação engate rápido para 10 pares, BER-10</v>
          </cell>
          <cell r="C3565" t="str">
            <v>un</v>
          </cell>
          <cell r="D3565">
            <v>11.24</v>
          </cell>
          <cell r="E3565">
            <v>8.0399999999999991</v>
          </cell>
          <cell r="F3565">
            <v>19.28</v>
          </cell>
        </row>
        <row r="3566">
          <cell r="A3566" t="str">
            <v>692017</v>
          </cell>
          <cell r="B3566" t="str">
            <v>Calha de aço para 4 tomadas 2P+T - 250 V, com cabo</v>
          </cell>
          <cell r="C3566" t="str">
            <v>un</v>
          </cell>
          <cell r="D3566">
            <v>58.370000000000005</v>
          </cell>
          <cell r="E3566">
            <v>0.94000000000000006</v>
          </cell>
          <cell r="F3566">
            <v>59.31</v>
          </cell>
        </row>
        <row r="3567">
          <cell r="A3567" t="str">
            <v>692018</v>
          </cell>
          <cell r="B3567" t="str">
            <v>Cordão óptico duplex, multimodo com conector LC/LC - 2,5 m</v>
          </cell>
          <cell r="C3567" t="str">
            <v>un</v>
          </cell>
          <cell r="D3567">
            <v>80.900000000000006</v>
          </cell>
          <cell r="E3567">
            <v>5.41</v>
          </cell>
          <cell r="F3567">
            <v>86.31</v>
          </cell>
        </row>
        <row r="3568">
          <cell r="A3568" t="str">
            <v>692019</v>
          </cell>
          <cell r="B3568" t="str">
            <v>Extensão óptico simplex com conector LC</v>
          </cell>
          <cell r="C3568" t="str">
            <v>un</v>
          </cell>
          <cell r="D3568">
            <v>27.330000000000002</v>
          </cell>
          <cell r="E3568">
            <v>5.41</v>
          </cell>
          <cell r="F3568">
            <v>32.74</v>
          </cell>
        </row>
        <row r="3569">
          <cell r="A3569" t="str">
            <v>692020</v>
          </cell>
          <cell r="B3569" t="str">
            <v>Bandeja fixa para rack, 19´ x 500 mm</v>
          </cell>
          <cell r="C3569" t="str">
            <v>un</v>
          </cell>
          <cell r="D3569">
            <v>55.370000000000005</v>
          </cell>
          <cell r="E3569">
            <v>3.5300000000000002</v>
          </cell>
          <cell r="F3569">
            <v>58.9</v>
          </cell>
        </row>
        <row r="3570">
          <cell r="A3570" t="str">
            <v>692021</v>
          </cell>
          <cell r="B3570" t="str">
            <v>Bandeja fixa para rack, 19´ x 800 mm</v>
          </cell>
          <cell r="C3570" t="str">
            <v>un</v>
          </cell>
          <cell r="D3570">
            <v>94.02</v>
          </cell>
          <cell r="E3570">
            <v>3.5300000000000002</v>
          </cell>
          <cell r="F3570">
            <v>97.55</v>
          </cell>
        </row>
        <row r="3571">
          <cell r="A3571" t="str">
            <v>692022</v>
          </cell>
          <cell r="B3571" t="str">
            <v>Bandeja deslizante para rack, 19´ x 800 mm</v>
          </cell>
          <cell r="C3571" t="str">
            <v>un</v>
          </cell>
          <cell r="D3571">
            <v>197.52</v>
          </cell>
          <cell r="E3571">
            <v>3.5300000000000002</v>
          </cell>
          <cell r="F3571">
            <v>201.05</v>
          </cell>
        </row>
        <row r="3572">
          <cell r="A3572" t="str">
            <v>692023</v>
          </cell>
          <cell r="B3572" t="str">
            <v>Calha de aço com 8 tomadas 2P+T - 250 V, com cabo</v>
          </cell>
          <cell r="C3572" t="str">
            <v>un</v>
          </cell>
          <cell r="D3572">
            <v>62.83</v>
          </cell>
          <cell r="E3572">
            <v>0.94000000000000006</v>
          </cell>
          <cell r="F3572">
            <v>63.77</v>
          </cell>
        </row>
        <row r="3573">
          <cell r="A3573" t="str">
            <v>692024</v>
          </cell>
          <cell r="B3573" t="str">
            <v>Calha de aço com 12 tomadas 2P+T - 250 V, com cabo</v>
          </cell>
          <cell r="C3573" t="str">
            <v>un</v>
          </cell>
          <cell r="D3573">
            <v>87.51</v>
          </cell>
          <cell r="E3573">
            <v>0.94000000000000006</v>
          </cell>
          <cell r="F3573">
            <v>88.45</v>
          </cell>
        </row>
        <row r="3574">
          <cell r="A3574" t="str">
            <v>692025</v>
          </cell>
          <cell r="B3574" t="str">
            <v>Painel frontal cego, 19´ x 2 U</v>
          </cell>
          <cell r="C3574" t="str">
            <v>un</v>
          </cell>
          <cell r="D3574">
            <v>9.4700000000000006</v>
          </cell>
          <cell r="E3574">
            <v>1.8800000000000001</v>
          </cell>
          <cell r="F3574">
            <v>11.35</v>
          </cell>
        </row>
        <row r="3575">
          <cell r="A3575" t="str">
            <v>692026</v>
          </cell>
          <cell r="B3575" t="str">
            <v>Protetor de surto híbrido para rede de telecomunicações</v>
          </cell>
          <cell r="C3575" t="str">
            <v>un</v>
          </cell>
          <cell r="D3575">
            <v>27.150000000000002</v>
          </cell>
          <cell r="E3575">
            <v>8.92</v>
          </cell>
          <cell r="F3575">
            <v>36.07</v>
          </cell>
        </row>
        <row r="3576">
          <cell r="A3576" t="str">
            <v>692027</v>
          </cell>
          <cell r="B3576" t="str">
            <v>Divisor interno com 1 entrada e 2 saídas - 75 Ohms</v>
          </cell>
          <cell r="C3576" t="str">
            <v>un</v>
          </cell>
          <cell r="D3576">
            <v>4.76</v>
          </cell>
          <cell r="E3576">
            <v>5.41</v>
          </cell>
          <cell r="F3576">
            <v>10.17</v>
          </cell>
        </row>
        <row r="3577">
          <cell r="A3577" t="str">
            <v>692028</v>
          </cell>
          <cell r="B3577" t="str">
            <v>Divisor interno com 1 entrada e 4 saídas - 75 Ohms</v>
          </cell>
          <cell r="C3577" t="str">
            <v>un</v>
          </cell>
          <cell r="D3577">
            <v>7.29</v>
          </cell>
          <cell r="E3577">
            <v>5.41</v>
          </cell>
          <cell r="F3577">
            <v>12.700000000000001</v>
          </cell>
        </row>
        <row r="3578">
          <cell r="A3578" t="str">
            <v>692029</v>
          </cell>
          <cell r="B3578" t="str">
            <v>Tomada blindada para VHF/UHF, CATV e FM, frequência 5 MHz a 1 GHz</v>
          </cell>
          <cell r="C3578" t="str">
            <v>un</v>
          </cell>
          <cell r="D3578">
            <v>4.92</v>
          </cell>
          <cell r="E3578">
            <v>5.41</v>
          </cell>
          <cell r="F3578">
            <v>10.33</v>
          </cell>
        </row>
        <row r="3579">
          <cell r="A3579" t="str">
            <v>692030</v>
          </cell>
          <cell r="B3579" t="str">
            <v>Bloco de distribuição com protetor de surtos, para 10 pares, BTDG-10</v>
          </cell>
          <cell r="C3579" t="str">
            <v>un</v>
          </cell>
          <cell r="D3579">
            <v>32.71</v>
          </cell>
          <cell r="E3579">
            <v>9.11</v>
          </cell>
          <cell r="F3579">
            <v>41.82</v>
          </cell>
        </row>
        <row r="3580">
          <cell r="A3580" t="str">
            <v>692034</v>
          </cell>
          <cell r="B3580" t="str">
            <v>Tomada para TV, tipo pino Jack, com placa</v>
          </cell>
          <cell r="C3580" t="str">
            <v>cj</v>
          </cell>
          <cell r="D3580">
            <v>5.78</v>
          </cell>
          <cell r="E3580">
            <v>4.55</v>
          </cell>
          <cell r="F3580">
            <v>10.33</v>
          </cell>
        </row>
        <row r="3581">
          <cell r="A3581" t="str">
            <v>692035</v>
          </cell>
          <cell r="B3581" t="str">
            <v>Caixa de emenda ventilada em polipropileno, para até 200 pares</v>
          </cell>
          <cell r="C3581" t="str">
            <v>un</v>
          </cell>
          <cell r="D3581">
            <v>38.450000000000003</v>
          </cell>
          <cell r="E3581">
            <v>16.07</v>
          </cell>
          <cell r="F3581">
            <v>54.52</v>
          </cell>
        </row>
        <row r="3582">
          <cell r="A3582" t="str">
            <v>970101</v>
          </cell>
          <cell r="B3582" t="str">
            <v>Adesivo vinílico, padrão regulamentado, para sinalização de incêndio</v>
          </cell>
          <cell r="C3582" t="str">
            <v>un</v>
          </cell>
          <cell r="D3582">
            <v>14.280000000000001</v>
          </cell>
          <cell r="E3582">
            <v>1.41</v>
          </cell>
          <cell r="F3582">
            <v>15.69</v>
          </cell>
        </row>
        <row r="3583">
          <cell r="A3583" t="str">
            <v>970203</v>
          </cell>
          <cell r="B3583" t="str">
            <v>Placa comemorativa em aço inoxidável escovado</v>
          </cell>
          <cell r="C3583" t="str">
            <v>m²</v>
          </cell>
          <cell r="D3583">
            <v>2761.61</v>
          </cell>
          <cell r="E3583">
            <v>42.78</v>
          </cell>
          <cell r="F3583">
            <v>2804.39</v>
          </cell>
        </row>
        <row r="3584">
          <cell r="A3584" t="str">
            <v>970219</v>
          </cell>
          <cell r="B3584" t="str">
            <v>Placa de identificação em acrílico com texto em vinil</v>
          </cell>
          <cell r="C3584" t="str">
            <v>m²</v>
          </cell>
          <cell r="D3584">
            <v>595.24</v>
          </cell>
          <cell r="E3584">
            <v>42.78</v>
          </cell>
          <cell r="F3584">
            <v>638.02</v>
          </cell>
        </row>
        <row r="3585">
          <cell r="A3585" t="str">
            <v>970221</v>
          </cell>
          <cell r="B3585" t="str">
            <v>Placa de sinalização em PVC para ambientes</v>
          </cell>
          <cell r="C3585" t="str">
            <v>un</v>
          </cell>
          <cell r="D3585">
            <v>98.12</v>
          </cell>
          <cell r="E3585">
            <v>1.76</v>
          </cell>
          <cell r="F3585">
            <v>99.88</v>
          </cell>
        </row>
        <row r="3586">
          <cell r="A3586" t="str">
            <v>970301</v>
          </cell>
          <cell r="B3586" t="str">
            <v>Sinalização com pictograma em tinta acrílica</v>
          </cell>
          <cell r="C3586" t="str">
            <v>un</v>
          </cell>
          <cell r="D3586">
            <v>4.92</v>
          </cell>
          <cell r="E3586">
            <v>24.54</v>
          </cell>
          <cell r="F3586">
            <v>29.46</v>
          </cell>
        </row>
        <row r="3587">
          <cell r="A3587" t="str">
            <v>970401</v>
          </cell>
          <cell r="B3587" t="str">
            <v>Sinalização horizontal com tinta vinílica ou acrílica</v>
          </cell>
          <cell r="C3587" t="str">
            <v>m²</v>
          </cell>
          <cell r="D3587">
            <v>15.52</v>
          </cell>
          <cell r="E3587">
            <v>0</v>
          </cell>
          <cell r="F3587">
            <v>15.52</v>
          </cell>
        </row>
        <row r="3588">
          <cell r="A3588" t="str">
            <v>970402</v>
          </cell>
          <cell r="B3588" t="str">
            <v>Sinalização horizontal com termoplástico tipo Hot-spray</v>
          </cell>
          <cell r="C3588" t="str">
            <v>m²</v>
          </cell>
          <cell r="D3588">
            <v>35.020000000000003</v>
          </cell>
          <cell r="E3588">
            <v>0</v>
          </cell>
          <cell r="F3588">
            <v>35.020000000000003</v>
          </cell>
        </row>
        <row r="3589">
          <cell r="A3589" t="str">
            <v>970510</v>
          </cell>
          <cell r="B3589" t="str">
            <v>Sinalização vertical em placa de aço galvanizada com pintura em esmalte sintético</v>
          </cell>
          <cell r="C3589" t="str">
            <v>m²</v>
          </cell>
          <cell r="D3589">
            <v>520.6</v>
          </cell>
          <cell r="E3589">
            <v>29.8</v>
          </cell>
          <cell r="F3589">
            <v>550.4</v>
          </cell>
        </row>
        <row r="3590">
          <cell r="A3590" t="str">
            <v>970513</v>
          </cell>
          <cell r="B3590" t="str">
            <v>Colocação de placa em suporte de madeira / metálico - solo</v>
          </cell>
          <cell r="C3590" t="str">
            <v>m²</v>
          </cell>
          <cell r="D3590">
            <v>32.4</v>
          </cell>
          <cell r="E3590">
            <v>0</v>
          </cell>
          <cell r="F3590">
            <v>32.4</v>
          </cell>
        </row>
        <row r="3591">
          <cell r="A3591" t="str">
            <v>970514</v>
          </cell>
          <cell r="B3591" t="str">
            <v>Suporte de perfil metálico galvanizado</v>
          </cell>
          <cell r="C3591" t="str">
            <v>kg</v>
          </cell>
          <cell r="D3591">
            <v>14.08</v>
          </cell>
          <cell r="E3591">
            <v>0</v>
          </cell>
          <cell r="F3591">
            <v>14.08</v>
          </cell>
        </row>
        <row r="3592">
          <cell r="A3592" t="str">
            <v>980221</v>
          </cell>
          <cell r="B3592" t="str">
            <v>Banco de madeira com encosto e pés em ferro fundido pintado</v>
          </cell>
          <cell r="C3592" t="str">
            <v>un</v>
          </cell>
          <cell r="D3592">
            <v>251.75</v>
          </cell>
          <cell r="E3592">
            <v>0</v>
          </cell>
          <cell r="F3592">
            <v>251.75</v>
          </cell>
        </row>
        <row r="3593">
          <cell r="A3593" t="str">
            <v>982002</v>
          </cell>
          <cell r="B3593" t="str">
            <v>Capacho em fibra natural</v>
          </cell>
          <cell r="C3593" t="str">
            <v>m²</v>
          </cell>
          <cell r="D3593">
            <v>153.51</v>
          </cell>
          <cell r="E3593">
            <v>3.37</v>
          </cell>
          <cell r="F3593">
            <v>156.88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/>
  </sheetPr>
  <dimension ref="A1:H4095"/>
  <sheetViews>
    <sheetView zoomScale="145" zoomScaleNormal="145" workbookViewId="0">
      <selection activeCell="A2" sqref="A2:F2"/>
    </sheetView>
  </sheetViews>
  <sheetFormatPr defaultRowHeight="12.75" x14ac:dyDescent="0.2"/>
  <cols>
    <col min="1" max="1" width="11.7109375" bestFit="1" customWidth="1"/>
    <col min="2" max="2" width="57.85546875" customWidth="1"/>
    <col min="3" max="3" width="8.85546875" customWidth="1"/>
    <col min="4" max="4" width="9.85546875" bestFit="1" customWidth="1"/>
    <col min="5" max="6" width="12.7109375" customWidth="1"/>
    <col min="7" max="7" width="0.140625" customWidth="1"/>
    <col min="8" max="8" width="9.28515625"/>
  </cols>
  <sheetData>
    <row r="1" spans="1:8" ht="16.5" x14ac:dyDescent="0.2">
      <c r="A1" s="608"/>
      <c r="B1" s="672" t="s">
        <v>101</v>
      </c>
      <c r="C1" s="672"/>
      <c r="D1" s="672"/>
      <c r="E1" s="672"/>
      <c r="F1" s="672"/>
      <c r="G1" s="584"/>
      <c r="H1" s="584"/>
    </row>
    <row r="2" spans="1:8" ht="16.5" x14ac:dyDescent="0.2">
      <c r="A2" s="672" t="s">
        <v>102</v>
      </c>
      <c r="B2" s="672"/>
      <c r="C2" s="672"/>
      <c r="D2" s="672"/>
      <c r="E2" s="672"/>
      <c r="F2" s="672"/>
      <c r="G2" s="584"/>
      <c r="H2" s="584"/>
    </row>
    <row r="3" spans="1:8" ht="15" x14ac:dyDescent="0.2">
      <c r="A3" s="673" t="s">
        <v>96</v>
      </c>
      <c r="B3" s="673"/>
      <c r="C3" s="673"/>
      <c r="D3" s="673"/>
      <c r="E3" s="673"/>
      <c r="F3" s="673"/>
      <c r="G3" s="584"/>
      <c r="H3" s="584"/>
    </row>
    <row r="4" spans="1:8" ht="15.75" x14ac:dyDescent="0.2">
      <c r="A4" s="674" t="s">
        <v>20045</v>
      </c>
      <c r="B4" s="674"/>
      <c r="C4" s="674"/>
      <c r="D4" s="674"/>
      <c r="E4" s="674"/>
      <c r="F4" s="674"/>
      <c r="G4" s="584"/>
      <c r="H4" s="584"/>
    </row>
    <row r="5" spans="1:8" ht="15" x14ac:dyDescent="0.25">
      <c r="A5" s="585"/>
      <c r="B5" s="582"/>
      <c r="C5" s="582"/>
      <c r="D5" s="586"/>
      <c r="E5" s="587"/>
      <c r="F5" s="588" t="s">
        <v>21961</v>
      </c>
      <c r="G5" s="584"/>
      <c r="H5" s="584"/>
    </row>
    <row r="6" spans="1:8" ht="15" x14ac:dyDescent="0.2">
      <c r="A6" s="585"/>
      <c r="B6" s="589"/>
      <c r="C6" s="590"/>
      <c r="D6" s="586"/>
      <c r="E6" s="591" t="s">
        <v>20119</v>
      </c>
      <c r="F6" s="592" t="s">
        <v>21962</v>
      </c>
      <c r="G6" s="584"/>
      <c r="H6" s="584"/>
    </row>
    <row r="7" spans="1:8" ht="15" x14ac:dyDescent="0.2">
      <c r="A7" s="585"/>
      <c r="B7" s="589"/>
      <c r="C7" s="593" t="s">
        <v>104</v>
      </c>
      <c r="D7" s="594">
        <v>0</v>
      </c>
      <c r="E7" s="595" t="s">
        <v>105</v>
      </c>
      <c r="F7" s="594">
        <v>1.0539000000000001</v>
      </c>
      <c r="G7" s="584"/>
      <c r="H7" s="584"/>
    </row>
    <row r="8" spans="1:8" ht="15" x14ac:dyDescent="0.2">
      <c r="A8" s="596" t="s">
        <v>23</v>
      </c>
      <c r="B8" s="597" t="s">
        <v>24</v>
      </c>
      <c r="C8" s="598" t="s">
        <v>12368</v>
      </c>
      <c r="D8" s="599" t="s">
        <v>25</v>
      </c>
      <c r="E8" s="599" t="s">
        <v>26</v>
      </c>
      <c r="F8" s="599" t="s">
        <v>27</v>
      </c>
      <c r="G8" s="600"/>
      <c r="H8" s="600"/>
    </row>
    <row r="9" spans="1:8" ht="15" x14ac:dyDescent="0.25">
      <c r="A9" s="601" t="s">
        <v>12369</v>
      </c>
      <c r="B9" s="602" t="s">
        <v>12370</v>
      </c>
      <c r="C9" s="603"/>
      <c r="D9" s="604"/>
      <c r="E9" s="604"/>
      <c r="F9" s="604"/>
      <c r="G9" s="582"/>
      <c r="H9" s="582"/>
    </row>
    <row r="10" spans="1:8" ht="15" x14ac:dyDescent="0.25">
      <c r="A10" s="583" t="s">
        <v>12371</v>
      </c>
      <c r="B10" s="605" t="s">
        <v>12372</v>
      </c>
      <c r="C10" s="606"/>
      <c r="D10" s="607"/>
      <c r="E10" s="607"/>
      <c r="F10" s="607"/>
      <c r="G10" s="582"/>
      <c r="H10" s="582"/>
    </row>
    <row r="11" spans="1:8" ht="45" x14ac:dyDescent="0.25">
      <c r="A11" s="583" t="s">
        <v>12373</v>
      </c>
      <c r="B11" s="605" t="s">
        <v>12374</v>
      </c>
      <c r="C11" s="606" t="s">
        <v>12375</v>
      </c>
      <c r="D11" s="607"/>
      <c r="E11" s="607">
        <v>6483.99</v>
      </c>
      <c r="F11" s="607">
        <v>6483.99</v>
      </c>
      <c r="G11" s="584">
        <v>15</v>
      </c>
      <c r="H11" s="582"/>
    </row>
    <row r="12" spans="1:8" ht="45" x14ac:dyDescent="0.25">
      <c r="A12" s="583" t="s">
        <v>12376</v>
      </c>
      <c r="B12" s="605" t="s">
        <v>12377</v>
      </c>
      <c r="C12" s="606" t="s">
        <v>12375</v>
      </c>
      <c r="D12" s="607"/>
      <c r="E12" s="607">
        <v>8622.44</v>
      </c>
      <c r="F12" s="607">
        <v>8622.44</v>
      </c>
      <c r="G12" s="584">
        <v>15</v>
      </c>
      <c r="H12" s="582"/>
    </row>
    <row r="13" spans="1:8" ht="45" x14ac:dyDescent="0.25">
      <c r="A13" s="583" t="s">
        <v>12378</v>
      </c>
      <c r="B13" s="605" t="s">
        <v>12379</v>
      </c>
      <c r="C13" s="606" t="s">
        <v>12375</v>
      </c>
      <c r="D13" s="607"/>
      <c r="E13" s="607">
        <v>14729.05</v>
      </c>
      <c r="F13" s="607">
        <v>14729.05</v>
      </c>
      <c r="G13" s="584">
        <v>15</v>
      </c>
      <c r="H13" s="582"/>
    </row>
    <row r="14" spans="1:8" ht="45" x14ac:dyDescent="0.25">
      <c r="A14" s="583" t="s">
        <v>12380</v>
      </c>
      <c r="B14" s="605" t="s">
        <v>12381</v>
      </c>
      <c r="C14" s="606" t="s">
        <v>12375</v>
      </c>
      <c r="D14" s="607"/>
      <c r="E14" s="607">
        <v>20195.27</v>
      </c>
      <c r="F14" s="607">
        <v>20195.27</v>
      </c>
      <c r="G14" s="584">
        <v>15</v>
      </c>
      <c r="H14" s="582"/>
    </row>
    <row r="15" spans="1:8" ht="45" x14ac:dyDescent="0.25">
      <c r="A15" s="583" t="s">
        <v>12382</v>
      </c>
      <c r="B15" s="605" t="s">
        <v>12383</v>
      </c>
      <c r="C15" s="606" t="s">
        <v>12375</v>
      </c>
      <c r="D15" s="607"/>
      <c r="E15" s="607">
        <v>23534.46</v>
      </c>
      <c r="F15" s="607">
        <v>23534.46</v>
      </c>
      <c r="G15" s="584">
        <v>15</v>
      </c>
      <c r="H15" s="582"/>
    </row>
    <row r="16" spans="1:8" ht="15" x14ac:dyDescent="0.25">
      <c r="A16" s="583" t="s">
        <v>12384</v>
      </c>
      <c r="B16" s="605" t="s">
        <v>12385</v>
      </c>
      <c r="C16" s="606"/>
      <c r="D16" s="607"/>
      <c r="E16" s="607"/>
      <c r="F16" s="607"/>
      <c r="G16" s="582"/>
      <c r="H16" s="582"/>
    </row>
    <row r="17" spans="1:7" ht="45" x14ac:dyDescent="0.2">
      <c r="A17" s="583" t="s">
        <v>12386</v>
      </c>
      <c r="B17" s="605" t="s">
        <v>12387</v>
      </c>
      <c r="C17" s="606" t="s">
        <v>12375</v>
      </c>
      <c r="D17" s="607"/>
      <c r="E17" s="607">
        <v>8281.6</v>
      </c>
      <c r="F17" s="607">
        <v>8281.6</v>
      </c>
      <c r="G17" s="584">
        <v>15</v>
      </c>
    </row>
    <row r="18" spans="1:7" ht="45" x14ac:dyDescent="0.2">
      <c r="A18" s="583" t="s">
        <v>12388</v>
      </c>
      <c r="B18" s="605" t="s">
        <v>12389</v>
      </c>
      <c r="C18" s="606" t="s">
        <v>12375</v>
      </c>
      <c r="D18" s="607"/>
      <c r="E18" s="607">
        <v>14027.58</v>
      </c>
      <c r="F18" s="607">
        <v>14027.58</v>
      </c>
      <c r="G18" s="584">
        <v>15</v>
      </c>
    </row>
    <row r="19" spans="1:7" ht="45" x14ac:dyDescent="0.2">
      <c r="A19" s="583" t="s">
        <v>12390</v>
      </c>
      <c r="B19" s="605" t="s">
        <v>12391</v>
      </c>
      <c r="C19" s="606" t="s">
        <v>12375</v>
      </c>
      <c r="D19" s="607"/>
      <c r="E19" s="607">
        <v>18981.8</v>
      </c>
      <c r="F19" s="607">
        <v>18981.8</v>
      </c>
      <c r="G19" s="584">
        <v>15</v>
      </c>
    </row>
    <row r="20" spans="1:7" ht="45" x14ac:dyDescent="0.2">
      <c r="A20" s="583" t="s">
        <v>12392</v>
      </c>
      <c r="B20" s="605" t="s">
        <v>12393</v>
      </c>
      <c r="C20" s="606" t="s">
        <v>12375</v>
      </c>
      <c r="D20" s="607"/>
      <c r="E20" s="607">
        <v>25247.9</v>
      </c>
      <c r="F20" s="607">
        <v>25247.9</v>
      </c>
      <c r="G20" s="584">
        <v>15</v>
      </c>
    </row>
    <row r="21" spans="1:7" ht="15" x14ac:dyDescent="0.25">
      <c r="A21" s="583" t="s">
        <v>12394</v>
      </c>
      <c r="B21" s="605" t="s">
        <v>12395</v>
      </c>
      <c r="C21" s="606"/>
      <c r="D21" s="607"/>
      <c r="E21" s="607"/>
      <c r="F21" s="607"/>
      <c r="G21" s="582"/>
    </row>
    <row r="22" spans="1:7" ht="15" x14ac:dyDescent="0.2">
      <c r="A22" s="583" t="s">
        <v>12396</v>
      </c>
      <c r="B22" s="605" t="s">
        <v>12397</v>
      </c>
      <c r="C22" s="606" t="s">
        <v>12375</v>
      </c>
      <c r="D22" s="607"/>
      <c r="E22" s="607">
        <v>3262</v>
      </c>
      <c r="F22" s="607">
        <v>3262</v>
      </c>
      <c r="G22" s="584">
        <v>15</v>
      </c>
    </row>
    <row r="23" spans="1:7" ht="15" x14ac:dyDescent="0.2">
      <c r="A23" s="583" t="s">
        <v>12398</v>
      </c>
      <c r="B23" s="605" t="s">
        <v>12399</v>
      </c>
      <c r="C23" s="606" t="s">
        <v>12375</v>
      </c>
      <c r="D23" s="607"/>
      <c r="E23" s="607">
        <v>4409.93</v>
      </c>
      <c r="F23" s="607">
        <v>4409.93</v>
      </c>
      <c r="G23" s="584">
        <v>15</v>
      </c>
    </row>
    <row r="24" spans="1:7" ht="15" x14ac:dyDescent="0.2">
      <c r="A24" s="583" t="s">
        <v>12400</v>
      </c>
      <c r="B24" s="605" t="s">
        <v>12401</v>
      </c>
      <c r="C24" s="606" t="s">
        <v>12375</v>
      </c>
      <c r="D24" s="607"/>
      <c r="E24" s="607">
        <v>2392.3200000000002</v>
      </c>
      <c r="F24" s="607">
        <v>2392.3200000000002</v>
      </c>
      <c r="G24" s="584">
        <v>15</v>
      </c>
    </row>
    <row r="25" spans="1:7" ht="15" x14ac:dyDescent="0.2">
      <c r="A25" s="583" t="s">
        <v>12402</v>
      </c>
      <c r="B25" s="605" t="s">
        <v>12403</v>
      </c>
      <c r="C25" s="606" t="s">
        <v>12375</v>
      </c>
      <c r="D25" s="607"/>
      <c r="E25" s="607">
        <v>3273.17</v>
      </c>
      <c r="F25" s="607">
        <v>3273.17</v>
      </c>
      <c r="G25" s="584">
        <v>15</v>
      </c>
    </row>
    <row r="26" spans="1:7" ht="15" x14ac:dyDescent="0.2">
      <c r="A26" s="583" t="s">
        <v>12404</v>
      </c>
      <c r="B26" s="605" t="s">
        <v>12405</v>
      </c>
      <c r="C26" s="606" t="s">
        <v>12375</v>
      </c>
      <c r="D26" s="607"/>
      <c r="E26" s="607">
        <v>1027.03</v>
      </c>
      <c r="F26" s="607">
        <v>1027.03</v>
      </c>
      <c r="G26" s="584">
        <v>15</v>
      </c>
    </row>
    <row r="27" spans="1:7" ht="15" x14ac:dyDescent="0.2">
      <c r="A27" s="583" t="s">
        <v>12406</v>
      </c>
      <c r="B27" s="605" t="s">
        <v>12407</v>
      </c>
      <c r="C27" s="606" t="s">
        <v>12375</v>
      </c>
      <c r="D27" s="607"/>
      <c r="E27" s="607">
        <v>1367.12</v>
      </c>
      <c r="F27" s="607">
        <v>1367.12</v>
      </c>
      <c r="G27" s="584">
        <v>15</v>
      </c>
    </row>
    <row r="28" spans="1:7" ht="15" x14ac:dyDescent="0.2">
      <c r="A28" s="583" t="s">
        <v>12408</v>
      </c>
      <c r="B28" s="605" t="s">
        <v>12409</v>
      </c>
      <c r="C28" s="606" t="s">
        <v>12375</v>
      </c>
      <c r="D28" s="607"/>
      <c r="E28" s="607">
        <v>1140.48</v>
      </c>
      <c r="F28" s="607">
        <v>1140.48</v>
      </c>
      <c r="G28" s="584">
        <v>15</v>
      </c>
    </row>
    <row r="29" spans="1:7" ht="15" x14ac:dyDescent="0.2">
      <c r="A29" s="583" t="s">
        <v>12410</v>
      </c>
      <c r="B29" s="605" t="s">
        <v>12411</v>
      </c>
      <c r="C29" s="606" t="s">
        <v>12375</v>
      </c>
      <c r="D29" s="607"/>
      <c r="E29" s="607">
        <v>1581.35</v>
      </c>
      <c r="F29" s="607">
        <v>1581.35</v>
      </c>
      <c r="G29" s="584">
        <v>15</v>
      </c>
    </row>
    <row r="30" spans="1:7" ht="15" x14ac:dyDescent="0.2">
      <c r="A30" s="583" t="s">
        <v>12412</v>
      </c>
      <c r="B30" s="605" t="s">
        <v>12413</v>
      </c>
      <c r="C30" s="606" t="s">
        <v>12375</v>
      </c>
      <c r="D30" s="607"/>
      <c r="E30" s="607">
        <v>2195.21</v>
      </c>
      <c r="F30" s="607">
        <v>2195.21</v>
      </c>
      <c r="G30" s="584">
        <v>15</v>
      </c>
    </row>
    <row r="31" spans="1:7" ht="15" x14ac:dyDescent="0.2">
      <c r="A31" s="583" t="s">
        <v>12414</v>
      </c>
      <c r="B31" s="605" t="s">
        <v>12415</v>
      </c>
      <c r="C31" s="606" t="s">
        <v>12375</v>
      </c>
      <c r="D31" s="607"/>
      <c r="E31" s="607">
        <v>2992.33</v>
      </c>
      <c r="F31" s="607">
        <v>2992.33</v>
      </c>
      <c r="G31" s="584">
        <v>15</v>
      </c>
    </row>
    <row r="32" spans="1:7" ht="15" x14ac:dyDescent="0.2">
      <c r="A32" s="583" t="s">
        <v>12416</v>
      </c>
      <c r="B32" s="605" t="s">
        <v>12417</v>
      </c>
      <c r="C32" s="606" t="s">
        <v>12375</v>
      </c>
      <c r="D32" s="607"/>
      <c r="E32" s="607">
        <v>1895.21</v>
      </c>
      <c r="F32" s="607">
        <v>1895.21</v>
      </c>
      <c r="G32" s="584">
        <v>15</v>
      </c>
    </row>
    <row r="33" spans="1:7" ht="15" x14ac:dyDescent="0.2">
      <c r="A33" s="583" t="s">
        <v>12418</v>
      </c>
      <c r="B33" s="605" t="s">
        <v>12419</v>
      </c>
      <c r="C33" s="606" t="s">
        <v>12375</v>
      </c>
      <c r="D33" s="607"/>
      <c r="E33" s="607">
        <v>2449.64</v>
      </c>
      <c r="F33" s="607">
        <v>2449.64</v>
      </c>
      <c r="G33" s="584">
        <v>15</v>
      </c>
    </row>
    <row r="34" spans="1:7" ht="15" x14ac:dyDescent="0.25">
      <c r="A34" s="583" t="s">
        <v>12420</v>
      </c>
      <c r="B34" s="605" t="s">
        <v>12421</v>
      </c>
      <c r="C34" s="606"/>
      <c r="D34" s="607"/>
      <c r="E34" s="607"/>
      <c r="F34" s="607"/>
      <c r="G34" s="582"/>
    </row>
    <row r="35" spans="1:7" ht="30" x14ac:dyDescent="0.2">
      <c r="A35" s="583" t="s">
        <v>12422</v>
      </c>
      <c r="B35" s="605" t="s">
        <v>12423</v>
      </c>
      <c r="C35" s="606" t="s">
        <v>12424</v>
      </c>
      <c r="D35" s="607">
        <v>1150.83</v>
      </c>
      <c r="E35" s="607"/>
      <c r="F35" s="607">
        <v>1150.83</v>
      </c>
      <c r="G35" s="584">
        <v>15</v>
      </c>
    </row>
    <row r="36" spans="1:7" ht="30" x14ac:dyDescent="0.2">
      <c r="A36" s="583" t="s">
        <v>20120</v>
      </c>
      <c r="B36" s="605" t="s">
        <v>20121</v>
      </c>
      <c r="C36" s="606" t="s">
        <v>12427</v>
      </c>
      <c r="D36" s="607">
        <v>7.0000000000000007E-2</v>
      </c>
      <c r="E36" s="607">
        <v>0.16</v>
      </c>
      <c r="F36" s="607">
        <v>0.23</v>
      </c>
      <c r="G36" s="584">
        <v>15</v>
      </c>
    </row>
    <row r="37" spans="1:7" ht="45" x14ac:dyDescent="0.2">
      <c r="A37" s="583" t="s">
        <v>12425</v>
      </c>
      <c r="B37" s="605" t="s">
        <v>12426</v>
      </c>
      <c r="C37" s="606" t="s">
        <v>12427</v>
      </c>
      <c r="D37" s="607">
        <v>0.41</v>
      </c>
      <c r="E37" s="607">
        <v>0.53</v>
      </c>
      <c r="F37" s="607">
        <v>0.94</v>
      </c>
      <c r="G37" s="584">
        <v>15</v>
      </c>
    </row>
    <row r="38" spans="1:7" ht="45" x14ac:dyDescent="0.2">
      <c r="A38" s="583" t="s">
        <v>12428</v>
      </c>
      <c r="B38" s="605" t="s">
        <v>12429</v>
      </c>
      <c r="C38" s="606" t="s">
        <v>12427</v>
      </c>
      <c r="D38" s="607">
        <v>0.32</v>
      </c>
      <c r="E38" s="607">
        <v>0.42</v>
      </c>
      <c r="F38" s="607">
        <v>0.74</v>
      </c>
      <c r="G38" s="584">
        <v>15</v>
      </c>
    </row>
    <row r="39" spans="1:7" ht="45" x14ac:dyDescent="0.2">
      <c r="A39" s="583" t="s">
        <v>12430</v>
      </c>
      <c r="B39" s="605" t="s">
        <v>12431</v>
      </c>
      <c r="C39" s="606" t="s">
        <v>12427</v>
      </c>
      <c r="D39" s="607">
        <v>0.27</v>
      </c>
      <c r="E39" s="607">
        <v>0.35</v>
      </c>
      <c r="F39" s="607">
        <v>0.62</v>
      </c>
      <c r="G39" s="584">
        <v>15</v>
      </c>
    </row>
    <row r="40" spans="1:7" ht="30" x14ac:dyDescent="0.2">
      <c r="A40" s="583" t="s">
        <v>12432</v>
      </c>
      <c r="B40" s="605" t="s">
        <v>12433</v>
      </c>
      <c r="C40" s="606" t="s">
        <v>12427</v>
      </c>
      <c r="D40" s="607">
        <v>0.37</v>
      </c>
      <c r="E40" s="607">
        <v>0.46</v>
      </c>
      <c r="F40" s="607">
        <v>0.83</v>
      </c>
      <c r="G40" s="584">
        <v>15</v>
      </c>
    </row>
    <row r="41" spans="1:7" ht="30" x14ac:dyDescent="0.2">
      <c r="A41" s="583" t="s">
        <v>12434</v>
      </c>
      <c r="B41" s="605" t="s">
        <v>12435</v>
      </c>
      <c r="C41" s="606" t="s">
        <v>12427</v>
      </c>
      <c r="D41" s="607">
        <v>0.17</v>
      </c>
      <c r="E41" s="607">
        <v>0.51</v>
      </c>
      <c r="F41" s="607">
        <v>0.68</v>
      </c>
      <c r="G41" s="584">
        <v>15</v>
      </c>
    </row>
    <row r="42" spans="1:7" ht="30" x14ac:dyDescent="0.2">
      <c r="A42" s="583" t="s">
        <v>12436</v>
      </c>
      <c r="B42" s="605" t="s">
        <v>12437</v>
      </c>
      <c r="C42" s="606" t="s">
        <v>12427</v>
      </c>
      <c r="D42" s="607">
        <v>0.23</v>
      </c>
      <c r="E42" s="607">
        <v>0.28000000000000003</v>
      </c>
      <c r="F42" s="607">
        <v>0.51</v>
      </c>
      <c r="G42" s="584">
        <v>15</v>
      </c>
    </row>
    <row r="43" spans="1:7" ht="30" x14ac:dyDescent="0.2">
      <c r="A43" s="583" t="s">
        <v>12438</v>
      </c>
      <c r="B43" s="605" t="s">
        <v>12439</v>
      </c>
      <c r="C43" s="606" t="s">
        <v>12427</v>
      </c>
      <c r="D43" s="607">
        <v>0.32</v>
      </c>
      <c r="E43" s="607">
        <v>0.42</v>
      </c>
      <c r="F43" s="607">
        <v>0.74</v>
      </c>
      <c r="G43" s="584">
        <v>15</v>
      </c>
    </row>
    <row r="44" spans="1:7" ht="30" x14ac:dyDescent="0.2">
      <c r="A44" s="583" t="s">
        <v>12440</v>
      </c>
      <c r="B44" s="605" t="s">
        <v>12441</v>
      </c>
      <c r="C44" s="606" t="s">
        <v>12427</v>
      </c>
      <c r="D44" s="607">
        <v>0.28000000000000003</v>
      </c>
      <c r="E44" s="607">
        <v>0.35</v>
      </c>
      <c r="F44" s="607">
        <v>0.63</v>
      </c>
      <c r="G44" s="584">
        <v>15</v>
      </c>
    </row>
    <row r="45" spans="1:7" ht="30" x14ac:dyDescent="0.2">
      <c r="A45" s="583" t="s">
        <v>12442</v>
      </c>
      <c r="B45" s="605" t="s">
        <v>12443</v>
      </c>
      <c r="C45" s="606" t="s">
        <v>12427</v>
      </c>
      <c r="D45" s="607">
        <v>0.27</v>
      </c>
      <c r="E45" s="607">
        <v>0.35</v>
      </c>
      <c r="F45" s="607">
        <v>0.62</v>
      </c>
      <c r="G45" s="584">
        <v>15</v>
      </c>
    </row>
    <row r="46" spans="1:7" ht="45" x14ac:dyDescent="0.2">
      <c r="A46" s="583" t="s">
        <v>12444</v>
      </c>
      <c r="B46" s="605" t="s">
        <v>12445</v>
      </c>
      <c r="C46" s="606" t="s">
        <v>12427</v>
      </c>
      <c r="D46" s="607">
        <v>0.45</v>
      </c>
      <c r="E46" s="607">
        <v>0.56000000000000005</v>
      </c>
      <c r="F46" s="607">
        <v>1.01</v>
      </c>
      <c r="G46" s="584">
        <v>15</v>
      </c>
    </row>
    <row r="47" spans="1:7" ht="45" x14ac:dyDescent="0.2">
      <c r="A47" s="583" t="s">
        <v>12446</v>
      </c>
      <c r="B47" s="605" t="s">
        <v>12447</v>
      </c>
      <c r="C47" s="606" t="s">
        <v>12427</v>
      </c>
      <c r="D47" s="607">
        <v>0.36</v>
      </c>
      <c r="E47" s="607">
        <v>0.45</v>
      </c>
      <c r="F47" s="607">
        <v>0.81</v>
      </c>
      <c r="G47" s="584">
        <v>15</v>
      </c>
    </row>
    <row r="48" spans="1:7" ht="45" x14ac:dyDescent="0.2">
      <c r="A48" s="583" t="s">
        <v>12448</v>
      </c>
      <c r="B48" s="605" t="s">
        <v>12449</v>
      </c>
      <c r="C48" s="606" t="s">
        <v>12427</v>
      </c>
      <c r="D48" s="607">
        <v>0.28000000000000003</v>
      </c>
      <c r="E48" s="607">
        <v>0.35</v>
      </c>
      <c r="F48" s="607">
        <v>0.63</v>
      </c>
      <c r="G48" s="584">
        <v>15</v>
      </c>
    </row>
    <row r="49" spans="1:7" ht="30" x14ac:dyDescent="0.2">
      <c r="A49" s="583" t="s">
        <v>12450</v>
      </c>
      <c r="B49" s="605" t="s">
        <v>12451</v>
      </c>
      <c r="C49" s="606" t="s">
        <v>12427</v>
      </c>
      <c r="D49" s="607">
        <v>0.37</v>
      </c>
      <c r="E49" s="607">
        <v>0.49</v>
      </c>
      <c r="F49" s="607">
        <v>0.86</v>
      </c>
      <c r="G49" s="584">
        <v>15</v>
      </c>
    </row>
    <row r="50" spans="1:7" ht="30" x14ac:dyDescent="0.2">
      <c r="A50" s="583" t="s">
        <v>12452</v>
      </c>
      <c r="B50" s="605" t="s">
        <v>12453</v>
      </c>
      <c r="C50" s="606" t="s">
        <v>12427</v>
      </c>
      <c r="D50" s="607">
        <v>0.31</v>
      </c>
      <c r="E50" s="607">
        <v>0.39</v>
      </c>
      <c r="F50" s="607">
        <v>0.7</v>
      </c>
      <c r="G50" s="584">
        <v>15</v>
      </c>
    </row>
    <row r="51" spans="1:7" ht="30" x14ac:dyDescent="0.2">
      <c r="A51" s="583" t="s">
        <v>12454</v>
      </c>
      <c r="B51" s="605" t="s">
        <v>12455</v>
      </c>
      <c r="C51" s="606" t="s">
        <v>12427</v>
      </c>
      <c r="D51" s="607">
        <v>0.26</v>
      </c>
      <c r="E51" s="607">
        <v>0.34</v>
      </c>
      <c r="F51" s="607">
        <v>0.6</v>
      </c>
      <c r="G51" s="584">
        <v>15</v>
      </c>
    </row>
    <row r="52" spans="1:7" ht="30" x14ac:dyDescent="0.2">
      <c r="A52" s="583" t="s">
        <v>12456</v>
      </c>
      <c r="B52" s="605" t="s">
        <v>12457</v>
      </c>
      <c r="C52" s="606" t="s">
        <v>12427</v>
      </c>
      <c r="D52" s="607">
        <v>0.44</v>
      </c>
      <c r="E52" s="607">
        <v>0.56000000000000005</v>
      </c>
      <c r="F52" s="607">
        <v>1</v>
      </c>
      <c r="G52" s="584">
        <v>15</v>
      </c>
    </row>
    <row r="53" spans="1:7" ht="30" x14ac:dyDescent="0.2">
      <c r="A53" s="583" t="s">
        <v>12458</v>
      </c>
      <c r="B53" s="605" t="s">
        <v>12459</v>
      </c>
      <c r="C53" s="606" t="s">
        <v>12427</v>
      </c>
      <c r="D53" s="607">
        <v>0.28999999999999998</v>
      </c>
      <c r="E53" s="607">
        <v>0.36</v>
      </c>
      <c r="F53" s="607">
        <v>0.65</v>
      </c>
      <c r="G53" s="584">
        <v>15</v>
      </c>
    </row>
    <row r="54" spans="1:7" ht="30" x14ac:dyDescent="0.2">
      <c r="A54" s="583" t="s">
        <v>12460</v>
      </c>
      <c r="B54" s="605" t="s">
        <v>12461</v>
      </c>
      <c r="C54" s="606" t="s">
        <v>12427</v>
      </c>
      <c r="D54" s="607">
        <v>0.18</v>
      </c>
      <c r="E54" s="607">
        <v>0.39</v>
      </c>
      <c r="F54" s="607">
        <v>0.56999999999999995</v>
      </c>
      <c r="G54" s="584">
        <v>15</v>
      </c>
    </row>
    <row r="55" spans="1:7" ht="30" x14ac:dyDescent="0.2">
      <c r="A55" s="583" t="s">
        <v>12462</v>
      </c>
      <c r="B55" s="605" t="s">
        <v>12463</v>
      </c>
      <c r="C55" s="606" t="s">
        <v>12427</v>
      </c>
      <c r="D55" s="607">
        <v>0.19</v>
      </c>
      <c r="E55" s="607">
        <v>0.23</v>
      </c>
      <c r="F55" s="607">
        <v>0.42</v>
      </c>
      <c r="G55" s="584">
        <v>15</v>
      </c>
    </row>
    <row r="56" spans="1:7" ht="30" x14ac:dyDescent="0.2">
      <c r="A56" s="583" t="s">
        <v>12464</v>
      </c>
      <c r="B56" s="605" t="s">
        <v>12465</v>
      </c>
      <c r="C56" s="606" t="s">
        <v>12427</v>
      </c>
      <c r="D56" s="607">
        <v>0.14000000000000001</v>
      </c>
      <c r="E56" s="607">
        <v>0.16</v>
      </c>
      <c r="F56" s="607">
        <v>0.3</v>
      </c>
      <c r="G56" s="584">
        <v>15</v>
      </c>
    </row>
    <row r="57" spans="1:7" ht="30" x14ac:dyDescent="0.2">
      <c r="A57" s="583" t="s">
        <v>12466</v>
      </c>
      <c r="B57" s="605" t="s">
        <v>12467</v>
      </c>
      <c r="C57" s="606" t="s">
        <v>12427</v>
      </c>
      <c r="D57" s="607">
        <v>0.1</v>
      </c>
      <c r="E57" s="607">
        <v>0.14000000000000001</v>
      </c>
      <c r="F57" s="607">
        <v>0.24</v>
      </c>
      <c r="G57" s="584">
        <v>15</v>
      </c>
    </row>
    <row r="58" spans="1:7" ht="30" x14ac:dyDescent="0.2">
      <c r="A58" s="583" t="s">
        <v>12468</v>
      </c>
      <c r="B58" s="605" t="s">
        <v>12469</v>
      </c>
      <c r="C58" s="606" t="s">
        <v>12427</v>
      </c>
      <c r="D58" s="607">
        <v>0.09</v>
      </c>
      <c r="E58" s="607">
        <v>0.12</v>
      </c>
      <c r="F58" s="607">
        <v>0.21</v>
      </c>
      <c r="G58" s="584">
        <v>15</v>
      </c>
    </row>
    <row r="59" spans="1:7" ht="30" x14ac:dyDescent="0.2">
      <c r="A59" s="583" t="s">
        <v>12470</v>
      </c>
      <c r="B59" s="605" t="s">
        <v>12471</v>
      </c>
      <c r="C59" s="606" t="s">
        <v>12472</v>
      </c>
      <c r="D59" s="607">
        <v>603.66999999999996</v>
      </c>
      <c r="E59" s="607">
        <v>677.46</v>
      </c>
      <c r="F59" s="607">
        <v>1281.1300000000001</v>
      </c>
      <c r="G59" s="584">
        <v>15</v>
      </c>
    </row>
    <row r="60" spans="1:7" ht="30" x14ac:dyDescent="0.2">
      <c r="A60" s="583" t="s">
        <v>12473</v>
      </c>
      <c r="B60" s="605" t="s">
        <v>12474</v>
      </c>
      <c r="C60" s="606" t="s">
        <v>12375</v>
      </c>
      <c r="D60" s="607">
        <v>711.95</v>
      </c>
      <c r="E60" s="607">
        <v>462.94</v>
      </c>
      <c r="F60" s="607">
        <v>1174.8900000000001</v>
      </c>
      <c r="G60" s="584">
        <v>15</v>
      </c>
    </row>
    <row r="61" spans="1:7" ht="15" x14ac:dyDescent="0.25">
      <c r="A61" s="583" t="s">
        <v>12475</v>
      </c>
      <c r="B61" s="605" t="s">
        <v>12476</v>
      </c>
      <c r="C61" s="606"/>
      <c r="D61" s="607"/>
      <c r="E61" s="607"/>
      <c r="F61" s="607"/>
      <c r="G61" s="582"/>
    </row>
    <row r="62" spans="1:7" ht="30" x14ac:dyDescent="0.2">
      <c r="A62" s="583" t="s">
        <v>12477</v>
      </c>
      <c r="B62" s="605" t="s">
        <v>12478</v>
      </c>
      <c r="C62" s="606" t="s">
        <v>12424</v>
      </c>
      <c r="D62" s="607">
        <v>1342.33</v>
      </c>
      <c r="E62" s="607"/>
      <c r="F62" s="607">
        <v>1342.33</v>
      </c>
      <c r="G62" s="584">
        <v>15</v>
      </c>
    </row>
    <row r="63" spans="1:7" ht="30" x14ac:dyDescent="0.2">
      <c r="A63" s="583" t="s">
        <v>12479</v>
      </c>
      <c r="B63" s="605" t="s">
        <v>12480</v>
      </c>
      <c r="C63" s="606" t="s">
        <v>12424</v>
      </c>
      <c r="D63" s="607">
        <v>6995.32</v>
      </c>
      <c r="E63" s="607"/>
      <c r="F63" s="607">
        <v>6995.32</v>
      </c>
      <c r="G63" s="584">
        <v>15</v>
      </c>
    </row>
    <row r="64" spans="1:7" ht="15" x14ac:dyDescent="0.2">
      <c r="A64" s="583" t="s">
        <v>12481</v>
      </c>
      <c r="B64" s="605" t="s">
        <v>12482</v>
      </c>
      <c r="C64" s="606" t="s">
        <v>12483</v>
      </c>
      <c r="D64" s="607">
        <v>104.58</v>
      </c>
      <c r="E64" s="607"/>
      <c r="F64" s="607">
        <v>104.58</v>
      </c>
      <c r="G64" s="584">
        <v>15</v>
      </c>
    </row>
    <row r="65" spans="1:7" ht="15" x14ac:dyDescent="0.2">
      <c r="A65" s="583" t="s">
        <v>12484</v>
      </c>
      <c r="B65" s="605" t="s">
        <v>12485</v>
      </c>
      <c r="C65" s="606" t="s">
        <v>12483</v>
      </c>
      <c r="D65" s="607">
        <v>91.32</v>
      </c>
      <c r="E65" s="607"/>
      <c r="F65" s="607">
        <v>91.32</v>
      </c>
      <c r="G65" s="584">
        <v>15</v>
      </c>
    </row>
    <row r="66" spans="1:7" ht="15" x14ac:dyDescent="0.2">
      <c r="A66" s="583" t="s">
        <v>12486</v>
      </c>
      <c r="B66" s="605" t="s">
        <v>12487</v>
      </c>
      <c r="C66" s="606" t="s">
        <v>12483</v>
      </c>
      <c r="D66" s="607">
        <v>412.79</v>
      </c>
      <c r="E66" s="607"/>
      <c r="F66" s="607">
        <v>412.79</v>
      </c>
      <c r="G66" s="584">
        <v>15</v>
      </c>
    </row>
    <row r="67" spans="1:7" ht="15" x14ac:dyDescent="0.2">
      <c r="A67" s="583" t="s">
        <v>12488</v>
      </c>
      <c r="B67" s="605" t="s">
        <v>12489</v>
      </c>
      <c r="C67" s="606" t="s">
        <v>12483</v>
      </c>
      <c r="D67" s="607">
        <v>653.01</v>
      </c>
      <c r="E67" s="607"/>
      <c r="F67" s="607">
        <v>653.01</v>
      </c>
      <c r="G67" s="584">
        <v>15</v>
      </c>
    </row>
    <row r="68" spans="1:7" ht="30" x14ac:dyDescent="0.2">
      <c r="A68" s="583" t="s">
        <v>12490</v>
      </c>
      <c r="B68" s="605" t="s">
        <v>12491</v>
      </c>
      <c r="C68" s="606" t="s">
        <v>12483</v>
      </c>
      <c r="D68" s="607">
        <v>101.61</v>
      </c>
      <c r="E68" s="607"/>
      <c r="F68" s="607">
        <v>101.61</v>
      </c>
      <c r="G68" s="584">
        <v>15</v>
      </c>
    </row>
    <row r="69" spans="1:7" ht="15" x14ac:dyDescent="0.25">
      <c r="A69" s="583" t="s">
        <v>12492</v>
      </c>
      <c r="B69" s="605" t="s">
        <v>12493</v>
      </c>
      <c r="C69" s="606"/>
      <c r="D69" s="607"/>
      <c r="E69" s="607"/>
      <c r="F69" s="607"/>
      <c r="G69" s="582"/>
    </row>
    <row r="70" spans="1:7" ht="30" x14ac:dyDescent="0.2">
      <c r="A70" s="583" t="s">
        <v>12494</v>
      </c>
      <c r="B70" s="605" t="s">
        <v>12495</v>
      </c>
      <c r="C70" s="606" t="s">
        <v>12424</v>
      </c>
      <c r="D70" s="607">
        <v>421.15</v>
      </c>
      <c r="E70" s="607"/>
      <c r="F70" s="607">
        <v>421.15</v>
      </c>
      <c r="G70" s="584">
        <v>15</v>
      </c>
    </row>
    <row r="71" spans="1:7" ht="15" x14ac:dyDescent="0.2">
      <c r="A71" s="583" t="s">
        <v>12496</v>
      </c>
      <c r="B71" s="605" t="s">
        <v>12497</v>
      </c>
      <c r="C71" s="606" t="s">
        <v>12427</v>
      </c>
      <c r="D71" s="607">
        <v>3.09</v>
      </c>
      <c r="E71" s="607">
        <v>6.13</v>
      </c>
      <c r="F71" s="607">
        <v>9.2200000000000006</v>
      </c>
      <c r="G71" s="584">
        <v>15</v>
      </c>
    </row>
    <row r="72" spans="1:7" ht="15" x14ac:dyDescent="0.2">
      <c r="A72" s="583" t="s">
        <v>12498</v>
      </c>
      <c r="B72" s="605" t="s">
        <v>12499</v>
      </c>
      <c r="C72" s="606" t="s">
        <v>12427</v>
      </c>
      <c r="D72" s="607">
        <v>100.85</v>
      </c>
      <c r="E72" s="607">
        <v>45.31</v>
      </c>
      <c r="F72" s="607">
        <v>146.16</v>
      </c>
      <c r="G72" s="584">
        <v>15</v>
      </c>
    </row>
    <row r="73" spans="1:7" ht="30" x14ac:dyDescent="0.2">
      <c r="A73" s="583" t="s">
        <v>12500</v>
      </c>
      <c r="B73" s="605" t="s">
        <v>12501</v>
      </c>
      <c r="C73" s="606" t="s">
        <v>12427</v>
      </c>
      <c r="D73" s="607">
        <v>22.13</v>
      </c>
      <c r="E73" s="607">
        <v>43.21</v>
      </c>
      <c r="F73" s="607">
        <v>65.34</v>
      </c>
      <c r="G73" s="584">
        <v>15</v>
      </c>
    </row>
    <row r="74" spans="1:7" ht="15" x14ac:dyDescent="0.2">
      <c r="A74" s="583" t="s">
        <v>12502</v>
      </c>
      <c r="B74" s="605" t="s">
        <v>12503</v>
      </c>
      <c r="C74" s="606" t="s">
        <v>12427</v>
      </c>
      <c r="D74" s="607"/>
      <c r="E74" s="607">
        <v>30.66</v>
      </c>
      <c r="F74" s="607">
        <v>30.66</v>
      </c>
      <c r="G74" s="584">
        <v>15</v>
      </c>
    </row>
    <row r="75" spans="1:7" ht="15" x14ac:dyDescent="0.2">
      <c r="A75" s="583" t="s">
        <v>12504</v>
      </c>
      <c r="B75" s="605" t="s">
        <v>12505</v>
      </c>
      <c r="C75" s="606" t="s">
        <v>12483</v>
      </c>
      <c r="D75" s="607">
        <v>1.07</v>
      </c>
      <c r="E75" s="607">
        <v>4.53</v>
      </c>
      <c r="F75" s="607">
        <v>5.6</v>
      </c>
      <c r="G75" s="584">
        <v>15</v>
      </c>
    </row>
    <row r="76" spans="1:7" ht="30" x14ac:dyDescent="0.2">
      <c r="A76" s="583" t="s">
        <v>12506</v>
      </c>
      <c r="B76" s="605" t="s">
        <v>12507</v>
      </c>
      <c r="C76" s="606" t="s">
        <v>12508</v>
      </c>
      <c r="D76" s="607"/>
      <c r="E76" s="607">
        <v>462.76</v>
      </c>
      <c r="F76" s="607">
        <v>462.76</v>
      </c>
      <c r="G76" s="584">
        <v>15</v>
      </c>
    </row>
    <row r="77" spans="1:7" ht="15" x14ac:dyDescent="0.2">
      <c r="A77" s="583" t="s">
        <v>12509</v>
      </c>
      <c r="B77" s="605" t="s">
        <v>20122</v>
      </c>
      <c r="C77" s="606" t="s">
        <v>12483</v>
      </c>
      <c r="D77" s="607">
        <v>270.07</v>
      </c>
      <c r="E77" s="607"/>
      <c r="F77" s="607">
        <v>270.07</v>
      </c>
      <c r="G77" s="584">
        <v>15</v>
      </c>
    </row>
    <row r="78" spans="1:7" ht="15" x14ac:dyDescent="0.2">
      <c r="A78" s="583" t="s">
        <v>12510</v>
      </c>
      <c r="B78" s="605" t="s">
        <v>20123</v>
      </c>
      <c r="C78" s="606" t="s">
        <v>12483</v>
      </c>
      <c r="D78" s="607">
        <v>272.39999999999998</v>
      </c>
      <c r="E78" s="607"/>
      <c r="F78" s="607">
        <v>272.39999999999998</v>
      </c>
      <c r="G78" s="584">
        <v>15</v>
      </c>
    </row>
    <row r="79" spans="1:7" ht="15" x14ac:dyDescent="0.2">
      <c r="A79" s="583" t="s">
        <v>12511</v>
      </c>
      <c r="B79" s="605" t="s">
        <v>20124</v>
      </c>
      <c r="C79" s="606" t="s">
        <v>12483</v>
      </c>
      <c r="D79" s="607">
        <v>377.36</v>
      </c>
      <c r="E79" s="607"/>
      <c r="F79" s="607">
        <v>377.36</v>
      </c>
      <c r="G79" s="584">
        <v>15</v>
      </c>
    </row>
    <row r="80" spans="1:7" ht="15" x14ac:dyDescent="0.2">
      <c r="A80" s="583" t="s">
        <v>12512</v>
      </c>
      <c r="B80" s="605" t="s">
        <v>20125</v>
      </c>
      <c r="C80" s="606" t="s">
        <v>12483</v>
      </c>
      <c r="D80" s="607">
        <v>387.85</v>
      </c>
      <c r="E80" s="607"/>
      <c r="F80" s="607">
        <v>387.85</v>
      </c>
      <c r="G80" s="584">
        <v>15</v>
      </c>
    </row>
    <row r="81" spans="1:7" ht="30" x14ac:dyDescent="0.2">
      <c r="A81" s="583" t="s">
        <v>12513</v>
      </c>
      <c r="B81" s="605" t="s">
        <v>12514</v>
      </c>
      <c r="C81" s="606" t="s">
        <v>12424</v>
      </c>
      <c r="D81" s="607">
        <v>227.04</v>
      </c>
      <c r="E81" s="607"/>
      <c r="F81" s="607">
        <v>227.04</v>
      </c>
      <c r="G81" s="584">
        <v>15</v>
      </c>
    </row>
    <row r="82" spans="1:7" ht="30" x14ac:dyDescent="0.2">
      <c r="A82" s="583" t="s">
        <v>12515</v>
      </c>
      <c r="B82" s="605" t="s">
        <v>12516</v>
      </c>
      <c r="C82" s="606" t="s">
        <v>12375</v>
      </c>
      <c r="D82" s="607">
        <v>13.6</v>
      </c>
      <c r="E82" s="607"/>
      <c r="F82" s="607">
        <v>13.6</v>
      </c>
      <c r="G82" s="584">
        <v>15</v>
      </c>
    </row>
    <row r="83" spans="1:7" ht="30" x14ac:dyDescent="0.2">
      <c r="A83" s="583" t="s">
        <v>12517</v>
      </c>
      <c r="B83" s="605" t="s">
        <v>12518</v>
      </c>
      <c r="C83" s="606" t="s">
        <v>12375</v>
      </c>
      <c r="D83" s="607">
        <v>15.81</v>
      </c>
      <c r="E83" s="607"/>
      <c r="F83" s="607">
        <v>15.81</v>
      </c>
      <c r="G83" s="584">
        <v>15</v>
      </c>
    </row>
    <row r="84" spans="1:7" ht="30" x14ac:dyDescent="0.2">
      <c r="A84" s="583" t="s">
        <v>12519</v>
      </c>
      <c r="B84" s="605" t="s">
        <v>12520</v>
      </c>
      <c r="C84" s="606" t="s">
        <v>12375</v>
      </c>
      <c r="D84" s="607">
        <v>16.309999999999999</v>
      </c>
      <c r="E84" s="607"/>
      <c r="F84" s="607">
        <v>16.309999999999999</v>
      </c>
      <c r="G84" s="584">
        <v>15</v>
      </c>
    </row>
    <row r="85" spans="1:7" ht="30" x14ac:dyDescent="0.2">
      <c r="A85" s="583" t="s">
        <v>12521</v>
      </c>
      <c r="B85" s="605" t="s">
        <v>12522</v>
      </c>
      <c r="C85" s="606" t="s">
        <v>12375</v>
      </c>
      <c r="D85" s="607">
        <v>21.13</v>
      </c>
      <c r="E85" s="607"/>
      <c r="F85" s="607">
        <v>21.13</v>
      </c>
      <c r="G85" s="584">
        <v>15</v>
      </c>
    </row>
    <row r="86" spans="1:7" ht="30" x14ac:dyDescent="0.2">
      <c r="A86" s="583" t="s">
        <v>12523</v>
      </c>
      <c r="B86" s="605" t="s">
        <v>12524</v>
      </c>
      <c r="C86" s="606" t="s">
        <v>12375</v>
      </c>
      <c r="D86" s="607">
        <v>21.92</v>
      </c>
      <c r="E86" s="607"/>
      <c r="F86" s="607">
        <v>21.92</v>
      </c>
      <c r="G86" s="584">
        <v>15</v>
      </c>
    </row>
    <row r="87" spans="1:7" ht="30" x14ac:dyDescent="0.2">
      <c r="A87" s="583" t="s">
        <v>12525</v>
      </c>
      <c r="B87" s="605" t="s">
        <v>12526</v>
      </c>
      <c r="C87" s="606" t="s">
        <v>12375</v>
      </c>
      <c r="D87" s="607">
        <v>25.63</v>
      </c>
      <c r="E87" s="607"/>
      <c r="F87" s="607">
        <v>25.63</v>
      </c>
      <c r="G87" s="584">
        <v>15</v>
      </c>
    </row>
    <row r="88" spans="1:7" ht="30" x14ac:dyDescent="0.2">
      <c r="A88" s="583" t="s">
        <v>12527</v>
      </c>
      <c r="B88" s="605" t="s">
        <v>12528</v>
      </c>
      <c r="C88" s="606" t="s">
        <v>12375</v>
      </c>
      <c r="D88" s="607">
        <v>27.79</v>
      </c>
      <c r="E88" s="607"/>
      <c r="F88" s="607">
        <v>27.79</v>
      </c>
      <c r="G88" s="584">
        <v>15</v>
      </c>
    </row>
    <row r="89" spans="1:7" ht="30" x14ac:dyDescent="0.2">
      <c r="A89" s="583" t="s">
        <v>12529</v>
      </c>
      <c r="B89" s="605" t="s">
        <v>12530</v>
      </c>
      <c r="C89" s="606" t="s">
        <v>12375</v>
      </c>
      <c r="D89" s="607">
        <v>27.31</v>
      </c>
      <c r="E89" s="607"/>
      <c r="F89" s="607">
        <v>27.31</v>
      </c>
      <c r="G89" s="584">
        <v>15</v>
      </c>
    </row>
    <row r="90" spans="1:7" ht="30" x14ac:dyDescent="0.2">
      <c r="A90" s="583" t="s">
        <v>12531</v>
      </c>
      <c r="B90" s="605" t="s">
        <v>12532</v>
      </c>
      <c r="C90" s="606" t="s">
        <v>12375</v>
      </c>
      <c r="D90" s="607">
        <v>30.14</v>
      </c>
      <c r="E90" s="607"/>
      <c r="F90" s="607">
        <v>30.14</v>
      </c>
      <c r="G90" s="584">
        <v>15</v>
      </c>
    </row>
    <row r="91" spans="1:7" ht="30" x14ac:dyDescent="0.2">
      <c r="A91" s="583" t="s">
        <v>12533</v>
      </c>
      <c r="B91" s="605" t="s">
        <v>12534</v>
      </c>
      <c r="C91" s="606" t="s">
        <v>12375</v>
      </c>
      <c r="D91" s="607">
        <v>31.4</v>
      </c>
      <c r="E91" s="607"/>
      <c r="F91" s="607">
        <v>31.4</v>
      </c>
      <c r="G91" s="584">
        <v>15</v>
      </c>
    </row>
    <row r="92" spans="1:7" ht="30" x14ac:dyDescent="0.2">
      <c r="A92" s="583" t="s">
        <v>12535</v>
      </c>
      <c r="B92" s="605" t="s">
        <v>12536</v>
      </c>
      <c r="C92" s="606" t="s">
        <v>12375</v>
      </c>
      <c r="D92" s="607">
        <v>37.04</v>
      </c>
      <c r="E92" s="607"/>
      <c r="F92" s="607">
        <v>37.04</v>
      </c>
      <c r="G92" s="584">
        <v>15</v>
      </c>
    </row>
    <row r="93" spans="1:7" ht="15" x14ac:dyDescent="0.2">
      <c r="A93" s="583" t="s">
        <v>12537</v>
      </c>
      <c r="B93" s="605" t="s">
        <v>20126</v>
      </c>
      <c r="C93" s="606" t="s">
        <v>12483</v>
      </c>
      <c r="D93" s="607">
        <v>272.73</v>
      </c>
      <c r="E93" s="607"/>
      <c r="F93" s="607">
        <v>272.73</v>
      </c>
      <c r="G93" s="584">
        <v>15</v>
      </c>
    </row>
    <row r="94" spans="1:7" ht="15" x14ac:dyDescent="0.2">
      <c r="A94" s="583" t="s">
        <v>12538</v>
      </c>
      <c r="B94" s="605" t="s">
        <v>20127</v>
      </c>
      <c r="C94" s="606" t="s">
        <v>12483</v>
      </c>
      <c r="D94" s="607">
        <v>411.12</v>
      </c>
      <c r="E94" s="607"/>
      <c r="F94" s="607">
        <v>411.12</v>
      </c>
      <c r="G94" s="584">
        <v>15</v>
      </c>
    </row>
    <row r="95" spans="1:7" ht="15" x14ac:dyDescent="0.2">
      <c r="A95" s="583" t="s">
        <v>12539</v>
      </c>
      <c r="B95" s="605" t="s">
        <v>20128</v>
      </c>
      <c r="C95" s="606" t="s">
        <v>12483</v>
      </c>
      <c r="D95" s="607">
        <v>416.42</v>
      </c>
      <c r="E95" s="607"/>
      <c r="F95" s="607">
        <v>416.42</v>
      </c>
      <c r="G95" s="584">
        <v>15</v>
      </c>
    </row>
    <row r="96" spans="1:7" ht="15" x14ac:dyDescent="0.2">
      <c r="A96" s="583" t="s">
        <v>12540</v>
      </c>
      <c r="B96" s="605" t="s">
        <v>20129</v>
      </c>
      <c r="C96" s="606" t="s">
        <v>12483</v>
      </c>
      <c r="D96" s="607">
        <v>440.28</v>
      </c>
      <c r="E96" s="607"/>
      <c r="F96" s="607">
        <v>440.28</v>
      </c>
      <c r="G96" s="584">
        <v>15</v>
      </c>
    </row>
    <row r="97" spans="1:7" ht="15" x14ac:dyDescent="0.2">
      <c r="A97" s="583" t="s">
        <v>12541</v>
      </c>
      <c r="B97" s="605" t="s">
        <v>20130</v>
      </c>
      <c r="C97" s="606" t="s">
        <v>12483</v>
      </c>
      <c r="D97" s="607">
        <v>461.56</v>
      </c>
      <c r="E97" s="607"/>
      <c r="F97" s="607">
        <v>461.56</v>
      </c>
      <c r="G97" s="584">
        <v>15</v>
      </c>
    </row>
    <row r="98" spans="1:7" ht="15" x14ac:dyDescent="0.2">
      <c r="A98" s="583" t="s">
        <v>12542</v>
      </c>
      <c r="B98" s="605" t="s">
        <v>20131</v>
      </c>
      <c r="C98" s="606" t="s">
        <v>12483</v>
      </c>
      <c r="D98" s="607">
        <v>591.46</v>
      </c>
      <c r="E98" s="607"/>
      <c r="F98" s="607">
        <v>591.46</v>
      </c>
      <c r="G98" s="584">
        <v>15</v>
      </c>
    </row>
    <row r="99" spans="1:7" ht="15" x14ac:dyDescent="0.2">
      <c r="A99" s="583" t="s">
        <v>12543</v>
      </c>
      <c r="B99" s="605" t="s">
        <v>12544</v>
      </c>
      <c r="C99" s="606" t="s">
        <v>12483</v>
      </c>
      <c r="D99" s="607">
        <v>226.39</v>
      </c>
      <c r="E99" s="607"/>
      <c r="F99" s="607">
        <v>226.39</v>
      </c>
      <c r="G99" s="584">
        <v>15</v>
      </c>
    </row>
    <row r="100" spans="1:7" ht="30" x14ac:dyDescent="0.2">
      <c r="A100" s="583" t="s">
        <v>12545</v>
      </c>
      <c r="B100" s="605" t="s">
        <v>12546</v>
      </c>
      <c r="C100" s="606" t="s">
        <v>12424</v>
      </c>
      <c r="D100" s="607">
        <v>1629.92</v>
      </c>
      <c r="E100" s="607">
        <v>4159.8</v>
      </c>
      <c r="F100" s="607">
        <v>5789.72</v>
      </c>
      <c r="G100" s="584">
        <v>15</v>
      </c>
    </row>
    <row r="101" spans="1:7" ht="30" x14ac:dyDescent="0.2">
      <c r="A101" s="583" t="s">
        <v>12547</v>
      </c>
      <c r="B101" s="605" t="s">
        <v>12548</v>
      </c>
      <c r="C101" s="606" t="s">
        <v>12427</v>
      </c>
      <c r="D101" s="607">
        <v>7.49</v>
      </c>
      <c r="E101" s="607">
        <v>44.29</v>
      </c>
      <c r="F101" s="607">
        <v>51.78</v>
      </c>
      <c r="G101" s="584">
        <v>15</v>
      </c>
    </row>
    <row r="102" spans="1:7" ht="30" x14ac:dyDescent="0.2">
      <c r="A102" s="583" t="s">
        <v>12549</v>
      </c>
      <c r="B102" s="605" t="s">
        <v>12550</v>
      </c>
      <c r="C102" s="606" t="s">
        <v>12427</v>
      </c>
      <c r="D102" s="607">
        <v>163.19</v>
      </c>
      <c r="E102" s="607">
        <v>315.13</v>
      </c>
      <c r="F102" s="607">
        <v>478.32</v>
      </c>
      <c r="G102" s="584">
        <v>15</v>
      </c>
    </row>
    <row r="103" spans="1:7" ht="15" x14ac:dyDescent="0.25">
      <c r="A103" s="583" t="s">
        <v>12551</v>
      </c>
      <c r="B103" s="605" t="s">
        <v>12552</v>
      </c>
      <c r="C103" s="606"/>
      <c r="D103" s="607"/>
      <c r="E103" s="607"/>
      <c r="F103" s="607"/>
      <c r="G103" s="582"/>
    </row>
    <row r="104" spans="1:7" ht="30" x14ac:dyDescent="0.2">
      <c r="A104" s="583" t="s">
        <v>12553</v>
      </c>
      <c r="B104" s="605" t="s">
        <v>12554</v>
      </c>
      <c r="C104" s="606" t="s">
        <v>12375</v>
      </c>
      <c r="D104" s="607">
        <v>196.55</v>
      </c>
      <c r="E104" s="607">
        <v>9191.49</v>
      </c>
      <c r="F104" s="607">
        <v>9388.0400000000009</v>
      </c>
      <c r="G104" s="584">
        <v>15</v>
      </c>
    </row>
    <row r="105" spans="1:7" ht="15" x14ac:dyDescent="0.2">
      <c r="A105" s="583" t="s">
        <v>12555</v>
      </c>
      <c r="B105" s="605" t="s">
        <v>12556</v>
      </c>
      <c r="C105" s="606" t="s">
        <v>12375</v>
      </c>
      <c r="D105" s="607">
        <v>196.55</v>
      </c>
      <c r="E105" s="607">
        <v>12312.08</v>
      </c>
      <c r="F105" s="607">
        <v>12508.63</v>
      </c>
      <c r="G105" s="584">
        <v>15</v>
      </c>
    </row>
    <row r="106" spans="1:7" ht="15" x14ac:dyDescent="0.2">
      <c r="A106" s="583" t="s">
        <v>12557</v>
      </c>
      <c r="B106" s="605" t="s">
        <v>12558</v>
      </c>
      <c r="C106" s="606" t="s">
        <v>12375</v>
      </c>
      <c r="D106" s="607">
        <v>196.55</v>
      </c>
      <c r="E106" s="607">
        <v>10894.29</v>
      </c>
      <c r="F106" s="607">
        <v>11090.84</v>
      </c>
      <c r="G106" s="584">
        <v>15</v>
      </c>
    </row>
    <row r="107" spans="1:7" ht="15" x14ac:dyDescent="0.2">
      <c r="A107" s="583" t="s">
        <v>12559</v>
      </c>
      <c r="B107" s="605" t="s">
        <v>12560</v>
      </c>
      <c r="C107" s="606" t="s">
        <v>12375</v>
      </c>
      <c r="D107" s="607">
        <v>569.29999999999995</v>
      </c>
      <c r="E107" s="607">
        <v>25369.8</v>
      </c>
      <c r="F107" s="607">
        <v>25939.1</v>
      </c>
      <c r="G107" s="584">
        <v>15</v>
      </c>
    </row>
    <row r="108" spans="1:7" ht="15" x14ac:dyDescent="0.2">
      <c r="A108" s="583" t="s">
        <v>12561</v>
      </c>
      <c r="B108" s="605" t="s">
        <v>12562</v>
      </c>
      <c r="C108" s="606" t="s">
        <v>12375</v>
      </c>
      <c r="D108" s="607">
        <v>569.29999999999995</v>
      </c>
      <c r="E108" s="607">
        <v>38929.39</v>
      </c>
      <c r="F108" s="607">
        <v>39498.69</v>
      </c>
      <c r="G108" s="584">
        <v>15</v>
      </c>
    </row>
    <row r="109" spans="1:7" ht="30" x14ac:dyDescent="0.2">
      <c r="A109" s="583" t="s">
        <v>12563</v>
      </c>
      <c r="B109" s="605" t="s">
        <v>12564</v>
      </c>
      <c r="C109" s="606" t="s">
        <v>12375</v>
      </c>
      <c r="D109" s="607">
        <v>569.29999999999995</v>
      </c>
      <c r="E109" s="607">
        <v>15432.67</v>
      </c>
      <c r="F109" s="607">
        <v>16001.97</v>
      </c>
      <c r="G109" s="584">
        <v>15</v>
      </c>
    </row>
    <row r="110" spans="1:7" ht="15" x14ac:dyDescent="0.2">
      <c r="A110" s="583" t="s">
        <v>12565</v>
      </c>
      <c r="B110" s="605" t="s">
        <v>12566</v>
      </c>
      <c r="C110" s="606" t="s">
        <v>12375</v>
      </c>
      <c r="D110" s="607">
        <v>462.8</v>
      </c>
      <c r="E110" s="607">
        <v>18522.79</v>
      </c>
      <c r="F110" s="607">
        <v>18985.59</v>
      </c>
      <c r="G110" s="584">
        <v>15</v>
      </c>
    </row>
    <row r="111" spans="1:7" ht="15" x14ac:dyDescent="0.2">
      <c r="A111" s="583" t="s">
        <v>12567</v>
      </c>
      <c r="B111" s="605" t="s">
        <v>12568</v>
      </c>
      <c r="C111" s="606" t="s">
        <v>12375</v>
      </c>
      <c r="D111" s="607">
        <v>281.75</v>
      </c>
      <c r="E111" s="607">
        <v>30001.4</v>
      </c>
      <c r="F111" s="607">
        <v>30283.15</v>
      </c>
      <c r="G111" s="584">
        <v>15</v>
      </c>
    </row>
    <row r="112" spans="1:7" ht="15" x14ac:dyDescent="0.25">
      <c r="A112" s="583" t="s">
        <v>12569</v>
      </c>
      <c r="B112" s="605" t="s">
        <v>12570</v>
      </c>
      <c r="C112" s="606"/>
      <c r="D112" s="607"/>
      <c r="E112" s="607"/>
      <c r="F112" s="607"/>
      <c r="G112" s="582"/>
    </row>
    <row r="113" spans="1:7" ht="45" x14ac:dyDescent="0.2">
      <c r="A113" s="583" t="s">
        <v>12571</v>
      </c>
      <c r="B113" s="605" t="s">
        <v>12572</v>
      </c>
      <c r="C113" s="606" t="s">
        <v>12424</v>
      </c>
      <c r="D113" s="607">
        <v>8405.0300000000007</v>
      </c>
      <c r="E113" s="607"/>
      <c r="F113" s="607">
        <v>8405.0300000000007</v>
      </c>
      <c r="G113" s="584">
        <v>15</v>
      </c>
    </row>
    <row r="114" spans="1:7" ht="45" x14ac:dyDescent="0.2">
      <c r="A114" s="583" t="s">
        <v>12573</v>
      </c>
      <c r="B114" s="605" t="s">
        <v>12574</v>
      </c>
      <c r="C114" s="606" t="s">
        <v>12424</v>
      </c>
      <c r="D114" s="607">
        <v>13648.77</v>
      </c>
      <c r="E114" s="607"/>
      <c r="F114" s="607">
        <v>13648.77</v>
      </c>
      <c r="G114" s="584">
        <v>15</v>
      </c>
    </row>
    <row r="115" spans="1:7" ht="45" x14ac:dyDescent="0.2">
      <c r="A115" s="583" t="s">
        <v>12575</v>
      </c>
      <c r="B115" s="605" t="s">
        <v>12576</v>
      </c>
      <c r="C115" s="606" t="s">
        <v>12424</v>
      </c>
      <c r="D115" s="607">
        <v>13560.03</v>
      </c>
      <c r="E115" s="607"/>
      <c r="F115" s="607">
        <v>13560.03</v>
      </c>
      <c r="G115" s="584">
        <v>15</v>
      </c>
    </row>
    <row r="116" spans="1:7" ht="30" x14ac:dyDescent="0.2">
      <c r="A116" s="583" t="s">
        <v>12577</v>
      </c>
      <c r="B116" s="605" t="s">
        <v>12578</v>
      </c>
      <c r="C116" s="606" t="s">
        <v>12483</v>
      </c>
      <c r="D116" s="607">
        <v>732.99</v>
      </c>
      <c r="E116" s="607"/>
      <c r="F116" s="607">
        <v>732.99</v>
      </c>
      <c r="G116" s="584">
        <v>15</v>
      </c>
    </row>
    <row r="117" spans="1:7" ht="30" x14ac:dyDescent="0.2">
      <c r="A117" s="583" t="s">
        <v>12579</v>
      </c>
      <c r="B117" s="605" t="s">
        <v>12580</v>
      </c>
      <c r="C117" s="606" t="s">
        <v>12483</v>
      </c>
      <c r="D117" s="607">
        <v>517.99</v>
      </c>
      <c r="E117" s="607"/>
      <c r="F117" s="607">
        <v>517.99</v>
      </c>
      <c r="G117" s="584">
        <v>15</v>
      </c>
    </row>
    <row r="118" spans="1:7" ht="30" x14ac:dyDescent="0.2">
      <c r="A118" s="583" t="s">
        <v>12581</v>
      </c>
      <c r="B118" s="605" t="s">
        <v>12582</v>
      </c>
      <c r="C118" s="606" t="s">
        <v>12483</v>
      </c>
      <c r="D118" s="607">
        <v>1288.52</v>
      </c>
      <c r="E118" s="607"/>
      <c r="F118" s="607">
        <v>1288.52</v>
      </c>
      <c r="G118" s="584">
        <v>15</v>
      </c>
    </row>
    <row r="119" spans="1:7" ht="30" x14ac:dyDescent="0.2">
      <c r="A119" s="583" t="s">
        <v>12583</v>
      </c>
      <c r="B119" s="605" t="s">
        <v>12584</v>
      </c>
      <c r="C119" s="606" t="s">
        <v>12483</v>
      </c>
      <c r="D119" s="607">
        <v>1394.38</v>
      </c>
      <c r="E119" s="607"/>
      <c r="F119" s="607">
        <v>1394.38</v>
      </c>
      <c r="G119" s="584">
        <v>15</v>
      </c>
    </row>
    <row r="120" spans="1:7" ht="30" x14ac:dyDescent="0.2">
      <c r="A120" s="583" t="s">
        <v>12585</v>
      </c>
      <c r="B120" s="605" t="s">
        <v>12586</v>
      </c>
      <c r="C120" s="606" t="s">
        <v>12483</v>
      </c>
      <c r="D120" s="607">
        <v>1733.69</v>
      </c>
      <c r="E120" s="607"/>
      <c r="F120" s="607">
        <v>1733.69</v>
      </c>
      <c r="G120" s="584">
        <v>15</v>
      </c>
    </row>
    <row r="121" spans="1:7" ht="30" x14ac:dyDescent="0.2">
      <c r="A121" s="583" t="s">
        <v>12587</v>
      </c>
      <c r="B121" s="605" t="s">
        <v>12588</v>
      </c>
      <c r="C121" s="606" t="s">
        <v>12483</v>
      </c>
      <c r="D121" s="607">
        <v>2219.14</v>
      </c>
      <c r="E121" s="607"/>
      <c r="F121" s="607">
        <v>2219.14</v>
      </c>
      <c r="G121" s="584">
        <v>15</v>
      </c>
    </row>
    <row r="122" spans="1:7" ht="30" x14ac:dyDescent="0.2">
      <c r="A122" s="583" t="s">
        <v>12589</v>
      </c>
      <c r="B122" s="605" t="s">
        <v>12590</v>
      </c>
      <c r="C122" s="606" t="s">
        <v>12483</v>
      </c>
      <c r="D122" s="607">
        <v>2510.5</v>
      </c>
      <c r="E122" s="607"/>
      <c r="F122" s="607">
        <v>2510.5</v>
      </c>
      <c r="G122" s="584">
        <v>15</v>
      </c>
    </row>
    <row r="123" spans="1:7" ht="30" x14ac:dyDescent="0.2">
      <c r="A123" s="583" t="s">
        <v>12591</v>
      </c>
      <c r="B123" s="605" t="s">
        <v>12592</v>
      </c>
      <c r="C123" s="606" t="s">
        <v>12483</v>
      </c>
      <c r="D123" s="607">
        <v>2703.52</v>
      </c>
      <c r="E123" s="607"/>
      <c r="F123" s="607">
        <v>2703.52</v>
      </c>
      <c r="G123" s="584">
        <v>15</v>
      </c>
    </row>
    <row r="124" spans="1:7" ht="30" x14ac:dyDescent="0.2">
      <c r="A124" s="583" t="s">
        <v>12593</v>
      </c>
      <c r="B124" s="605" t="s">
        <v>12594</v>
      </c>
      <c r="C124" s="606" t="s">
        <v>12483</v>
      </c>
      <c r="D124" s="607">
        <v>3295.88</v>
      </c>
      <c r="E124" s="607"/>
      <c r="F124" s="607">
        <v>3295.88</v>
      </c>
      <c r="G124" s="584">
        <v>15</v>
      </c>
    </row>
    <row r="125" spans="1:7" ht="30" x14ac:dyDescent="0.2">
      <c r="A125" s="583" t="s">
        <v>12595</v>
      </c>
      <c r="B125" s="605" t="s">
        <v>12596</v>
      </c>
      <c r="C125" s="606" t="s">
        <v>12483</v>
      </c>
      <c r="D125" s="607">
        <v>391.47</v>
      </c>
      <c r="E125" s="607"/>
      <c r="F125" s="607">
        <v>391.47</v>
      </c>
      <c r="G125" s="584">
        <v>15</v>
      </c>
    </row>
    <row r="126" spans="1:7" ht="30" x14ac:dyDescent="0.2">
      <c r="A126" s="583" t="s">
        <v>12597</v>
      </c>
      <c r="B126" s="605" t="s">
        <v>12598</v>
      </c>
      <c r="C126" s="606" t="s">
        <v>12483</v>
      </c>
      <c r="D126" s="607">
        <v>1870.52</v>
      </c>
      <c r="E126" s="607"/>
      <c r="F126" s="607">
        <v>1870.52</v>
      </c>
      <c r="G126" s="584">
        <v>15</v>
      </c>
    </row>
    <row r="127" spans="1:7" ht="30" x14ac:dyDescent="0.2">
      <c r="A127" s="583" t="s">
        <v>12599</v>
      </c>
      <c r="B127" s="605" t="s">
        <v>12600</v>
      </c>
      <c r="C127" s="606" t="s">
        <v>12483</v>
      </c>
      <c r="D127" s="607">
        <v>7341.72</v>
      </c>
      <c r="E127" s="607"/>
      <c r="F127" s="607">
        <v>7341.72</v>
      </c>
      <c r="G127" s="584">
        <v>15</v>
      </c>
    </row>
    <row r="128" spans="1:7" ht="30" x14ac:dyDescent="0.2">
      <c r="A128" s="583" t="s">
        <v>12601</v>
      </c>
      <c r="B128" s="605" t="s">
        <v>12602</v>
      </c>
      <c r="C128" s="606" t="s">
        <v>12483</v>
      </c>
      <c r="D128" s="607">
        <v>380.44</v>
      </c>
      <c r="E128" s="607"/>
      <c r="F128" s="607">
        <v>380.44</v>
      </c>
      <c r="G128" s="584">
        <v>15</v>
      </c>
    </row>
    <row r="129" spans="1:7" ht="30" x14ac:dyDescent="0.2">
      <c r="A129" s="583" t="s">
        <v>12603</v>
      </c>
      <c r="B129" s="605" t="s">
        <v>12604</v>
      </c>
      <c r="C129" s="606" t="s">
        <v>12483</v>
      </c>
      <c r="D129" s="607">
        <v>495.41</v>
      </c>
      <c r="E129" s="607"/>
      <c r="F129" s="607">
        <v>495.41</v>
      </c>
      <c r="G129" s="584">
        <v>15</v>
      </c>
    </row>
    <row r="130" spans="1:7" ht="30" x14ac:dyDescent="0.2">
      <c r="A130" s="583" t="s">
        <v>12605</v>
      </c>
      <c r="B130" s="605" t="s">
        <v>12606</v>
      </c>
      <c r="C130" s="606" t="s">
        <v>12483</v>
      </c>
      <c r="D130" s="607">
        <v>591.66</v>
      </c>
      <c r="E130" s="607"/>
      <c r="F130" s="607">
        <v>591.66</v>
      </c>
      <c r="G130" s="584">
        <v>15</v>
      </c>
    </row>
    <row r="131" spans="1:7" ht="30" x14ac:dyDescent="0.2">
      <c r="A131" s="583" t="s">
        <v>12607</v>
      </c>
      <c r="B131" s="605" t="s">
        <v>12608</v>
      </c>
      <c r="C131" s="606" t="s">
        <v>12483</v>
      </c>
      <c r="D131" s="607">
        <v>340.4</v>
      </c>
      <c r="E131" s="607"/>
      <c r="F131" s="607">
        <v>340.4</v>
      </c>
      <c r="G131" s="584">
        <v>15</v>
      </c>
    </row>
    <row r="132" spans="1:7" ht="30" x14ac:dyDescent="0.2">
      <c r="A132" s="583" t="s">
        <v>12609</v>
      </c>
      <c r="B132" s="605" t="s">
        <v>12610</v>
      </c>
      <c r="C132" s="606" t="s">
        <v>12483</v>
      </c>
      <c r="D132" s="607">
        <v>562.33000000000004</v>
      </c>
      <c r="E132" s="607"/>
      <c r="F132" s="607">
        <v>562.33000000000004</v>
      </c>
      <c r="G132" s="584">
        <v>15</v>
      </c>
    </row>
    <row r="133" spans="1:7" ht="30" x14ac:dyDescent="0.2">
      <c r="A133" s="583" t="s">
        <v>12611</v>
      </c>
      <c r="B133" s="605" t="s">
        <v>12612</v>
      </c>
      <c r="C133" s="606" t="s">
        <v>12483</v>
      </c>
      <c r="D133" s="607">
        <v>829.02</v>
      </c>
      <c r="E133" s="607"/>
      <c r="F133" s="607">
        <v>829.02</v>
      </c>
      <c r="G133" s="584">
        <v>15</v>
      </c>
    </row>
    <row r="134" spans="1:7" ht="30" x14ac:dyDescent="0.2">
      <c r="A134" s="583" t="s">
        <v>12613</v>
      </c>
      <c r="B134" s="605" t="s">
        <v>12614</v>
      </c>
      <c r="C134" s="606" t="s">
        <v>12483</v>
      </c>
      <c r="D134" s="607">
        <v>2100.4899999999998</v>
      </c>
      <c r="E134" s="607"/>
      <c r="F134" s="607">
        <v>2100.4899999999998</v>
      </c>
      <c r="G134" s="584">
        <v>15</v>
      </c>
    </row>
    <row r="135" spans="1:7" ht="30" x14ac:dyDescent="0.2">
      <c r="A135" s="583" t="s">
        <v>12615</v>
      </c>
      <c r="B135" s="605" t="s">
        <v>12616</v>
      </c>
      <c r="C135" s="606" t="s">
        <v>12483</v>
      </c>
      <c r="D135" s="607">
        <v>2669.94</v>
      </c>
      <c r="E135" s="607"/>
      <c r="F135" s="607">
        <v>2669.94</v>
      </c>
      <c r="G135" s="584">
        <v>15</v>
      </c>
    </row>
    <row r="136" spans="1:7" ht="30" x14ac:dyDescent="0.2">
      <c r="A136" s="583" t="s">
        <v>12617</v>
      </c>
      <c r="B136" s="605" t="s">
        <v>12618</v>
      </c>
      <c r="C136" s="606" t="s">
        <v>12483</v>
      </c>
      <c r="D136" s="607">
        <v>3017.1</v>
      </c>
      <c r="E136" s="607"/>
      <c r="F136" s="607">
        <v>3017.1</v>
      </c>
      <c r="G136" s="584">
        <v>15</v>
      </c>
    </row>
    <row r="137" spans="1:7" ht="30" x14ac:dyDescent="0.2">
      <c r="A137" s="583" t="s">
        <v>12619</v>
      </c>
      <c r="B137" s="605" t="s">
        <v>12620</v>
      </c>
      <c r="C137" s="606" t="s">
        <v>12483</v>
      </c>
      <c r="D137" s="607">
        <v>831.54</v>
      </c>
      <c r="E137" s="607"/>
      <c r="F137" s="607">
        <v>831.54</v>
      </c>
      <c r="G137" s="584">
        <v>15</v>
      </c>
    </row>
    <row r="138" spans="1:7" ht="30" x14ac:dyDescent="0.2">
      <c r="A138" s="583" t="s">
        <v>12621</v>
      </c>
      <c r="B138" s="605" t="s">
        <v>12622</v>
      </c>
      <c r="C138" s="606" t="s">
        <v>12483</v>
      </c>
      <c r="D138" s="607">
        <v>459.29</v>
      </c>
      <c r="E138" s="607"/>
      <c r="F138" s="607">
        <v>459.29</v>
      </c>
      <c r="G138" s="584">
        <v>15</v>
      </c>
    </row>
    <row r="139" spans="1:7" ht="30" x14ac:dyDescent="0.2">
      <c r="A139" s="583" t="s">
        <v>12623</v>
      </c>
      <c r="B139" s="605" t="s">
        <v>12624</v>
      </c>
      <c r="C139" s="606" t="s">
        <v>12483</v>
      </c>
      <c r="D139" s="607">
        <v>856.79</v>
      </c>
      <c r="E139" s="607"/>
      <c r="F139" s="607">
        <v>856.79</v>
      </c>
      <c r="G139" s="584">
        <v>15</v>
      </c>
    </row>
    <row r="140" spans="1:7" ht="30" x14ac:dyDescent="0.2">
      <c r="A140" s="583" t="s">
        <v>12625</v>
      </c>
      <c r="B140" s="605" t="s">
        <v>12626</v>
      </c>
      <c r="C140" s="606" t="s">
        <v>12483</v>
      </c>
      <c r="D140" s="607">
        <v>868.29</v>
      </c>
      <c r="E140" s="607"/>
      <c r="F140" s="607">
        <v>868.29</v>
      </c>
      <c r="G140" s="584">
        <v>15</v>
      </c>
    </row>
    <row r="141" spans="1:7" ht="30" x14ac:dyDescent="0.2">
      <c r="A141" s="583" t="s">
        <v>12627</v>
      </c>
      <c r="B141" s="605" t="s">
        <v>12628</v>
      </c>
      <c r="C141" s="606" t="s">
        <v>12483</v>
      </c>
      <c r="D141" s="607">
        <v>648.99</v>
      </c>
      <c r="E141" s="607"/>
      <c r="F141" s="607">
        <v>648.99</v>
      </c>
      <c r="G141" s="584">
        <v>15</v>
      </c>
    </row>
    <row r="142" spans="1:7" ht="30" x14ac:dyDescent="0.2">
      <c r="A142" s="583" t="s">
        <v>12629</v>
      </c>
      <c r="B142" s="605" t="s">
        <v>12630</v>
      </c>
      <c r="C142" s="606" t="s">
        <v>12483</v>
      </c>
      <c r="D142" s="607">
        <v>977.87</v>
      </c>
      <c r="E142" s="607"/>
      <c r="F142" s="607">
        <v>977.87</v>
      </c>
      <c r="G142" s="584">
        <v>15</v>
      </c>
    </row>
    <row r="143" spans="1:7" ht="30" x14ac:dyDescent="0.2">
      <c r="A143" s="583" t="s">
        <v>12631</v>
      </c>
      <c r="B143" s="605" t="s">
        <v>12632</v>
      </c>
      <c r="C143" s="606" t="s">
        <v>12483</v>
      </c>
      <c r="D143" s="607">
        <v>2805.99</v>
      </c>
      <c r="E143" s="607"/>
      <c r="F143" s="607">
        <v>2805.99</v>
      </c>
      <c r="G143" s="584">
        <v>15</v>
      </c>
    </row>
    <row r="144" spans="1:7" ht="30" x14ac:dyDescent="0.2">
      <c r="A144" s="583" t="s">
        <v>12633</v>
      </c>
      <c r="B144" s="605" t="s">
        <v>12634</v>
      </c>
      <c r="C144" s="606" t="s">
        <v>12483</v>
      </c>
      <c r="D144" s="607">
        <v>1920.63</v>
      </c>
      <c r="E144" s="607"/>
      <c r="F144" s="607">
        <v>1920.63</v>
      </c>
      <c r="G144" s="584">
        <v>15</v>
      </c>
    </row>
    <row r="145" spans="1:7" ht="30" x14ac:dyDescent="0.2">
      <c r="A145" s="583" t="s">
        <v>12635</v>
      </c>
      <c r="B145" s="605" t="s">
        <v>12636</v>
      </c>
      <c r="C145" s="606" t="s">
        <v>12483</v>
      </c>
      <c r="D145" s="607">
        <v>2188.08</v>
      </c>
      <c r="E145" s="607"/>
      <c r="F145" s="607">
        <v>2188.08</v>
      </c>
      <c r="G145" s="584">
        <v>15</v>
      </c>
    </row>
    <row r="146" spans="1:7" ht="30" x14ac:dyDescent="0.2">
      <c r="A146" s="583" t="s">
        <v>12637</v>
      </c>
      <c r="B146" s="605" t="s">
        <v>12638</v>
      </c>
      <c r="C146" s="606" t="s">
        <v>12483</v>
      </c>
      <c r="D146" s="607">
        <v>2726.84</v>
      </c>
      <c r="E146" s="607"/>
      <c r="F146" s="607">
        <v>2726.84</v>
      </c>
      <c r="G146" s="584">
        <v>15</v>
      </c>
    </row>
    <row r="147" spans="1:7" ht="30" x14ac:dyDescent="0.2">
      <c r="A147" s="583" t="s">
        <v>12639</v>
      </c>
      <c r="B147" s="605" t="s">
        <v>12640</v>
      </c>
      <c r="C147" s="606" t="s">
        <v>12483</v>
      </c>
      <c r="D147" s="607">
        <v>2691.93</v>
      </c>
      <c r="E147" s="607"/>
      <c r="F147" s="607">
        <v>2691.93</v>
      </c>
      <c r="G147" s="584">
        <v>15</v>
      </c>
    </row>
    <row r="148" spans="1:7" ht="30" x14ac:dyDescent="0.2">
      <c r="A148" s="583" t="s">
        <v>12641</v>
      </c>
      <c r="B148" s="605" t="s">
        <v>12642</v>
      </c>
      <c r="C148" s="606" t="s">
        <v>12483</v>
      </c>
      <c r="D148" s="607">
        <v>498.26</v>
      </c>
      <c r="E148" s="607"/>
      <c r="F148" s="607">
        <v>498.26</v>
      </c>
      <c r="G148" s="584">
        <v>15</v>
      </c>
    </row>
    <row r="149" spans="1:7" ht="30" x14ac:dyDescent="0.2">
      <c r="A149" s="583" t="s">
        <v>12643</v>
      </c>
      <c r="B149" s="605" t="s">
        <v>12644</v>
      </c>
      <c r="C149" s="606" t="s">
        <v>12483</v>
      </c>
      <c r="D149" s="607">
        <v>909.33</v>
      </c>
      <c r="E149" s="607"/>
      <c r="F149" s="607">
        <v>909.33</v>
      </c>
      <c r="G149" s="584">
        <v>15</v>
      </c>
    </row>
    <row r="150" spans="1:7" ht="30" x14ac:dyDescent="0.2">
      <c r="A150" s="583" t="s">
        <v>12645</v>
      </c>
      <c r="B150" s="605" t="s">
        <v>12646</v>
      </c>
      <c r="C150" s="606" t="s">
        <v>12483</v>
      </c>
      <c r="D150" s="607">
        <v>1297.0899999999999</v>
      </c>
      <c r="E150" s="607"/>
      <c r="F150" s="607">
        <v>1297.0899999999999</v>
      </c>
      <c r="G150" s="584">
        <v>15</v>
      </c>
    </row>
    <row r="151" spans="1:7" ht="30" x14ac:dyDescent="0.2">
      <c r="A151" s="583" t="s">
        <v>12647</v>
      </c>
      <c r="B151" s="605" t="s">
        <v>12648</v>
      </c>
      <c r="C151" s="606" t="s">
        <v>12483</v>
      </c>
      <c r="D151" s="607">
        <v>1571.97</v>
      </c>
      <c r="E151" s="607"/>
      <c r="F151" s="607">
        <v>1571.97</v>
      </c>
      <c r="G151" s="584">
        <v>15</v>
      </c>
    </row>
    <row r="152" spans="1:7" ht="30" x14ac:dyDescent="0.2">
      <c r="A152" s="583" t="s">
        <v>12649</v>
      </c>
      <c r="B152" s="605" t="s">
        <v>12650</v>
      </c>
      <c r="C152" s="606" t="s">
        <v>12483</v>
      </c>
      <c r="D152" s="607">
        <v>2808.78</v>
      </c>
      <c r="E152" s="607"/>
      <c r="F152" s="607">
        <v>2808.78</v>
      </c>
      <c r="G152" s="584">
        <v>15</v>
      </c>
    </row>
    <row r="153" spans="1:7" ht="30" x14ac:dyDescent="0.2">
      <c r="A153" s="583" t="s">
        <v>12651</v>
      </c>
      <c r="B153" s="605" t="s">
        <v>12652</v>
      </c>
      <c r="C153" s="606" t="s">
        <v>12483</v>
      </c>
      <c r="D153" s="607">
        <v>1123.7</v>
      </c>
      <c r="E153" s="607"/>
      <c r="F153" s="607">
        <v>1123.7</v>
      </c>
      <c r="G153" s="584">
        <v>15</v>
      </c>
    </row>
    <row r="154" spans="1:7" ht="15" x14ac:dyDescent="0.2">
      <c r="A154" s="583" t="s">
        <v>12653</v>
      </c>
      <c r="B154" s="605" t="s">
        <v>12654</v>
      </c>
      <c r="C154" s="606" t="s">
        <v>12508</v>
      </c>
      <c r="D154" s="607">
        <v>1809.56</v>
      </c>
      <c r="E154" s="607"/>
      <c r="F154" s="607">
        <v>1809.56</v>
      </c>
      <c r="G154" s="584">
        <v>15</v>
      </c>
    </row>
    <row r="155" spans="1:7" ht="15" x14ac:dyDescent="0.2">
      <c r="A155" s="583" t="s">
        <v>12655</v>
      </c>
      <c r="B155" s="605" t="s">
        <v>12656</v>
      </c>
      <c r="C155" s="606" t="s">
        <v>12508</v>
      </c>
      <c r="D155" s="607">
        <v>2350.09</v>
      </c>
      <c r="E155" s="607"/>
      <c r="F155" s="607">
        <v>2350.09</v>
      </c>
      <c r="G155" s="584">
        <v>15</v>
      </c>
    </row>
    <row r="156" spans="1:7" ht="15" x14ac:dyDescent="0.2">
      <c r="A156" s="583" t="s">
        <v>12657</v>
      </c>
      <c r="B156" s="605" t="s">
        <v>12658</v>
      </c>
      <c r="C156" s="606" t="s">
        <v>12483</v>
      </c>
      <c r="D156" s="607">
        <v>92.06</v>
      </c>
      <c r="E156" s="607"/>
      <c r="F156" s="607">
        <v>92.06</v>
      </c>
      <c r="G156" s="584">
        <v>15</v>
      </c>
    </row>
    <row r="157" spans="1:7" ht="15" x14ac:dyDescent="0.2">
      <c r="A157" s="583" t="s">
        <v>12659</v>
      </c>
      <c r="B157" s="605" t="s">
        <v>12660</v>
      </c>
      <c r="C157" s="606" t="s">
        <v>12483</v>
      </c>
      <c r="D157" s="607">
        <v>216.01</v>
      </c>
      <c r="E157" s="607"/>
      <c r="F157" s="607">
        <v>216.01</v>
      </c>
      <c r="G157" s="584">
        <v>15</v>
      </c>
    </row>
    <row r="158" spans="1:7" ht="45" x14ac:dyDescent="0.2">
      <c r="A158" s="583" t="s">
        <v>12661</v>
      </c>
      <c r="B158" s="605" t="s">
        <v>12662</v>
      </c>
      <c r="C158" s="606" t="s">
        <v>12424</v>
      </c>
      <c r="D158" s="607">
        <v>4162.97</v>
      </c>
      <c r="E158" s="607"/>
      <c r="F158" s="607">
        <v>4162.97</v>
      </c>
      <c r="G158" s="584">
        <v>15</v>
      </c>
    </row>
    <row r="159" spans="1:7" ht="15" x14ac:dyDescent="0.2">
      <c r="A159" s="583" t="s">
        <v>12663</v>
      </c>
      <c r="B159" s="605" t="s">
        <v>12664</v>
      </c>
      <c r="C159" s="606" t="s">
        <v>12665</v>
      </c>
      <c r="D159" s="607">
        <v>551.32000000000005</v>
      </c>
      <c r="E159" s="607"/>
      <c r="F159" s="607">
        <v>551.32000000000005</v>
      </c>
      <c r="G159" s="584">
        <v>15</v>
      </c>
    </row>
    <row r="160" spans="1:7" ht="30" x14ac:dyDescent="0.2">
      <c r="A160" s="583" t="s">
        <v>12666</v>
      </c>
      <c r="B160" s="605" t="s">
        <v>12667</v>
      </c>
      <c r="C160" s="606" t="s">
        <v>12665</v>
      </c>
      <c r="D160" s="607">
        <v>407.77</v>
      </c>
      <c r="E160" s="607"/>
      <c r="F160" s="607">
        <v>407.77</v>
      </c>
      <c r="G160" s="584">
        <v>15</v>
      </c>
    </row>
    <row r="161" spans="1:7" ht="15" x14ac:dyDescent="0.2">
      <c r="A161" s="583" t="s">
        <v>12668</v>
      </c>
      <c r="B161" s="605" t="s">
        <v>12669</v>
      </c>
      <c r="C161" s="606" t="s">
        <v>12665</v>
      </c>
      <c r="D161" s="607">
        <v>371.6</v>
      </c>
      <c r="E161" s="607"/>
      <c r="F161" s="607">
        <v>371.6</v>
      </c>
      <c r="G161" s="584">
        <v>15</v>
      </c>
    </row>
    <row r="162" spans="1:7" ht="15" x14ac:dyDescent="0.2">
      <c r="A162" s="583" t="s">
        <v>12670</v>
      </c>
      <c r="B162" s="605" t="s">
        <v>12671</v>
      </c>
      <c r="C162" s="606" t="s">
        <v>12665</v>
      </c>
      <c r="D162" s="607">
        <v>349.24</v>
      </c>
      <c r="E162" s="607"/>
      <c r="F162" s="607">
        <v>349.24</v>
      </c>
      <c r="G162" s="584">
        <v>15</v>
      </c>
    </row>
    <row r="163" spans="1:7" ht="15" x14ac:dyDescent="0.2">
      <c r="A163" s="583" t="s">
        <v>12672</v>
      </c>
      <c r="B163" s="605" t="s">
        <v>12673</v>
      </c>
      <c r="C163" s="606" t="s">
        <v>12375</v>
      </c>
      <c r="D163" s="607">
        <v>3391.26</v>
      </c>
      <c r="E163" s="607"/>
      <c r="F163" s="607">
        <v>3391.26</v>
      </c>
      <c r="G163" s="584">
        <v>15</v>
      </c>
    </row>
    <row r="164" spans="1:7" ht="30" x14ac:dyDescent="0.2">
      <c r="A164" s="583" t="s">
        <v>12674</v>
      </c>
      <c r="B164" s="605" t="s">
        <v>12675</v>
      </c>
      <c r="C164" s="606" t="s">
        <v>12676</v>
      </c>
      <c r="D164" s="607">
        <v>3115.05</v>
      </c>
      <c r="E164" s="607"/>
      <c r="F164" s="607">
        <v>3115.05</v>
      </c>
      <c r="G164" s="584">
        <v>15</v>
      </c>
    </row>
    <row r="165" spans="1:7" ht="30" x14ac:dyDescent="0.2">
      <c r="A165" s="583" t="s">
        <v>12677</v>
      </c>
      <c r="B165" s="605" t="s">
        <v>12678</v>
      </c>
      <c r="C165" s="606" t="s">
        <v>12375</v>
      </c>
      <c r="D165" s="607">
        <v>352.65</v>
      </c>
      <c r="E165" s="607"/>
      <c r="F165" s="607">
        <v>352.65</v>
      </c>
      <c r="G165" s="584">
        <v>15</v>
      </c>
    </row>
    <row r="166" spans="1:7" ht="30" x14ac:dyDescent="0.2">
      <c r="A166" s="583" t="s">
        <v>12679</v>
      </c>
      <c r="B166" s="605" t="s">
        <v>12680</v>
      </c>
      <c r="C166" s="606" t="s">
        <v>12508</v>
      </c>
      <c r="D166" s="607">
        <v>3034.56</v>
      </c>
      <c r="E166" s="607"/>
      <c r="F166" s="607">
        <v>3034.56</v>
      </c>
      <c r="G166" s="584">
        <v>15</v>
      </c>
    </row>
    <row r="167" spans="1:7" ht="30" x14ac:dyDescent="0.2">
      <c r="A167" s="583" t="s">
        <v>12681</v>
      </c>
      <c r="B167" s="605" t="s">
        <v>12682</v>
      </c>
      <c r="C167" s="606" t="s">
        <v>12375</v>
      </c>
      <c r="D167" s="607">
        <v>1173.18</v>
      </c>
      <c r="E167" s="607">
        <v>532.09</v>
      </c>
      <c r="F167" s="607">
        <v>1705.27</v>
      </c>
      <c r="G167" s="584">
        <v>15</v>
      </c>
    </row>
    <row r="168" spans="1:7" ht="15" x14ac:dyDescent="0.2">
      <c r="A168" s="583" t="s">
        <v>12683</v>
      </c>
      <c r="B168" s="605" t="s">
        <v>12684</v>
      </c>
      <c r="C168" s="606" t="s">
        <v>12375</v>
      </c>
      <c r="D168" s="607">
        <v>1150.01</v>
      </c>
      <c r="E168" s="607"/>
      <c r="F168" s="607">
        <v>1150.01</v>
      </c>
      <c r="G168" s="584">
        <v>15</v>
      </c>
    </row>
    <row r="169" spans="1:7" ht="15" x14ac:dyDescent="0.2">
      <c r="A169" s="583" t="s">
        <v>12685</v>
      </c>
      <c r="B169" s="605" t="s">
        <v>12686</v>
      </c>
      <c r="C169" s="606" t="s">
        <v>12375</v>
      </c>
      <c r="D169" s="607">
        <v>4397.8100000000004</v>
      </c>
      <c r="E169" s="607"/>
      <c r="F169" s="607">
        <v>4397.8100000000004</v>
      </c>
      <c r="G169" s="584">
        <v>15</v>
      </c>
    </row>
    <row r="170" spans="1:7" ht="15" x14ac:dyDescent="0.2">
      <c r="A170" s="583" t="s">
        <v>12687</v>
      </c>
      <c r="B170" s="605" t="s">
        <v>12688</v>
      </c>
      <c r="C170" s="606" t="s">
        <v>12375</v>
      </c>
      <c r="D170" s="607">
        <v>4948.4399999999996</v>
      </c>
      <c r="E170" s="607"/>
      <c r="F170" s="607">
        <v>4948.4399999999996</v>
      </c>
      <c r="G170" s="584">
        <v>15</v>
      </c>
    </row>
    <row r="171" spans="1:7" ht="15" x14ac:dyDescent="0.2">
      <c r="A171" s="583" t="s">
        <v>12689</v>
      </c>
      <c r="B171" s="605" t="s">
        <v>12690</v>
      </c>
      <c r="C171" s="606" t="s">
        <v>12375</v>
      </c>
      <c r="D171" s="607">
        <v>16190.81</v>
      </c>
      <c r="E171" s="607"/>
      <c r="F171" s="607">
        <v>16190.81</v>
      </c>
      <c r="G171" s="584">
        <v>15</v>
      </c>
    </row>
    <row r="172" spans="1:7" ht="15" x14ac:dyDescent="0.25">
      <c r="A172" s="583" t="s">
        <v>12691</v>
      </c>
      <c r="B172" s="605" t="s">
        <v>12692</v>
      </c>
      <c r="C172" s="606"/>
      <c r="D172" s="607"/>
      <c r="E172" s="607"/>
      <c r="F172" s="607"/>
      <c r="G172" s="582"/>
    </row>
    <row r="173" spans="1:7" ht="15" x14ac:dyDescent="0.25">
      <c r="A173" s="583" t="s">
        <v>12693</v>
      </c>
      <c r="B173" s="605" t="s">
        <v>12694</v>
      </c>
      <c r="C173" s="606"/>
      <c r="D173" s="607"/>
      <c r="E173" s="607"/>
      <c r="F173" s="607"/>
      <c r="G173" s="582"/>
    </row>
    <row r="174" spans="1:7" ht="15" x14ac:dyDescent="0.2">
      <c r="A174" s="583" t="s">
        <v>12695</v>
      </c>
      <c r="B174" s="605" t="s">
        <v>12696</v>
      </c>
      <c r="C174" s="606" t="s">
        <v>12427</v>
      </c>
      <c r="D174" s="607">
        <v>417.82</v>
      </c>
      <c r="E174" s="607">
        <v>130.91999999999999</v>
      </c>
      <c r="F174" s="607">
        <v>548.74</v>
      </c>
      <c r="G174" s="584">
        <v>15</v>
      </c>
    </row>
    <row r="175" spans="1:7" ht="15" x14ac:dyDescent="0.2">
      <c r="A175" s="583" t="s">
        <v>12697</v>
      </c>
      <c r="B175" s="605" t="s">
        <v>12698</v>
      </c>
      <c r="C175" s="606" t="s">
        <v>12427</v>
      </c>
      <c r="D175" s="607">
        <v>699.22</v>
      </c>
      <c r="E175" s="607">
        <v>330.55</v>
      </c>
      <c r="F175" s="607">
        <v>1029.77</v>
      </c>
      <c r="G175" s="584">
        <v>15</v>
      </c>
    </row>
    <row r="176" spans="1:7" ht="30" x14ac:dyDescent="0.2">
      <c r="A176" s="583" t="s">
        <v>12699</v>
      </c>
      <c r="B176" s="605" t="s">
        <v>12700</v>
      </c>
      <c r="C176" s="606" t="s">
        <v>12701</v>
      </c>
      <c r="D176" s="607">
        <v>1249.3399999999999</v>
      </c>
      <c r="E176" s="607"/>
      <c r="F176" s="607">
        <v>1249.3399999999999</v>
      </c>
      <c r="G176" s="584">
        <v>15</v>
      </c>
    </row>
    <row r="177" spans="1:7" ht="15" x14ac:dyDescent="0.2">
      <c r="A177" s="583" t="s">
        <v>12702</v>
      </c>
      <c r="B177" s="605" t="s">
        <v>12703</v>
      </c>
      <c r="C177" s="606" t="s">
        <v>12427</v>
      </c>
      <c r="D177" s="607">
        <v>16.23</v>
      </c>
      <c r="E177" s="607">
        <v>7.23</v>
      </c>
      <c r="F177" s="607">
        <v>23.46</v>
      </c>
      <c r="G177" s="584">
        <v>15</v>
      </c>
    </row>
    <row r="178" spans="1:7" ht="15" x14ac:dyDescent="0.25">
      <c r="A178" s="583" t="s">
        <v>12704</v>
      </c>
      <c r="B178" s="605" t="s">
        <v>12705</v>
      </c>
      <c r="C178" s="606"/>
      <c r="D178" s="607"/>
      <c r="E178" s="607"/>
      <c r="F178" s="607"/>
      <c r="G178" s="582"/>
    </row>
    <row r="179" spans="1:7" ht="15" x14ac:dyDescent="0.2">
      <c r="A179" s="583" t="s">
        <v>12706</v>
      </c>
      <c r="B179" s="605" t="s">
        <v>12707</v>
      </c>
      <c r="C179" s="606" t="s">
        <v>12701</v>
      </c>
      <c r="D179" s="607">
        <v>899.67</v>
      </c>
      <c r="E179" s="607">
        <v>83.46</v>
      </c>
      <c r="F179" s="607">
        <v>983.13</v>
      </c>
      <c r="G179" s="584">
        <v>15</v>
      </c>
    </row>
    <row r="180" spans="1:7" ht="30" x14ac:dyDescent="0.2">
      <c r="A180" s="583" t="s">
        <v>12708</v>
      </c>
      <c r="B180" s="605" t="s">
        <v>12709</v>
      </c>
      <c r="C180" s="606" t="s">
        <v>12701</v>
      </c>
      <c r="D180" s="607">
        <v>1408.98</v>
      </c>
      <c r="E180" s="607">
        <v>139.94</v>
      </c>
      <c r="F180" s="607">
        <v>1548.92</v>
      </c>
      <c r="G180" s="584">
        <v>15</v>
      </c>
    </row>
    <row r="181" spans="1:7" ht="45" x14ac:dyDescent="0.2">
      <c r="A181" s="583" t="s">
        <v>12710</v>
      </c>
      <c r="B181" s="605" t="s">
        <v>12711</v>
      </c>
      <c r="C181" s="606" t="s">
        <v>12701</v>
      </c>
      <c r="D181" s="607">
        <v>1348.87</v>
      </c>
      <c r="E181" s="607">
        <v>139.94</v>
      </c>
      <c r="F181" s="607">
        <v>1488.81</v>
      </c>
      <c r="G181" s="584">
        <v>15</v>
      </c>
    </row>
    <row r="182" spans="1:7" ht="15" x14ac:dyDescent="0.2">
      <c r="A182" s="583" t="s">
        <v>12712</v>
      </c>
      <c r="B182" s="605" t="s">
        <v>12713</v>
      </c>
      <c r="C182" s="606" t="s">
        <v>12701</v>
      </c>
      <c r="D182" s="607">
        <v>888.63</v>
      </c>
      <c r="E182" s="607">
        <v>83.46</v>
      </c>
      <c r="F182" s="607">
        <v>972.09</v>
      </c>
      <c r="G182" s="584">
        <v>15</v>
      </c>
    </row>
    <row r="183" spans="1:7" ht="15" x14ac:dyDescent="0.2">
      <c r="A183" s="583" t="s">
        <v>12714</v>
      </c>
      <c r="B183" s="605" t="s">
        <v>12715</v>
      </c>
      <c r="C183" s="606" t="s">
        <v>12701</v>
      </c>
      <c r="D183" s="607">
        <v>951.57</v>
      </c>
      <c r="E183" s="607">
        <v>27.81</v>
      </c>
      <c r="F183" s="607">
        <v>979.38</v>
      </c>
      <c r="G183" s="584">
        <v>15</v>
      </c>
    </row>
    <row r="184" spans="1:7" ht="15" x14ac:dyDescent="0.25">
      <c r="A184" s="583" t="s">
        <v>12716</v>
      </c>
      <c r="B184" s="605" t="s">
        <v>12717</v>
      </c>
      <c r="C184" s="606"/>
      <c r="D184" s="607"/>
      <c r="E184" s="607"/>
      <c r="F184" s="607"/>
      <c r="G184" s="582"/>
    </row>
    <row r="185" spans="1:7" ht="15" x14ac:dyDescent="0.2">
      <c r="A185" s="583" t="s">
        <v>12718</v>
      </c>
      <c r="B185" s="605" t="s">
        <v>12719</v>
      </c>
      <c r="C185" s="606" t="s">
        <v>12427</v>
      </c>
      <c r="D185" s="607">
        <v>0.57999999999999996</v>
      </c>
      <c r="E185" s="607">
        <v>2.04</v>
      </c>
      <c r="F185" s="607">
        <v>2.62</v>
      </c>
      <c r="G185" s="584">
        <v>15</v>
      </c>
    </row>
    <row r="186" spans="1:7" ht="15" x14ac:dyDescent="0.2">
      <c r="A186" s="583" t="s">
        <v>12720</v>
      </c>
      <c r="B186" s="605" t="s">
        <v>12721</v>
      </c>
      <c r="C186" s="606" t="s">
        <v>12427</v>
      </c>
      <c r="D186" s="607">
        <v>5.47</v>
      </c>
      <c r="E186" s="607">
        <v>20.170000000000002</v>
      </c>
      <c r="F186" s="607">
        <v>25.64</v>
      </c>
      <c r="G186" s="584">
        <v>15</v>
      </c>
    </row>
    <row r="187" spans="1:7" ht="30" x14ac:dyDescent="0.2">
      <c r="A187" s="583" t="s">
        <v>12722</v>
      </c>
      <c r="B187" s="605" t="s">
        <v>12723</v>
      </c>
      <c r="C187" s="606" t="s">
        <v>12427</v>
      </c>
      <c r="D187" s="607">
        <v>13.65</v>
      </c>
      <c r="E187" s="607">
        <v>30.07</v>
      </c>
      <c r="F187" s="607">
        <v>43.72</v>
      </c>
      <c r="G187" s="584">
        <v>15</v>
      </c>
    </row>
    <row r="188" spans="1:7" ht="15" x14ac:dyDescent="0.2">
      <c r="A188" s="583" t="s">
        <v>12724</v>
      </c>
      <c r="B188" s="605" t="s">
        <v>12725</v>
      </c>
      <c r="C188" s="606" t="s">
        <v>12427</v>
      </c>
      <c r="D188" s="607">
        <v>47.84</v>
      </c>
      <c r="E188" s="607">
        <v>54.5</v>
      </c>
      <c r="F188" s="607">
        <v>102.34</v>
      </c>
      <c r="G188" s="584">
        <v>15</v>
      </c>
    </row>
    <row r="189" spans="1:7" ht="15" x14ac:dyDescent="0.2">
      <c r="A189" s="583" t="s">
        <v>12726</v>
      </c>
      <c r="B189" s="605" t="s">
        <v>12727</v>
      </c>
      <c r="C189" s="606" t="s">
        <v>12427</v>
      </c>
      <c r="D189" s="607">
        <v>47.84</v>
      </c>
      <c r="E189" s="607">
        <v>54.15</v>
      </c>
      <c r="F189" s="607">
        <v>101.99</v>
      </c>
      <c r="G189" s="584">
        <v>15</v>
      </c>
    </row>
    <row r="190" spans="1:7" ht="30" x14ac:dyDescent="0.2">
      <c r="A190" s="583" t="s">
        <v>12728</v>
      </c>
      <c r="B190" s="605" t="s">
        <v>12729</v>
      </c>
      <c r="C190" s="606" t="s">
        <v>12730</v>
      </c>
      <c r="D190" s="607">
        <v>44.89</v>
      </c>
      <c r="E190" s="607">
        <v>1.02</v>
      </c>
      <c r="F190" s="607">
        <v>45.91</v>
      </c>
      <c r="G190" s="584">
        <v>15</v>
      </c>
    </row>
    <row r="191" spans="1:7" ht="15" x14ac:dyDescent="0.2">
      <c r="A191" s="583" t="s">
        <v>12731</v>
      </c>
      <c r="B191" s="605" t="s">
        <v>12732</v>
      </c>
      <c r="C191" s="606" t="s">
        <v>12427</v>
      </c>
      <c r="D191" s="607">
        <v>13.31</v>
      </c>
      <c r="E191" s="607">
        <v>4.09</v>
      </c>
      <c r="F191" s="607">
        <v>17.399999999999999</v>
      </c>
      <c r="G191" s="584">
        <v>15</v>
      </c>
    </row>
    <row r="192" spans="1:7" ht="15" x14ac:dyDescent="0.2">
      <c r="A192" s="583" t="s">
        <v>12733</v>
      </c>
      <c r="B192" s="605" t="s">
        <v>12734</v>
      </c>
      <c r="C192" s="606" t="s">
        <v>12427</v>
      </c>
      <c r="D192" s="607">
        <v>80.790000000000006</v>
      </c>
      <c r="E192" s="607">
        <v>38.979999999999997</v>
      </c>
      <c r="F192" s="607">
        <v>119.77</v>
      </c>
      <c r="G192" s="584">
        <v>15</v>
      </c>
    </row>
    <row r="193" spans="1:7" ht="15" x14ac:dyDescent="0.2">
      <c r="A193" s="583" t="s">
        <v>12735</v>
      </c>
      <c r="B193" s="605" t="s">
        <v>12736</v>
      </c>
      <c r="C193" s="606" t="s">
        <v>12427</v>
      </c>
      <c r="D193" s="607">
        <v>87.4</v>
      </c>
      <c r="E193" s="607">
        <v>38.979999999999997</v>
      </c>
      <c r="F193" s="607">
        <v>126.38</v>
      </c>
      <c r="G193" s="584">
        <v>15</v>
      </c>
    </row>
    <row r="194" spans="1:7" ht="30" x14ac:dyDescent="0.2">
      <c r="A194" s="583" t="s">
        <v>21963</v>
      </c>
      <c r="B194" s="605" t="s">
        <v>21964</v>
      </c>
      <c r="C194" s="606" t="s">
        <v>12427</v>
      </c>
      <c r="D194" s="607">
        <v>63.18</v>
      </c>
      <c r="E194" s="607">
        <v>82.39</v>
      </c>
      <c r="F194" s="607">
        <v>145.57</v>
      </c>
      <c r="G194" s="584">
        <v>15</v>
      </c>
    </row>
    <row r="195" spans="1:7" ht="15" x14ac:dyDescent="0.2">
      <c r="A195" s="583" t="s">
        <v>21965</v>
      </c>
      <c r="B195" s="605" t="s">
        <v>21966</v>
      </c>
      <c r="C195" s="606" t="s">
        <v>12427</v>
      </c>
      <c r="D195" s="607">
        <v>182.87</v>
      </c>
      <c r="E195" s="607">
        <v>82.39</v>
      </c>
      <c r="F195" s="607">
        <v>265.26</v>
      </c>
      <c r="G195" s="584">
        <v>15</v>
      </c>
    </row>
    <row r="196" spans="1:7" ht="30" x14ac:dyDescent="0.2">
      <c r="A196" s="583" t="s">
        <v>12737</v>
      </c>
      <c r="B196" s="605" t="s">
        <v>12738</v>
      </c>
      <c r="C196" s="606" t="s">
        <v>12508</v>
      </c>
      <c r="D196" s="607">
        <v>53.78</v>
      </c>
      <c r="E196" s="607">
        <v>44.98</v>
      </c>
      <c r="F196" s="607">
        <v>98.76</v>
      </c>
      <c r="G196" s="584">
        <v>15</v>
      </c>
    </row>
    <row r="197" spans="1:7" ht="15" x14ac:dyDescent="0.25">
      <c r="A197" s="583" t="s">
        <v>12739</v>
      </c>
      <c r="B197" s="605" t="s">
        <v>12740</v>
      </c>
      <c r="C197" s="606"/>
      <c r="D197" s="607"/>
      <c r="E197" s="607"/>
      <c r="F197" s="607"/>
      <c r="G197" s="582"/>
    </row>
    <row r="198" spans="1:7" ht="30" x14ac:dyDescent="0.2">
      <c r="A198" s="583" t="s">
        <v>12741</v>
      </c>
      <c r="B198" s="605" t="s">
        <v>12742</v>
      </c>
      <c r="C198" s="606" t="s">
        <v>12483</v>
      </c>
      <c r="D198" s="607"/>
      <c r="E198" s="607">
        <v>12.44</v>
      </c>
      <c r="F198" s="607">
        <v>12.44</v>
      </c>
      <c r="G198" s="584">
        <v>15</v>
      </c>
    </row>
    <row r="199" spans="1:7" ht="30" x14ac:dyDescent="0.2">
      <c r="A199" s="583" t="s">
        <v>12743</v>
      </c>
      <c r="B199" s="605" t="s">
        <v>12744</v>
      </c>
      <c r="C199" s="606" t="s">
        <v>12483</v>
      </c>
      <c r="D199" s="607"/>
      <c r="E199" s="607">
        <v>31.42</v>
      </c>
      <c r="F199" s="607">
        <v>31.42</v>
      </c>
      <c r="G199" s="584">
        <v>15</v>
      </c>
    </row>
    <row r="200" spans="1:7" ht="30" x14ac:dyDescent="0.2">
      <c r="A200" s="583" t="s">
        <v>12745</v>
      </c>
      <c r="B200" s="605" t="s">
        <v>12746</v>
      </c>
      <c r="C200" s="606" t="s">
        <v>12427</v>
      </c>
      <c r="D200" s="607"/>
      <c r="E200" s="607">
        <v>12.44</v>
      </c>
      <c r="F200" s="607">
        <v>12.44</v>
      </c>
      <c r="G200" s="584">
        <v>15</v>
      </c>
    </row>
    <row r="201" spans="1:7" ht="30" x14ac:dyDescent="0.2">
      <c r="A201" s="583" t="s">
        <v>12747</v>
      </c>
      <c r="B201" s="605" t="s">
        <v>12748</v>
      </c>
      <c r="C201" s="606" t="s">
        <v>12427</v>
      </c>
      <c r="D201" s="607"/>
      <c r="E201" s="607">
        <v>31.42</v>
      </c>
      <c r="F201" s="607">
        <v>31.42</v>
      </c>
      <c r="G201" s="584">
        <v>15</v>
      </c>
    </row>
    <row r="202" spans="1:7" ht="30" x14ac:dyDescent="0.2">
      <c r="A202" s="583" t="s">
        <v>12749</v>
      </c>
      <c r="B202" s="605" t="s">
        <v>12750</v>
      </c>
      <c r="C202" s="606" t="s">
        <v>12701</v>
      </c>
      <c r="D202" s="607">
        <v>2219.3200000000002</v>
      </c>
      <c r="E202" s="607"/>
      <c r="F202" s="607">
        <v>2219.3200000000002</v>
      </c>
      <c r="G202" s="584">
        <v>15</v>
      </c>
    </row>
    <row r="203" spans="1:7" ht="15" x14ac:dyDescent="0.2">
      <c r="A203" s="583" t="s">
        <v>12751</v>
      </c>
      <c r="B203" s="605" t="s">
        <v>12752</v>
      </c>
      <c r="C203" s="606" t="s">
        <v>12753</v>
      </c>
      <c r="D203" s="607">
        <v>23.39</v>
      </c>
      <c r="E203" s="607">
        <v>4.91</v>
      </c>
      <c r="F203" s="607">
        <v>28.3</v>
      </c>
      <c r="G203" s="584">
        <v>15</v>
      </c>
    </row>
    <row r="204" spans="1:7" ht="30" x14ac:dyDescent="0.2">
      <c r="A204" s="583" t="s">
        <v>12754</v>
      </c>
      <c r="B204" s="605" t="s">
        <v>12755</v>
      </c>
      <c r="C204" s="606" t="s">
        <v>12730</v>
      </c>
      <c r="D204" s="607">
        <v>19.93</v>
      </c>
      <c r="E204" s="607">
        <v>4.91</v>
      </c>
      <c r="F204" s="607">
        <v>24.84</v>
      </c>
      <c r="G204" s="584">
        <v>15</v>
      </c>
    </row>
    <row r="205" spans="1:7" ht="15" x14ac:dyDescent="0.25">
      <c r="A205" s="583" t="s">
        <v>12756</v>
      </c>
      <c r="B205" s="605" t="s">
        <v>12757</v>
      </c>
      <c r="C205" s="606"/>
      <c r="D205" s="607"/>
      <c r="E205" s="607"/>
      <c r="F205" s="607"/>
      <c r="G205" s="582"/>
    </row>
    <row r="206" spans="1:7" ht="30" x14ac:dyDescent="0.2">
      <c r="A206" s="583" t="s">
        <v>12758</v>
      </c>
      <c r="B206" s="605" t="s">
        <v>12759</v>
      </c>
      <c r="C206" s="606" t="s">
        <v>12701</v>
      </c>
      <c r="D206" s="607">
        <v>10063.15</v>
      </c>
      <c r="E206" s="607">
        <v>3474.9</v>
      </c>
      <c r="F206" s="607">
        <v>13538.05</v>
      </c>
      <c r="G206" s="584">
        <v>15</v>
      </c>
    </row>
    <row r="207" spans="1:7" ht="30" x14ac:dyDescent="0.2">
      <c r="A207" s="583" t="s">
        <v>12760</v>
      </c>
      <c r="B207" s="605" t="s">
        <v>12761</v>
      </c>
      <c r="C207" s="606" t="s">
        <v>12701</v>
      </c>
      <c r="D207" s="607">
        <v>18255.63</v>
      </c>
      <c r="E207" s="607">
        <v>3474.9</v>
      </c>
      <c r="F207" s="607">
        <v>21730.53</v>
      </c>
      <c r="G207" s="584">
        <v>15</v>
      </c>
    </row>
    <row r="208" spans="1:7" ht="15" x14ac:dyDescent="0.25">
      <c r="A208" s="583" t="s">
        <v>12762</v>
      </c>
      <c r="B208" s="605" t="s">
        <v>12763</v>
      </c>
      <c r="C208" s="606"/>
      <c r="D208" s="607"/>
      <c r="E208" s="607"/>
      <c r="F208" s="607"/>
      <c r="G208" s="582"/>
    </row>
    <row r="209" spans="1:7" ht="15" x14ac:dyDescent="0.2">
      <c r="A209" s="583" t="s">
        <v>12342</v>
      </c>
      <c r="B209" s="605" t="s">
        <v>12764</v>
      </c>
      <c r="C209" s="606" t="s">
        <v>12427</v>
      </c>
      <c r="D209" s="607">
        <v>820.57</v>
      </c>
      <c r="E209" s="607">
        <v>93.9</v>
      </c>
      <c r="F209" s="607">
        <v>914.47</v>
      </c>
      <c r="G209" s="584">
        <v>15</v>
      </c>
    </row>
    <row r="210" spans="1:7" ht="15" x14ac:dyDescent="0.2">
      <c r="A210" s="583" t="s">
        <v>10</v>
      </c>
      <c r="B210" s="605" t="s">
        <v>12765</v>
      </c>
      <c r="C210" s="606" t="s">
        <v>12427</v>
      </c>
      <c r="D210" s="607">
        <v>414.53</v>
      </c>
      <c r="E210" s="607">
        <v>26.45</v>
      </c>
      <c r="F210" s="607">
        <v>440.98</v>
      </c>
      <c r="G210" s="584">
        <v>15</v>
      </c>
    </row>
    <row r="211" spans="1:7" ht="15" x14ac:dyDescent="0.2">
      <c r="A211" s="583" t="s">
        <v>12766</v>
      </c>
      <c r="B211" s="605" t="s">
        <v>12767</v>
      </c>
      <c r="C211" s="606" t="s">
        <v>12427</v>
      </c>
      <c r="D211" s="607">
        <v>150.56</v>
      </c>
      <c r="E211" s="607">
        <v>53.61</v>
      </c>
      <c r="F211" s="607">
        <v>204.17</v>
      </c>
      <c r="G211" s="584">
        <v>15</v>
      </c>
    </row>
    <row r="212" spans="1:7" ht="15" x14ac:dyDescent="0.25">
      <c r="A212" s="583" t="s">
        <v>12768</v>
      </c>
      <c r="B212" s="605" t="s">
        <v>12769</v>
      </c>
      <c r="C212" s="606"/>
      <c r="D212" s="607"/>
      <c r="E212" s="607"/>
      <c r="F212" s="607"/>
      <c r="G212" s="582"/>
    </row>
    <row r="213" spans="1:7" ht="45" x14ac:dyDescent="0.2">
      <c r="A213" s="583" t="s">
        <v>12356</v>
      </c>
      <c r="B213" s="605" t="s">
        <v>12770</v>
      </c>
      <c r="C213" s="606" t="s">
        <v>12427</v>
      </c>
      <c r="D213" s="607">
        <v>2.66</v>
      </c>
      <c r="E213" s="607">
        <v>5.1100000000000003</v>
      </c>
      <c r="F213" s="607">
        <v>7.77</v>
      </c>
      <c r="G213" s="584">
        <v>15</v>
      </c>
    </row>
    <row r="214" spans="1:7" ht="45" x14ac:dyDescent="0.2">
      <c r="A214" s="583" t="s">
        <v>12771</v>
      </c>
      <c r="B214" s="605" t="s">
        <v>12772</v>
      </c>
      <c r="C214" s="606" t="s">
        <v>12427</v>
      </c>
      <c r="D214" s="607">
        <v>5.0999999999999996</v>
      </c>
      <c r="E214" s="607">
        <v>0.16</v>
      </c>
      <c r="F214" s="607">
        <v>5.26</v>
      </c>
      <c r="G214" s="584">
        <v>15</v>
      </c>
    </row>
    <row r="215" spans="1:7" ht="45" x14ac:dyDescent="0.2">
      <c r="A215" s="583" t="s">
        <v>12773</v>
      </c>
      <c r="B215" s="605" t="s">
        <v>12774</v>
      </c>
      <c r="C215" s="606" t="s">
        <v>12427</v>
      </c>
      <c r="D215" s="607">
        <v>5.61</v>
      </c>
      <c r="E215" s="607">
        <v>0.16</v>
      </c>
      <c r="F215" s="607">
        <v>5.77</v>
      </c>
      <c r="G215" s="584">
        <v>15</v>
      </c>
    </row>
    <row r="216" spans="1:7" ht="15" x14ac:dyDescent="0.2">
      <c r="A216" s="583" t="s">
        <v>12775</v>
      </c>
      <c r="B216" s="605" t="s">
        <v>12776</v>
      </c>
      <c r="C216" s="606" t="s">
        <v>12508</v>
      </c>
      <c r="D216" s="607">
        <v>68.36</v>
      </c>
      <c r="E216" s="607">
        <v>9.1999999999999993</v>
      </c>
      <c r="F216" s="607">
        <v>77.56</v>
      </c>
      <c r="G216" s="584">
        <v>15</v>
      </c>
    </row>
    <row r="217" spans="1:7" ht="30" x14ac:dyDescent="0.2">
      <c r="A217" s="583" t="s">
        <v>12777</v>
      </c>
      <c r="B217" s="605" t="s">
        <v>12778</v>
      </c>
      <c r="C217" s="606" t="s">
        <v>12508</v>
      </c>
      <c r="D217" s="607">
        <v>80.52</v>
      </c>
      <c r="E217" s="607">
        <v>10.83</v>
      </c>
      <c r="F217" s="607">
        <v>91.35</v>
      </c>
      <c r="G217" s="584">
        <v>15</v>
      </c>
    </row>
    <row r="218" spans="1:7" ht="15" x14ac:dyDescent="0.25">
      <c r="A218" s="583" t="s">
        <v>12779</v>
      </c>
      <c r="B218" s="605" t="s">
        <v>12780</v>
      </c>
      <c r="C218" s="606"/>
      <c r="D218" s="607"/>
      <c r="E218" s="607"/>
      <c r="F218" s="607"/>
      <c r="G218" s="582"/>
    </row>
    <row r="219" spans="1:7" ht="15" x14ac:dyDescent="0.2">
      <c r="A219" s="583" t="s">
        <v>12781</v>
      </c>
      <c r="B219" s="605" t="s">
        <v>12782</v>
      </c>
      <c r="C219" s="606" t="s">
        <v>12427</v>
      </c>
      <c r="D219" s="607">
        <v>11.31</v>
      </c>
      <c r="E219" s="607">
        <v>5.89</v>
      </c>
      <c r="F219" s="607">
        <v>17.2</v>
      </c>
      <c r="G219" s="584">
        <v>15</v>
      </c>
    </row>
    <row r="220" spans="1:7" ht="15" x14ac:dyDescent="0.2">
      <c r="A220" s="583" t="s">
        <v>12783</v>
      </c>
      <c r="B220" s="605" t="s">
        <v>12784</v>
      </c>
      <c r="C220" s="606" t="s">
        <v>12483</v>
      </c>
      <c r="D220" s="607">
        <v>1.02</v>
      </c>
      <c r="E220" s="607">
        <v>0.42</v>
      </c>
      <c r="F220" s="607">
        <v>1.44</v>
      </c>
      <c r="G220" s="584">
        <v>15</v>
      </c>
    </row>
    <row r="221" spans="1:7" ht="15" x14ac:dyDescent="0.2">
      <c r="A221" s="583" t="s">
        <v>12785</v>
      </c>
      <c r="B221" s="605" t="s">
        <v>12786</v>
      </c>
      <c r="C221" s="606" t="s">
        <v>12483</v>
      </c>
      <c r="D221" s="607">
        <v>1.02</v>
      </c>
      <c r="E221" s="607">
        <v>0.42</v>
      </c>
      <c r="F221" s="607">
        <v>1.44</v>
      </c>
      <c r="G221" s="584">
        <v>15</v>
      </c>
    </row>
    <row r="222" spans="1:7" ht="15" x14ac:dyDescent="0.2">
      <c r="A222" s="583" t="s">
        <v>12787</v>
      </c>
      <c r="B222" s="605" t="s">
        <v>12788</v>
      </c>
      <c r="C222" s="606" t="s">
        <v>12427</v>
      </c>
      <c r="D222" s="607">
        <v>0.91</v>
      </c>
      <c r="E222" s="607">
        <v>0.83</v>
      </c>
      <c r="F222" s="607">
        <v>1.74</v>
      </c>
      <c r="G222" s="584">
        <v>15</v>
      </c>
    </row>
    <row r="223" spans="1:7" ht="15" x14ac:dyDescent="0.25">
      <c r="A223" s="583" t="s">
        <v>12789</v>
      </c>
      <c r="B223" s="605" t="s">
        <v>12790</v>
      </c>
      <c r="C223" s="606"/>
      <c r="D223" s="607"/>
      <c r="E223" s="607"/>
      <c r="F223" s="607"/>
      <c r="G223" s="582"/>
    </row>
    <row r="224" spans="1:7" ht="15" x14ac:dyDescent="0.25">
      <c r="A224" s="583" t="s">
        <v>12791</v>
      </c>
      <c r="B224" s="605" t="s">
        <v>12792</v>
      </c>
      <c r="C224" s="606"/>
      <c r="D224" s="607"/>
      <c r="E224" s="607"/>
      <c r="F224" s="607"/>
      <c r="G224" s="582"/>
    </row>
    <row r="225" spans="1:7" ht="15" x14ac:dyDescent="0.2">
      <c r="A225" s="583" t="s">
        <v>12793</v>
      </c>
      <c r="B225" s="605" t="s">
        <v>12794</v>
      </c>
      <c r="C225" s="606" t="s">
        <v>12508</v>
      </c>
      <c r="D225" s="607"/>
      <c r="E225" s="607">
        <v>224.84</v>
      </c>
      <c r="F225" s="607">
        <v>224.84</v>
      </c>
      <c r="G225" s="584">
        <v>15</v>
      </c>
    </row>
    <row r="226" spans="1:7" ht="15" x14ac:dyDescent="0.2">
      <c r="A226" s="583" t="s">
        <v>12795</v>
      </c>
      <c r="B226" s="605" t="s">
        <v>12796</v>
      </c>
      <c r="C226" s="606" t="s">
        <v>12508</v>
      </c>
      <c r="D226" s="607"/>
      <c r="E226" s="607">
        <v>408.8</v>
      </c>
      <c r="F226" s="607">
        <v>408.8</v>
      </c>
      <c r="G226" s="584">
        <v>15</v>
      </c>
    </row>
    <row r="227" spans="1:7" ht="30" x14ac:dyDescent="0.2">
      <c r="A227" s="583" t="s">
        <v>12797</v>
      </c>
      <c r="B227" s="605" t="s">
        <v>12798</v>
      </c>
      <c r="C227" s="606" t="s">
        <v>12427</v>
      </c>
      <c r="D227" s="607"/>
      <c r="E227" s="607">
        <v>30.66</v>
      </c>
      <c r="F227" s="607">
        <v>30.66</v>
      </c>
      <c r="G227" s="584">
        <v>15</v>
      </c>
    </row>
    <row r="228" spans="1:7" ht="45" x14ac:dyDescent="0.2">
      <c r="A228" s="583" t="s">
        <v>12799</v>
      </c>
      <c r="B228" s="605" t="s">
        <v>12800</v>
      </c>
      <c r="C228" s="606" t="s">
        <v>12508</v>
      </c>
      <c r="D228" s="607">
        <v>454.72</v>
      </c>
      <c r="E228" s="607">
        <v>122.64</v>
      </c>
      <c r="F228" s="607">
        <v>577.36</v>
      </c>
      <c r="G228" s="584">
        <v>15</v>
      </c>
    </row>
    <row r="229" spans="1:7" ht="30" x14ac:dyDescent="0.2">
      <c r="A229" s="583" t="s">
        <v>12801</v>
      </c>
      <c r="B229" s="605" t="s">
        <v>12802</v>
      </c>
      <c r="C229" s="606" t="s">
        <v>12508</v>
      </c>
      <c r="D229" s="607">
        <v>433.58</v>
      </c>
      <c r="E229" s="607">
        <v>122.64</v>
      </c>
      <c r="F229" s="607">
        <v>556.22</v>
      </c>
      <c r="G229" s="584">
        <v>15</v>
      </c>
    </row>
    <row r="230" spans="1:7" ht="45" x14ac:dyDescent="0.2">
      <c r="A230" s="583" t="s">
        <v>12803</v>
      </c>
      <c r="B230" s="605" t="s">
        <v>12804</v>
      </c>
      <c r="C230" s="606" t="s">
        <v>12508</v>
      </c>
      <c r="D230" s="607">
        <v>237.93</v>
      </c>
      <c r="E230" s="607">
        <v>81.760000000000005</v>
      </c>
      <c r="F230" s="607">
        <v>319.69</v>
      </c>
      <c r="G230" s="584">
        <v>15</v>
      </c>
    </row>
    <row r="231" spans="1:7" ht="30" x14ac:dyDescent="0.2">
      <c r="A231" s="583" t="s">
        <v>12805</v>
      </c>
      <c r="B231" s="605" t="s">
        <v>12806</v>
      </c>
      <c r="C231" s="606" t="s">
        <v>12508</v>
      </c>
      <c r="D231" s="607">
        <v>216.79</v>
      </c>
      <c r="E231" s="607">
        <v>81.760000000000005</v>
      </c>
      <c r="F231" s="607">
        <v>298.55</v>
      </c>
      <c r="G231" s="584">
        <v>15</v>
      </c>
    </row>
    <row r="232" spans="1:7" ht="45" x14ac:dyDescent="0.2">
      <c r="A232" s="583" t="s">
        <v>12807</v>
      </c>
      <c r="B232" s="605" t="s">
        <v>12808</v>
      </c>
      <c r="C232" s="606" t="s">
        <v>12427</v>
      </c>
      <c r="D232" s="607">
        <v>23.33</v>
      </c>
      <c r="E232" s="607">
        <v>8.18</v>
      </c>
      <c r="F232" s="607">
        <v>31.51</v>
      </c>
      <c r="G232" s="584">
        <v>15</v>
      </c>
    </row>
    <row r="233" spans="1:7" ht="30" x14ac:dyDescent="0.2">
      <c r="A233" s="583" t="s">
        <v>12809</v>
      </c>
      <c r="B233" s="605" t="s">
        <v>12810</v>
      </c>
      <c r="C233" s="606" t="s">
        <v>12427</v>
      </c>
      <c r="D233" s="607">
        <v>21.68</v>
      </c>
      <c r="E233" s="607">
        <v>8.18</v>
      </c>
      <c r="F233" s="607">
        <v>29.86</v>
      </c>
      <c r="G233" s="584">
        <v>15</v>
      </c>
    </row>
    <row r="234" spans="1:7" ht="45" x14ac:dyDescent="0.2">
      <c r="A234" s="583" t="s">
        <v>12811</v>
      </c>
      <c r="B234" s="605" t="s">
        <v>12812</v>
      </c>
      <c r="C234" s="606" t="s">
        <v>12508</v>
      </c>
      <c r="D234" s="607">
        <v>233.25</v>
      </c>
      <c r="E234" s="607">
        <v>81.760000000000005</v>
      </c>
      <c r="F234" s="607">
        <v>315.01</v>
      </c>
      <c r="G234" s="584">
        <v>15</v>
      </c>
    </row>
    <row r="235" spans="1:7" ht="30" x14ac:dyDescent="0.2">
      <c r="A235" s="583" t="s">
        <v>12813</v>
      </c>
      <c r="B235" s="605" t="s">
        <v>12814</v>
      </c>
      <c r="C235" s="606" t="s">
        <v>12508</v>
      </c>
      <c r="D235" s="607">
        <v>216.79</v>
      </c>
      <c r="E235" s="607">
        <v>81.760000000000005</v>
      </c>
      <c r="F235" s="607">
        <v>298.55</v>
      </c>
      <c r="G235" s="584">
        <v>15</v>
      </c>
    </row>
    <row r="236" spans="1:7" ht="15" x14ac:dyDescent="0.25">
      <c r="A236" s="583" t="s">
        <v>12815</v>
      </c>
      <c r="B236" s="605" t="s">
        <v>12816</v>
      </c>
      <c r="C236" s="606"/>
      <c r="D236" s="607"/>
      <c r="E236" s="607"/>
      <c r="F236" s="607"/>
      <c r="G236" s="582"/>
    </row>
    <row r="237" spans="1:7" ht="15" x14ac:dyDescent="0.2">
      <c r="A237" s="583" t="s">
        <v>12817</v>
      </c>
      <c r="B237" s="605" t="s">
        <v>12818</v>
      </c>
      <c r="C237" s="606" t="s">
        <v>12508</v>
      </c>
      <c r="D237" s="607"/>
      <c r="E237" s="607">
        <v>122.64</v>
      </c>
      <c r="F237" s="607">
        <v>122.64</v>
      </c>
      <c r="G237" s="584">
        <v>15</v>
      </c>
    </row>
    <row r="238" spans="1:7" ht="30" x14ac:dyDescent="0.2">
      <c r="A238" s="583" t="s">
        <v>12819</v>
      </c>
      <c r="B238" s="605" t="s">
        <v>12820</v>
      </c>
      <c r="C238" s="606" t="s">
        <v>12508</v>
      </c>
      <c r="D238" s="607"/>
      <c r="E238" s="607">
        <v>81.760000000000005</v>
      </c>
      <c r="F238" s="607">
        <v>81.760000000000005</v>
      </c>
      <c r="G238" s="584">
        <v>15</v>
      </c>
    </row>
    <row r="239" spans="1:7" ht="15" x14ac:dyDescent="0.25">
      <c r="A239" s="583" t="s">
        <v>12821</v>
      </c>
      <c r="B239" s="605" t="s">
        <v>12822</v>
      </c>
      <c r="C239" s="606"/>
      <c r="D239" s="607"/>
      <c r="E239" s="607"/>
      <c r="F239" s="607"/>
      <c r="G239" s="582"/>
    </row>
    <row r="240" spans="1:7" ht="15" x14ac:dyDescent="0.2">
      <c r="A240" s="583" t="s">
        <v>12823</v>
      </c>
      <c r="B240" s="605" t="s">
        <v>12824</v>
      </c>
      <c r="C240" s="606" t="s">
        <v>12427</v>
      </c>
      <c r="D240" s="607"/>
      <c r="E240" s="607">
        <v>3.07</v>
      </c>
      <c r="F240" s="607">
        <v>3.07</v>
      </c>
      <c r="G240" s="584">
        <v>15</v>
      </c>
    </row>
    <row r="241" spans="1:7" ht="30" x14ac:dyDescent="0.2">
      <c r="A241" s="583" t="s">
        <v>12825</v>
      </c>
      <c r="B241" s="605" t="s">
        <v>12826</v>
      </c>
      <c r="C241" s="606" t="s">
        <v>12427</v>
      </c>
      <c r="D241" s="607"/>
      <c r="E241" s="607">
        <v>6.13</v>
      </c>
      <c r="F241" s="607">
        <v>6.13</v>
      </c>
      <c r="G241" s="584">
        <v>15</v>
      </c>
    </row>
    <row r="242" spans="1:7" ht="15" x14ac:dyDescent="0.2">
      <c r="A242" s="583" t="s">
        <v>12827</v>
      </c>
      <c r="B242" s="605" t="s">
        <v>12828</v>
      </c>
      <c r="C242" s="606" t="s">
        <v>12427</v>
      </c>
      <c r="D242" s="607"/>
      <c r="E242" s="607">
        <v>10.220000000000001</v>
      </c>
      <c r="F242" s="607">
        <v>10.220000000000001</v>
      </c>
      <c r="G242" s="584">
        <v>15</v>
      </c>
    </row>
    <row r="243" spans="1:7" ht="15" x14ac:dyDescent="0.25">
      <c r="A243" s="583" t="s">
        <v>12829</v>
      </c>
      <c r="B243" s="605" t="s">
        <v>12830</v>
      </c>
      <c r="C243" s="606"/>
      <c r="D243" s="607"/>
      <c r="E243" s="607"/>
      <c r="F243" s="607"/>
      <c r="G243" s="582"/>
    </row>
    <row r="244" spans="1:7" ht="15" x14ac:dyDescent="0.2">
      <c r="A244" s="583" t="s">
        <v>12831</v>
      </c>
      <c r="B244" s="605" t="s">
        <v>12832</v>
      </c>
      <c r="C244" s="606" t="s">
        <v>12427</v>
      </c>
      <c r="D244" s="607"/>
      <c r="E244" s="607">
        <v>12.26</v>
      </c>
      <c r="F244" s="607">
        <v>12.26</v>
      </c>
      <c r="G244" s="584">
        <v>15</v>
      </c>
    </row>
    <row r="245" spans="1:7" ht="30" x14ac:dyDescent="0.2">
      <c r="A245" s="583" t="s">
        <v>12833</v>
      </c>
      <c r="B245" s="605" t="s">
        <v>12834</v>
      </c>
      <c r="C245" s="606" t="s">
        <v>12427</v>
      </c>
      <c r="D245" s="607"/>
      <c r="E245" s="607">
        <v>10.220000000000001</v>
      </c>
      <c r="F245" s="607">
        <v>10.220000000000001</v>
      </c>
      <c r="G245" s="584">
        <v>15</v>
      </c>
    </row>
    <row r="246" spans="1:7" ht="30" x14ac:dyDescent="0.2">
      <c r="A246" s="583" t="s">
        <v>12835</v>
      </c>
      <c r="B246" s="605" t="s">
        <v>12836</v>
      </c>
      <c r="C246" s="606" t="s">
        <v>12483</v>
      </c>
      <c r="D246" s="607"/>
      <c r="E246" s="607">
        <v>3.07</v>
      </c>
      <c r="F246" s="607">
        <v>3.07</v>
      </c>
      <c r="G246" s="584">
        <v>15</v>
      </c>
    </row>
    <row r="247" spans="1:7" ht="15" x14ac:dyDescent="0.25">
      <c r="A247" s="583" t="s">
        <v>12837</v>
      </c>
      <c r="B247" s="605" t="s">
        <v>12838</v>
      </c>
      <c r="C247" s="606"/>
      <c r="D247" s="607"/>
      <c r="E247" s="607"/>
      <c r="F247" s="607"/>
      <c r="G247" s="582"/>
    </row>
    <row r="248" spans="1:7" ht="15" x14ac:dyDescent="0.2">
      <c r="A248" s="583" t="s">
        <v>12839</v>
      </c>
      <c r="B248" s="605" t="s">
        <v>12840</v>
      </c>
      <c r="C248" s="606" t="s">
        <v>12427</v>
      </c>
      <c r="D248" s="607"/>
      <c r="E248" s="607">
        <v>8.18</v>
      </c>
      <c r="F248" s="607">
        <v>8.18</v>
      </c>
      <c r="G248" s="584">
        <v>15</v>
      </c>
    </row>
    <row r="249" spans="1:7" ht="15" x14ac:dyDescent="0.25">
      <c r="A249" s="583" t="s">
        <v>12841</v>
      </c>
      <c r="B249" s="605" t="s">
        <v>12842</v>
      </c>
      <c r="C249" s="606"/>
      <c r="D249" s="607"/>
      <c r="E249" s="607"/>
      <c r="F249" s="607"/>
      <c r="G249" s="582"/>
    </row>
    <row r="250" spans="1:7" ht="45" x14ac:dyDescent="0.2">
      <c r="A250" s="583" t="s">
        <v>12843</v>
      </c>
      <c r="B250" s="605" t="s">
        <v>12844</v>
      </c>
      <c r="C250" s="606" t="s">
        <v>12427</v>
      </c>
      <c r="D250" s="607">
        <v>16.95</v>
      </c>
      <c r="E250" s="607">
        <v>10.220000000000001</v>
      </c>
      <c r="F250" s="607">
        <v>27.17</v>
      </c>
      <c r="G250" s="584">
        <v>15</v>
      </c>
    </row>
    <row r="251" spans="1:7" ht="45" x14ac:dyDescent="0.2">
      <c r="A251" s="583" t="s">
        <v>12845</v>
      </c>
      <c r="B251" s="605" t="s">
        <v>12846</v>
      </c>
      <c r="C251" s="606" t="s">
        <v>12427</v>
      </c>
      <c r="D251" s="607">
        <v>1.55</v>
      </c>
      <c r="E251" s="607">
        <v>10.220000000000001</v>
      </c>
      <c r="F251" s="607">
        <v>11.77</v>
      </c>
      <c r="G251" s="584">
        <v>15</v>
      </c>
    </row>
    <row r="252" spans="1:7" ht="15" x14ac:dyDescent="0.25">
      <c r="A252" s="583" t="s">
        <v>12847</v>
      </c>
      <c r="B252" s="605" t="s">
        <v>12848</v>
      </c>
      <c r="C252" s="606"/>
      <c r="D252" s="607"/>
      <c r="E252" s="607"/>
      <c r="F252" s="607"/>
      <c r="G252" s="582"/>
    </row>
    <row r="253" spans="1:7" ht="45" x14ac:dyDescent="0.2">
      <c r="A253" s="583" t="s">
        <v>12849</v>
      </c>
      <c r="B253" s="605" t="s">
        <v>12850</v>
      </c>
      <c r="C253" s="606" t="s">
        <v>12427</v>
      </c>
      <c r="D253" s="607">
        <v>23.95</v>
      </c>
      <c r="E253" s="607">
        <v>4.09</v>
      </c>
      <c r="F253" s="607">
        <v>28.04</v>
      </c>
      <c r="G253" s="584">
        <v>15</v>
      </c>
    </row>
    <row r="254" spans="1:7" ht="30" x14ac:dyDescent="0.2">
      <c r="A254" s="583" t="s">
        <v>12851</v>
      </c>
      <c r="B254" s="605" t="s">
        <v>12852</v>
      </c>
      <c r="C254" s="606" t="s">
        <v>12427</v>
      </c>
      <c r="D254" s="607">
        <v>21.68</v>
      </c>
      <c r="E254" s="607">
        <v>4.09</v>
      </c>
      <c r="F254" s="607">
        <v>25.77</v>
      </c>
      <c r="G254" s="584">
        <v>15</v>
      </c>
    </row>
    <row r="255" spans="1:7" ht="45" x14ac:dyDescent="0.2">
      <c r="A255" s="583" t="s">
        <v>12853</v>
      </c>
      <c r="B255" s="605" t="s">
        <v>12854</v>
      </c>
      <c r="C255" s="606" t="s">
        <v>12427</v>
      </c>
      <c r="D255" s="607">
        <v>10.95</v>
      </c>
      <c r="E255" s="607">
        <v>1.43</v>
      </c>
      <c r="F255" s="607">
        <v>12.38</v>
      </c>
      <c r="G255" s="584">
        <v>15</v>
      </c>
    </row>
    <row r="256" spans="1:7" ht="30" x14ac:dyDescent="0.2">
      <c r="A256" s="583" t="s">
        <v>12855</v>
      </c>
      <c r="B256" s="605" t="s">
        <v>12856</v>
      </c>
      <c r="C256" s="606" t="s">
        <v>12427</v>
      </c>
      <c r="D256" s="607">
        <v>8.3800000000000008</v>
      </c>
      <c r="E256" s="607">
        <v>1.43</v>
      </c>
      <c r="F256" s="607">
        <v>9.81</v>
      </c>
      <c r="G256" s="584">
        <v>15</v>
      </c>
    </row>
    <row r="257" spans="1:7" ht="45" x14ac:dyDescent="0.2">
      <c r="A257" s="583" t="s">
        <v>12857</v>
      </c>
      <c r="B257" s="605" t="s">
        <v>12858</v>
      </c>
      <c r="C257" s="606" t="s">
        <v>12427</v>
      </c>
      <c r="D257" s="607">
        <v>14.26</v>
      </c>
      <c r="E257" s="607">
        <v>0.61</v>
      </c>
      <c r="F257" s="607">
        <v>14.87</v>
      </c>
      <c r="G257" s="584">
        <v>15</v>
      </c>
    </row>
    <row r="258" spans="1:7" ht="15" x14ac:dyDescent="0.25">
      <c r="A258" s="583" t="s">
        <v>12859</v>
      </c>
      <c r="B258" s="605" t="s">
        <v>12860</v>
      </c>
      <c r="C258" s="606"/>
      <c r="D258" s="607"/>
      <c r="E258" s="607"/>
      <c r="F258" s="607"/>
      <c r="G258" s="582"/>
    </row>
    <row r="259" spans="1:7" ht="30" x14ac:dyDescent="0.2">
      <c r="A259" s="583" t="s">
        <v>12861</v>
      </c>
      <c r="B259" s="605" t="s">
        <v>12862</v>
      </c>
      <c r="C259" s="606" t="s">
        <v>12427</v>
      </c>
      <c r="D259" s="607"/>
      <c r="E259" s="607">
        <v>10.63</v>
      </c>
      <c r="F259" s="607">
        <v>10.63</v>
      </c>
      <c r="G259" s="584">
        <v>15</v>
      </c>
    </row>
    <row r="260" spans="1:7" ht="30" x14ac:dyDescent="0.2">
      <c r="A260" s="583" t="s">
        <v>12863</v>
      </c>
      <c r="B260" s="605" t="s">
        <v>12864</v>
      </c>
      <c r="C260" s="606" t="s">
        <v>12427</v>
      </c>
      <c r="D260" s="607"/>
      <c r="E260" s="607">
        <v>6.13</v>
      </c>
      <c r="F260" s="607">
        <v>6.13</v>
      </c>
      <c r="G260" s="584">
        <v>15</v>
      </c>
    </row>
    <row r="261" spans="1:7" ht="30" x14ac:dyDescent="0.2">
      <c r="A261" s="583" t="s">
        <v>12865</v>
      </c>
      <c r="B261" s="605" t="s">
        <v>12866</v>
      </c>
      <c r="C261" s="606" t="s">
        <v>12427</v>
      </c>
      <c r="D261" s="607"/>
      <c r="E261" s="607">
        <v>6.13</v>
      </c>
      <c r="F261" s="607">
        <v>6.13</v>
      </c>
      <c r="G261" s="584">
        <v>15</v>
      </c>
    </row>
    <row r="262" spans="1:7" ht="30" x14ac:dyDescent="0.2">
      <c r="A262" s="583" t="s">
        <v>12867</v>
      </c>
      <c r="B262" s="605" t="s">
        <v>12868</v>
      </c>
      <c r="C262" s="606" t="s">
        <v>12427</v>
      </c>
      <c r="D262" s="607"/>
      <c r="E262" s="607">
        <v>6.75</v>
      </c>
      <c r="F262" s="607">
        <v>6.75</v>
      </c>
      <c r="G262" s="584">
        <v>15</v>
      </c>
    </row>
    <row r="263" spans="1:7" ht="15" x14ac:dyDescent="0.25">
      <c r="A263" s="583" t="s">
        <v>12869</v>
      </c>
      <c r="B263" s="605" t="s">
        <v>12870</v>
      </c>
      <c r="C263" s="606"/>
      <c r="D263" s="607"/>
      <c r="E263" s="607"/>
      <c r="F263" s="607"/>
      <c r="G263" s="582"/>
    </row>
    <row r="264" spans="1:7" ht="15" x14ac:dyDescent="0.2">
      <c r="A264" s="583" t="s">
        <v>12871</v>
      </c>
      <c r="B264" s="605" t="s">
        <v>12872</v>
      </c>
      <c r="C264" s="606" t="s">
        <v>12427</v>
      </c>
      <c r="D264" s="607"/>
      <c r="E264" s="607">
        <v>16.440000000000001</v>
      </c>
      <c r="F264" s="607">
        <v>16.440000000000001</v>
      </c>
      <c r="G264" s="584">
        <v>15</v>
      </c>
    </row>
    <row r="265" spans="1:7" ht="30" x14ac:dyDescent="0.2">
      <c r="A265" s="583" t="s">
        <v>12873</v>
      </c>
      <c r="B265" s="605" t="s">
        <v>12874</v>
      </c>
      <c r="C265" s="606" t="s">
        <v>12427</v>
      </c>
      <c r="D265" s="607"/>
      <c r="E265" s="607">
        <v>19.72</v>
      </c>
      <c r="F265" s="607">
        <v>19.72</v>
      </c>
      <c r="G265" s="584">
        <v>15</v>
      </c>
    </row>
    <row r="266" spans="1:7" ht="30" x14ac:dyDescent="0.2">
      <c r="A266" s="583" t="s">
        <v>12875</v>
      </c>
      <c r="B266" s="605" t="s">
        <v>12876</v>
      </c>
      <c r="C266" s="606" t="s">
        <v>12483</v>
      </c>
      <c r="D266" s="607"/>
      <c r="E266" s="607">
        <v>6.58</v>
      </c>
      <c r="F266" s="607">
        <v>6.58</v>
      </c>
      <c r="G266" s="584">
        <v>15</v>
      </c>
    </row>
    <row r="267" spans="1:7" ht="15" x14ac:dyDescent="0.25">
      <c r="A267" s="583" t="s">
        <v>12877</v>
      </c>
      <c r="B267" s="605" t="s">
        <v>12878</v>
      </c>
      <c r="C267" s="606"/>
      <c r="D267" s="607"/>
      <c r="E267" s="607"/>
      <c r="F267" s="607"/>
      <c r="G267" s="582"/>
    </row>
    <row r="268" spans="1:7" ht="15" x14ac:dyDescent="0.2">
      <c r="A268" s="583" t="s">
        <v>12879</v>
      </c>
      <c r="B268" s="605" t="s">
        <v>12880</v>
      </c>
      <c r="C268" s="606" t="s">
        <v>12483</v>
      </c>
      <c r="D268" s="607">
        <v>0.08</v>
      </c>
      <c r="E268" s="607">
        <v>1.49</v>
      </c>
      <c r="F268" s="607">
        <v>1.57</v>
      </c>
      <c r="G268" s="584">
        <v>15</v>
      </c>
    </row>
    <row r="269" spans="1:7" ht="30" x14ac:dyDescent="0.2">
      <c r="A269" s="583" t="s">
        <v>12881</v>
      </c>
      <c r="B269" s="605" t="s">
        <v>12882</v>
      </c>
      <c r="C269" s="606" t="s">
        <v>12483</v>
      </c>
      <c r="D269" s="607">
        <v>0.95</v>
      </c>
      <c r="E269" s="607">
        <v>1.49</v>
      </c>
      <c r="F269" s="607">
        <v>2.44</v>
      </c>
      <c r="G269" s="584">
        <v>15</v>
      </c>
    </row>
    <row r="270" spans="1:7" ht="30" x14ac:dyDescent="0.2">
      <c r="A270" s="583" t="s">
        <v>12883</v>
      </c>
      <c r="B270" s="605" t="s">
        <v>12884</v>
      </c>
      <c r="C270" s="606" t="s">
        <v>12427</v>
      </c>
      <c r="D270" s="607">
        <v>4.7300000000000004</v>
      </c>
      <c r="E270" s="607">
        <v>11.92</v>
      </c>
      <c r="F270" s="607">
        <v>16.649999999999999</v>
      </c>
      <c r="G270" s="584">
        <v>15</v>
      </c>
    </row>
    <row r="271" spans="1:7" ht="30" x14ac:dyDescent="0.2">
      <c r="A271" s="583" t="s">
        <v>12885</v>
      </c>
      <c r="B271" s="605" t="s">
        <v>12886</v>
      </c>
      <c r="C271" s="606" t="s">
        <v>12427</v>
      </c>
      <c r="D271" s="607">
        <v>0.39</v>
      </c>
      <c r="E271" s="607">
        <v>8.94</v>
      </c>
      <c r="F271" s="607">
        <v>9.33</v>
      </c>
      <c r="G271" s="584">
        <v>15</v>
      </c>
    </row>
    <row r="272" spans="1:7" ht="15" x14ac:dyDescent="0.2">
      <c r="A272" s="583" t="s">
        <v>12887</v>
      </c>
      <c r="B272" s="605" t="s">
        <v>12888</v>
      </c>
      <c r="C272" s="606" t="s">
        <v>12427</v>
      </c>
      <c r="D272" s="607">
        <v>4.7300000000000004</v>
      </c>
      <c r="E272" s="607">
        <v>8.94</v>
      </c>
      <c r="F272" s="607">
        <v>13.67</v>
      </c>
      <c r="G272" s="584">
        <v>15</v>
      </c>
    </row>
    <row r="273" spans="1:7" ht="15" x14ac:dyDescent="0.2">
      <c r="A273" s="583" t="s">
        <v>12889</v>
      </c>
      <c r="B273" s="605" t="s">
        <v>12890</v>
      </c>
      <c r="C273" s="606" t="s">
        <v>12427</v>
      </c>
      <c r="D273" s="607">
        <v>0.39</v>
      </c>
      <c r="E273" s="607">
        <v>5.96</v>
      </c>
      <c r="F273" s="607">
        <v>6.35</v>
      </c>
      <c r="G273" s="584">
        <v>15</v>
      </c>
    </row>
    <row r="274" spans="1:7" ht="15" x14ac:dyDescent="0.25">
      <c r="A274" s="583" t="s">
        <v>12891</v>
      </c>
      <c r="B274" s="605" t="s">
        <v>12892</v>
      </c>
      <c r="C274" s="606"/>
      <c r="D274" s="607"/>
      <c r="E274" s="607"/>
      <c r="F274" s="607"/>
      <c r="G274" s="582"/>
    </row>
    <row r="275" spans="1:7" ht="15" x14ac:dyDescent="0.2">
      <c r="A275" s="583" t="s">
        <v>12893</v>
      </c>
      <c r="B275" s="605" t="s">
        <v>12894</v>
      </c>
      <c r="C275" s="606" t="s">
        <v>12427</v>
      </c>
      <c r="D275" s="607">
        <v>97.73</v>
      </c>
      <c r="E275" s="607"/>
      <c r="F275" s="607">
        <v>97.73</v>
      </c>
      <c r="G275" s="584">
        <v>15</v>
      </c>
    </row>
    <row r="276" spans="1:7" ht="15" x14ac:dyDescent="0.2">
      <c r="A276" s="583" t="s">
        <v>12895</v>
      </c>
      <c r="B276" s="605" t="s">
        <v>12896</v>
      </c>
      <c r="C276" s="606" t="s">
        <v>12375</v>
      </c>
      <c r="D276" s="607">
        <v>3.85</v>
      </c>
      <c r="E276" s="607">
        <v>9.06</v>
      </c>
      <c r="F276" s="607">
        <v>12.91</v>
      </c>
      <c r="G276" s="584">
        <v>15</v>
      </c>
    </row>
    <row r="277" spans="1:7" ht="15" x14ac:dyDescent="0.25">
      <c r="A277" s="583" t="s">
        <v>12897</v>
      </c>
      <c r="B277" s="605" t="s">
        <v>12898</v>
      </c>
      <c r="C277" s="606"/>
      <c r="D277" s="607"/>
      <c r="E277" s="607"/>
      <c r="F277" s="607"/>
      <c r="G277" s="582"/>
    </row>
    <row r="278" spans="1:7" ht="15" x14ac:dyDescent="0.25">
      <c r="A278" s="583" t="s">
        <v>12899</v>
      </c>
      <c r="B278" s="605" t="s">
        <v>12900</v>
      </c>
      <c r="C278" s="606"/>
      <c r="D278" s="607"/>
      <c r="E278" s="607"/>
      <c r="F278" s="607"/>
      <c r="G278" s="582"/>
    </row>
    <row r="279" spans="1:7" ht="30" x14ac:dyDescent="0.2">
      <c r="A279" s="583" t="s">
        <v>12901</v>
      </c>
      <c r="B279" s="605" t="s">
        <v>12902</v>
      </c>
      <c r="C279" s="606" t="s">
        <v>12427</v>
      </c>
      <c r="D279" s="607"/>
      <c r="E279" s="607">
        <v>37.31</v>
      </c>
      <c r="F279" s="607">
        <v>37.31</v>
      </c>
      <c r="G279" s="584">
        <v>15</v>
      </c>
    </row>
    <row r="280" spans="1:7" ht="30" x14ac:dyDescent="0.2">
      <c r="A280" s="583" t="s">
        <v>12903</v>
      </c>
      <c r="B280" s="605" t="s">
        <v>12904</v>
      </c>
      <c r="C280" s="606" t="s">
        <v>12427</v>
      </c>
      <c r="D280" s="607"/>
      <c r="E280" s="607">
        <v>32.33</v>
      </c>
      <c r="F280" s="607">
        <v>32.33</v>
      </c>
      <c r="G280" s="584">
        <v>15</v>
      </c>
    </row>
    <row r="281" spans="1:7" ht="30" x14ac:dyDescent="0.2">
      <c r="A281" s="583" t="s">
        <v>12905</v>
      </c>
      <c r="B281" s="605" t="s">
        <v>12906</v>
      </c>
      <c r="C281" s="606" t="s">
        <v>12427</v>
      </c>
      <c r="D281" s="607"/>
      <c r="E281" s="607">
        <v>19.899999999999999</v>
      </c>
      <c r="F281" s="607">
        <v>19.899999999999999</v>
      </c>
      <c r="G281" s="584">
        <v>15</v>
      </c>
    </row>
    <row r="282" spans="1:7" ht="30" x14ac:dyDescent="0.2">
      <c r="A282" s="583" t="s">
        <v>12907</v>
      </c>
      <c r="B282" s="605" t="s">
        <v>12908</v>
      </c>
      <c r="C282" s="606" t="s">
        <v>12427</v>
      </c>
      <c r="D282" s="607">
        <v>2.63</v>
      </c>
      <c r="E282" s="607">
        <v>0.69</v>
      </c>
      <c r="F282" s="607">
        <v>3.32</v>
      </c>
      <c r="G282" s="584">
        <v>15</v>
      </c>
    </row>
    <row r="283" spans="1:7" ht="30" x14ac:dyDescent="0.2">
      <c r="A283" s="583" t="s">
        <v>12909</v>
      </c>
      <c r="B283" s="605" t="s">
        <v>12910</v>
      </c>
      <c r="C283" s="606" t="s">
        <v>12483</v>
      </c>
      <c r="D283" s="607"/>
      <c r="E283" s="607">
        <v>4.3099999999999996</v>
      </c>
      <c r="F283" s="607">
        <v>4.3099999999999996</v>
      </c>
      <c r="G283" s="584">
        <v>15</v>
      </c>
    </row>
    <row r="284" spans="1:7" ht="15" x14ac:dyDescent="0.2">
      <c r="A284" s="583" t="s">
        <v>12911</v>
      </c>
      <c r="B284" s="605" t="s">
        <v>12912</v>
      </c>
      <c r="C284" s="606" t="s">
        <v>12483</v>
      </c>
      <c r="D284" s="607"/>
      <c r="E284" s="607">
        <v>12.67</v>
      </c>
      <c r="F284" s="607">
        <v>12.67</v>
      </c>
      <c r="G284" s="584">
        <v>15</v>
      </c>
    </row>
    <row r="285" spans="1:7" ht="30" x14ac:dyDescent="0.25">
      <c r="A285" s="583" t="s">
        <v>12913</v>
      </c>
      <c r="B285" s="605" t="s">
        <v>12914</v>
      </c>
      <c r="C285" s="606"/>
      <c r="D285" s="607"/>
      <c r="E285" s="607"/>
      <c r="F285" s="607"/>
      <c r="G285" s="582"/>
    </row>
    <row r="286" spans="1:7" ht="15" x14ac:dyDescent="0.2">
      <c r="A286" s="583" t="s">
        <v>12915</v>
      </c>
      <c r="B286" s="605" t="s">
        <v>12916</v>
      </c>
      <c r="C286" s="606" t="s">
        <v>12483</v>
      </c>
      <c r="D286" s="607"/>
      <c r="E286" s="607">
        <v>1.36</v>
      </c>
      <c r="F286" s="607">
        <v>1.36</v>
      </c>
      <c r="G286" s="584">
        <v>15</v>
      </c>
    </row>
    <row r="287" spans="1:7" ht="30" x14ac:dyDescent="0.2">
      <c r="A287" s="583" t="s">
        <v>12917</v>
      </c>
      <c r="B287" s="605" t="s">
        <v>12918</v>
      </c>
      <c r="C287" s="606" t="s">
        <v>12483</v>
      </c>
      <c r="D287" s="607"/>
      <c r="E287" s="607">
        <v>4.53</v>
      </c>
      <c r="F287" s="607">
        <v>4.53</v>
      </c>
      <c r="G287" s="584">
        <v>15</v>
      </c>
    </row>
    <row r="288" spans="1:7" ht="15" x14ac:dyDescent="0.2">
      <c r="A288" s="583" t="s">
        <v>12919</v>
      </c>
      <c r="B288" s="605" t="s">
        <v>12920</v>
      </c>
      <c r="C288" s="606" t="s">
        <v>12427</v>
      </c>
      <c r="D288" s="607"/>
      <c r="E288" s="607">
        <v>24.92</v>
      </c>
      <c r="F288" s="607">
        <v>24.92</v>
      </c>
      <c r="G288" s="584">
        <v>15</v>
      </c>
    </row>
    <row r="289" spans="1:7" ht="30" x14ac:dyDescent="0.2">
      <c r="A289" s="583" t="s">
        <v>12921</v>
      </c>
      <c r="B289" s="605" t="s">
        <v>12922</v>
      </c>
      <c r="C289" s="606" t="s">
        <v>12427</v>
      </c>
      <c r="D289" s="607"/>
      <c r="E289" s="607">
        <v>20.39</v>
      </c>
      <c r="F289" s="607">
        <v>20.39</v>
      </c>
      <c r="G289" s="584">
        <v>15</v>
      </c>
    </row>
    <row r="290" spans="1:7" ht="15" x14ac:dyDescent="0.2">
      <c r="A290" s="583" t="s">
        <v>12923</v>
      </c>
      <c r="B290" s="605" t="s">
        <v>12924</v>
      </c>
      <c r="C290" s="606" t="s">
        <v>12427</v>
      </c>
      <c r="D290" s="607"/>
      <c r="E290" s="607">
        <v>18.13</v>
      </c>
      <c r="F290" s="607">
        <v>18.13</v>
      </c>
      <c r="G290" s="584">
        <v>15</v>
      </c>
    </row>
    <row r="291" spans="1:7" ht="30" x14ac:dyDescent="0.2">
      <c r="A291" s="583" t="s">
        <v>12925</v>
      </c>
      <c r="B291" s="605" t="s">
        <v>12926</v>
      </c>
      <c r="C291" s="606" t="s">
        <v>12427</v>
      </c>
      <c r="D291" s="607"/>
      <c r="E291" s="607">
        <v>13.59</v>
      </c>
      <c r="F291" s="607">
        <v>13.59</v>
      </c>
      <c r="G291" s="584">
        <v>15</v>
      </c>
    </row>
    <row r="292" spans="1:7" ht="15" x14ac:dyDescent="0.2">
      <c r="A292" s="583" t="s">
        <v>12927</v>
      </c>
      <c r="B292" s="605" t="s">
        <v>12928</v>
      </c>
      <c r="C292" s="606" t="s">
        <v>12929</v>
      </c>
      <c r="D292" s="607">
        <v>2.5299999999999998</v>
      </c>
      <c r="E292" s="607"/>
      <c r="F292" s="607">
        <v>2.5299999999999998</v>
      </c>
      <c r="G292" s="584">
        <v>15</v>
      </c>
    </row>
    <row r="293" spans="1:7" ht="15" x14ac:dyDescent="0.25">
      <c r="A293" s="583" t="s">
        <v>12930</v>
      </c>
      <c r="B293" s="605" t="s">
        <v>12931</v>
      </c>
      <c r="C293" s="606"/>
      <c r="D293" s="607"/>
      <c r="E293" s="607"/>
      <c r="F293" s="607"/>
      <c r="G293" s="582"/>
    </row>
    <row r="294" spans="1:7" ht="15" x14ac:dyDescent="0.2">
      <c r="A294" s="583" t="s">
        <v>12932</v>
      </c>
      <c r="B294" s="605" t="s">
        <v>12933</v>
      </c>
      <c r="C294" s="606" t="s">
        <v>12427</v>
      </c>
      <c r="D294" s="607"/>
      <c r="E294" s="607">
        <v>16.350000000000001</v>
      </c>
      <c r="F294" s="607">
        <v>16.350000000000001</v>
      </c>
      <c r="G294" s="584">
        <v>15</v>
      </c>
    </row>
    <row r="295" spans="1:7" ht="30" x14ac:dyDescent="0.2">
      <c r="A295" s="583" t="s">
        <v>12934</v>
      </c>
      <c r="B295" s="605" t="s">
        <v>12935</v>
      </c>
      <c r="C295" s="606" t="s">
        <v>12427</v>
      </c>
      <c r="D295" s="607"/>
      <c r="E295" s="607">
        <v>8.18</v>
      </c>
      <c r="F295" s="607">
        <v>8.18</v>
      </c>
      <c r="G295" s="584">
        <v>15</v>
      </c>
    </row>
    <row r="296" spans="1:7" ht="15" x14ac:dyDescent="0.2">
      <c r="A296" s="583" t="s">
        <v>12936</v>
      </c>
      <c r="B296" s="605" t="s">
        <v>12937</v>
      </c>
      <c r="C296" s="606" t="s">
        <v>12483</v>
      </c>
      <c r="D296" s="607"/>
      <c r="E296" s="607">
        <v>6.13</v>
      </c>
      <c r="F296" s="607">
        <v>6.13</v>
      </c>
      <c r="G296" s="584">
        <v>15</v>
      </c>
    </row>
    <row r="297" spans="1:7" ht="15" x14ac:dyDescent="0.2">
      <c r="A297" s="583" t="s">
        <v>12938</v>
      </c>
      <c r="B297" s="605" t="s">
        <v>12939</v>
      </c>
      <c r="C297" s="606" t="s">
        <v>12483</v>
      </c>
      <c r="D297" s="607"/>
      <c r="E297" s="607">
        <v>10.220000000000001</v>
      </c>
      <c r="F297" s="607">
        <v>10.220000000000001</v>
      </c>
      <c r="G297" s="584">
        <v>15</v>
      </c>
    </row>
    <row r="298" spans="1:7" ht="30" x14ac:dyDescent="0.2">
      <c r="A298" s="583" t="s">
        <v>12940</v>
      </c>
      <c r="B298" s="605" t="s">
        <v>12941</v>
      </c>
      <c r="C298" s="606" t="s">
        <v>12427</v>
      </c>
      <c r="D298" s="607"/>
      <c r="E298" s="607">
        <v>12.44</v>
      </c>
      <c r="F298" s="607">
        <v>12.44</v>
      </c>
      <c r="G298" s="584">
        <v>15</v>
      </c>
    </row>
    <row r="299" spans="1:7" ht="15" x14ac:dyDescent="0.25">
      <c r="A299" s="583" t="s">
        <v>12942</v>
      </c>
      <c r="B299" s="605" t="s">
        <v>12943</v>
      </c>
      <c r="C299" s="606"/>
      <c r="D299" s="607"/>
      <c r="E299" s="607"/>
      <c r="F299" s="607"/>
      <c r="G299" s="582"/>
    </row>
    <row r="300" spans="1:7" ht="30" x14ac:dyDescent="0.2">
      <c r="A300" s="583" t="s">
        <v>12944</v>
      </c>
      <c r="B300" s="605" t="s">
        <v>12945</v>
      </c>
      <c r="C300" s="606" t="s">
        <v>12427</v>
      </c>
      <c r="D300" s="607"/>
      <c r="E300" s="607">
        <v>43.72</v>
      </c>
      <c r="F300" s="607">
        <v>43.72</v>
      </c>
      <c r="G300" s="584">
        <v>15</v>
      </c>
    </row>
    <row r="301" spans="1:7" ht="30" x14ac:dyDescent="0.2">
      <c r="A301" s="583" t="s">
        <v>12946</v>
      </c>
      <c r="B301" s="605" t="s">
        <v>12947</v>
      </c>
      <c r="C301" s="606" t="s">
        <v>12427</v>
      </c>
      <c r="D301" s="607"/>
      <c r="E301" s="607">
        <v>26.57</v>
      </c>
      <c r="F301" s="607">
        <v>26.57</v>
      </c>
      <c r="G301" s="584">
        <v>15</v>
      </c>
    </row>
    <row r="302" spans="1:7" ht="15" x14ac:dyDescent="0.2">
      <c r="A302" s="583" t="s">
        <v>12948</v>
      </c>
      <c r="B302" s="605" t="s">
        <v>12949</v>
      </c>
      <c r="C302" s="606" t="s">
        <v>12483</v>
      </c>
      <c r="D302" s="607"/>
      <c r="E302" s="607">
        <v>18.399999999999999</v>
      </c>
      <c r="F302" s="607">
        <v>18.399999999999999</v>
      </c>
      <c r="G302" s="584">
        <v>15</v>
      </c>
    </row>
    <row r="303" spans="1:7" ht="15" x14ac:dyDescent="0.2">
      <c r="A303" s="583" t="s">
        <v>12950</v>
      </c>
      <c r="B303" s="605" t="s">
        <v>12951</v>
      </c>
      <c r="C303" s="606" t="s">
        <v>12483</v>
      </c>
      <c r="D303" s="607"/>
      <c r="E303" s="607">
        <v>20.440000000000001</v>
      </c>
      <c r="F303" s="607">
        <v>20.440000000000001</v>
      </c>
      <c r="G303" s="584">
        <v>15</v>
      </c>
    </row>
    <row r="304" spans="1:7" ht="15" x14ac:dyDescent="0.2">
      <c r="A304" s="583" t="s">
        <v>12952</v>
      </c>
      <c r="B304" s="605" t="s">
        <v>12953</v>
      </c>
      <c r="C304" s="606" t="s">
        <v>12483</v>
      </c>
      <c r="D304" s="607"/>
      <c r="E304" s="607">
        <v>16.350000000000001</v>
      </c>
      <c r="F304" s="607">
        <v>16.350000000000001</v>
      </c>
      <c r="G304" s="584">
        <v>15</v>
      </c>
    </row>
    <row r="305" spans="1:7" ht="15" x14ac:dyDescent="0.25">
      <c r="A305" s="583" t="s">
        <v>12954</v>
      </c>
      <c r="B305" s="605" t="s">
        <v>12955</v>
      </c>
      <c r="C305" s="606"/>
      <c r="D305" s="607"/>
      <c r="E305" s="607"/>
      <c r="F305" s="607"/>
      <c r="G305" s="582"/>
    </row>
    <row r="306" spans="1:7" ht="15" x14ac:dyDescent="0.2">
      <c r="A306" s="583" t="s">
        <v>12956</v>
      </c>
      <c r="B306" s="605" t="s">
        <v>12957</v>
      </c>
      <c r="C306" s="606" t="s">
        <v>12427</v>
      </c>
      <c r="D306" s="607"/>
      <c r="E306" s="607">
        <v>57.32</v>
      </c>
      <c r="F306" s="607">
        <v>57.32</v>
      </c>
      <c r="G306" s="584">
        <v>15</v>
      </c>
    </row>
    <row r="307" spans="1:7" ht="15" x14ac:dyDescent="0.2">
      <c r="A307" s="583" t="s">
        <v>12958</v>
      </c>
      <c r="B307" s="605" t="s">
        <v>12959</v>
      </c>
      <c r="C307" s="606" t="s">
        <v>12427</v>
      </c>
      <c r="D307" s="607"/>
      <c r="E307" s="607">
        <v>12.26</v>
      </c>
      <c r="F307" s="607">
        <v>12.26</v>
      </c>
      <c r="G307" s="584">
        <v>15</v>
      </c>
    </row>
    <row r="308" spans="1:7" ht="15" x14ac:dyDescent="0.2">
      <c r="A308" s="583" t="s">
        <v>12960</v>
      </c>
      <c r="B308" s="605" t="s">
        <v>12961</v>
      </c>
      <c r="C308" s="606" t="s">
        <v>12427</v>
      </c>
      <c r="D308" s="607"/>
      <c r="E308" s="607">
        <v>15.85</v>
      </c>
      <c r="F308" s="607">
        <v>15.85</v>
      </c>
      <c r="G308" s="584">
        <v>15</v>
      </c>
    </row>
    <row r="309" spans="1:7" ht="15" x14ac:dyDescent="0.2">
      <c r="A309" s="583" t="s">
        <v>12962</v>
      </c>
      <c r="B309" s="605" t="s">
        <v>12963</v>
      </c>
      <c r="C309" s="606" t="s">
        <v>12427</v>
      </c>
      <c r="D309" s="607"/>
      <c r="E309" s="607">
        <v>27.18</v>
      </c>
      <c r="F309" s="607">
        <v>27.18</v>
      </c>
      <c r="G309" s="584">
        <v>15</v>
      </c>
    </row>
    <row r="310" spans="1:7" ht="15" x14ac:dyDescent="0.2">
      <c r="A310" s="583" t="s">
        <v>12964</v>
      </c>
      <c r="B310" s="605" t="s">
        <v>12965</v>
      </c>
      <c r="C310" s="606" t="s">
        <v>12483</v>
      </c>
      <c r="D310" s="607"/>
      <c r="E310" s="607">
        <v>13.59</v>
      </c>
      <c r="F310" s="607">
        <v>13.59</v>
      </c>
      <c r="G310" s="584">
        <v>15</v>
      </c>
    </row>
    <row r="311" spans="1:7" ht="15" x14ac:dyDescent="0.2">
      <c r="A311" s="583" t="s">
        <v>12966</v>
      </c>
      <c r="B311" s="605" t="s">
        <v>12967</v>
      </c>
      <c r="C311" s="606" t="s">
        <v>12483</v>
      </c>
      <c r="D311" s="607"/>
      <c r="E311" s="607">
        <v>3.07</v>
      </c>
      <c r="F311" s="607">
        <v>3.07</v>
      </c>
      <c r="G311" s="584">
        <v>15</v>
      </c>
    </row>
    <row r="312" spans="1:7" ht="15" x14ac:dyDescent="0.25">
      <c r="A312" s="583" t="s">
        <v>12968</v>
      </c>
      <c r="B312" s="605" t="s">
        <v>12969</v>
      </c>
      <c r="C312" s="606"/>
      <c r="D312" s="607"/>
      <c r="E312" s="607"/>
      <c r="F312" s="607"/>
      <c r="G312" s="582"/>
    </row>
    <row r="313" spans="1:7" ht="15" x14ac:dyDescent="0.2">
      <c r="A313" s="583" t="s">
        <v>12970</v>
      </c>
      <c r="B313" s="605" t="s">
        <v>12971</v>
      </c>
      <c r="C313" s="606" t="s">
        <v>12427</v>
      </c>
      <c r="D313" s="607"/>
      <c r="E313" s="607">
        <v>57.32</v>
      </c>
      <c r="F313" s="607">
        <v>57.32</v>
      </c>
      <c r="G313" s="584">
        <v>15</v>
      </c>
    </row>
    <row r="314" spans="1:7" ht="15" x14ac:dyDescent="0.2">
      <c r="A314" s="583" t="s">
        <v>12972</v>
      </c>
      <c r="B314" s="605" t="s">
        <v>12973</v>
      </c>
      <c r="C314" s="606" t="s">
        <v>12427</v>
      </c>
      <c r="D314" s="607"/>
      <c r="E314" s="607">
        <v>4.53</v>
      </c>
      <c r="F314" s="607">
        <v>4.53</v>
      </c>
      <c r="G314" s="584">
        <v>15</v>
      </c>
    </row>
    <row r="315" spans="1:7" ht="15" x14ac:dyDescent="0.2">
      <c r="A315" s="583" t="s">
        <v>12974</v>
      </c>
      <c r="B315" s="605" t="s">
        <v>12975</v>
      </c>
      <c r="C315" s="606" t="s">
        <v>12483</v>
      </c>
      <c r="D315" s="607"/>
      <c r="E315" s="607">
        <v>4.21</v>
      </c>
      <c r="F315" s="607">
        <v>4.21</v>
      </c>
      <c r="G315" s="584">
        <v>15</v>
      </c>
    </row>
    <row r="316" spans="1:7" ht="15" x14ac:dyDescent="0.2">
      <c r="A316" s="583" t="s">
        <v>12976</v>
      </c>
      <c r="B316" s="605" t="s">
        <v>12977</v>
      </c>
      <c r="C316" s="606" t="s">
        <v>12483</v>
      </c>
      <c r="D316" s="607"/>
      <c r="E316" s="607">
        <v>1.02</v>
      </c>
      <c r="F316" s="607">
        <v>1.02</v>
      </c>
      <c r="G316" s="584">
        <v>15</v>
      </c>
    </row>
    <row r="317" spans="1:7" ht="30" x14ac:dyDescent="0.2">
      <c r="A317" s="583" t="s">
        <v>12978</v>
      </c>
      <c r="B317" s="605" t="s">
        <v>12979</v>
      </c>
      <c r="C317" s="606" t="s">
        <v>12427</v>
      </c>
      <c r="D317" s="607"/>
      <c r="E317" s="607">
        <v>49.65</v>
      </c>
      <c r="F317" s="607">
        <v>49.65</v>
      </c>
      <c r="G317" s="584">
        <v>15</v>
      </c>
    </row>
    <row r="318" spans="1:7" ht="15" x14ac:dyDescent="0.25">
      <c r="A318" s="583" t="s">
        <v>12980</v>
      </c>
      <c r="B318" s="605" t="s">
        <v>12981</v>
      </c>
      <c r="C318" s="606"/>
      <c r="D318" s="607"/>
      <c r="E318" s="607"/>
      <c r="F318" s="607"/>
      <c r="G318" s="582"/>
    </row>
    <row r="319" spans="1:7" ht="15" x14ac:dyDescent="0.2">
      <c r="A319" s="583" t="s">
        <v>12982</v>
      </c>
      <c r="B319" s="605" t="s">
        <v>12983</v>
      </c>
      <c r="C319" s="606" t="s">
        <v>12427</v>
      </c>
      <c r="D319" s="607"/>
      <c r="E319" s="607">
        <v>12.68</v>
      </c>
      <c r="F319" s="607">
        <v>12.68</v>
      </c>
      <c r="G319" s="584">
        <v>15</v>
      </c>
    </row>
    <row r="320" spans="1:7" ht="15" x14ac:dyDescent="0.2">
      <c r="A320" s="583" t="s">
        <v>12984</v>
      </c>
      <c r="B320" s="605" t="s">
        <v>12985</v>
      </c>
      <c r="C320" s="606" t="s">
        <v>12427</v>
      </c>
      <c r="D320" s="607"/>
      <c r="E320" s="607">
        <v>6.8</v>
      </c>
      <c r="F320" s="607">
        <v>6.8</v>
      </c>
      <c r="G320" s="584">
        <v>15</v>
      </c>
    </row>
    <row r="321" spans="1:7" ht="15" x14ac:dyDescent="0.2">
      <c r="A321" s="583" t="s">
        <v>12986</v>
      </c>
      <c r="B321" s="605" t="s">
        <v>12987</v>
      </c>
      <c r="C321" s="606" t="s">
        <v>12427</v>
      </c>
      <c r="D321" s="607"/>
      <c r="E321" s="607">
        <v>5.1100000000000003</v>
      </c>
      <c r="F321" s="607">
        <v>5.1100000000000003</v>
      </c>
      <c r="G321" s="584">
        <v>15</v>
      </c>
    </row>
    <row r="322" spans="1:7" ht="15" x14ac:dyDescent="0.25">
      <c r="A322" s="583" t="s">
        <v>12988</v>
      </c>
      <c r="B322" s="605" t="s">
        <v>12989</v>
      </c>
      <c r="C322" s="606"/>
      <c r="D322" s="607"/>
      <c r="E322" s="607"/>
      <c r="F322" s="607"/>
      <c r="G322" s="582"/>
    </row>
    <row r="323" spans="1:7" ht="15" x14ac:dyDescent="0.2">
      <c r="A323" s="583" t="s">
        <v>12990</v>
      </c>
      <c r="B323" s="605" t="s">
        <v>12991</v>
      </c>
      <c r="C323" s="606" t="s">
        <v>12375</v>
      </c>
      <c r="D323" s="607"/>
      <c r="E323" s="607">
        <v>22.66</v>
      </c>
      <c r="F323" s="607">
        <v>22.66</v>
      </c>
      <c r="G323" s="584">
        <v>15</v>
      </c>
    </row>
    <row r="324" spans="1:7" ht="30" x14ac:dyDescent="0.2">
      <c r="A324" s="583" t="s">
        <v>12992</v>
      </c>
      <c r="B324" s="605" t="s">
        <v>12993</v>
      </c>
      <c r="C324" s="606" t="s">
        <v>12483</v>
      </c>
      <c r="D324" s="607"/>
      <c r="E324" s="607">
        <v>1.74</v>
      </c>
      <c r="F324" s="607">
        <v>1.74</v>
      </c>
      <c r="G324" s="584">
        <v>15</v>
      </c>
    </row>
    <row r="325" spans="1:7" ht="30" x14ac:dyDescent="0.2">
      <c r="A325" s="583" t="s">
        <v>12994</v>
      </c>
      <c r="B325" s="605" t="s">
        <v>12995</v>
      </c>
      <c r="C325" s="606" t="s">
        <v>12483</v>
      </c>
      <c r="D325" s="607"/>
      <c r="E325" s="607">
        <v>13.59</v>
      </c>
      <c r="F325" s="607">
        <v>13.59</v>
      </c>
      <c r="G325" s="584">
        <v>15</v>
      </c>
    </row>
    <row r="326" spans="1:7" ht="30" x14ac:dyDescent="0.2">
      <c r="A326" s="583" t="s">
        <v>12996</v>
      </c>
      <c r="B326" s="605" t="s">
        <v>12997</v>
      </c>
      <c r="C326" s="606" t="s">
        <v>12427</v>
      </c>
      <c r="D326" s="607"/>
      <c r="E326" s="607">
        <v>6.13</v>
      </c>
      <c r="F326" s="607">
        <v>6.13</v>
      </c>
      <c r="G326" s="584">
        <v>15</v>
      </c>
    </row>
    <row r="327" spans="1:7" ht="15" x14ac:dyDescent="0.2">
      <c r="A327" s="583" t="s">
        <v>12998</v>
      </c>
      <c r="B327" s="605" t="s">
        <v>12999</v>
      </c>
      <c r="C327" s="606" t="s">
        <v>12427</v>
      </c>
      <c r="D327" s="607"/>
      <c r="E327" s="607">
        <v>20.39</v>
      </c>
      <c r="F327" s="607">
        <v>20.39</v>
      </c>
      <c r="G327" s="584">
        <v>15</v>
      </c>
    </row>
    <row r="328" spans="1:7" ht="15" x14ac:dyDescent="0.25">
      <c r="A328" s="583" t="s">
        <v>13000</v>
      </c>
      <c r="B328" s="605" t="s">
        <v>13001</v>
      </c>
      <c r="C328" s="606"/>
      <c r="D328" s="607"/>
      <c r="E328" s="607"/>
      <c r="F328" s="607"/>
      <c r="G328" s="582"/>
    </row>
    <row r="329" spans="1:7" ht="15" x14ac:dyDescent="0.2">
      <c r="A329" s="583" t="s">
        <v>13002</v>
      </c>
      <c r="B329" s="605" t="s">
        <v>13003</v>
      </c>
      <c r="C329" s="606" t="s">
        <v>12427</v>
      </c>
      <c r="D329" s="607"/>
      <c r="E329" s="607">
        <v>31.72</v>
      </c>
      <c r="F329" s="607">
        <v>31.72</v>
      </c>
      <c r="G329" s="584">
        <v>15</v>
      </c>
    </row>
    <row r="330" spans="1:7" ht="15" x14ac:dyDescent="0.2">
      <c r="A330" s="583" t="s">
        <v>13004</v>
      </c>
      <c r="B330" s="605" t="s">
        <v>13005</v>
      </c>
      <c r="C330" s="606" t="s">
        <v>12375</v>
      </c>
      <c r="D330" s="607"/>
      <c r="E330" s="607">
        <v>26.45</v>
      </c>
      <c r="F330" s="607">
        <v>26.45</v>
      </c>
      <c r="G330" s="584">
        <v>15</v>
      </c>
    </row>
    <row r="331" spans="1:7" ht="30" x14ac:dyDescent="0.2">
      <c r="A331" s="583" t="s">
        <v>13006</v>
      </c>
      <c r="B331" s="605" t="s">
        <v>13007</v>
      </c>
      <c r="C331" s="606" t="s">
        <v>12483</v>
      </c>
      <c r="D331" s="607"/>
      <c r="E331" s="607">
        <v>10.88</v>
      </c>
      <c r="F331" s="607">
        <v>10.88</v>
      </c>
      <c r="G331" s="584">
        <v>15</v>
      </c>
    </row>
    <row r="332" spans="1:7" ht="30" x14ac:dyDescent="0.2">
      <c r="A332" s="583" t="s">
        <v>13008</v>
      </c>
      <c r="B332" s="605" t="s">
        <v>13009</v>
      </c>
      <c r="C332" s="606" t="s">
        <v>12483</v>
      </c>
      <c r="D332" s="607"/>
      <c r="E332" s="607">
        <v>7.46</v>
      </c>
      <c r="F332" s="607">
        <v>7.46</v>
      </c>
      <c r="G332" s="584">
        <v>15</v>
      </c>
    </row>
    <row r="333" spans="1:7" ht="15" x14ac:dyDescent="0.2">
      <c r="A333" s="583" t="s">
        <v>13010</v>
      </c>
      <c r="B333" s="605" t="s">
        <v>13011</v>
      </c>
      <c r="C333" s="606" t="s">
        <v>12427</v>
      </c>
      <c r="D333" s="607"/>
      <c r="E333" s="607">
        <v>31.72</v>
      </c>
      <c r="F333" s="607">
        <v>31.72</v>
      </c>
      <c r="G333" s="584">
        <v>15</v>
      </c>
    </row>
    <row r="334" spans="1:7" ht="15" x14ac:dyDescent="0.2">
      <c r="A334" s="583" t="s">
        <v>13012</v>
      </c>
      <c r="B334" s="605" t="s">
        <v>13013</v>
      </c>
      <c r="C334" s="606" t="s">
        <v>12483</v>
      </c>
      <c r="D334" s="607"/>
      <c r="E334" s="607">
        <v>36.25</v>
      </c>
      <c r="F334" s="607">
        <v>36.25</v>
      </c>
      <c r="G334" s="584">
        <v>15</v>
      </c>
    </row>
    <row r="335" spans="1:7" ht="30" x14ac:dyDescent="0.2">
      <c r="A335" s="583" t="s">
        <v>13014</v>
      </c>
      <c r="B335" s="605" t="s">
        <v>13015</v>
      </c>
      <c r="C335" s="606" t="s">
        <v>12375</v>
      </c>
      <c r="D335" s="607"/>
      <c r="E335" s="607">
        <v>26.57</v>
      </c>
      <c r="F335" s="607">
        <v>26.57</v>
      </c>
      <c r="G335" s="584">
        <v>15</v>
      </c>
    </row>
    <row r="336" spans="1:7" ht="15" x14ac:dyDescent="0.2">
      <c r="A336" s="583" t="s">
        <v>13016</v>
      </c>
      <c r="B336" s="605" t="s">
        <v>13017</v>
      </c>
      <c r="C336" s="606" t="s">
        <v>12427</v>
      </c>
      <c r="D336" s="607"/>
      <c r="E336" s="607">
        <v>4.3099999999999996</v>
      </c>
      <c r="F336" s="607">
        <v>4.3099999999999996</v>
      </c>
      <c r="G336" s="584">
        <v>15</v>
      </c>
    </row>
    <row r="337" spans="1:7" ht="15" x14ac:dyDescent="0.25">
      <c r="A337" s="583" t="s">
        <v>13018</v>
      </c>
      <c r="B337" s="605" t="s">
        <v>13019</v>
      </c>
      <c r="C337" s="606"/>
      <c r="D337" s="607"/>
      <c r="E337" s="607"/>
      <c r="F337" s="607"/>
      <c r="G337" s="582"/>
    </row>
    <row r="338" spans="1:7" ht="15" x14ac:dyDescent="0.2">
      <c r="A338" s="583" t="s">
        <v>13020</v>
      </c>
      <c r="B338" s="605" t="s">
        <v>13021</v>
      </c>
      <c r="C338" s="606" t="s">
        <v>12375</v>
      </c>
      <c r="D338" s="607"/>
      <c r="E338" s="607">
        <v>12.44</v>
      </c>
      <c r="F338" s="607">
        <v>12.44</v>
      </c>
      <c r="G338" s="584">
        <v>15</v>
      </c>
    </row>
    <row r="339" spans="1:7" ht="15" x14ac:dyDescent="0.2">
      <c r="A339" s="583" t="s">
        <v>13022</v>
      </c>
      <c r="B339" s="605" t="s">
        <v>13023</v>
      </c>
      <c r="C339" s="606" t="s">
        <v>12375</v>
      </c>
      <c r="D339" s="607"/>
      <c r="E339" s="607">
        <v>4.97</v>
      </c>
      <c r="F339" s="607">
        <v>4.97</v>
      </c>
      <c r="G339" s="584">
        <v>15</v>
      </c>
    </row>
    <row r="340" spans="1:7" ht="15" x14ac:dyDescent="0.2">
      <c r="A340" s="583" t="s">
        <v>13024</v>
      </c>
      <c r="B340" s="605" t="s">
        <v>13025</v>
      </c>
      <c r="C340" s="606" t="s">
        <v>12375</v>
      </c>
      <c r="D340" s="607"/>
      <c r="E340" s="607">
        <v>2.4900000000000002</v>
      </c>
      <c r="F340" s="607">
        <v>2.4900000000000002</v>
      </c>
      <c r="G340" s="584">
        <v>15</v>
      </c>
    </row>
    <row r="341" spans="1:7" ht="30" x14ac:dyDescent="0.2">
      <c r="A341" s="583" t="s">
        <v>13026</v>
      </c>
      <c r="B341" s="605" t="s">
        <v>13027</v>
      </c>
      <c r="C341" s="606" t="s">
        <v>12375</v>
      </c>
      <c r="D341" s="607"/>
      <c r="E341" s="607">
        <v>19.47</v>
      </c>
      <c r="F341" s="607">
        <v>19.47</v>
      </c>
      <c r="G341" s="584">
        <v>15</v>
      </c>
    </row>
    <row r="342" spans="1:7" ht="15" x14ac:dyDescent="0.25">
      <c r="A342" s="583" t="s">
        <v>13028</v>
      </c>
      <c r="B342" s="605" t="s">
        <v>13029</v>
      </c>
      <c r="C342" s="606"/>
      <c r="D342" s="607"/>
      <c r="E342" s="607"/>
      <c r="F342" s="607"/>
      <c r="G342" s="582"/>
    </row>
    <row r="343" spans="1:7" ht="15" x14ac:dyDescent="0.2">
      <c r="A343" s="583" t="s">
        <v>13030</v>
      </c>
      <c r="B343" s="605" t="s">
        <v>13031</v>
      </c>
      <c r="C343" s="606" t="s">
        <v>12375</v>
      </c>
      <c r="D343" s="607"/>
      <c r="E343" s="607">
        <v>44.7</v>
      </c>
      <c r="F343" s="607">
        <v>44.7</v>
      </c>
      <c r="G343" s="584">
        <v>15</v>
      </c>
    </row>
    <row r="344" spans="1:7" ht="15" x14ac:dyDescent="0.2">
      <c r="A344" s="583" t="s">
        <v>13032</v>
      </c>
      <c r="B344" s="605" t="s">
        <v>13033</v>
      </c>
      <c r="C344" s="606" t="s">
        <v>12427</v>
      </c>
      <c r="D344" s="607"/>
      <c r="E344" s="607">
        <v>63.44</v>
      </c>
      <c r="F344" s="607">
        <v>63.44</v>
      </c>
      <c r="G344" s="584">
        <v>15</v>
      </c>
    </row>
    <row r="345" spans="1:7" ht="15" x14ac:dyDescent="0.2">
      <c r="A345" s="583" t="s">
        <v>13034</v>
      </c>
      <c r="B345" s="605" t="s">
        <v>13035</v>
      </c>
      <c r="C345" s="606" t="s">
        <v>12375</v>
      </c>
      <c r="D345" s="607"/>
      <c r="E345" s="607">
        <v>14.92</v>
      </c>
      <c r="F345" s="607">
        <v>14.92</v>
      </c>
      <c r="G345" s="584">
        <v>15</v>
      </c>
    </row>
    <row r="346" spans="1:7" ht="15" x14ac:dyDescent="0.2">
      <c r="A346" s="583" t="s">
        <v>13036</v>
      </c>
      <c r="B346" s="605" t="s">
        <v>13037</v>
      </c>
      <c r="C346" s="606" t="s">
        <v>12375</v>
      </c>
      <c r="D346" s="607"/>
      <c r="E346" s="607">
        <v>6.22</v>
      </c>
      <c r="F346" s="607">
        <v>6.22</v>
      </c>
      <c r="G346" s="584">
        <v>15</v>
      </c>
    </row>
    <row r="347" spans="1:7" ht="15" x14ac:dyDescent="0.2">
      <c r="A347" s="583" t="s">
        <v>13038</v>
      </c>
      <c r="B347" s="605" t="s">
        <v>13039</v>
      </c>
      <c r="C347" s="606" t="s">
        <v>12375</v>
      </c>
      <c r="D347" s="607"/>
      <c r="E347" s="607">
        <v>57.14</v>
      </c>
      <c r="F347" s="607">
        <v>57.14</v>
      </c>
      <c r="G347" s="584">
        <v>15</v>
      </c>
    </row>
    <row r="348" spans="1:7" ht="15" x14ac:dyDescent="0.2">
      <c r="A348" s="583" t="s">
        <v>13040</v>
      </c>
      <c r="B348" s="605" t="s">
        <v>13041</v>
      </c>
      <c r="C348" s="606" t="s">
        <v>12375</v>
      </c>
      <c r="D348" s="607"/>
      <c r="E348" s="607">
        <v>32.78</v>
      </c>
      <c r="F348" s="607">
        <v>32.78</v>
      </c>
      <c r="G348" s="584">
        <v>15</v>
      </c>
    </row>
    <row r="349" spans="1:7" ht="15" x14ac:dyDescent="0.2">
      <c r="A349" s="583" t="s">
        <v>13042</v>
      </c>
      <c r="B349" s="605" t="s">
        <v>13043</v>
      </c>
      <c r="C349" s="606" t="s">
        <v>12375</v>
      </c>
      <c r="D349" s="607"/>
      <c r="E349" s="607">
        <v>32.78</v>
      </c>
      <c r="F349" s="607">
        <v>32.78</v>
      </c>
      <c r="G349" s="584">
        <v>15</v>
      </c>
    </row>
    <row r="350" spans="1:7" ht="15" x14ac:dyDescent="0.2">
      <c r="A350" s="583" t="s">
        <v>13044</v>
      </c>
      <c r="B350" s="605" t="s">
        <v>13045</v>
      </c>
      <c r="C350" s="606" t="s">
        <v>12375</v>
      </c>
      <c r="D350" s="607"/>
      <c r="E350" s="607">
        <v>7.75</v>
      </c>
      <c r="F350" s="607">
        <v>7.75</v>
      </c>
      <c r="G350" s="584">
        <v>15</v>
      </c>
    </row>
    <row r="351" spans="1:7" ht="15" x14ac:dyDescent="0.2">
      <c r="A351" s="583" t="s">
        <v>13046</v>
      </c>
      <c r="B351" s="605" t="s">
        <v>13047</v>
      </c>
      <c r="C351" s="606" t="s">
        <v>12375</v>
      </c>
      <c r="D351" s="607"/>
      <c r="E351" s="607">
        <v>11.92</v>
      </c>
      <c r="F351" s="607">
        <v>11.92</v>
      </c>
      <c r="G351" s="584">
        <v>15</v>
      </c>
    </row>
    <row r="352" spans="1:7" ht="15" x14ac:dyDescent="0.2">
      <c r="A352" s="583" t="s">
        <v>13048</v>
      </c>
      <c r="B352" s="605" t="s">
        <v>13049</v>
      </c>
      <c r="C352" s="606" t="s">
        <v>12375</v>
      </c>
      <c r="D352" s="607"/>
      <c r="E352" s="607">
        <v>22.65</v>
      </c>
      <c r="F352" s="607">
        <v>22.65</v>
      </c>
      <c r="G352" s="584">
        <v>15</v>
      </c>
    </row>
    <row r="353" spans="1:7" ht="15" x14ac:dyDescent="0.25">
      <c r="A353" s="583" t="s">
        <v>13050</v>
      </c>
      <c r="B353" s="605" t="s">
        <v>13051</v>
      </c>
      <c r="C353" s="606"/>
      <c r="D353" s="607"/>
      <c r="E353" s="607"/>
      <c r="F353" s="607"/>
      <c r="G353" s="582"/>
    </row>
    <row r="354" spans="1:7" ht="15" x14ac:dyDescent="0.2">
      <c r="A354" s="583" t="s">
        <v>13052</v>
      </c>
      <c r="B354" s="605" t="s">
        <v>13053</v>
      </c>
      <c r="C354" s="606" t="s">
        <v>12375</v>
      </c>
      <c r="D354" s="607"/>
      <c r="E354" s="607">
        <v>94.94</v>
      </c>
      <c r="F354" s="607">
        <v>94.94</v>
      </c>
      <c r="G354" s="584">
        <v>15</v>
      </c>
    </row>
    <row r="355" spans="1:7" ht="15" x14ac:dyDescent="0.2">
      <c r="A355" s="583" t="s">
        <v>13054</v>
      </c>
      <c r="B355" s="605" t="s">
        <v>13055</v>
      </c>
      <c r="C355" s="606" t="s">
        <v>12375</v>
      </c>
      <c r="D355" s="607"/>
      <c r="E355" s="607">
        <v>75.36</v>
      </c>
      <c r="F355" s="607">
        <v>75.36</v>
      </c>
      <c r="G355" s="584">
        <v>15</v>
      </c>
    </row>
    <row r="356" spans="1:7" ht="15" x14ac:dyDescent="0.25">
      <c r="A356" s="583" t="s">
        <v>13056</v>
      </c>
      <c r="B356" s="605" t="s">
        <v>13057</v>
      </c>
      <c r="C356" s="606"/>
      <c r="D356" s="607"/>
      <c r="E356" s="607"/>
      <c r="F356" s="607"/>
      <c r="G356" s="582"/>
    </row>
    <row r="357" spans="1:7" ht="15" x14ac:dyDescent="0.2">
      <c r="A357" s="583" t="s">
        <v>13058</v>
      </c>
      <c r="B357" s="605" t="s">
        <v>13059</v>
      </c>
      <c r="C357" s="606" t="s">
        <v>12427</v>
      </c>
      <c r="D357" s="607"/>
      <c r="E357" s="607">
        <v>6.13</v>
      </c>
      <c r="F357" s="607">
        <v>6.13</v>
      </c>
      <c r="G357" s="584">
        <v>15</v>
      </c>
    </row>
    <row r="358" spans="1:7" ht="15" x14ac:dyDescent="0.2">
      <c r="A358" s="583" t="s">
        <v>13060</v>
      </c>
      <c r="B358" s="605" t="s">
        <v>13061</v>
      </c>
      <c r="C358" s="606" t="s">
        <v>12427</v>
      </c>
      <c r="D358" s="607"/>
      <c r="E358" s="607">
        <v>1.02</v>
      </c>
      <c r="F358" s="607">
        <v>1.02</v>
      </c>
      <c r="G358" s="584">
        <v>15</v>
      </c>
    </row>
    <row r="359" spans="1:7" ht="15" x14ac:dyDescent="0.25">
      <c r="A359" s="583" t="s">
        <v>13062</v>
      </c>
      <c r="B359" s="605" t="s">
        <v>13063</v>
      </c>
      <c r="C359" s="606"/>
      <c r="D359" s="607"/>
      <c r="E359" s="607"/>
      <c r="F359" s="607"/>
      <c r="G359" s="582"/>
    </row>
    <row r="360" spans="1:7" ht="30" x14ac:dyDescent="0.2">
      <c r="A360" s="583" t="s">
        <v>13064</v>
      </c>
      <c r="B360" s="605" t="s">
        <v>13065</v>
      </c>
      <c r="C360" s="606" t="s">
        <v>12427</v>
      </c>
      <c r="D360" s="607"/>
      <c r="E360" s="607">
        <v>14.9</v>
      </c>
      <c r="F360" s="607">
        <v>14.9</v>
      </c>
      <c r="G360" s="584">
        <v>15</v>
      </c>
    </row>
    <row r="361" spans="1:7" ht="15" x14ac:dyDescent="0.2">
      <c r="A361" s="583" t="s">
        <v>13066</v>
      </c>
      <c r="B361" s="605" t="s">
        <v>13067</v>
      </c>
      <c r="C361" s="606" t="s">
        <v>12427</v>
      </c>
      <c r="D361" s="607"/>
      <c r="E361" s="607">
        <v>45.31</v>
      </c>
      <c r="F361" s="607">
        <v>45.31</v>
      </c>
      <c r="G361" s="584">
        <v>15</v>
      </c>
    </row>
    <row r="362" spans="1:7" ht="15" x14ac:dyDescent="0.25">
      <c r="A362" s="583" t="s">
        <v>13068</v>
      </c>
      <c r="B362" s="605" t="s">
        <v>13069</v>
      </c>
      <c r="C362" s="606"/>
      <c r="D362" s="607"/>
      <c r="E362" s="607"/>
      <c r="F362" s="607"/>
      <c r="G362" s="582"/>
    </row>
    <row r="363" spans="1:7" ht="30" x14ac:dyDescent="0.2">
      <c r="A363" s="583" t="s">
        <v>13070</v>
      </c>
      <c r="B363" s="605" t="s">
        <v>13071</v>
      </c>
      <c r="C363" s="606" t="s">
        <v>12375</v>
      </c>
      <c r="D363" s="607"/>
      <c r="E363" s="607">
        <v>20.100000000000001</v>
      </c>
      <c r="F363" s="607">
        <v>20.100000000000001</v>
      </c>
      <c r="G363" s="584">
        <v>15</v>
      </c>
    </row>
    <row r="364" spans="1:7" ht="30" x14ac:dyDescent="0.2">
      <c r="A364" s="583" t="s">
        <v>13072</v>
      </c>
      <c r="B364" s="605" t="s">
        <v>13073</v>
      </c>
      <c r="C364" s="606" t="s">
        <v>12375</v>
      </c>
      <c r="D364" s="607"/>
      <c r="E364" s="607">
        <v>75.36</v>
      </c>
      <c r="F364" s="607">
        <v>75.36</v>
      </c>
      <c r="G364" s="584">
        <v>15</v>
      </c>
    </row>
    <row r="365" spans="1:7" ht="15" x14ac:dyDescent="0.2">
      <c r="A365" s="583" t="s">
        <v>13074</v>
      </c>
      <c r="B365" s="605" t="s">
        <v>13075</v>
      </c>
      <c r="C365" s="606" t="s">
        <v>12375</v>
      </c>
      <c r="D365" s="607"/>
      <c r="E365" s="607">
        <v>25.12</v>
      </c>
      <c r="F365" s="607">
        <v>25.12</v>
      </c>
      <c r="G365" s="584">
        <v>15</v>
      </c>
    </row>
    <row r="366" spans="1:7" ht="15" x14ac:dyDescent="0.2">
      <c r="A366" s="583" t="s">
        <v>13076</v>
      </c>
      <c r="B366" s="605" t="s">
        <v>13077</v>
      </c>
      <c r="C366" s="606" t="s">
        <v>12483</v>
      </c>
      <c r="D366" s="607"/>
      <c r="E366" s="607">
        <v>20.100000000000001</v>
      </c>
      <c r="F366" s="607">
        <v>20.100000000000001</v>
      </c>
      <c r="G366" s="584">
        <v>15</v>
      </c>
    </row>
    <row r="367" spans="1:7" ht="15" x14ac:dyDescent="0.2">
      <c r="A367" s="583" t="s">
        <v>13078</v>
      </c>
      <c r="B367" s="605" t="s">
        <v>13079</v>
      </c>
      <c r="C367" s="606" t="s">
        <v>12375</v>
      </c>
      <c r="D367" s="607"/>
      <c r="E367" s="607">
        <v>7.54</v>
      </c>
      <c r="F367" s="607">
        <v>7.54</v>
      </c>
      <c r="G367" s="584">
        <v>15</v>
      </c>
    </row>
    <row r="368" spans="1:7" ht="15" x14ac:dyDescent="0.2">
      <c r="A368" s="583" t="s">
        <v>13080</v>
      </c>
      <c r="B368" s="605" t="s">
        <v>13081</v>
      </c>
      <c r="C368" s="606" t="s">
        <v>12375</v>
      </c>
      <c r="D368" s="607"/>
      <c r="E368" s="607">
        <v>7.54</v>
      </c>
      <c r="F368" s="607">
        <v>7.54</v>
      </c>
      <c r="G368" s="584">
        <v>15</v>
      </c>
    </row>
    <row r="369" spans="1:7" ht="15" x14ac:dyDescent="0.2">
      <c r="A369" s="583" t="s">
        <v>13082</v>
      </c>
      <c r="B369" s="605" t="s">
        <v>13083</v>
      </c>
      <c r="C369" s="606" t="s">
        <v>12375</v>
      </c>
      <c r="D369" s="607"/>
      <c r="E369" s="607">
        <v>50.24</v>
      </c>
      <c r="F369" s="607">
        <v>50.24</v>
      </c>
      <c r="G369" s="584">
        <v>15</v>
      </c>
    </row>
    <row r="370" spans="1:7" ht="15" x14ac:dyDescent="0.2">
      <c r="A370" s="583" t="s">
        <v>13084</v>
      </c>
      <c r="B370" s="605" t="s">
        <v>13085</v>
      </c>
      <c r="C370" s="606" t="s">
        <v>12375</v>
      </c>
      <c r="D370" s="607"/>
      <c r="E370" s="607">
        <v>25.12</v>
      </c>
      <c r="F370" s="607">
        <v>25.12</v>
      </c>
      <c r="G370" s="584">
        <v>15</v>
      </c>
    </row>
    <row r="371" spans="1:7" ht="15" x14ac:dyDescent="0.2">
      <c r="A371" s="583" t="s">
        <v>13086</v>
      </c>
      <c r="B371" s="605" t="s">
        <v>13087</v>
      </c>
      <c r="C371" s="606" t="s">
        <v>12375</v>
      </c>
      <c r="D371" s="607"/>
      <c r="E371" s="607">
        <v>22.61</v>
      </c>
      <c r="F371" s="607">
        <v>22.61</v>
      </c>
      <c r="G371" s="584">
        <v>15</v>
      </c>
    </row>
    <row r="372" spans="1:7" ht="15" x14ac:dyDescent="0.2">
      <c r="A372" s="583" t="s">
        <v>13088</v>
      </c>
      <c r="B372" s="605" t="s">
        <v>13089</v>
      </c>
      <c r="C372" s="606" t="s">
        <v>12375</v>
      </c>
      <c r="D372" s="607"/>
      <c r="E372" s="607">
        <v>20.100000000000001</v>
      </c>
      <c r="F372" s="607">
        <v>20.100000000000001</v>
      </c>
      <c r="G372" s="584">
        <v>15</v>
      </c>
    </row>
    <row r="373" spans="1:7" ht="15" x14ac:dyDescent="0.2">
      <c r="A373" s="583" t="s">
        <v>13090</v>
      </c>
      <c r="B373" s="605" t="s">
        <v>13091</v>
      </c>
      <c r="C373" s="606" t="s">
        <v>12375</v>
      </c>
      <c r="D373" s="607"/>
      <c r="E373" s="607">
        <v>20.100000000000001</v>
      </c>
      <c r="F373" s="607">
        <v>20.100000000000001</v>
      </c>
      <c r="G373" s="584">
        <v>15</v>
      </c>
    </row>
    <row r="374" spans="1:7" ht="15" x14ac:dyDescent="0.2">
      <c r="A374" s="583" t="s">
        <v>13092</v>
      </c>
      <c r="B374" s="605" t="s">
        <v>13093</v>
      </c>
      <c r="C374" s="606" t="s">
        <v>12375</v>
      </c>
      <c r="D374" s="607"/>
      <c r="E374" s="607">
        <v>15.07</v>
      </c>
      <c r="F374" s="607">
        <v>15.07</v>
      </c>
      <c r="G374" s="584">
        <v>15</v>
      </c>
    </row>
    <row r="375" spans="1:7" ht="15" x14ac:dyDescent="0.25">
      <c r="A375" s="583" t="s">
        <v>13094</v>
      </c>
      <c r="B375" s="605" t="s">
        <v>13095</v>
      </c>
      <c r="C375" s="606"/>
      <c r="D375" s="607"/>
      <c r="E375" s="607"/>
      <c r="F375" s="607"/>
      <c r="G375" s="582"/>
    </row>
    <row r="376" spans="1:7" ht="15" x14ac:dyDescent="0.2">
      <c r="A376" s="583" t="s">
        <v>13096</v>
      </c>
      <c r="B376" s="605" t="s">
        <v>13097</v>
      </c>
      <c r="C376" s="606" t="s">
        <v>12375</v>
      </c>
      <c r="D376" s="607"/>
      <c r="E376" s="607">
        <v>12.56</v>
      </c>
      <c r="F376" s="607">
        <v>12.56</v>
      </c>
      <c r="G376" s="584">
        <v>15</v>
      </c>
    </row>
    <row r="377" spans="1:7" ht="15" x14ac:dyDescent="0.2">
      <c r="A377" s="583" t="s">
        <v>13098</v>
      </c>
      <c r="B377" s="605" t="s">
        <v>13099</v>
      </c>
      <c r="C377" s="606" t="s">
        <v>12483</v>
      </c>
      <c r="D377" s="607"/>
      <c r="E377" s="607">
        <v>17.579999999999998</v>
      </c>
      <c r="F377" s="607">
        <v>17.579999999999998</v>
      </c>
      <c r="G377" s="584">
        <v>15</v>
      </c>
    </row>
    <row r="378" spans="1:7" ht="30" x14ac:dyDescent="0.2">
      <c r="A378" s="583" t="s">
        <v>13100</v>
      </c>
      <c r="B378" s="605" t="s">
        <v>13101</v>
      </c>
      <c r="C378" s="606" t="s">
        <v>12375</v>
      </c>
      <c r="D378" s="607"/>
      <c r="E378" s="607">
        <v>251.2</v>
      </c>
      <c r="F378" s="607">
        <v>251.2</v>
      </c>
      <c r="G378" s="584">
        <v>15</v>
      </c>
    </row>
    <row r="379" spans="1:7" ht="30" x14ac:dyDescent="0.2">
      <c r="A379" s="583" t="s">
        <v>13102</v>
      </c>
      <c r="B379" s="605" t="s">
        <v>13103</v>
      </c>
      <c r="C379" s="606" t="s">
        <v>12375</v>
      </c>
      <c r="D379" s="607"/>
      <c r="E379" s="607">
        <v>200.96</v>
      </c>
      <c r="F379" s="607">
        <v>200.96</v>
      </c>
      <c r="G379" s="584">
        <v>15</v>
      </c>
    </row>
    <row r="380" spans="1:7" ht="15" x14ac:dyDescent="0.2">
      <c r="A380" s="583" t="s">
        <v>13104</v>
      </c>
      <c r="B380" s="605" t="s">
        <v>13105</v>
      </c>
      <c r="C380" s="606" t="s">
        <v>12375</v>
      </c>
      <c r="D380" s="607"/>
      <c r="E380" s="607">
        <v>100.48</v>
      </c>
      <c r="F380" s="607">
        <v>100.48</v>
      </c>
      <c r="G380" s="584">
        <v>15</v>
      </c>
    </row>
    <row r="381" spans="1:7" ht="15" x14ac:dyDescent="0.2">
      <c r="A381" s="583" t="s">
        <v>13106</v>
      </c>
      <c r="B381" s="605" t="s">
        <v>13107</v>
      </c>
      <c r="C381" s="606" t="s">
        <v>12375</v>
      </c>
      <c r="D381" s="607"/>
      <c r="E381" s="607">
        <v>55.78</v>
      </c>
      <c r="F381" s="607">
        <v>55.78</v>
      </c>
      <c r="G381" s="584">
        <v>15</v>
      </c>
    </row>
    <row r="382" spans="1:7" ht="15" x14ac:dyDescent="0.2">
      <c r="A382" s="583" t="s">
        <v>13108</v>
      </c>
      <c r="B382" s="605" t="s">
        <v>13109</v>
      </c>
      <c r="C382" s="606" t="s">
        <v>12375</v>
      </c>
      <c r="D382" s="607"/>
      <c r="E382" s="607">
        <v>7.45</v>
      </c>
      <c r="F382" s="607">
        <v>7.45</v>
      </c>
      <c r="G382" s="584">
        <v>15</v>
      </c>
    </row>
    <row r="383" spans="1:7" ht="30" x14ac:dyDescent="0.2">
      <c r="A383" s="583" t="s">
        <v>13110</v>
      </c>
      <c r="B383" s="605" t="s">
        <v>13111</v>
      </c>
      <c r="C383" s="606" t="s">
        <v>12375</v>
      </c>
      <c r="D383" s="607"/>
      <c r="E383" s="607">
        <v>8.94</v>
      </c>
      <c r="F383" s="607">
        <v>8.94</v>
      </c>
      <c r="G383" s="584">
        <v>15</v>
      </c>
    </row>
    <row r="384" spans="1:7" ht="15" x14ac:dyDescent="0.2">
      <c r="A384" s="583" t="s">
        <v>13112</v>
      </c>
      <c r="B384" s="605" t="s">
        <v>13113</v>
      </c>
      <c r="C384" s="606" t="s">
        <v>12375</v>
      </c>
      <c r="D384" s="607"/>
      <c r="E384" s="607">
        <v>55.78</v>
      </c>
      <c r="F384" s="607">
        <v>55.78</v>
      </c>
      <c r="G384" s="584">
        <v>15</v>
      </c>
    </row>
    <row r="385" spans="1:7" ht="15" x14ac:dyDescent="0.2">
      <c r="A385" s="583" t="s">
        <v>13114</v>
      </c>
      <c r="B385" s="605" t="s">
        <v>13115</v>
      </c>
      <c r="C385" s="606" t="s">
        <v>12483</v>
      </c>
      <c r="D385" s="607"/>
      <c r="E385" s="607">
        <v>12.56</v>
      </c>
      <c r="F385" s="607">
        <v>12.56</v>
      </c>
      <c r="G385" s="584">
        <v>15</v>
      </c>
    </row>
    <row r="386" spans="1:7" ht="15" x14ac:dyDescent="0.2">
      <c r="A386" s="583" t="s">
        <v>13116</v>
      </c>
      <c r="B386" s="605" t="s">
        <v>13117</v>
      </c>
      <c r="C386" s="606" t="s">
        <v>12375</v>
      </c>
      <c r="D386" s="607"/>
      <c r="E386" s="607">
        <v>25.12</v>
      </c>
      <c r="F386" s="607">
        <v>25.12</v>
      </c>
      <c r="G386" s="584">
        <v>15</v>
      </c>
    </row>
    <row r="387" spans="1:7" ht="15" x14ac:dyDescent="0.2">
      <c r="A387" s="583" t="s">
        <v>13118</v>
      </c>
      <c r="B387" s="605" t="s">
        <v>13119</v>
      </c>
      <c r="C387" s="606" t="s">
        <v>12375</v>
      </c>
      <c r="D387" s="607"/>
      <c r="E387" s="607">
        <v>20.100000000000001</v>
      </c>
      <c r="F387" s="607">
        <v>20.100000000000001</v>
      </c>
      <c r="G387" s="584">
        <v>15</v>
      </c>
    </row>
    <row r="388" spans="1:7" ht="15" x14ac:dyDescent="0.2">
      <c r="A388" s="583" t="s">
        <v>13120</v>
      </c>
      <c r="B388" s="605" t="s">
        <v>13121</v>
      </c>
      <c r="C388" s="606" t="s">
        <v>12375</v>
      </c>
      <c r="D388" s="607"/>
      <c r="E388" s="607">
        <v>30.14</v>
      </c>
      <c r="F388" s="607">
        <v>30.14</v>
      </c>
      <c r="G388" s="584">
        <v>15</v>
      </c>
    </row>
    <row r="389" spans="1:7" ht="15" x14ac:dyDescent="0.2">
      <c r="A389" s="583" t="s">
        <v>13122</v>
      </c>
      <c r="B389" s="605" t="s">
        <v>13123</v>
      </c>
      <c r="C389" s="606" t="s">
        <v>12375</v>
      </c>
      <c r="D389" s="607"/>
      <c r="E389" s="607">
        <v>25.12</v>
      </c>
      <c r="F389" s="607">
        <v>25.12</v>
      </c>
      <c r="G389" s="584">
        <v>15</v>
      </c>
    </row>
    <row r="390" spans="1:7" ht="30" x14ac:dyDescent="0.2">
      <c r="A390" s="583" t="s">
        <v>13124</v>
      </c>
      <c r="B390" s="605" t="s">
        <v>13125</v>
      </c>
      <c r="C390" s="606" t="s">
        <v>12375</v>
      </c>
      <c r="D390" s="607"/>
      <c r="E390" s="607">
        <v>50.24</v>
      </c>
      <c r="F390" s="607">
        <v>50.24</v>
      </c>
      <c r="G390" s="584">
        <v>15</v>
      </c>
    </row>
    <row r="391" spans="1:7" ht="15" x14ac:dyDescent="0.2">
      <c r="A391" s="583" t="s">
        <v>13126</v>
      </c>
      <c r="B391" s="605" t="s">
        <v>13127</v>
      </c>
      <c r="C391" s="606" t="s">
        <v>12375</v>
      </c>
      <c r="D391" s="607"/>
      <c r="E391" s="607">
        <v>75.36</v>
      </c>
      <c r="F391" s="607">
        <v>75.36</v>
      </c>
      <c r="G391" s="584">
        <v>15</v>
      </c>
    </row>
    <row r="392" spans="1:7" ht="30" x14ac:dyDescent="0.2">
      <c r="A392" s="583" t="s">
        <v>13128</v>
      </c>
      <c r="B392" s="605" t="s">
        <v>13129</v>
      </c>
      <c r="C392" s="606" t="s">
        <v>12375</v>
      </c>
      <c r="D392" s="607"/>
      <c r="E392" s="607">
        <v>141.36000000000001</v>
      </c>
      <c r="F392" s="607">
        <v>141.36000000000001</v>
      </c>
      <c r="G392" s="584">
        <v>15</v>
      </c>
    </row>
    <row r="393" spans="1:7" ht="15" x14ac:dyDescent="0.2">
      <c r="A393" s="583" t="s">
        <v>13130</v>
      </c>
      <c r="B393" s="605" t="s">
        <v>13131</v>
      </c>
      <c r="C393" s="606" t="s">
        <v>12375</v>
      </c>
      <c r="D393" s="607"/>
      <c r="E393" s="607">
        <v>37.68</v>
      </c>
      <c r="F393" s="607">
        <v>37.68</v>
      </c>
      <c r="G393" s="584">
        <v>15</v>
      </c>
    </row>
    <row r="394" spans="1:7" ht="30" x14ac:dyDescent="0.2">
      <c r="A394" s="583" t="s">
        <v>13132</v>
      </c>
      <c r="B394" s="605" t="s">
        <v>13133</v>
      </c>
      <c r="C394" s="606" t="s">
        <v>12375</v>
      </c>
      <c r="D394" s="607"/>
      <c r="E394" s="607">
        <v>10.220000000000001</v>
      </c>
      <c r="F394" s="607">
        <v>10.220000000000001</v>
      </c>
      <c r="G394" s="584">
        <v>15</v>
      </c>
    </row>
    <row r="395" spans="1:7" ht="15" x14ac:dyDescent="0.2">
      <c r="A395" s="583" t="s">
        <v>13134</v>
      </c>
      <c r="B395" s="605" t="s">
        <v>13135</v>
      </c>
      <c r="C395" s="606" t="s">
        <v>12375</v>
      </c>
      <c r="D395" s="607"/>
      <c r="E395" s="607">
        <v>20.010000000000002</v>
      </c>
      <c r="F395" s="607">
        <v>20.010000000000002</v>
      </c>
      <c r="G395" s="584">
        <v>15</v>
      </c>
    </row>
    <row r="396" spans="1:7" ht="30" x14ac:dyDescent="0.2">
      <c r="A396" s="583" t="s">
        <v>13136</v>
      </c>
      <c r="B396" s="605" t="s">
        <v>13137</v>
      </c>
      <c r="C396" s="606" t="s">
        <v>12483</v>
      </c>
      <c r="D396" s="607"/>
      <c r="E396" s="607">
        <v>6.03</v>
      </c>
      <c r="F396" s="607">
        <v>6.03</v>
      </c>
      <c r="G396" s="584">
        <v>15</v>
      </c>
    </row>
    <row r="397" spans="1:7" ht="15" x14ac:dyDescent="0.2">
      <c r="A397" s="583" t="s">
        <v>13138</v>
      </c>
      <c r="B397" s="605" t="s">
        <v>13139</v>
      </c>
      <c r="C397" s="606" t="s">
        <v>12483</v>
      </c>
      <c r="D397" s="607"/>
      <c r="E397" s="607">
        <v>3.02</v>
      </c>
      <c r="F397" s="607">
        <v>3.02</v>
      </c>
      <c r="G397" s="584">
        <v>15</v>
      </c>
    </row>
    <row r="398" spans="1:7" ht="30" x14ac:dyDescent="0.2">
      <c r="A398" s="583" t="s">
        <v>13140</v>
      </c>
      <c r="B398" s="605" t="s">
        <v>13141</v>
      </c>
      <c r="C398" s="606" t="s">
        <v>12483</v>
      </c>
      <c r="D398" s="607"/>
      <c r="E398" s="607">
        <v>5.0199999999999996</v>
      </c>
      <c r="F398" s="607">
        <v>5.0199999999999996</v>
      </c>
      <c r="G398" s="584">
        <v>15</v>
      </c>
    </row>
    <row r="399" spans="1:7" ht="15" x14ac:dyDescent="0.2">
      <c r="A399" s="583" t="s">
        <v>13142</v>
      </c>
      <c r="B399" s="605" t="s">
        <v>13143</v>
      </c>
      <c r="C399" s="606" t="s">
        <v>12483</v>
      </c>
      <c r="D399" s="607"/>
      <c r="E399" s="607">
        <v>2.5099999999999998</v>
      </c>
      <c r="F399" s="607">
        <v>2.5099999999999998</v>
      </c>
      <c r="G399" s="584">
        <v>15</v>
      </c>
    </row>
    <row r="400" spans="1:7" ht="15" x14ac:dyDescent="0.2">
      <c r="A400" s="583" t="s">
        <v>13144</v>
      </c>
      <c r="B400" s="605" t="s">
        <v>13145</v>
      </c>
      <c r="C400" s="606" t="s">
        <v>12483</v>
      </c>
      <c r="D400" s="607"/>
      <c r="E400" s="607">
        <v>35.340000000000003</v>
      </c>
      <c r="F400" s="607">
        <v>35.340000000000003</v>
      </c>
      <c r="G400" s="584">
        <v>15</v>
      </c>
    </row>
    <row r="401" spans="1:7" ht="15" x14ac:dyDescent="0.2">
      <c r="A401" s="583" t="s">
        <v>13146</v>
      </c>
      <c r="B401" s="605" t="s">
        <v>13147</v>
      </c>
      <c r="C401" s="606" t="s">
        <v>12483</v>
      </c>
      <c r="D401" s="607"/>
      <c r="E401" s="607">
        <v>10.050000000000001</v>
      </c>
      <c r="F401" s="607">
        <v>10.050000000000001</v>
      </c>
      <c r="G401" s="584">
        <v>15</v>
      </c>
    </row>
    <row r="402" spans="1:7" ht="15" x14ac:dyDescent="0.2">
      <c r="A402" s="583" t="s">
        <v>13148</v>
      </c>
      <c r="B402" s="605" t="s">
        <v>13149</v>
      </c>
      <c r="C402" s="606" t="s">
        <v>12375</v>
      </c>
      <c r="D402" s="607"/>
      <c r="E402" s="607">
        <v>50.24</v>
      </c>
      <c r="F402" s="607">
        <v>50.24</v>
      </c>
      <c r="G402" s="584">
        <v>15</v>
      </c>
    </row>
    <row r="403" spans="1:7" ht="15" x14ac:dyDescent="0.2">
      <c r="A403" s="583" t="s">
        <v>13150</v>
      </c>
      <c r="B403" s="605" t="s">
        <v>13151</v>
      </c>
      <c r="C403" s="606" t="s">
        <v>12375</v>
      </c>
      <c r="D403" s="607"/>
      <c r="E403" s="607">
        <v>10.050000000000001</v>
      </c>
      <c r="F403" s="607">
        <v>10.050000000000001</v>
      </c>
      <c r="G403" s="584">
        <v>15</v>
      </c>
    </row>
    <row r="404" spans="1:7" ht="15" x14ac:dyDescent="0.2">
      <c r="A404" s="583" t="s">
        <v>13152</v>
      </c>
      <c r="B404" s="605" t="s">
        <v>13153</v>
      </c>
      <c r="C404" s="606" t="s">
        <v>12375</v>
      </c>
      <c r="D404" s="607"/>
      <c r="E404" s="607">
        <v>75.36</v>
      </c>
      <c r="F404" s="607">
        <v>75.36</v>
      </c>
      <c r="G404" s="584">
        <v>15</v>
      </c>
    </row>
    <row r="405" spans="1:7" ht="15" x14ac:dyDescent="0.2">
      <c r="A405" s="583" t="s">
        <v>13154</v>
      </c>
      <c r="B405" s="605" t="s">
        <v>13155</v>
      </c>
      <c r="C405" s="606" t="s">
        <v>12375</v>
      </c>
      <c r="D405" s="607"/>
      <c r="E405" s="607">
        <v>106.02</v>
      </c>
      <c r="F405" s="607">
        <v>106.02</v>
      </c>
      <c r="G405" s="584">
        <v>15</v>
      </c>
    </row>
    <row r="406" spans="1:7" ht="15" x14ac:dyDescent="0.25">
      <c r="A406" s="583" t="s">
        <v>13156</v>
      </c>
      <c r="B406" s="605" t="s">
        <v>13157</v>
      </c>
      <c r="C406" s="606"/>
      <c r="D406" s="607"/>
      <c r="E406" s="607"/>
      <c r="F406" s="607"/>
      <c r="G406" s="582"/>
    </row>
    <row r="407" spans="1:7" ht="15" x14ac:dyDescent="0.2">
      <c r="A407" s="583" t="s">
        <v>13158</v>
      </c>
      <c r="B407" s="605" t="s">
        <v>13159</v>
      </c>
      <c r="C407" s="606" t="s">
        <v>12375</v>
      </c>
      <c r="D407" s="607"/>
      <c r="E407" s="607">
        <v>206.39</v>
      </c>
      <c r="F407" s="607">
        <v>206.39</v>
      </c>
      <c r="G407" s="584">
        <v>15</v>
      </c>
    </row>
    <row r="408" spans="1:7" ht="15" x14ac:dyDescent="0.2">
      <c r="A408" s="583" t="s">
        <v>13160</v>
      </c>
      <c r="B408" s="605" t="s">
        <v>13161</v>
      </c>
      <c r="C408" s="606" t="s">
        <v>12375</v>
      </c>
      <c r="D408" s="607"/>
      <c r="E408" s="607">
        <v>50.24</v>
      </c>
      <c r="F408" s="607">
        <v>50.24</v>
      </c>
      <c r="G408" s="584">
        <v>15</v>
      </c>
    </row>
    <row r="409" spans="1:7" ht="15" x14ac:dyDescent="0.2">
      <c r="A409" s="583" t="s">
        <v>13162</v>
      </c>
      <c r="B409" s="605" t="s">
        <v>13163</v>
      </c>
      <c r="C409" s="606" t="s">
        <v>12375</v>
      </c>
      <c r="D409" s="607"/>
      <c r="E409" s="607">
        <v>12.56</v>
      </c>
      <c r="F409" s="607">
        <v>12.56</v>
      </c>
      <c r="G409" s="584">
        <v>15</v>
      </c>
    </row>
    <row r="410" spans="1:7" ht="30" x14ac:dyDescent="0.2">
      <c r="A410" s="583" t="s">
        <v>13164</v>
      </c>
      <c r="B410" s="605" t="s">
        <v>13165</v>
      </c>
      <c r="C410" s="606" t="s">
        <v>12427</v>
      </c>
      <c r="D410" s="607"/>
      <c r="E410" s="607">
        <v>50.24</v>
      </c>
      <c r="F410" s="607">
        <v>50.24</v>
      </c>
      <c r="G410" s="584">
        <v>15</v>
      </c>
    </row>
    <row r="411" spans="1:7" ht="15" x14ac:dyDescent="0.2">
      <c r="A411" s="583" t="s">
        <v>13166</v>
      </c>
      <c r="B411" s="605" t="s">
        <v>13167</v>
      </c>
      <c r="C411" s="606" t="s">
        <v>12375</v>
      </c>
      <c r="D411" s="607"/>
      <c r="E411" s="607">
        <v>10.050000000000001</v>
      </c>
      <c r="F411" s="607">
        <v>10.050000000000001</v>
      </c>
      <c r="G411" s="584">
        <v>15</v>
      </c>
    </row>
    <row r="412" spans="1:7" ht="30" x14ac:dyDescent="0.2">
      <c r="A412" s="583" t="s">
        <v>13168</v>
      </c>
      <c r="B412" s="605" t="s">
        <v>13169</v>
      </c>
      <c r="C412" s="606" t="s">
        <v>12375</v>
      </c>
      <c r="D412" s="607"/>
      <c r="E412" s="607">
        <v>20.100000000000001</v>
      </c>
      <c r="F412" s="607">
        <v>20.100000000000001</v>
      </c>
      <c r="G412" s="584">
        <v>15</v>
      </c>
    </row>
    <row r="413" spans="1:7" ht="15" x14ac:dyDescent="0.2">
      <c r="A413" s="583" t="s">
        <v>13170</v>
      </c>
      <c r="B413" s="605" t="s">
        <v>13171</v>
      </c>
      <c r="C413" s="606" t="s">
        <v>12375</v>
      </c>
      <c r="D413" s="607"/>
      <c r="E413" s="607">
        <v>5.0199999999999996</v>
      </c>
      <c r="F413" s="607">
        <v>5.0199999999999996</v>
      </c>
      <c r="G413" s="584">
        <v>15</v>
      </c>
    </row>
    <row r="414" spans="1:7" ht="30" x14ac:dyDescent="0.2">
      <c r="A414" s="583" t="s">
        <v>13172</v>
      </c>
      <c r="B414" s="605" t="s">
        <v>13173</v>
      </c>
      <c r="C414" s="606" t="s">
        <v>12375</v>
      </c>
      <c r="D414" s="607"/>
      <c r="E414" s="607">
        <v>7.54</v>
      </c>
      <c r="F414" s="607">
        <v>7.54</v>
      </c>
      <c r="G414" s="584">
        <v>15</v>
      </c>
    </row>
    <row r="415" spans="1:7" ht="15" x14ac:dyDescent="0.2">
      <c r="A415" s="583" t="s">
        <v>13174</v>
      </c>
      <c r="B415" s="605" t="s">
        <v>13175</v>
      </c>
      <c r="C415" s="606" t="s">
        <v>12375</v>
      </c>
      <c r="D415" s="607"/>
      <c r="E415" s="607">
        <v>12.56</v>
      </c>
      <c r="F415" s="607">
        <v>12.56</v>
      </c>
      <c r="G415" s="584">
        <v>15</v>
      </c>
    </row>
    <row r="416" spans="1:7" ht="15" x14ac:dyDescent="0.2">
      <c r="A416" s="583" t="s">
        <v>13176</v>
      </c>
      <c r="B416" s="605" t="s">
        <v>13177</v>
      </c>
      <c r="C416" s="606" t="s">
        <v>12375</v>
      </c>
      <c r="D416" s="607"/>
      <c r="E416" s="607">
        <v>12.56</v>
      </c>
      <c r="F416" s="607">
        <v>12.56</v>
      </c>
      <c r="G416" s="584">
        <v>15</v>
      </c>
    </row>
    <row r="417" spans="1:7" ht="15" x14ac:dyDescent="0.25">
      <c r="A417" s="583" t="s">
        <v>13178</v>
      </c>
      <c r="B417" s="605" t="s">
        <v>13179</v>
      </c>
      <c r="C417" s="606"/>
      <c r="D417" s="607"/>
      <c r="E417" s="607"/>
      <c r="F417" s="607"/>
      <c r="G417" s="582"/>
    </row>
    <row r="418" spans="1:7" ht="30" x14ac:dyDescent="0.2">
      <c r="A418" s="583" t="s">
        <v>13180</v>
      </c>
      <c r="B418" s="605" t="s">
        <v>13181</v>
      </c>
      <c r="C418" s="606" t="s">
        <v>12375</v>
      </c>
      <c r="D418" s="607"/>
      <c r="E418" s="607">
        <v>35.340000000000003</v>
      </c>
      <c r="F418" s="607">
        <v>35.340000000000003</v>
      </c>
      <c r="G418" s="584">
        <v>15</v>
      </c>
    </row>
    <row r="419" spans="1:7" ht="15" x14ac:dyDescent="0.2">
      <c r="A419" s="583" t="s">
        <v>13182</v>
      </c>
      <c r="B419" s="605" t="s">
        <v>13183</v>
      </c>
      <c r="C419" s="606" t="s">
        <v>12375</v>
      </c>
      <c r="D419" s="607"/>
      <c r="E419" s="607">
        <v>4.09</v>
      </c>
      <c r="F419" s="607">
        <v>4.09</v>
      </c>
      <c r="G419" s="584">
        <v>15</v>
      </c>
    </row>
    <row r="420" spans="1:7" ht="15" x14ac:dyDescent="0.2">
      <c r="A420" s="583" t="s">
        <v>13184</v>
      </c>
      <c r="B420" s="605" t="s">
        <v>13185</v>
      </c>
      <c r="C420" s="606" t="s">
        <v>12375</v>
      </c>
      <c r="D420" s="607"/>
      <c r="E420" s="607">
        <v>50.24</v>
      </c>
      <c r="F420" s="607">
        <v>50.24</v>
      </c>
      <c r="G420" s="584">
        <v>15</v>
      </c>
    </row>
    <row r="421" spans="1:7" ht="15" x14ac:dyDescent="0.2">
      <c r="A421" s="583" t="s">
        <v>13186</v>
      </c>
      <c r="B421" s="605" t="s">
        <v>13187</v>
      </c>
      <c r="C421" s="606" t="s">
        <v>12375</v>
      </c>
      <c r="D421" s="607"/>
      <c r="E421" s="607">
        <v>25.12</v>
      </c>
      <c r="F421" s="607">
        <v>25.12</v>
      </c>
      <c r="G421" s="584">
        <v>15</v>
      </c>
    </row>
    <row r="422" spans="1:7" ht="15" x14ac:dyDescent="0.2">
      <c r="A422" s="583" t="s">
        <v>13188</v>
      </c>
      <c r="B422" s="605" t="s">
        <v>13189</v>
      </c>
      <c r="C422" s="606" t="s">
        <v>12375</v>
      </c>
      <c r="D422" s="607"/>
      <c r="E422" s="607">
        <v>20.440000000000001</v>
      </c>
      <c r="F422" s="607">
        <v>20.440000000000001</v>
      </c>
      <c r="G422" s="584">
        <v>15</v>
      </c>
    </row>
    <row r="423" spans="1:7" ht="15" x14ac:dyDescent="0.2">
      <c r="A423" s="583" t="s">
        <v>13190</v>
      </c>
      <c r="B423" s="605" t="s">
        <v>13191</v>
      </c>
      <c r="C423" s="606" t="s">
        <v>12375</v>
      </c>
      <c r="D423" s="607"/>
      <c r="E423" s="607">
        <v>70.680000000000007</v>
      </c>
      <c r="F423" s="607">
        <v>70.680000000000007</v>
      </c>
      <c r="G423" s="584">
        <v>15</v>
      </c>
    </row>
    <row r="424" spans="1:7" ht="15" x14ac:dyDescent="0.25">
      <c r="A424" s="583" t="s">
        <v>13192</v>
      </c>
      <c r="B424" s="605" t="s">
        <v>13193</v>
      </c>
      <c r="C424" s="606"/>
      <c r="D424" s="607"/>
      <c r="E424" s="607"/>
      <c r="F424" s="607"/>
      <c r="G424" s="582"/>
    </row>
    <row r="425" spans="1:7" ht="15" x14ac:dyDescent="0.2">
      <c r="A425" s="583" t="s">
        <v>13194</v>
      </c>
      <c r="B425" s="605" t="s">
        <v>13195</v>
      </c>
      <c r="C425" s="606" t="s">
        <v>62</v>
      </c>
      <c r="D425" s="607"/>
      <c r="E425" s="607">
        <v>0.82</v>
      </c>
      <c r="F425" s="607">
        <v>0.82</v>
      </c>
      <c r="G425" s="584">
        <v>15</v>
      </c>
    </row>
    <row r="426" spans="1:7" ht="15" x14ac:dyDescent="0.2">
      <c r="A426" s="583" t="s">
        <v>13196</v>
      </c>
      <c r="B426" s="605" t="s">
        <v>13197</v>
      </c>
      <c r="C426" s="606" t="s">
        <v>12375</v>
      </c>
      <c r="D426" s="607"/>
      <c r="E426" s="607">
        <v>75.36</v>
      </c>
      <c r="F426" s="607">
        <v>75.36</v>
      </c>
      <c r="G426" s="584">
        <v>15</v>
      </c>
    </row>
    <row r="427" spans="1:7" ht="30" x14ac:dyDescent="0.2">
      <c r="A427" s="583" t="s">
        <v>13198</v>
      </c>
      <c r="B427" s="605" t="s">
        <v>13199</v>
      </c>
      <c r="C427" s="606" t="s">
        <v>12375</v>
      </c>
      <c r="D427" s="607"/>
      <c r="E427" s="607">
        <v>100.48</v>
      </c>
      <c r="F427" s="607">
        <v>100.48</v>
      </c>
      <c r="G427" s="584">
        <v>15</v>
      </c>
    </row>
    <row r="428" spans="1:7" ht="15" x14ac:dyDescent="0.2">
      <c r="A428" s="583" t="s">
        <v>13200</v>
      </c>
      <c r="B428" s="605" t="s">
        <v>13201</v>
      </c>
      <c r="C428" s="606" t="s">
        <v>12483</v>
      </c>
      <c r="D428" s="607"/>
      <c r="E428" s="607">
        <v>20.100000000000001</v>
      </c>
      <c r="F428" s="607">
        <v>20.100000000000001</v>
      </c>
      <c r="G428" s="584">
        <v>15</v>
      </c>
    </row>
    <row r="429" spans="1:7" ht="15" x14ac:dyDescent="0.2">
      <c r="A429" s="583" t="s">
        <v>13202</v>
      </c>
      <c r="B429" s="605" t="s">
        <v>13203</v>
      </c>
      <c r="C429" s="606" t="s">
        <v>12427</v>
      </c>
      <c r="D429" s="607"/>
      <c r="E429" s="607">
        <v>50.24</v>
      </c>
      <c r="F429" s="607">
        <v>50.24</v>
      </c>
      <c r="G429" s="584">
        <v>15</v>
      </c>
    </row>
    <row r="430" spans="1:7" ht="15" x14ac:dyDescent="0.2">
      <c r="A430" s="583" t="s">
        <v>13204</v>
      </c>
      <c r="B430" s="605" t="s">
        <v>13205</v>
      </c>
      <c r="C430" s="606" t="s">
        <v>12375</v>
      </c>
      <c r="D430" s="607">
        <v>124.88</v>
      </c>
      <c r="E430" s="607">
        <v>141.36000000000001</v>
      </c>
      <c r="F430" s="607">
        <v>266.24</v>
      </c>
      <c r="G430" s="584">
        <v>15</v>
      </c>
    </row>
    <row r="431" spans="1:7" ht="15" x14ac:dyDescent="0.2">
      <c r="A431" s="583" t="s">
        <v>13206</v>
      </c>
      <c r="B431" s="605" t="s">
        <v>13207</v>
      </c>
      <c r="C431" s="606" t="s">
        <v>12375</v>
      </c>
      <c r="D431" s="607">
        <v>124.88</v>
      </c>
      <c r="E431" s="607">
        <v>141.36000000000001</v>
      </c>
      <c r="F431" s="607">
        <v>266.24</v>
      </c>
      <c r="G431" s="584">
        <v>15</v>
      </c>
    </row>
    <row r="432" spans="1:7" ht="15" x14ac:dyDescent="0.2">
      <c r="A432" s="583" t="s">
        <v>13208</v>
      </c>
      <c r="B432" s="605" t="s">
        <v>13209</v>
      </c>
      <c r="C432" s="606" t="s">
        <v>12375</v>
      </c>
      <c r="D432" s="607"/>
      <c r="E432" s="607">
        <v>158.30000000000001</v>
      </c>
      <c r="F432" s="607">
        <v>158.30000000000001</v>
      </c>
      <c r="G432" s="584">
        <v>15</v>
      </c>
    </row>
    <row r="433" spans="1:7" ht="30" x14ac:dyDescent="0.2">
      <c r="A433" s="583" t="s">
        <v>13210</v>
      </c>
      <c r="B433" s="605" t="s">
        <v>13211</v>
      </c>
      <c r="C433" s="606" t="s">
        <v>12427</v>
      </c>
      <c r="D433" s="607"/>
      <c r="E433" s="607">
        <v>100.48</v>
      </c>
      <c r="F433" s="607">
        <v>100.48</v>
      </c>
      <c r="G433" s="584">
        <v>15</v>
      </c>
    </row>
    <row r="434" spans="1:7" ht="15" x14ac:dyDescent="0.2">
      <c r="A434" s="583" t="s">
        <v>13212</v>
      </c>
      <c r="B434" s="605" t="s">
        <v>13213</v>
      </c>
      <c r="C434" s="606" t="s">
        <v>12375</v>
      </c>
      <c r="D434" s="607"/>
      <c r="E434" s="607">
        <v>17.670000000000002</v>
      </c>
      <c r="F434" s="607">
        <v>17.670000000000002</v>
      </c>
      <c r="G434" s="584">
        <v>15</v>
      </c>
    </row>
    <row r="435" spans="1:7" ht="15" x14ac:dyDescent="0.2">
      <c r="A435" s="583" t="s">
        <v>13214</v>
      </c>
      <c r="B435" s="605" t="s">
        <v>13215</v>
      </c>
      <c r="C435" s="606" t="s">
        <v>12375</v>
      </c>
      <c r="D435" s="607"/>
      <c r="E435" s="607">
        <v>100.48</v>
      </c>
      <c r="F435" s="607">
        <v>100.48</v>
      </c>
      <c r="G435" s="584">
        <v>15</v>
      </c>
    </row>
    <row r="436" spans="1:7" ht="15" x14ac:dyDescent="0.2">
      <c r="A436" s="583" t="s">
        <v>13216</v>
      </c>
      <c r="B436" s="605" t="s">
        <v>13217</v>
      </c>
      <c r="C436" s="606" t="s">
        <v>12375</v>
      </c>
      <c r="D436" s="607"/>
      <c r="E436" s="607">
        <v>23.84</v>
      </c>
      <c r="F436" s="607">
        <v>23.84</v>
      </c>
      <c r="G436" s="584">
        <v>15</v>
      </c>
    </row>
    <row r="437" spans="1:7" ht="15" x14ac:dyDescent="0.2">
      <c r="A437" s="583" t="s">
        <v>13218</v>
      </c>
      <c r="B437" s="605" t="s">
        <v>13219</v>
      </c>
      <c r="C437" s="606" t="s">
        <v>12375</v>
      </c>
      <c r="D437" s="607"/>
      <c r="E437" s="607">
        <v>4.09</v>
      </c>
      <c r="F437" s="607">
        <v>4.09</v>
      </c>
      <c r="G437" s="584">
        <v>15</v>
      </c>
    </row>
    <row r="438" spans="1:7" ht="15" x14ac:dyDescent="0.2">
      <c r="A438" s="583" t="s">
        <v>13220</v>
      </c>
      <c r="B438" s="605" t="s">
        <v>13221</v>
      </c>
      <c r="C438" s="606" t="s">
        <v>12375</v>
      </c>
      <c r="D438" s="607"/>
      <c r="E438" s="607">
        <v>4.09</v>
      </c>
      <c r="F438" s="607">
        <v>4.09</v>
      </c>
      <c r="G438" s="584">
        <v>15</v>
      </c>
    </row>
    <row r="439" spans="1:7" ht="30" x14ac:dyDescent="0.2">
      <c r="A439" s="583" t="s">
        <v>13222</v>
      </c>
      <c r="B439" s="605" t="s">
        <v>13223</v>
      </c>
      <c r="C439" s="606" t="s">
        <v>12375</v>
      </c>
      <c r="D439" s="607"/>
      <c r="E439" s="607">
        <v>32.700000000000003</v>
      </c>
      <c r="F439" s="607">
        <v>32.700000000000003</v>
      </c>
      <c r="G439" s="584">
        <v>15</v>
      </c>
    </row>
    <row r="440" spans="1:7" ht="15" x14ac:dyDescent="0.25">
      <c r="A440" s="583" t="s">
        <v>13224</v>
      </c>
      <c r="B440" s="605" t="s">
        <v>13225</v>
      </c>
      <c r="C440" s="606"/>
      <c r="D440" s="607"/>
      <c r="E440" s="607"/>
      <c r="F440" s="607"/>
      <c r="G440" s="582"/>
    </row>
    <row r="441" spans="1:7" ht="15" x14ac:dyDescent="0.2">
      <c r="A441" s="583" t="s">
        <v>13226</v>
      </c>
      <c r="B441" s="605" t="s">
        <v>13227</v>
      </c>
      <c r="C441" s="606" t="s">
        <v>12375</v>
      </c>
      <c r="D441" s="607"/>
      <c r="E441" s="607">
        <v>5.1100000000000003</v>
      </c>
      <c r="F441" s="607">
        <v>5.1100000000000003</v>
      </c>
      <c r="G441" s="584">
        <v>15</v>
      </c>
    </row>
    <row r="442" spans="1:7" ht="15" x14ac:dyDescent="0.2">
      <c r="A442" s="583" t="s">
        <v>13228</v>
      </c>
      <c r="B442" s="605" t="s">
        <v>13229</v>
      </c>
      <c r="C442" s="606" t="s">
        <v>12375</v>
      </c>
      <c r="D442" s="607"/>
      <c r="E442" s="607">
        <v>347.75</v>
      </c>
      <c r="F442" s="607">
        <v>347.75</v>
      </c>
      <c r="G442" s="584">
        <v>15</v>
      </c>
    </row>
    <row r="443" spans="1:7" ht="15" x14ac:dyDescent="0.2">
      <c r="A443" s="583" t="s">
        <v>13230</v>
      </c>
      <c r="B443" s="605" t="s">
        <v>13231</v>
      </c>
      <c r="C443" s="606" t="s">
        <v>12375</v>
      </c>
      <c r="D443" s="607"/>
      <c r="E443" s="607">
        <v>32.659999999999997</v>
      </c>
      <c r="F443" s="607">
        <v>32.659999999999997</v>
      </c>
      <c r="G443" s="584">
        <v>15</v>
      </c>
    </row>
    <row r="444" spans="1:7" ht="30" x14ac:dyDescent="0.2">
      <c r="A444" s="583" t="s">
        <v>13232</v>
      </c>
      <c r="B444" s="605" t="s">
        <v>13233</v>
      </c>
      <c r="C444" s="606" t="s">
        <v>12375</v>
      </c>
      <c r="D444" s="607">
        <v>249.76</v>
      </c>
      <c r="E444" s="607">
        <v>401.92</v>
      </c>
      <c r="F444" s="607">
        <v>651.67999999999995</v>
      </c>
      <c r="G444" s="584">
        <v>15</v>
      </c>
    </row>
    <row r="445" spans="1:7" ht="30" x14ac:dyDescent="0.2">
      <c r="A445" s="583" t="s">
        <v>13234</v>
      </c>
      <c r="B445" s="605" t="s">
        <v>13235</v>
      </c>
      <c r="C445" s="606" t="s">
        <v>12483</v>
      </c>
      <c r="D445" s="607"/>
      <c r="E445" s="607">
        <v>25.12</v>
      </c>
      <c r="F445" s="607">
        <v>25.12</v>
      </c>
      <c r="G445" s="584">
        <v>15</v>
      </c>
    </row>
    <row r="446" spans="1:7" ht="30" x14ac:dyDescent="0.2">
      <c r="A446" s="583" t="s">
        <v>13236</v>
      </c>
      <c r="B446" s="605" t="s">
        <v>13237</v>
      </c>
      <c r="C446" s="606" t="s">
        <v>12483</v>
      </c>
      <c r="D446" s="607"/>
      <c r="E446" s="607">
        <v>12.56</v>
      </c>
      <c r="F446" s="607">
        <v>12.56</v>
      </c>
      <c r="G446" s="584">
        <v>15</v>
      </c>
    </row>
    <row r="447" spans="1:7" ht="30" x14ac:dyDescent="0.2">
      <c r="A447" s="583" t="s">
        <v>13238</v>
      </c>
      <c r="B447" s="605" t="s">
        <v>13239</v>
      </c>
      <c r="C447" s="606" t="s">
        <v>12483</v>
      </c>
      <c r="D447" s="607"/>
      <c r="E447" s="607">
        <v>50.24</v>
      </c>
      <c r="F447" s="607">
        <v>50.24</v>
      </c>
      <c r="G447" s="584">
        <v>15</v>
      </c>
    </row>
    <row r="448" spans="1:7" ht="30" x14ac:dyDescent="0.2">
      <c r="A448" s="583" t="s">
        <v>13240</v>
      </c>
      <c r="B448" s="605" t="s">
        <v>13241</v>
      </c>
      <c r="C448" s="606" t="s">
        <v>12483</v>
      </c>
      <c r="D448" s="607"/>
      <c r="E448" s="607">
        <v>25.12</v>
      </c>
      <c r="F448" s="607">
        <v>25.12</v>
      </c>
      <c r="G448" s="584">
        <v>15</v>
      </c>
    </row>
    <row r="449" spans="1:7" ht="15" x14ac:dyDescent="0.2">
      <c r="A449" s="583" t="s">
        <v>13242</v>
      </c>
      <c r="B449" s="605" t="s">
        <v>13243</v>
      </c>
      <c r="C449" s="606" t="s">
        <v>12483</v>
      </c>
      <c r="D449" s="607"/>
      <c r="E449" s="607">
        <v>10.050000000000001</v>
      </c>
      <c r="F449" s="607">
        <v>10.050000000000001</v>
      </c>
      <c r="G449" s="584">
        <v>15</v>
      </c>
    </row>
    <row r="450" spans="1:7" ht="15" x14ac:dyDescent="0.25">
      <c r="A450" s="583" t="s">
        <v>13244</v>
      </c>
      <c r="B450" s="605" t="s">
        <v>13245</v>
      </c>
      <c r="C450" s="606"/>
      <c r="D450" s="607"/>
      <c r="E450" s="607"/>
      <c r="F450" s="607"/>
      <c r="G450" s="582"/>
    </row>
    <row r="451" spans="1:7" ht="15" x14ac:dyDescent="0.2">
      <c r="A451" s="583" t="s">
        <v>13246</v>
      </c>
      <c r="B451" s="605" t="s">
        <v>13247</v>
      </c>
      <c r="C451" s="606" t="s">
        <v>12483</v>
      </c>
      <c r="D451" s="607"/>
      <c r="E451" s="607">
        <v>4.7</v>
      </c>
      <c r="F451" s="607">
        <v>4.7</v>
      </c>
      <c r="G451" s="584">
        <v>15</v>
      </c>
    </row>
    <row r="452" spans="1:7" ht="15" x14ac:dyDescent="0.2">
      <c r="A452" s="583" t="s">
        <v>13248</v>
      </c>
      <c r="B452" s="605" t="s">
        <v>13249</v>
      </c>
      <c r="C452" s="606" t="s">
        <v>12483</v>
      </c>
      <c r="D452" s="607"/>
      <c r="E452" s="607">
        <v>3.07</v>
      </c>
      <c r="F452" s="607">
        <v>3.07</v>
      </c>
      <c r="G452" s="584">
        <v>15</v>
      </c>
    </row>
    <row r="453" spans="1:7" ht="30" x14ac:dyDescent="0.2">
      <c r="A453" s="583" t="s">
        <v>13250</v>
      </c>
      <c r="B453" s="605" t="s">
        <v>13251</v>
      </c>
      <c r="C453" s="606" t="s">
        <v>12483</v>
      </c>
      <c r="D453" s="607"/>
      <c r="E453" s="607">
        <v>8.18</v>
      </c>
      <c r="F453" s="607">
        <v>8.18</v>
      </c>
      <c r="G453" s="584">
        <v>15</v>
      </c>
    </row>
    <row r="454" spans="1:7" ht="15" x14ac:dyDescent="0.2">
      <c r="A454" s="583" t="s">
        <v>13252</v>
      </c>
      <c r="B454" s="605" t="s">
        <v>13253</v>
      </c>
      <c r="C454" s="606" t="s">
        <v>12375</v>
      </c>
      <c r="D454" s="607"/>
      <c r="E454" s="607">
        <v>89.4</v>
      </c>
      <c r="F454" s="607">
        <v>89.4</v>
      </c>
      <c r="G454" s="584">
        <v>15</v>
      </c>
    </row>
    <row r="455" spans="1:7" ht="15" x14ac:dyDescent="0.2">
      <c r="A455" s="583" t="s">
        <v>13254</v>
      </c>
      <c r="B455" s="605" t="s">
        <v>13255</v>
      </c>
      <c r="C455" s="606" t="s">
        <v>12375</v>
      </c>
      <c r="D455" s="607"/>
      <c r="E455" s="607">
        <v>150.72</v>
      </c>
      <c r="F455" s="607">
        <v>150.72</v>
      </c>
      <c r="G455" s="584">
        <v>15</v>
      </c>
    </row>
    <row r="456" spans="1:7" ht="15" x14ac:dyDescent="0.25">
      <c r="A456" s="583" t="s">
        <v>13256</v>
      </c>
      <c r="B456" s="605" t="s">
        <v>13257</v>
      </c>
      <c r="C456" s="606"/>
      <c r="D456" s="607"/>
      <c r="E456" s="607"/>
      <c r="F456" s="607"/>
      <c r="G456" s="582"/>
    </row>
    <row r="457" spans="1:7" ht="15" x14ac:dyDescent="0.2">
      <c r="A457" s="583" t="s">
        <v>13258</v>
      </c>
      <c r="B457" s="605" t="s">
        <v>13259</v>
      </c>
      <c r="C457" s="606" t="s">
        <v>12375</v>
      </c>
      <c r="D457" s="607"/>
      <c r="E457" s="607">
        <v>14.14</v>
      </c>
      <c r="F457" s="607">
        <v>14.14</v>
      </c>
      <c r="G457" s="584">
        <v>15</v>
      </c>
    </row>
    <row r="458" spans="1:7" ht="15" x14ac:dyDescent="0.25">
      <c r="A458" s="583" t="s">
        <v>13260</v>
      </c>
      <c r="B458" s="605" t="s">
        <v>13261</v>
      </c>
      <c r="C458" s="606"/>
      <c r="D458" s="607"/>
      <c r="E458" s="607"/>
      <c r="F458" s="607"/>
      <c r="G458" s="582"/>
    </row>
    <row r="459" spans="1:7" ht="15" x14ac:dyDescent="0.2">
      <c r="A459" s="583" t="s">
        <v>13262</v>
      </c>
      <c r="B459" s="605" t="s">
        <v>13263</v>
      </c>
      <c r="C459" s="606" t="s">
        <v>12375</v>
      </c>
      <c r="D459" s="607"/>
      <c r="E459" s="607">
        <v>22.78</v>
      </c>
      <c r="F459" s="607">
        <v>22.78</v>
      </c>
      <c r="G459" s="584">
        <v>15</v>
      </c>
    </row>
    <row r="460" spans="1:7" ht="15" x14ac:dyDescent="0.25">
      <c r="A460" s="583" t="s">
        <v>13264</v>
      </c>
      <c r="B460" s="605" t="s">
        <v>13265</v>
      </c>
      <c r="C460" s="606"/>
      <c r="D460" s="607"/>
      <c r="E460" s="607"/>
      <c r="F460" s="607"/>
      <c r="G460" s="582"/>
    </row>
    <row r="461" spans="1:7" ht="30" x14ac:dyDescent="0.2">
      <c r="A461" s="583" t="s">
        <v>12358</v>
      </c>
      <c r="B461" s="605" t="s">
        <v>13266</v>
      </c>
      <c r="C461" s="606" t="s">
        <v>12483</v>
      </c>
      <c r="D461" s="607">
        <v>0.9</v>
      </c>
      <c r="E461" s="607">
        <v>8.18</v>
      </c>
      <c r="F461" s="607">
        <v>9.08</v>
      </c>
      <c r="G461" s="584">
        <v>15</v>
      </c>
    </row>
    <row r="462" spans="1:7" ht="15" x14ac:dyDescent="0.2">
      <c r="A462" s="583" t="s">
        <v>13267</v>
      </c>
      <c r="B462" s="605" t="s">
        <v>13268</v>
      </c>
      <c r="C462" s="606" t="s">
        <v>12483</v>
      </c>
      <c r="D462" s="607"/>
      <c r="E462" s="607">
        <v>4.09</v>
      </c>
      <c r="F462" s="607">
        <v>4.09</v>
      </c>
      <c r="G462" s="584">
        <v>15</v>
      </c>
    </row>
    <row r="463" spans="1:7" ht="30" x14ac:dyDescent="0.2">
      <c r="A463" s="583" t="s">
        <v>13269</v>
      </c>
      <c r="B463" s="605" t="s">
        <v>13270</v>
      </c>
      <c r="C463" s="606" t="s">
        <v>12483</v>
      </c>
      <c r="D463" s="607"/>
      <c r="E463" s="607">
        <v>8.18</v>
      </c>
      <c r="F463" s="607">
        <v>8.18</v>
      </c>
      <c r="G463" s="584">
        <v>15</v>
      </c>
    </row>
    <row r="464" spans="1:7" ht="45" x14ac:dyDescent="0.2">
      <c r="A464" s="583" t="s">
        <v>12357</v>
      </c>
      <c r="B464" s="605" t="s">
        <v>13271</v>
      </c>
      <c r="C464" s="606" t="s">
        <v>12427</v>
      </c>
      <c r="D464" s="607">
        <v>7.2</v>
      </c>
      <c r="E464" s="607">
        <v>12.26</v>
      </c>
      <c r="F464" s="607">
        <v>19.46</v>
      </c>
      <c r="G464" s="584">
        <v>15</v>
      </c>
    </row>
    <row r="465" spans="1:7" ht="30" x14ac:dyDescent="0.2">
      <c r="A465" s="583" t="s">
        <v>13272</v>
      </c>
      <c r="B465" s="605" t="s">
        <v>13273</v>
      </c>
      <c r="C465" s="606" t="s">
        <v>12427</v>
      </c>
      <c r="D465" s="607"/>
      <c r="E465" s="607">
        <v>12.26</v>
      </c>
      <c r="F465" s="607">
        <v>12.26</v>
      </c>
      <c r="G465" s="584">
        <v>15</v>
      </c>
    </row>
    <row r="466" spans="1:7" ht="15" x14ac:dyDescent="0.25">
      <c r="A466" s="583" t="s">
        <v>13274</v>
      </c>
      <c r="B466" s="605" t="s">
        <v>13275</v>
      </c>
      <c r="C466" s="606"/>
      <c r="D466" s="607"/>
      <c r="E466" s="607"/>
      <c r="F466" s="607"/>
      <c r="G466" s="582"/>
    </row>
    <row r="467" spans="1:7" ht="15" x14ac:dyDescent="0.2">
      <c r="A467" s="583" t="s">
        <v>13276</v>
      </c>
      <c r="B467" s="605" t="s">
        <v>13277</v>
      </c>
      <c r="C467" s="606" t="s">
        <v>12427</v>
      </c>
      <c r="D467" s="607">
        <v>41.71</v>
      </c>
      <c r="E467" s="607">
        <v>18.13</v>
      </c>
      <c r="F467" s="607">
        <v>59.84</v>
      </c>
      <c r="G467" s="584">
        <v>15</v>
      </c>
    </row>
    <row r="468" spans="1:7" ht="15" x14ac:dyDescent="0.25">
      <c r="A468" s="583" t="s">
        <v>13278</v>
      </c>
      <c r="B468" s="605" t="s">
        <v>13279</v>
      </c>
      <c r="C468" s="606"/>
      <c r="D468" s="607"/>
      <c r="E468" s="607"/>
      <c r="F468" s="607"/>
      <c r="G468" s="582"/>
    </row>
    <row r="469" spans="1:7" ht="15" x14ac:dyDescent="0.25">
      <c r="A469" s="583" t="s">
        <v>13280</v>
      </c>
      <c r="B469" s="605" t="s">
        <v>13281</v>
      </c>
      <c r="C469" s="606"/>
      <c r="D469" s="607"/>
      <c r="E469" s="607"/>
      <c r="F469" s="607"/>
      <c r="G469" s="582"/>
    </row>
    <row r="470" spans="1:7" ht="30" x14ac:dyDescent="0.2">
      <c r="A470" s="583" t="s">
        <v>13282</v>
      </c>
      <c r="B470" s="605" t="s">
        <v>13283</v>
      </c>
      <c r="C470" s="606" t="s">
        <v>12508</v>
      </c>
      <c r="D470" s="607">
        <v>27.09</v>
      </c>
      <c r="E470" s="607">
        <v>110.38</v>
      </c>
      <c r="F470" s="607">
        <v>137.47</v>
      </c>
      <c r="G470" s="584">
        <v>15</v>
      </c>
    </row>
    <row r="471" spans="1:7" ht="15" x14ac:dyDescent="0.25">
      <c r="A471" s="583" t="s">
        <v>13284</v>
      </c>
      <c r="B471" s="605" t="s">
        <v>13285</v>
      </c>
      <c r="C471" s="606"/>
      <c r="D471" s="607"/>
      <c r="E471" s="607"/>
      <c r="F471" s="607"/>
      <c r="G471" s="582"/>
    </row>
    <row r="472" spans="1:7" ht="45" x14ac:dyDescent="0.2">
      <c r="A472" s="583" t="s">
        <v>13286</v>
      </c>
      <c r="B472" s="605" t="s">
        <v>13287</v>
      </c>
      <c r="C472" s="606" t="s">
        <v>12508</v>
      </c>
      <c r="D472" s="607">
        <v>98.52</v>
      </c>
      <c r="E472" s="607">
        <v>12.26</v>
      </c>
      <c r="F472" s="607">
        <v>110.78</v>
      </c>
      <c r="G472" s="584">
        <v>15</v>
      </c>
    </row>
    <row r="473" spans="1:7" ht="45" x14ac:dyDescent="0.2">
      <c r="A473" s="583" t="s">
        <v>13288</v>
      </c>
      <c r="B473" s="605" t="s">
        <v>13289</v>
      </c>
      <c r="C473" s="606" t="s">
        <v>12508</v>
      </c>
      <c r="D473" s="607">
        <v>118.19</v>
      </c>
      <c r="E473" s="607">
        <v>12.26</v>
      </c>
      <c r="F473" s="607">
        <v>130.44999999999999</v>
      </c>
      <c r="G473" s="584">
        <v>15</v>
      </c>
    </row>
    <row r="474" spans="1:7" ht="45" x14ac:dyDescent="0.2">
      <c r="A474" s="583" t="s">
        <v>13290</v>
      </c>
      <c r="B474" s="605" t="s">
        <v>13291</v>
      </c>
      <c r="C474" s="606" t="s">
        <v>12508</v>
      </c>
      <c r="D474" s="607">
        <v>123.08</v>
      </c>
      <c r="E474" s="607">
        <v>12.26</v>
      </c>
      <c r="F474" s="607">
        <v>135.34</v>
      </c>
      <c r="G474" s="584">
        <v>15</v>
      </c>
    </row>
    <row r="475" spans="1:7" ht="30" x14ac:dyDescent="0.2">
      <c r="A475" s="583" t="s">
        <v>13292</v>
      </c>
      <c r="B475" s="605" t="s">
        <v>13293</v>
      </c>
      <c r="C475" s="606" t="s">
        <v>12508</v>
      </c>
      <c r="D475" s="607">
        <v>120.87</v>
      </c>
      <c r="E475" s="607">
        <v>12.26</v>
      </c>
      <c r="F475" s="607">
        <v>133.13</v>
      </c>
      <c r="G475" s="584">
        <v>15</v>
      </c>
    </row>
    <row r="476" spans="1:7" ht="30" x14ac:dyDescent="0.2">
      <c r="A476" s="583" t="s">
        <v>20363</v>
      </c>
      <c r="B476" s="605" t="s">
        <v>20364</v>
      </c>
      <c r="C476" s="606" t="s">
        <v>13313</v>
      </c>
      <c r="D476" s="607">
        <v>274.29000000000002</v>
      </c>
      <c r="E476" s="607">
        <v>1.02</v>
      </c>
      <c r="F476" s="607">
        <v>275.31</v>
      </c>
      <c r="G476" s="584">
        <v>15</v>
      </c>
    </row>
    <row r="477" spans="1:7" ht="15" x14ac:dyDescent="0.25">
      <c r="A477" s="583" t="s">
        <v>13294</v>
      </c>
      <c r="B477" s="605" t="s">
        <v>13295</v>
      </c>
      <c r="C477" s="606"/>
      <c r="D477" s="607"/>
      <c r="E477" s="607"/>
      <c r="F477" s="607"/>
      <c r="G477" s="582"/>
    </row>
    <row r="478" spans="1:7" ht="30" x14ac:dyDescent="0.2">
      <c r="A478" s="583" t="s">
        <v>13296</v>
      </c>
      <c r="B478" s="605" t="s">
        <v>13297</v>
      </c>
      <c r="C478" s="606" t="s">
        <v>12508</v>
      </c>
      <c r="D478" s="607">
        <v>21.13</v>
      </c>
      <c r="E478" s="607"/>
      <c r="F478" s="607">
        <v>21.13</v>
      </c>
      <c r="G478" s="584">
        <v>15</v>
      </c>
    </row>
    <row r="479" spans="1:7" ht="30" x14ac:dyDescent="0.2">
      <c r="A479" s="583" t="s">
        <v>13298</v>
      </c>
      <c r="B479" s="605" t="s">
        <v>13299</v>
      </c>
      <c r="C479" s="606" t="s">
        <v>12508</v>
      </c>
      <c r="D479" s="607">
        <v>39.61</v>
      </c>
      <c r="E479" s="607"/>
      <c r="F479" s="607">
        <v>39.61</v>
      </c>
      <c r="G479" s="584">
        <v>15</v>
      </c>
    </row>
    <row r="480" spans="1:7" ht="30" x14ac:dyDescent="0.2">
      <c r="A480" s="583" t="s">
        <v>13300</v>
      </c>
      <c r="B480" s="605" t="s">
        <v>13301</v>
      </c>
      <c r="C480" s="606" t="s">
        <v>12508</v>
      </c>
      <c r="D480" s="607">
        <v>49.18</v>
      </c>
      <c r="E480" s="607"/>
      <c r="F480" s="607">
        <v>49.18</v>
      </c>
      <c r="G480" s="584">
        <v>15</v>
      </c>
    </row>
    <row r="481" spans="1:7" ht="30" x14ac:dyDescent="0.2">
      <c r="A481" s="583" t="s">
        <v>13302</v>
      </c>
      <c r="B481" s="605" t="s">
        <v>13303</v>
      </c>
      <c r="C481" s="606" t="s">
        <v>12508</v>
      </c>
      <c r="D481" s="607">
        <v>55.93</v>
      </c>
      <c r="E481" s="607"/>
      <c r="F481" s="607">
        <v>55.93</v>
      </c>
      <c r="G481" s="584">
        <v>15</v>
      </c>
    </row>
    <row r="482" spans="1:7" ht="15" x14ac:dyDescent="0.2">
      <c r="A482" s="583" t="s">
        <v>13304</v>
      </c>
      <c r="B482" s="605" t="s">
        <v>13305</v>
      </c>
      <c r="C482" s="606" t="s">
        <v>13306</v>
      </c>
      <c r="D482" s="607">
        <v>2.8</v>
      </c>
      <c r="E482" s="607"/>
      <c r="F482" s="607">
        <v>2.8</v>
      </c>
      <c r="G482" s="584">
        <v>15</v>
      </c>
    </row>
    <row r="483" spans="1:7" ht="30" x14ac:dyDescent="0.2">
      <c r="A483" s="583" t="s">
        <v>13307</v>
      </c>
      <c r="B483" s="605" t="s">
        <v>13308</v>
      </c>
      <c r="C483" s="606" t="s">
        <v>12508</v>
      </c>
      <c r="D483" s="607">
        <v>17.13</v>
      </c>
      <c r="E483" s="607"/>
      <c r="F483" s="607">
        <v>17.13</v>
      </c>
      <c r="G483" s="584">
        <v>15</v>
      </c>
    </row>
    <row r="484" spans="1:7" ht="15" x14ac:dyDescent="0.25">
      <c r="A484" s="583" t="s">
        <v>13309</v>
      </c>
      <c r="B484" s="605" t="s">
        <v>13310</v>
      </c>
      <c r="C484" s="606"/>
      <c r="D484" s="607"/>
      <c r="E484" s="607"/>
      <c r="F484" s="607"/>
      <c r="G484" s="582"/>
    </row>
    <row r="485" spans="1:7" ht="15" x14ac:dyDescent="0.2">
      <c r="A485" s="583" t="s">
        <v>13311</v>
      </c>
      <c r="B485" s="605" t="s">
        <v>13312</v>
      </c>
      <c r="C485" s="606" t="s">
        <v>13313</v>
      </c>
      <c r="D485" s="607">
        <v>47.81</v>
      </c>
      <c r="E485" s="607"/>
      <c r="F485" s="607">
        <v>47.81</v>
      </c>
      <c r="G485" s="584">
        <v>15</v>
      </c>
    </row>
    <row r="486" spans="1:7" ht="15" x14ac:dyDescent="0.2">
      <c r="A486" s="583" t="s">
        <v>13314</v>
      </c>
      <c r="B486" s="605" t="s">
        <v>13315</v>
      </c>
      <c r="C486" s="606" t="s">
        <v>12508</v>
      </c>
      <c r="D486" s="607">
        <v>30.89</v>
      </c>
      <c r="E486" s="607"/>
      <c r="F486" s="607">
        <v>30.89</v>
      </c>
      <c r="G486" s="584">
        <v>15</v>
      </c>
    </row>
    <row r="487" spans="1:7" ht="30" x14ac:dyDescent="0.2">
      <c r="A487" s="583" t="s">
        <v>13316</v>
      </c>
      <c r="B487" s="605" t="s">
        <v>20365</v>
      </c>
      <c r="C487" s="606" t="s">
        <v>13313</v>
      </c>
      <c r="D487" s="607">
        <v>913.05</v>
      </c>
      <c r="E487" s="607"/>
      <c r="F487" s="607">
        <v>913.05</v>
      </c>
      <c r="G487" s="584">
        <v>15</v>
      </c>
    </row>
    <row r="488" spans="1:7" ht="15" x14ac:dyDescent="0.25">
      <c r="A488" s="583" t="s">
        <v>13317</v>
      </c>
      <c r="B488" s="605" t="s">
        <v>13318</v>
      </c>
      <c r="C488" s="606"/>
      <c r="D488" s="607"/>
      <c r="E488" s="607"/>
      <c r="F488" s="607"/>
      <c r="G488" s="582"/>
    </row>
    <row r="489" spans="1:7" ht="15" x14ac:dyDescent="0.2">
      <c r="A489" s="583" t="s">
        <v>13319</v>
      </c>
      <c r="B489" s="605" t="s">
        <v>13320</v>
      </c>
      <c r="C489" s="606" t="s">
        <v>12508</v>
      </c>
      <c r="D489" s="607">
        <v>5.52</v>
      </c>
      <c r="E489" s="607"/>
      <c r="F489" s="607">
        <v>5.52</v>
      </c>
      <c r="G489" s="584">
        <v>15</v>
      </c>
    </row>
    <row r="490" spans="1:7" ht="30" x14ac:dyDescent="0.2">
      <c r="A490" s="583" t="s">
        <v>13321</v>
      </c>
      <c r="B490" s="605" t="s">
        <v>13322</v>
      </c>
      <c r="C490" s="606" t="s">
        <v>12508</v>
      </c>
      <c r="D490" s="607">
        <v>8.75</v>
      </c>
      <c r="E490" s="607"/>
      <c r="F490" s="607">
        <v>8.75</v>
      </c>
      <c r="G490" s="584">
        <v>15</v>
      </c>
    </row>
    <row r="491" spans="1:7" ht="30" x14ac:dyDescent="0.2">
      <c r="A491" s="583" t="s">
        <v>13323</v>
      </c>
      <c r="B491" s="605" t="s">
        <v>13324</v>
      </c>
      <c r="C491" s="606" t="s">
        <v>12508</v>
      </c>
      <c r="D491" s="607">
        <v>13.06</v>
      </c>
      <c r="E491" s="607"/>
      <c r="F491" s="607">
        <v>13.06</v>
      </c>
      <c r="G491" s="584">
        <v>15</v>
      </c>
    </row>
    <row r="492" spans="1:7" ht="30" x14ac:dyDescent="0.2">
      <c r="A492" s="583" t="s">
        <v>13325</v>
      </c>
      <c r="B492" s="605" t="s">
        <v>13326</v>
      </c>
      <c r="C492" s="606" t="s">
        <v>12508</v>
      </c>
      <c r="D492" s="607">
        <v>14.43</v>
      </c>
      <c r="E492" s="607"/>
      <c r="F492" s="607">
        <v>14.43</v>
      </c>
      <c r="G492" s="584">
        <v>15</v>
      </c>
    </row>
    <row r="493" spans="1:7" ht="30" x14ac:dyDescent="0.2">
      <c r="A493" s="583" t="s">
        <v>13327</v>
      </c>
      <c r="B493" s="605" t="s">
        <v>13328</v>
      </c>
      <c r="C493" s="606" t="s">
        <v>12508</v>
      </c>
      <c r="D493" s="607">
        <v>19.29</v>
      </c>
      <c r="E493" s="607"/>
      <c r="F493" s="607">
        <v>19.29</v>
      </c>
      <c r="G493" s="584">
        <v>15</v>
      </c>
    </row>
    <row r="494" spans="1:7" ht="30" x14ac:dyDescent="0.2">
      <c r="A494" s="583" t="s">
        <v>13329</v>
      </c>
      <c r="B494" s="605" t="s">
        <v>13330</v>
      </c>
      <c r="C494" s="606" t="s">
        <v>12508</v>
      </c>
      <c r="D494" s="607">
        <v>28.91</v>
      </c>
      <c r="E494" s="607"/>
      <c r="F494" s="607">
        <v>28.91</v>
      </c>
      <c r="G494" s="584">
        <v>15</v>
      </c>
    </row>
    <row r="495" spans="1:7" ht="30" x14ac:dyDescent="0.2">
      <c r="A495" s="583" t="s">
        <v>13331</v>
      </c>
      <c r="B495" s="605" t="s">
        <v>13332</v>
      </c>
      <c r="C495" s="606" t="s">
        <v>12508</v>
      </c>
      <c r="D495" s="607">
        <v>38.5</v>
      </c>
      <c r="E495" s="607"/>
      <c r="F495" s="607">
        <v>38.5</v>
      </c>
      <c r="G495" s="584">
        <v>15</v>
      </c>
    </row>
    <row r="496" spans="1:7" ht="30" x14ac:dyDescent="0.2">
      <c r="A496" s="583" t="s">
        <v>13333</v>
      </c>
      <c r="B496" s="605" t="s">
        <v>13334</v>
      </c>
      <c r="C496" s="606" t="s">
        <v>13306</v>
      </c>
      <c r="D496" s="607">
        <v>1.86</v>
      </c>
      <c r="E496" s="607"/>
      <c r="F496" s="607">
        <v>1.86</v>
      </c>
      <c r="G496" s="584">
        <v>15</v>
      </c>
    </row>
    <row r="497" spans="1:7" ht="15" x14ac:dyDescent="0.2">
      <c r="A497" s="583" t="s">
        <v>13335</v>
      </c>
      <c r="B497" s="605" t="s">
        <v>13336</v>
      </c>
      <c r="C497" s="606" t="s">
        <v>12508</v>
      </c>
      <c r="D497" s="607">
        <v>15.05</v>
      </c>
      <c r="E497" s="607"/>
      <c r="F497" s="607">
        <v>15.05</v>
      </c>
      <c r="G497" s="584">
        <v>15</v>
      </c>
    </row>
    <row r="498" spans="1:7" ht="30" x14ac:dyDescent="0.2">
      <c r="A498" s="583" t="s">
        <v>13337</v>
      </c>
      <c r="B498" s="605" t="s">
        <v>13338</v>
      </c>
      <c r="C498" s="606" t="s">
        <v>12508</v>
      </c>
      <c r="D498" s="607">
        <v>20.75</v>
      </c>
      <c r="E498" s="607"/>
      <c r="F498" s="607">
        <v>20.75</v>
      </c>
      <c r="G498" s="584">
        <v>15</v>
      </c>
    </row>
    <row r="499" spans="1:7" ht="30" x14ac:dyDescent="0.2">
      <c r="A499" s="583" t="s">
        <v>13339</v>
      </c>
      <c r="B499" s="605" t="s">
        <v>13340</v>
      </c>
      <c r="C499" s="606" t="s">
        <v>12508</v>
      </c>
      <c r="D499" s="607">
        <v>21.66</v>
      </c>
      <c r="E499" s="607"/>
      <c r="F499" s="607">
        <v>21.66</v>
      </c>
      <c r="G499" s="584">
        <v>15</v>
      </c>
    </row>
    <row r="500" spans="1:7" ht="30" x14ac:dyDescent="0.2">
      <c r="A500" s="583" t="s">
        <v>13341</v>
      </c>
      <c r="B500" s="605" t="s">
        <v>13342</v>
      </c>
      <c r="C500" s="606" t="s">
        <v>12508</v>
      </c>
      <c r="D500" s="607">
        <v>27.68</v>
      </c>
      <c r="E500" s="607"/>
      <c r="F500" s="607">
        <v>27.68</v>
      </c>
      <c r="G500" s="584">
        <v>15</v>
      </c>
    </row>
    <row r="501" spans="1:7" ht="30" x14ac:dyDescent="0.2">
      <c r="A501" s="583" t="s">
        <v>13343</v>
      </c>
      <c r="B501" s="605" t="s">
        <v>13344</v>
      </c>
      <c r="C501" s="606" t="s">
        <v>12508</v>
      </c>
      <c r="D501" s="607">
        <v>41.51</v>
      </c>
      <c r="E501" s="607"/>
      <c r="F501" s="607">
        <v>41.51</v>
      </c>
      <c r="G501" s="584">
        <v>15</v>
      </c>
    </row>
    <row r="502" spans="1:7" ht="30" x14ac:dyDescent="0.2">
      <c r="A502" s="583" t="s">
        <v>13345</v>
      </c>
      <c r="B502" s="605" t="s">
        <v>13346</v>
      </c>
      <c r="C502" s="606" t="s">
        <v>12508</v>
      </c>
      <c r="D502" s="607">
        <v>55.33</v>
      </c>
      <c r="E502" s="607"/>
      <c r="F502" s="607">
        <v>55.33</v>
      </c>
      <c r="G502" s="584">
        <v>15</v>
      </c>
    </row>
    <row r="503" spans="1:7" ht="30" x14ac:dyDescent="0.2">
      <c r="A503" s="583" t="s">
        <v>13347</v>
      </c>
      <c r="B503" s="605" t="s">
        <v>13348</v>
      </c>
      <c r="C503" s="606" t="s">
        <v>13306</v>
      </c>
      <c r="D503" s="607">
        <v>2.68</v>
      </c>
      <c r="E503" s="607"/>
      <c r="F503" s="607">
        <v>2.68</v>
      </c>
      <c r="G503" s="584">
        <v>15</v>
      </c>
    </row>
    <row r="504" spans="1:7" ht="15" x14ac:dyDescent="0.2">
      <c r="A504" s="583" t="s">
        <v>21373</v>
      </c>
      <c r="B504" s="605" t="s">
        <v>21374</v>
      </c>
      <c r="C504" s="606" t="s">
        <v>13306</v>
      </c>
      <c r="D504" s="607">
        <v>2.69</v>
      </c>
      <c r="E504" s="607"/>
      <c r="F504" s="607">
        <v>2.69</v>
      </c>
      <c r="G504" s="584">
        <v>15</v>
      </c>
    </row>
    <row r="505" spans="1:7" ht="15" x14ac:dyDescent="0.25">
      <c r="A505" s="583" t="s">
        <v>13349</v>
      </c>
      <c r="B505" s="605" t="s">
        <v>13350</v>
      </c>
      <c r="C505" s="606"/>
      <c r="D505" s="607"/>
      <c r="E505" s="607"/>
      <c r="F505" s="607"/>
      <c r="G505" s="582"/>
    </row>
    <row r="506" spans="1:7" ht="15" x14ac:dyDescent="0.25">
      <c r="A506" s="583" t="s">
        <v>13351</v>
      </c>
      <c r="B506" s="605" t="s">
        <v>13352</v>
      </c>
      <c r="C506" s="606"/>
      <c r="D506" s="607"/>
      <c r="E506" s="607"/>
      <c r="F506" s="607"/>
      <c r="G506" s="582"/>
    </row>
    <row r="507" spans="1:7" ht="30" x14ac:dyDescent="0.2">
      <c r="A507" s="583" t="s">
        <v>13353</v>
      </c>
      <c r="B507" s="605" t="s">
        <v>13354</v>
      </c>
      <c r="C507" s="606" t="s">
        <v>12508</v>
      </c>
      <c r="D507" s="607"/>
      <c r="E507" s="607">
        <v>51.1</v>
      </c>
      <c r="F507" s="607">
        <v>51.1</v>
      </c>
      <c r="G507" s="584">
        <v>15</v>
      </c>
    </row>
    <row r="508" spans="1:7" ht="15" x14ac:dyDescent="0.2">
      <c r="A508" s="583" t="s">
        <v>13355</v>
      </c>
      <c r="B508" s="605" t="s">
        <v>13356</v>
      </c>
      <c r="C508" s="606" t="s">
        <v>12508</v>
      </c>
      <c r="D508" s="607"/>
      <c r="E508" s="607">
        <v>63.77</v>
      </c>
      <c r="F508" s="607">
        <v>63.77</v>
      </c>
      <c r="G508" s="584">
        <v>15</v>
      </c>
    </row>
    <row r="509" spans="1:7" ht="15" x14ac:dyDescent="0.25">
      <c r="A509" s="583" t="s">
        <v>13357</v>
      </c>
      <c r="B509" s="605" t="s">
        <v>13358</v>
      </c>
      <c r="C509" s="606"/>
      <c r="D509" s="607"/>
      <c r="E509" s="607"/>
      <c r="F509" s="607"/>
      <c r="G509" s="582"/>
    </row>
    <row r="510" spans="1:7" ht="30" x14ac:dyDescent="0.2">
      <c r="A510" s="583" t="s">
        <v>13359</v>
      </c>
      <c r="B510" s="605" t="s">
        <v>13360</v>
      </c>
      <c r="C510" s="606" t="s">
        <v>12508</v>
      </c>
      <c r="D510" s="607"/>
      <c r="E510" s="607">
        <v>61.32</v>
      </c>
      <c r="F510" s="607">
        <v>61.32</v>
      </c>
      <c r="G510" s="584">
        <v>15</v>
      </c>
    </row>
    <row r="511" spans="1:7" ht="30" x14ac:dyDescent="0.2">
      <c r="A511" s="583" t="s">
        <v>13361</v>
      </c>
      <c r="B511" s="605" t="s">
        <v>13362</v>
      </c>
      <c r="C511" s="606" t="s">
        <v>12508</v>
      </c>
      <c r="D511" s="607"/>
      <c r="E511" s="607">
        <v>79.31</v>
      </c>
      <c r="F511" s="607">
        <v>79.31</v>
      </c>
      <c r="G511" s="584">
        <v>15</v>
      </c>
    </row>
    <row r="512" spans="1:7" ht="15" x14ac:dyDescent="0.25">
      <c r="A512" s="583" t="s">
        <v>13363</v>
      </c>
      <c r="B512" s="605" t="s">
        <v>13364</v>
      </c>
      <c r="C512" s="606"/>
      <c r="D512" s="607"/>
      <c r="E512" s="607"/>
      <c r="F512" s="607"/>
      <c r="G512" s="582"/>
    </row>
    <row r="513" spans="1:7" ht="15" x14ac:dyDescent="0.2">
      <c r="A513" s="583" t="s">
        <v>13365</v>
      </c>
      <c r="B513" s="605" t="s">
        <v>13366</v>
      </c>
      <c r="C513" s="606" t="s">
        <v>12508</v>
      </c>
      <c r="D513" s="607"/>
      <c r="E513" s="607">
        <v>8.7899999999999991</v>
      </c>
      <c r="F513" s="607">
        <v>8.7899999999999991</v>
      </c>
      <c r="G513" s="584">
        <v>15</v>
      </c>
    </row>
    <row r="514" spans="1:7" ht="15" x14ac:dyDescent="0.2">
      <c r="A514" s="583" t="s">
        <v>13367</v>
      </c>
      <c r="B514" s="605" t="s">
        <v>13368</v>
      </c>
      <c r="C514" s="606" t="s">
        <v>12508</v>
      </c>
      <c r="D514" s="607"/>
      <c r="E514" s="607">
        <v>19.07</v>
      </c>
      <c r="F514" s="607">
        <v>19.07</v>
      </c>
      <c r="G514" s="584">
        <v>15</v>
      </c>
    </row>
    <row r="515" spans="1:7" ht="15" x14ac:dyDescent="0.2">
      <c r="A515" s="583" t="s">
        <v>13369</v>
      </c>
      <c r="B515" s="605" t="s">
        <v>13370</v>
      </c>
      <c r="C515" s="606" t="s">
        <v>12508</v>
      </c>
      <c r="D515" s="607">
        <v>18.46</v>
      </c>
      <c r="E515" s="607">
        <v>68.680000000000007</v>
      </c>
      <c r="F515" s="607">
        <v>87.14</v>
      </c>
      <c r="G515" s="584">
        <v>15</v>
      </c>
    </row>
    <row r="516" spans="1:7" ht="15" x14ac:dyDescent="0.25">
      <c r="A516" s="583" t="s">
        <v>13371</v>
      </c>
      <c r="B516" s="605" t="s">
        <v>13372</v>
      </c>
      <c r="C516" s="606"/>
      <c r="D516" s="607"/>
      <c r="E516" s="607"/>
      <c r="F516" s="607"/>
      <c r="G516" s="582"/>
    </row>
    <row r="517" spans="1:7" ht="15" x14ac:dyDescent="0.2">
      <c r="A517" s="583" t="s">
        <v>13373</v>
      </c>
      <c r="B517" s="605" t="s">
        <v>13374</v>
      </c>
      <c r="C517" s="606" t="s">
        <v>12508</v>
      </c>
      <c r="D517" s="607"/>
      <c r="E517" s="607">
        <v>63.14</v>
      </c>
      <c r="F517" s="607">
        <v>63.14</v>
      </c>
      <c r="G517" s="584">
        <v>15</v>
      </c>
    </row>
    <row r="518" spans="1:7" ht="15" x14ac:dyDescent="0.25">
      <c r="A518" s="583" t="s">
        <v>13375</v>
      </c>
      <c r="B518" s="605" t="s">
        <v>13376</v>
      </c>
      <c r="C518" s="606"/>
      <c r="D518" s="607"/>
      <c r="E518" s="607"/>
      <c r="F518" s="607"/>
      <c r="G518" s="582"/>
    </row>
    <row r="519" spans="1:7" ht="15" x14ac:dyDescent="0.2">
      <c r="A519" s="583" t="s">
        <v>13377</v>
      </c>
      <c r="B519" s="605" t="s">
        <v>13378</v>
      </c>
      <c r="C519" s="606" t="s">
        <v>12508</v>
      </c>
      <c r="D519" s="607"/>
      <c r="E519" s="607">
        <v>12.26</v>
      </c>
      <c r="F519" s="607">
        <v>12.26</v>
      </c>
      <c r="G519" s="584">
        <v>15</v>
      </c>
    </row>
    <row r="520" spans="1:7" ht="15" x14ac:dyDescent="0.25">
      <c r="A520" s="583" t="s">
        <v>13379</v>
      </c>
      <c r="B520" s="605" t="s">
        <v>13380</v>
      </c>
      <c r="C520" s="606"/>
      <c r="D520" s="607"/>
      <c r="E520" s="607"/>
      <c r="F520" s="607"/>
      <c r="G520" s="582"/>
    </row>
    <row r="521" spans="1:7" ht="30" x14ac:dyDescent="0.25">
      <c r="A521" s="583" t="s">
        <v>13381</v>
      </c>
      <c r="B521" s="605" t="s">
        <v>13382</v>
      </c>
      <c r="C521" s="606"/>
      <c r="D521" s="607"/>
      <c r="E521" s="607"/>
      <c r="F521" s="607"/>
      <c r="G521" s="582"/>
    </row>
    <row r="522" spans="1:7" ht="30" x14ac:dyDescent="0.2">
      <c r="A522" s="583" t="s">
        <v>13383</v>
      </c>
      <c r="B522" s="605" t="s">
        <v>13384</v>
      </c>
      <c r="C522" s="606" t="s">
        <v>12508</v>
      </c>
      <c r="D522" s="607">
        <v>15.14</v>
      </c>
      <c r="E522" s="607">
        <v>0.28999999999999998</v>
      </c>
      <c r="F522" s="607">
        <v>15.43</v>
      </c>
      <c r="G522" s="584">
        <v>15</v>
      </c>
    </row>
    <row r="523" spans="1:7" ht="30" x14ac:dyDescent="0.2">
      <c r="A523" s="583" t="s">
        <v>13385</v>
      </c>
      <c r="B523" s="605" t="s">
        <v>13386</v>
      </c>
      <c r="C523" s="606" t="s">
        <v>12508</v>
      </c>
      <c r="D523" s="607">
        <v>15.59</v>
      </c>
      <c r="E523" s="607">
        <v>0.28999999999999998</v>
      </c>
      <c r="F523" s="607">
        <v>15.88</v>
      </c>
      <c r="G523" s="584">
        <v>15</v>
      </c>
    </row>
    <row r="524" spans="1:7" ht="30" x14ac:dyDescent="0.2">
      <c r="A524" s="583" t="s">
        <v>13387</v>
      </c>
      <c r="B524" s="605" t="s">
        <v>13388</v>
      </c>
      <c r="C524" s="606" t="s">
        <v>12508</v>
      </c>
      <c r="D524" s="607">
        <v>32.700000000000003</v>
      </c>
      <c r="E524" s="607">
        <v>0.96</v>
      </c>
      <c r="F524" s="607">
        <v>33.659999999999997</v>
      </c>
      <c r="G524" s="584">
        <v>15</v>
      </c>
    </row>
    <row r="525" spans="1:7" ht="15" x14ac:dyDescent="0.2">
      <c r="A525" s="583" t="s">
        <v>13389</v>
      </c>
      <c r="B525" s="605" t="s">
        <v>13390</v>
      </c>
      <c r="C525" s="606" t="s">
        <v>12508</v>
      </c>
      <c r="D525" s="607">
        <v>15.02</v>
      </c>
      <c r="E525" s="607"/>
      <c r="F525" s="607">
        <v>15.02</v>
      </c>
      <c r="G525" s="584">
        <v>15</v>
      </c>
    </row>
    <row r="526" spans="1:7" ht="15" x14ac:dyDescent="0.25">
      <c r="A526" s="583" t="s">
        <v>13391</v>
      </c>
      <c r="B526" s="605" t="s">
        <v>13392</v>
      </c>
      <c r="C526" s="606"/>
      <c r="D526" s="607"/>
      <c r="E526" s="607"/>
      <c r="F526" s="607"/>
      <c r="G526" s="582"/>
    </row>
    <row r="527" spans="1:7" ht="30" x14ac:dyDescent="0.2">
      <c r="A527" s="583" t="s">
        <v>13393</v>
      </c>
      <c r="B527" s="605" t="s">
        <v>13394</v>
      </c>
      <c r="C527" s="606" t="s">
        <v>12508</v>
      </c>
      <c r="D527" s="607">
        <v>9.9700000000000006</v>
      </c>
      <c r="E527" s="607">
        <v>1.32</v>
      </c>
      <c r="F527" s="607">
        <v>11.29</v>
      </c>
      <c r="G527" s="584">
        <v>15</v>
      </c>
    </row>
    <row r="528" spans="1:7" ht="30" x14ac:dyDescent="0.2">
      <c r="A528" s="583" t="s">
        <v>13395</v>
      </c>
      <c r="B528" s="605" t="s">
        <v>13396</v>
      </c>
      <c r="C528" s="606" t="s">
        <v>12508</v>
      </c>
      <c r="D528" s="607">
        <v>11.24</v>
      </c>
      <c r="E528" s="607">
        <v>1.48</v>
      </c>
      <c r="F528" s="607">
        <v>12.72</v>
      </c>
      <c r="G528" s="584">
        <v>15</v>
      </c>
    </row>
    <row r="529" spans="1:7" ht="30" x14ac:dyDescent="0.2">
      <c r="A529" s="583" t="s">
        <v>13397</v>
      </c>
      <c r="B529" s="605" t="s">
        <v>13398</v>
      </c>
      <c r="C529" s="606" t="s">
        <v>12508</v>
      </c>
      <c r="D529" s="607">
        <v>20.49</v>
      </c>
      <c r="E529" s="607">
        <v>0.85</v>
      </c>
      <c r="F529" s="607">
        <v>21.34</v>
      </c>
      <c r="G529" s="584">
        <v>15</v>
      </c>
    </row>
    <row r="530" spans="1:7" ht="30" x14ac:dyDescent="0.2">
      <c r="A530" s="583" t="s">
        <v>13399</v>
      </c>
      <c r="B530" s="605" t="s">
        <v>125</v>
      </c>
      <c r="C530" s="606" t="s">
        <v>12508</v>
      </c>
      <c r="D530" s="607">
        <v>21.68</v>
      </c>
      <c r="E530" s="607">
        <v>0.81</v>
      </c>
      <c r="F530" s="607">
        <v>22.49</v>
      </c>
      <c r="G530" s="584">
        <v>15</v>
      </c>
    </row>
    <row r="531" spans="1:7" ht="15" x14ac:dyDescent="0.25">
      <c r="A531" s="583" t="s">
        <v>13400</v>
      </c>
      <c r="B531" s="605" t="s">
        <v>13401</v>
      </c>
      <c r="C531" s="606"/>
      <c r="D531" s="607"/>
      <c r="E531" s="607"/>
      <c r="F531" s="607"/>
      <c r="G531" s="582"/>
    </row>
    <row r="532" spans="1:7" ht="15" x14ac:dyDescent="0.2">
      <c r="A532" s="583" t="s">
        <v>13402</v>
      </c>
      <c r="B532" s="605" t="s">
        <v>13403</v>
      </c>
      <c r="C532" s="606" t="s">
        <v>12508</v>
      </c>
      <c r="D532" s="607">
        <v>31.07</v>
      </c>
      <c r="E532" s="607">
        <v>1.91</v>
      </c>
      <c r="F532" s="607">
        <v>32.979999999999997</v>
      </c>
      <c r="G532" s="584">
        <v>15</v>
      </c>
    </row>
    <row r="533" spans="1:7" ht="15" x14ac:dyDescent="0.2">
      <c r="A533" s="583" t="s">
        <v>13404</v>
      </c>
      <c r="B533" s="605" t="s">
        <v>13405</v>
      </c>
      <c r="C533" s="606" t="s">
        <v>12508</v>
      </c>
      <c r="D533" s="607">
        <v>27.01</v>
      </c>
      <c r="E533" s="607">
        <v>1.53</v>
      </c>
      <c r="F533" s="607">
        <v>28.54</v>
      </c>
      <c r="G533" s="584">
        <v>15</v>
      </c>
    </row>
    <row r="534" spans="1:7" ht="15" x14ac:dyDescent="0.25">
      <c r="A534" s="583" t="s">
        <v>13406</v>
      </c>
      <c r="B534" s="605" t="s">
        <v>13407</v>
      </c>
      <c r="C534" s="606"/>
      <c r="D534" s="607"/>
      <c r="E534" s="607"/>
      <c r="F534" s="607"/>
      <c r="G534" s="582"/>
    </row>
    <row r="535" spans="1:7" ht="30" x14ac:dyDescent="0.2">
      <c r="A535" s="583" t="s">
        <v>13408</v>
      </c>
      <c r="B535" s="605" t="s">
        <v>126</v>
      </c>
      <c r="C535" s="606" t="s">
        <v>12508</v>
      </c>
      <c r="D535" s="607">
        <v>336.79</v>
      </c>
      <c r="E535" s="607"/>
      <c r="F535" s="607">
        <v>336.79</v>
      </c>
      <c r="G535" s="584">
        <v>15</v>
      </c>
    </row>
    <row r="536" spans="1:7" ht="15" x14ac:dyDescent="0.25">
      <c r="A536" s="583" t="s">
        <v>13409</v>
      </c>
      <c r="B536" s="605" t="s">
        <v>13410</v>
      </c>
      <c r="C536" s="606"/>
      <c r="D536" s="607"/>
      <c r="E536" s="607"/>
      <c r="F536" s="607"/>
      <c r="G536" s="582"/>
    </row>
    <row r="537" spans="1:7" ht="30" x14ac:dyDescent="0.2">
      <c r="A537" s="583" t="s">
        <v>13411</v>
      </c>
      <c r="B537" s="605" t="s">
        <v>13412</v>
      </c>
      <c r="C537" s="606" t="s">
        <v>12508</v>
      </c>
      <c r="D537" s="607">
        <v>5.42</v>
      </c>
      <c r="E537" s="607">
        <v>0.12</v>
      </c>
      <c r="F537" s="607">
        <v>5.54</v>
      </c>
      <c r="G537" s="584">
        <v>15</v>
      </c>
    </row>
    <row r="538" spans="1:7" ht="15" x14ac:dyDescent="0.25">
      <c r="A538" s="583" t="s">
        <v>13413</v>
      </c>
      <c r="B538" s="605" t="s">
        <v>13414</v>
      </c>
      <c r="C538" s="606"/>
      <c r="D538" s="607"/>
      <c r="E538" s="607"/>
      <c r="F538" s="607"/>
      <c r="G538" s="582"/>
    </row>
    <row r="539" spans="1:7" ht="30" x14ac:dyDescent="0.2">
      <c r="A539" s="583" t="s">
        <v>13415</v>
      </c>
      <c r="B539" s="605" t="s">
        <v>13416</v>
      </c>
      <c r="C539" s="606" t="s">
        <v>12508</v>
      </c>
      <c r="D539" s="607">
        <v>4.32</v>
      </c>
      <c r="E539" s="607">
        <v>2.85</v>
      </c>
      <c r="F539" s="607">
        <v>7.17</v>
      </c>
      <c r="G539" s="584">
        <v>15</v>
      </c>
    </row>
    <row r="540" spans="1:7" ht="30" x14ac:dyDescent="0.2">
      <c r="A540" s="583" t="s">
        <v>13417</v>
      </c>
      <c r="B540" s="605" t="s">
        <v>13418</v>
      </c>
      <c r="C540" s="606" t="s">
        <v>12508</v>
      </c>
      <c r="D540" s="607">
        <v>19.87</v>
      </c>
      <c r="E540" s="607">
        <v>2.62</v>
      </c>
      <c r="F540" s="607">
        <v>22.49</v>
      </c>
      <c r="G540" s="584">
        <v>15</v>
      </c>
    </row>
    <row r="541" spans="1:7" ht="15" x14ac:dyDescent="0.25">
      <c r="A541" s="583" t="s">
        <v>13419</v>
      </c>
      <c r="B541" s="605" t="s">
        <v>13420</v>
      </c>
      <c r="C541" s="606"/>
      <c r="D541" s="607"/>
      <c r="E541" s="607"/>
      <c r="F541" s="607"/>
      <c r="G541" s="582"/>
    </row>
    <row r="542" spans="1:7" ht="30" x14ac:dyDescent="0.2">
      <c r="A542" s="583" t="s">
        <v>13421</v>
      </c>
      <c r="B542" s="605" t="s">
        <v>127</v>
      </c>
      <c r="C542" s="606" t="s">
        <v>12508</v>
      </c>
      <c r="D542" s="607">
        <v>16.670000000000002</v>
      </c>
      <c r="E542" s="607">
        <v>0.43</v>
      </c>
      <c r="F542" s="607">
        <v>17.100000000000001</v>
      </c>
      <c r="G542" s="584">
        <v>15</v>
      </c>
    </row>
    <row r="543" spans="1:7" ht="30" x14ac:dyDescent="0.2">
      <c r="A543" s="583" t="s">
        <v>13422</v>
      </c>
      <c r="B543" s="605" t="s">
        <v>128</v>
      </c>
      <c r="C543" s="606" t="s">
        <v>12508</v>
      </c>
      <c r="D543" s="607">
        <v>11.85</v>
      </c>
      <c r="E543" s="607">
        <v>0.3</v>
      </c>
      <c r="F543" s="607">
        <v>12.15</v>
      </c>
      <c r="G543" s="584">
        <v>15</v>
      </c>
    </row>
    <row r="544" spans="1:7" ht="30" x14ac:dyDescent="0.2">
      <c r="A544" s="583" t="s">
        <v>13423</v>
      </c>
      <c r="B544" s="605" t="s">
        <v>129</v>
      </c>
      <c r="C544" s="606" t="s">
        <v>12508</v>
      </c>
      <c r="D544" s="607">
        <v>12.04</v>
      </c>
      <c r="E544" s="607">
        <v>0.13</v>
      </c>
      <c r="F544" s="607">
        <v>12.17</v>
      </c>
      <c r="G544" s="584">
        <v>15</v>
      </c>
    </row>
    <row r="545" spans="1:7" ht="30" x14ac:dyDescent="0.2">
      <c r="A545" s="583" t="s">
        <v>13424</v>
      </c>
      <c r="B545" s="605" t="s">
        <v>130</v>
      </c>
      <c r="C545" s="606" t="s">
        <v>12508</v>
      </c>
      <c r="D545" s="607">
        <v>19.920000000000002</v>
      </c>
      <c r="E545" s="607">
        <v>0.41</v>
      </c>
      <c r="F545" s="607">
        <v>20.329999999999998</v>
      </c>
      <c r="G545" s="584">
        <v>15</v>
      </c>
    </row>
    <row r="546" spans="1:7" ht="15" x14ac:dyDescent="0.25">
      <c r="A546" s="583" t="s">
        <v>13425</v>
      </c>
      <c r="B546" s="605" t="s">
        <v>13426</v>
      </c>
      <c r="C546" s="606"/>
      <c r="D546" s="607"/>
      <c r="E546" s="607"/>
      <c r="F546" s="607"/>
      <c r="G546" s="582"/>
    </row>
    <row r="547" spans="1:7" ht="15" x14ac:dyDescent="0.25">
      <c r="A547" s="583" t="s">
        <v>13427</v>
      </c>
      <c r="B547" s="605" t="s">
        <v>13428</v>
      </c>
      <c r="C547" s="606"/>
      <c r="D547" s="607"/>
      <c r="E547" s="607"/>
      <c r="F547" s="607"/>
      <c r="G547" s="582"/>
    </row>
    <row r="548" spans="1:7" ht="15" x14ac:dyDescent="0.2">
      <c r="A548" s="583" t="s">
        <v>13429</v>
      </c>
      <c r="B548" s="605" t="s">
        <v>13430</v>
      </c>
      <c r="C548" s="606" t="s">
        <v>12427</v>
      </c>
      <c r="D548" s="607">
        <v>37</v>
      </c>
      <c r="E548" s="607">
        <v>60.27</v>
      </c>
      <c r="F548" s="607">
        <v>97.27</v>
      </c>
      <c r="G548" s="584">
        <v>15</v>
      </c>
    </row>
    <row r="549" spans="1:7" ht="15" x14ac:dyDescent="0.2">
      <c r="A549" s="583" t="s">
        <v>13431</v>
      </c>
      <c r="B549" s="605" t="s">
        <v>13432</v>
      </c>
      <c r="C549" s="606" t="s">
        <v>12427</v>
      </c>
      <c r="D549" s="607">
        <v>20.53</v>
      </c>
      <c r="E549" s="607">
        <v>36.25</v>
      </c>
      <c r="F549" s="607">
        <v>56.78</v>
      </c>
      <c r="G549" s="584">
        <v>15</v>
      </c>
    </row>
    <row r="550" spans="1:7" ht="15" x14ac:dyDescent="0.2">
      <c r="A550" s="583" t="s">
        <v>13433</v>
      </c>
      <c r="B550" s="605" t="s">
        <v>13434</v>
      </c>
      <c r="C550" s="606" t="s">
        <v>12427</v>
      </c>
      <c r="D550" s="607">
        <v>13.8</v>
      </c>
      <c r="E550" s="607">
        <v>8.77</v>
      </c>
      <c r="F550" s="607">
        <v>22.57</v>
      </c>
      <c r="G550" s="584">
        <v>15</v>
      </c>
    </row>
    <row r="551" spans="1:7" ht="15" x14ac:dyDescent="0.2">
      <c r="A551" s="583" t="s">
        <v>13435</v>
      </c>
      <c r="B551" s="605" t="s">
        <v>13436</v>
      </c>
      <c r="C551" s="606" t="s">
        <v>12427</v>
      </c>
      <c r="D551" s="607">
        <v>47.64</v>
      </c>
      <c r="E551" s="607">
        <v>70.13</v>
      </c>
      <c r="F551" s="607">
        <v>117.77</v>
      </c>
      <c r="G551" s="584">
        <v>15</v>
      </c>
    </row>
    <row r="552" spans="1:7" ht="30" x14ac:dyDescent="0.2">
      <c r="A552" s="583" t="s">
        <v>13437</v>
      </c>
      <c r="B552" s="605" t="s">
        <v>13438</v>
      </c>
      <c r="C552" s="606" t="s">
        <v>12427</v>
      </c>
      <c r="D552" s="607">
        <v>421.22</v>
      </c>
      <c r="E552" s="607"/>
      <c r="F552" s="607">
        <v>421.22</v>
      </c>
      <c r="G552" s="584">
        <v>15</v>
      </c>
    </row>
    <row r="553" spans="1:7" ht="30" x14ac:dyDescent="0.2">
      <c r="A553" s="583" t="s">
        <v>13439</v>
      </c>
      <c r="B553" s="605" t="s">
        <v>13440</v>
      </c>
      <c r="C553" s="606" t="s">
        <v>12427</v>
      </c>
      <c r="D553" s="607">
        <v>466.07</v>
      </c>
      <c r="E553" s="607"/>
      <c r="F553" s="607">
        <v>466.07</v>
      </c>
      <c r="G553" s="584">
        <v>15</v>
      </c>
    </row>
    <row r="554" spans="1:7" ht="30" x14ac:dyDescent="0.2">
      <c r="A554" s="583" t="s">
        <v>13441</v>
      </c>
      <c r="B554" s="605" t="s">
        <v>13442</v>
      </c>
      <c r="C554" s="606" t="s">
        <v>12427</v>
      </c>
      <c r="D554" s="607">
        <v>520.07000000000005</v>
      </c>
      <c r="E554" s="607"/>
      <c r="F554" s="607">
        <v>520.07000000000005</v>
      </c>
      <c r="G554" s="584">
        <v>15</v>
      </c>
    </row>
    <row r="555" spans="1:7" ht="15" x14ac:dyDescent="0.25">
      <c r="A555" s="583" t="s">
        <v>13443</v>
      </c>
      <c r="B555" s="605" t="s">
        <v>13444</v>
      </c>
      <c r="C555" s="606"/>
      <c r="D555" s="607"/>
      <c r="E555" s="607"/>
      <c r="F555" s="607"/>
      <c r="G555" s="582"/>
    </row>
    <row r="556" spans="1:7" ht="15" x14ac:dyDescent="0.2">
      <c r="A556" s="583" t="s">
        <v>13445</v>
      </c>
      <c r="B556" s="605" t="s">
        <v>13446</v>
      </c>
      <c r="C556" s="606" t="s">
        <v>12508</v>
      </c>
      <c r="D556" s="607">
        <v>22.05</v>
      </c>
      <c r="E556" s="607">
        <v>32.880000000000003</v>
      </c>
      <c r="F556" s="607">
        <v>54.93</v>
      </c>
      <c r="G556" s="584">
        <v>15</v>
      </c>
    </row>
    <row r="557" spans="1:7" ht="15" x14ac:dyDescent="0.2">
      <c r="A557" s="583" t="s">
        <v>13447</v>
      </c>
      <c r="B557" s="605" t="s">
        <v>13448</v>
      </c>
      <c r="C557" s="606" t="s">
        <v>12929</v>
      </c>
      <c r="D557" s="607">
        <v>9.9600000000000009</v>
      </c>
      <c r="E557" s="607">
        <v>2.2599999999999998</v>
      </c>
      <c r="F557" s="607">
        <v>12.22</v>
      </c>
      <c r="G557" s="584">
        <v>15</v>
      </c>
    </row>
    <row r="558" spans="1:7" ht="15" x14ac:dyDescent="0.2">
      <c r="A558" s="583" t="s">
        <v>13449</v>
      </c>
      <c r="B558" s="605" t="s">
        <v>13450</v>
      </c>
      <c r="C558" s="606" t="s">
        <v>13451</v>
      </c>
      <c r="D558" s="607">
        <v>10.09</v>
      </c>
      <c r="E558" s="607">
        <v>2.04</v>
      </c>
      <c r="F558" s="607">
        <v>12.13</v>
      </c>
      <c r="G558" s="584">
        <v>15</v>
      </c>
    </row>
    <row r="559" spans="1:7" ht="15" x14ac:dyDescent="0.2">
      <c r="A559" s="583" t="s">
        <v>13452</v>
      </c>
      <c r="B559" s="605" t="s">
        <v>13453</v>
      </c>
      <c r="C559" s="606" t="s">
        <v>12508</v>
      </c>
      <c r="D559" s="607"/>
      <c r="E559" s="607">
        <v>15.56</v>
      </c>
      <c r="F559" s="607">
        <v>15.56</v>
      </c>
      <c r="G559" s="584">
        <v>15</v>
      </c>
    </row>
    <row r="560" spans="1:7" ht="15" x14ac:dyDescent="0.25">
      <c r="A560" s="583" t="s">
        <v>13454</v>
      </c>
      <c r="B560" s="605" t="s">
        <v>13455</v>
      </c>
      <c r="C560" s="606"/>
      <c r="D560" s="607"/>
      <c r="E560" s="607"/>
      <c r="F560" s="607"/>
      <c r="G560" s="582"/>
    </row>
    <row r="561" spans="1:7" ht="15" x14ac:dyDescent="0.2">
      <c r="A561" s="583" t="s">
        <v>13456</v>
      </c>
      <c r="B561" s="605" t="s">
        <v>13457</v>
      </c>
      <c r="C561" s="606" t="s">
        <v>12508</v>
      </c>
      <c r="D561" s="607"/>
      <c r="E561" s="607">
        <v>9.06</v>
      </c>
      <c r="F561" s="607">
        <v>9.06</v>
      </c>
      <c r="G561" s="584">
        <v>15</v>
      </c>
    </row>
    <row r="562" spans="1:7" ht="15" x14ac:dyDescent="0.25">
      <c r="A562" s="583" t="s">
        <v>13458</v>
      </c>
      <c r="B562" s="605" t="s">
        <v>13459</v>
      </c>
      <c r="C562" s="606"/>
      <c r="D562" s="607"/>
      <c r="E562" s="607"/>
      <c r="F562" s="607"/>
      <c r="G562" s="582"/>
    </row>
    <row r="563" spans="1:7" ht="15" x14ac:dyDescent="0.2">
      <c r="A563" s="583" t="s">
        <v>13460</v>
      </c>
      <c r="B563" s="605" t="s">
        <v>13461</v>
      </c>
      <c r="C563" s="606" t="s">
        <v>12427</v>
      </c>
      <c r="D563" s="607">
        <v>31.99</v>
      </c>
      <c r="E563" s="607">
        <v>0.77</v>
      </c>
      <c r="F563" s="607">
        <v>32.76</v>
      </c>
      <c r="G563" s="584">
        <v>15</v>
      </c>
    </row>
    <row r="564" spans="1:7" ht="15" x14ac:dyDescent="0.2">
      <c r="A564" s="583" t="s">
        <v>13462</v>
      </c>
      <c r="B564" s="605" t="s">
        <v>13463</v>
      </c>
      <c r="C564" s="606" t="s">
        <v>12508</v>
      </c>
      <c r="D564" s="607">
        <v>154.13</v>
      </c>
      <c r="E564" s="607">
        <v>22.66</v>
      </c>
      <c r="F564" s="607">
        <v>176.79</v>
      </c>
      <c r="G564" s="584">
        <v>15</v>
      </c>
    </row>
    <row r="565" spans="1:7" ht="15" x14ac:dyDescent="0.2">
      <c r="A565" s="583" t="s">
        <v>13464</v>
      </c>
      <c r="B565" s="605" t="s">
        <v>13465</v>
      </c>
      <c r="C565" s="606" t="s">
        <v>12508</v>
      </c>
      <c r="D565" s="607">
        <v>174.44</v>
      </c>
      <c r="E565" s="607">
        <v>13.59</v>
      </c>
      <c r="F565" s="607">
        <v>188.03</v>
      </c>
      <c r="G565" s="584">
        <v>15</v>
      </c>
    </row>
    <row r="566" spans="1:7" ht="30" x14ac:dyDescent="0.2">
      <c r="A566" s="583" t="s">
        <v>13466</v>
      </c>
      <c r="B566" s="605" t="s">
        <v>13467</v>
      </c>
      <c r="C566" s="606" t="s">
        <v>12427</v>
      </c>
      <c r="D566" s="607">
        <v>7.03</v>
      </c>
      <c r="E566" s="607">
        <v>13.59</v>
      </c>
      <c r="F566" s="607">
        <v>20.62</v>
      </c>
      <c r="G566" s="584">
        <v>15</v>
      </c>
    </row>
    <row r="567" spans="1:7" ht="30" x14ac:dyDescent="0.2">
      <c r="A567" s="583" t="s">
        <v>13468</v>
      </c>
      <c r="B567" s="605" t="s">
        <v>13469</v>
      </c>
      <c r="C567" s="606" t="s">
        <v>12427</v>
      </c>
      <c r="D567" s="607">
        <v>9.64</v>
      </c>
      <c r="E567" s="607">
        <v>13.59</v>
      </c>
      <c r="F567" s="607">
        <v>23.23</v>
      </c>
      <c r="G567" s="584">
        <v>15</v>
      </c>
    </row>
    <row r="568" spans="1:7" ht="30" x14ac:dyDescent="0.2">
      <c r="A568" s="583" t="s">
        <v>13470</v>
      </c>
      <c r="B568" s="605" t="s">
        <v>13471</v>
      </c>
      <c r="C568" s="606" t="s">
        <v>12427</v>
      </c>
      <c r="D568" s="607">
        <v>19.100000000000001</v>
      </c>
      <c r="E568" s="607">
        <v>13.59</v>
      </c>
      <c r="F568" s="607">
        <v>32.69</v>
      </c>
      <c r="G568" s="584">
        <v>15</v>
      </c>
    </row>
    <row r="569" spans="1:7" ht="15" x14ac:dyDescent="0.25">
      <c r="A569" s="583" t="s">
        <v>13472</v>
      </c>
      <c r="B569" s="605" t="s">
        <v>13473</v>
      </c>
      <c r="C569" s="606"/>
      <c r="D569" s="607"/>
      <c r="E569" s="607"/>
      <c r="F569" s="607"/>
      <c r="G569" s="582"/>
    </row>
    <row r="570" spans="1:7" ht="15" x14ac:dyDescent="0.2">
      <c r="A570" s="583" t="s">
        <v>13474</v>
      </c>
      <c r="B570" s="605" t="s">
        <v>13475</v>
      </c>
      <c r="C570" s="606" t="s">
        <v>12483</v>
      </c>
      <c r="D570" s="607">
        <v>12.64</v>
      </c>
      <c r="E570" s="607">
        <v>15.85</v>
      </c>
      <c r="F570" s="607">
        <v>28.49</v>
      </c>
      <c r="G570" s="584">
        <v>15</v>
      </c>
    </row>
    <row r="571" spans="1:7" ht="15" x14ac:dyDescent="0.2">
      <c r="A571" s="583" t="s">
        <v>13476</v>
      </c>
      <c r="B571" s="605" t="s">
        <v>13477</v>
      </c>
      <c r="C571" s="606" t="s">
        <v>12483</v>
      </c>
      <c r="D571" s="607">
        <v>18.149999999999999</v>
      </c>
      <c r="E571" s="607">
        <v>18.13</v>
      </c>
      <c r="F571" s="607">
        <v>36.28</v>
      </c>
      <c r="G571" s="584">
        <v>15</v>
      </c>
    </row>
    <row r="572" spans="1:7" ht="15" x14ac:dyDescent="0.2">
      <c r="A572" s="583" t="s">
        <v>13478</v>
      </c>
      <c r="B572" s="605" t="s">
        <v>13479</v>
      </c>
      <c r="C572" s="606" t="s">
        <v>12483</v>
      </c>
      <c r="D572" s="607">
        <v>17.2</v>
      </c>
      <c r="E572" s="607">
        <v>22.66</v>
      </c>
      <c r="F572" s="607">
        <v>39.86</v>
      </c>
      <c r="G572" s="584">
        <v>15</v>
      </c>
    </row>
    <row r="573" spans="1:7" ht="15" x14ac:dyDescent="0.25">
      <c r="A573" s="583" t="s">
        <v>13480</v>
      </c>
      <c r="B573" s="605" t="s">
        <v>13481</v>
      </c>
      <c r="C573" s="606"/>
      <c r="D573" s="607"/>
      <c r="E573" s="607"/>
      <c r="F573" s="607"/>
      <c r="G573" s="582"/>
    </row>
    <row r="574" spans="1:7" ht="30" x14ac:dyDescent="0.2">
      <c r="A574" s="583" t="s">
        <v>13482</v>
      </c>
      <c r="B574" s="605" t="s">
        <v>13483</v>
      </c>
      <c r="C574" s="606" t="s">
        <v>12424</v>
      </c>
      <c r="D574" s="607">
        <v>12920.98</v>
      </c>
      <c r="E574" s="607"/>
      <c r="F574" s="607">
        <v>12920.98</v>
      </c>
      <c r="G574" s="584">
        <v>15</v>
      </c>
    </row>
    <row r="575" spans="1:7" ht="45" x14ac:dyDescent="0.2">
      <c r="A575" s="583" t="s">
        <v>13484</v>
      </c>
      <c r="B575" s="605" t="s">
        <v>13485</v>
      </c>
      <c r="C575" s="606" t="s">
        <v>13486</v>
      </c>
      <c r="D575" s="607">
        <v>834.1</v>
      </c>
      <c r="E575" s="607"/>
      <c r="F575" s="607">
        <v>834.1</v>
      </c>
      <c r="G575" s="584">
        <v>15</v>
      </c>
    </row>
    <row r="576" spans="1:7" ht="15" x14ac:dyDescent="0.2">
      <c r="A576" s="583" t="s">
        <v>13487</v>
      </c>
      <c r="B576" s="605" t="s">
        <v>13488</v>
      </c>
      <c r="C576" s="606" t="s">
        <v>12375</v>
      </c>
      <c r="D576" s="607">
        <v>619.80999999999995</v>
      </c>
      <c r="E576" s="607"/>
      <c r="F576" s="607">
        <v>619.80999999999995</v>
      </c>
      <c r="G576" s="584">
        <v>15</v>
      </c>
    </row>
    <row r="577" spans="1:7" ht="30" x14ac:dyDescent="0.2">
      <c r="A577" s="583" t="s">
        <v>13489</v>
      </c>
      <c r="B577" s="605" t="s">
        <v>13490</v>
      </c>
      <c r="C577" s="606" t="s">
        <v>13491</v>
      </c>
      <c r="D577" s="607">
        <v>2.58</v>
      </c>
      <c r="E577" s="607">
        <v>4.09</v>
      </c>
      <c r="F577" s="607">
        <v>6.67</v>
      </c>
      <c r="G577" s="584">
        <v>15</v>
      </c>
    </row>
    <row r="578" spans="1:7" ht="15" x14ac:dyDescent="0.25">
      <c r="A578" s="583" t="s">
        <v>13492</v>
      </c>
      <c r="B578" s="605" t="s">
        <v>13493</v>
      </c>
      <c r="C578" s="606"/>
      <c r="D578" s="607"/>
      <c r="E578" s="607"/>
      <c r="F578" s="607"/>
      <c r="G578" s="582"/>
    </row>
    <row r="579" spans="1:7" ht="15" x14ac:dyDescent="0.2">
      <c r="A579" s="583" t="s">
        <v>13494</v>
      </c>
      <c r="B579" s="605" t="s">
        <v>13495</v>
      </c>
      <c r="C579" s="606" t="s">
        <v>12508</v>
      </c>
      <c r="D579" s="607">
        <v>195.54</v>
      </c>
      <c r="E579" s="607">
        <v>135.93</v>
      </c>
      <c r="F579" s="607">
        <v>331.47</v>
      </c>
      <c r="G579" s="584">
        <v>15</v>
      </c>
    </row>
    <row r="580" spans="1:7" ht="15" x14ac:dyDescent="0.2">
      <c r="A580" s="583" t="s">
        <v>13496</v>
      </c>
      <c r="B580" s="605" t="s">
        <v>13497</v>
      </c>
      <c r="C580" s="606" t="s">
        <v>12508</v>
      </c>
      <c r="D580" s="607">
        <v>336.58</v>
      </c>
      <c r="E580" s="607">
        <v>263</v>
      </c>
      <c r="F580" s="607">
        <v>599.58000000000004</v>
      </c>
      <c r="G580" s="584">
        <v>15</v>
      </c>
    </row>
    <row r="581" spans="1:7" ht="45" x14ac:dyDescent="0.2">
      <c r="A581" s="583" t="s">
        <v>13498</v>
      </c>
      <c r="B581" s="605" t="s">
        <v>13499</v>
      </c>
      <c r="C581" s="606" t="s">
        <v>12508</v>
      </c>
      <c r="D581" s="607">
        <v>809.41</v>
      </c>
      <c r="E581" s="607">
        <v>122.3</v>
      </c>
      <c r="F581" s="607">
        <v>931.71</v>
      </c>
      <c r="G581" s="584">
        <v>15</v>
      </c>
    </row>
    <row r="582" spans="1:7" ht="45" x14ac:dyDescent="0.2">
      <c r="A582" s="583" t="s">
        <v>13500</v>
      </c>
      <c r="B582" s="605" t="s">
        <v>13501</v>
      </c>
      <c r="C582" s="606" t="s">
        <v>12508</v>
      </c>
      <c r="D582" s="607">
        <v>629.21</v>
      </c>
      <c r="E582" s="607">
        <v>150.19999999999999</v>
      </c>
      <c r="F582" s="607">
        <v>779.41</v>
      </c>
      <c r="G582" s="584">
        <v>15</v>
      </c>
    </row>
    <row r="583" spans="1:7" ht="15" x14ac:dyDescent="0.25">
      <c r="A583" s="583" t="s">
        <v>13502</v>
      </c>
      <c r="B583" s="605" t="s">
        <v>13503</v>
      </c>
      <c r="C583" s="606"/>
      <c r="D583" s="607"/>
      <c r="E583" s="607"/>
      <c r="F583" s="607"/>
      <c r="G583" s="582"/>
    </row>
    <row r="584" spans="1:7" ht="15" x14ac:dyDescent="0.25">
      <c r="A584" s="583" t="s">
        <v>13504</v>
      </c>
      <c r="B584" s="605" t="s">
        <v>13505</v>
      </c>
      <c r="C584" s="606"/>
      <c r="D584" s="607"/>
      <c r="E584" s="607"/>
      <c r="F584" s="607"/>
      <c r="G584" s="582"/>
    </row>
    <row r="585" spans="1:7" ht="15" x14ac:dyDescent="0.2">
      <c r="A585" s="583" t="s">
        <v>13506</v>
      </c>
      <c r="B585" s="605" t="s">
        <v>13507</v>
      </c>
      <c r="C585" s="606" t="s">
        <v>12427</v>
      </c>
      <c r="D585" s="607">
        <v>44.61</v>
      </c>
      <c r="E585" s="607">
        <v>58.9</v>
      </c>
      <c r="F585" s="607">
        <v>103.51</v>
      </c>
      <c r="G585" s="584">
        <v>15</v>
      </c>
    </row>
    <row r="586" spans="1:7" ht="15" x14ac:dyDescent="0.2">
      <c r="A586" s="583" t="s">
        <v>13508</v>
      </c>
      <c r="B586" s="605" t="s">
        <v>13509</v>
      </c>
      <c r="C586" s="606" t="s">
        <v>12427</v>
      </c>
      <c r="D586" s="607">
        <v>177.35</v>
      </c>
      <c r="E586" s="607">
        <v>67.97</v>
      </c>
      <c r="F586" s="607">
        <v>245.32</v>
      </c>
      <c r="G586" s="584">
        <v>15</v>
      </c>
    </row>
    <row r="587" spans="1:7" ht="15" x14ac:dyDescent="0.2">
      <c r="A587" s="583" t="s">
        <v>13510</v>
      </c>
      <c r="B587" s="605" t="s">
        <v>13511</v>
      </c>
      <c r="C587" s="606" t="s">
        <v>12427</v>
      </c>
      <c r="D587" s="607">
        <v>62.09</v>
      </c>
      <c r="E587" s="607">
        <v>54.37</v>
      </c>
      <c r="F587" s="607">
        <v>116.46</v>
      </c>
      <c r="G587" s="584">
        <v>15</v>
      </c>
    </row>
    <row r="588" spans="1:7" ht="30" x14ac:dyDescent="0.2">
      <c r="A588" s="583" t="s">
        <v>13512</v>
      </c>
      <c r="B588" s="605" t="s">
        <v>13513</v>
      </c>
      <c r="C588" s="606" t="s">
        <v>12427</v>
      </c>
      <c r="D588" s="607"/>
      <c r="E588" s="607">
        <v>6.98</v>
      </c>
      <c r="F588" s="607">
        <v>6.98</v>
      </c>
      <c r="G588" s="584">
        <v>15</v>
      </c>
    </row>
    <row r="589" spans="1:7" ht="30" x14ac:dyDescent="0.2">
      <c r="A589" s="583" t="s">
        <v>13514</v>
      </c>
      <c r="B589" s="605" t="s">
        <v>13515</v>
      </c>
      <c r="C589" s="606" t="s">
        <v>12427</v>
      </c>
      <c r="D589" s="607"/>
      <c r="E589" s="607">
        <v>8.3000000000000007</v>
      </c>
      <c r="F589" s="607">
        <v>8.3000000000000007</v>
      </c>
      <c r="G589" s="584">
        <v>15</v>
      </c>
    </row>
    <row r="590" spans="1:7" ht="15" x14ac:dyDescent="0.25">
      <c r="A590" s="583" t="s">
        <v>13516</v>
      </c>
      <c r="B590" s="605" t="s">
        <v>13517</v>
      </c>
      <c r="C590" s="606"/>
      <c r="D590" s="607"/>
      <c r="E590" s="607"/>
      <c r="F590" s="607"/>
      <c r="G590" s="582"/>
    </row>
    <row r="591" spans="1:7" ht="15" x14ac:dyDescent="0.2">
      <c r="A591" s="583" t="s">
        <v>13518</v>
      </c>
      <c r="B591" s="605" t="s">
        <v>13519</v>
      </c>
      <c r="C591" s="606" t="s">
        <v>12427</v>
      </c>
      <c r="D591" s="607">
        <v>124.37</v>
      </c>
      <c r="E591" s="607">
        <v>63.44</v>
      </c>
      <c r="F591" s="607">
        <v>187.81</v>
      </c>
      <c r="G591" s="584">
        <v>15</v>
      </c>
    </row>
    <row r="592" spans="1:7" ht="15" x14ac:dyDescent="0.2">
      <c r="A592" s="583" t="s">
        <v>13520</v>
      </c>
      <c r="B592" s="605" t="s">
        <v>13521</v>
      </c>
      <c r="C592" s="606" t="s">
        <v>12427</v>
      </c>
      <c r="D592" s="607">
        <v>129.09</v>
      </c>
      <c r="E592" s="607">
        <v>63.44</v>
      </c>
      <c r="F592" s="607">
        <v>192.53</v>
      </c>
      <c r="G592" s="584">
        <v>15</v>
      </c>
    </row>
    <row r="593" spans="1:7" ht="15" x14ac:dyDescent="0.2">
      <c r="A593" s="583" t="s">
        <v>13522</v>
      </c>
      <c r="B593" s="605" t="s">
        <v>13523</v>
      </c>
      <c r="C593" s="606" t="s">
        <v>12427</v>
      </c>
      <c r="D593" s="607">
        <v>113.32</v>
      </c>
      <c r="E593" s="607">
        <v>113.28</v>
      </c>
      <c r="F593" s="607">
        <v>226.6</v>
      </c>
      <c r="G593" s="584">
        <v>15</v>
      </c>
    </row>
    <row r="594" spans="1:7" ht="30" x14ac:dyDescent="0.2">
      <c r="A594" s="583" t="s">
        <v>13524</v>
      </c>
      <c r="B594" s="605" t="s">
        <v>13525</v>
      </c>
      <c r="C594" s="606" t="s">
        <v>12427</v>
      </c>
      <c r="D594" s="607">
        <v>75.58</v>
      </c>
      <c r="E594" s="607">
        <v>61.16</v>
      </c>
      <c r="F594" s="607">
        <v>136.74</v>
      </c>
      <c r="G594" s="584">
        <v>15</v>
      </c>
    </row>
    <row r="595" spans="1:7" ht="15" x14ac:dyDescent="0.2">
      <c r="A595" s="583" t="s">
        <v>13526</v>
      </c>
      <c r="B595" s="605" t="s">
        <v>13527</v>
      </c>
      <c r="C595" s="606" t="s">
        <v>12427</v>
      </c>
      <c r="D595" s="607">
        <v>41.68</v>
      </c>
      <c r="E595" s="607">
        <v>49.84</v>
      </c>
      <c r="F595" s="607">
        <v>91.52</v>
      </c>
      <c r="G595" s="584">
        <v>15</v>
      </c>
    </row>
    <row r="596" spans="1:7" ht="15" x14ac:dyDescent="0.2">
      <c r="A596" s="583" t="s">
        <v>13528</v>
      </c>
      <c r="B596" s="605" t="s">
        <v>13529</v>
      </c>
      <c r="C596" s="606" t="s">
        <v>12427</v>
      </c>
      <c r="D596" s="607">
        <v>100.66</v>
      </c>
      <c r="E596" s="607">
        <v>99.14</v>
      </c>
      <c r="F596" s="607">
        <v>199.8</v>
      </c>
      <c r="G596" s="584">
        <v>15</v>
      </c>
    </row>
    <row r="597" spans="1:7" ht="30" x14ac:dyDescent="0.2">
      <c r="A597" s="583" t="s">
        <v>13530</v>
      </c>
      <c r="B597" s="605" t="s">
        <v>13531</v>
      </c>
      <c r="C597" s="606" t="s">
        <v>12427</v>
      </c>
      <c r="D597" s="607">
        <v>110.36</v>
      </c>
      <c r="E597" s="607">
        <v>39.01</v>
      </c>
      <c r="F597" s="607">
        <v>149.37</v>
      </c>
      <c r="G597" s="584">
        <v>15</v>
      </c>
    </row>
    <row r="598" spans="1:7" ht="30" x14ac:dyDescent="0.2">
      <c r="A598" s="583" t="s">
        <v>13532</v>
      </c>
      <c r="B598" s="605" t="s">
        <v>13533</v>
      </c>
      <c r="C598" s="606" t="s">
        <v>12427</v>
      </c>
      <c r="D598" s="607">
        <v>115.08</v>
      </c>
      <c r="E598" s="607">
        <v>69.569999999999993</v>
      </c>
      <c r="F598" s="607">
        <v>184.65</v>
      </c>
      <c r="G598" s="584">
        <v>15</v>
      </c>
    </row>
    <row r="599" spans="1:7" ht="30" x14ac:dyDescent="0.2">
      <c r="A599" s="583" t="s">
        <v>13534</v>
      </c>
      <c r="B599" s="605" t="s">
        <v>13535</v>
      </c>
      <c r="C599" s="606" t="s">
        <v>12427</v>
      </c>
      <c r="D599" s="607">
        <v>73.34</v>
      </c>
      <c r="E599" s="607">
        <v>119.41</v>
      </c>
      <c r="F599" s="607">
        <v>192.75</v>
      </c>
      <c r="G599" s="584">
        <v>15</v>
      </c>
    </row>
    <row r="600" spans="1:7" ht="15" x14ac:dyDescent="0.25">
      <c r="A600" s="583" t="s">
        <v>13536</v>
      </c>
      <c r="B600" s="605" t="s">
        <v>13537</v>
      </c>
      <c r="C600" s="606"/>
      <c r="D600" s="607"/>
      <c r="E600" s="607"/>
      <c r="F600" s="607"/>
      <c r="G600" s="582"/>
    </row>
    <row r="601" spans="1:7" ht="15" x14ac:dyDescent="0.2">
      <c r="A601" s="583" t="s">
        <v>13538</v>
      </c>
      <c r="B601" s="605" t="s">
        <v>13539</v>
      </c>
      <c r="C601" s="606" t="s">
        <v>12483</v>
      </c>
      <c r="D601" s="607">
        <v>97.12</v>
      </c>
      <c r="E601" s="607">
        <v>10.76</v>
      </c>
      <c r="F601" s="607">
        <v>107.88</v>
      </c>
      <c r="G601" s="584">
        <v>15</v>
      </c>
    </row>
    <row r="602" spans="1:7" ht="15" x14ac:dyDescent="0.2">
      <c r="A602" s="583" t="s">
        <v>13540</v>
      </c>
      <c r="B602" s="605" t="s">
        <v>13541</v>
      </c>
      <c r="C602" s="606" t="s">
        <v>12483</v>
      </c>
      <c r="D602" s="607">
        <v>155.83000000000001</v>
      </c>
      <c r="E602" s="607">
        <v>10.76</v>
      </c>
      <c r="F602" s="607">
        <v>166.59</v>
      </c>
      <c r="G602" s="584">
        <v>15</v>
      </c>
    </row>
    <row r="603" spans="1:7" ht="15" x14ac:dyDescent="0.2">
      <c r="A603" s="583" t="s">
        <v>13542</v>
      </c>
      <c r="B603" s="605" t="s">
        <v>13543</v>
      </c>
      <c r="C603" s="606" t="s">
        <v>12483</v>
      </c>
      <c r="D603" s="607">
        <v>186.76</v>
      </c>
      <c r="E603" s="607">
        <v>10.76</v>
      </c>
      <c r="F603" s="607">
        <v>197.52</v>
      </c>
      <c r="G603" s="584">
        <v>15</v>
      </c>
    </row>
    <row r="604" spans="1:7" ht="15" x14ac:dyDescent="0.2">
      <c r="A604" s="583" t="s">
        <v>13544</v>
      </c>
      <c r="B604" s="605" t="s">
        <v>13545</v>
      </c>
      <c r="C604" s="606" t="s">
        <v>12483</v>
      </c>
      <c r="D604" s="607">
        <v>218.09</v>
      </c>
      <c r="E604" s="607">
        <v>10.76</v>
      </c>
      <c r="F604" s="607">
        <v>228.85</v>
      </c>
      <c r="G604" s="584">
        <v>15</v>
      </c>
    </row>
    <row r="605" spans="1:7" ht="15" x14ac:dyDescent="0.2">
      <c r="A605" s="583" t="s">
        <v>13546</v>
      </c>
      <c r="B605" s="605" t="s">
        <v>13547</v>
      </c>
      <c r="C605" s="606" t="s">
        <v>12483</v>
      </c>
      <c r="D605" s="607">
        <v>243.84</v>
      </c>
      <c r="E605" s="607">
        <v>10.76</v>
      </c>
      <c r="F605" s="607">
        <v>254.6</v>
      </c>
      <c r="G605" s="584">
        <v>15</v>
      </c>
    </row>
    <row r="606" spans="1:7" ht="15" x14ac:dyDescent="0.2">
      <c r="A606" s="583" t="s">
        <v>20065</v>
      </c>
      <c r="B606" s="605" t="s">
        <v>20066</v>
      </c>
      <c r="C606" s="606" t="s">
        <v>12483</v>
      </c>
      <c r="D606" s="607">
        <v>220.02</v>
      </c>
      <c r="E606" s="607">
        <v>10.76</v>
      </c>
      <c r="F606" s="607">
        <v>230.78</v>
      </c>
      <c r="G606" s="584">
        <v>15</v>
      </c>
    </row>
    <row r="607" spans="1:7" ht="15" x14ac:dyDescent="0.25">
      <c r="A607" s="583" t="s">
        <v>13548</v>
      </c>
      <c r="B607" s="605" t="s">
        <v>13549</v>
      </c>
      <c r="C607" s="606"/>
      <c r="D607" s="607"/>
      <c r="E607" s="607"/>
      <c r="F607" s="607"/>
      <c r="G607" s="582"/>
    </row>
    <row r="608" spans="1:7" ht="30" x14ac:dyDescent="0.2">
      <c r="A608" s="583" t="s">
        <v>13550</v>
      </c>
      <c r="B608" s="605" t="s">
        <v>13551</v>
      </c>
      <c r="C608" s="606" t="s">
        <v>12508</v>
      </c>
      <c r="D608" s="607">
        <v>435.16</v>
      </c>
      <c r="E608" s="607">
        <v>79.3</v>
      </c>
      <c r="F608" s="607">
        <v>514.46</v>
      </c>
      <c r="G608" s="584">
        <v>15</v>
      </c>
    </row>
    <row r="609" spans="1:7" ht="15" x14ac:dyDescent="0.25">
      <c r="A609" s="583" t="s">
        <v>13552</v>
      </c>
      <c r="B609" s="605" t="s">
        <v>13553</v>
      </c>
      <c r="C609" s="606"/>
      <c r="D609" s="607"/>
      <c r="E609" s="607"/>
      <c r="F609" s="607"/>
      <c r="G609" s="582"/>
    </row>
    <row r="610" spans="1:7" ht="15" x14ac:dyDescent="0.25">
      <c r="A610" s="583" t="s">
        <v>13554</v>
      </c>
      <c r="B610" s="605" t="s">
        <v>13555</v>
      </c>
      <c r="C610" s="606"/>
      <c r="D610" s="607"/>
      <c r="E610" s="607"/>
      <c r="F610" s="607"/>
      <c r="G610" s="582"/>
    </row>
    <row r="611" spans="1:7" ht="15" x14ac:dyDescent="0.2">
      <c r="A611" s="583" t="s">
        <v>13556</v>
      </c>
      <c r="B611" s="605" t="s">
        <v>13557</v>
      </c>
      <c r="C611" s="606" t="s">
        <v>12929</v>
      </c>
      <c r="D611" s="607">
        <v>8.1999999999999993</v>
      </c>
      <c r="E611" s="607">
        <v>2.63</v>
      </c>
      <c r="F611" s="607">
        <v>10.83</v>
      </c>
      <c r="G611" s="584">
        <v>15</v>
      </c>
    </row>
    <row r="612" spans="1:7" ht="15" x14ac:dyDescent="0.2">
      <c r="A612" s="583" t="s">
        <v>13558</v>
      </c>
      <c r="B612" s="605" t="s">
        <v>13559</v>
      </c>
      <c r="C612" s="606" t="s">
        <v>12929</v>
      </c>
      <c r="D612" s="607">
        <v>7.21</v>
      </c>
      <c r="E612" s="607">
        <v>2.63</v>
      </c>
      <c r="F612" s="607">
        <v>9.84</v>
      </c>
      <c r="G612" s="584">
        <v>15</v>
      </c>
    </row>
    <row r="613" spans="1:7" ht="15" x14ac:dyDescent="0.2">
      <c r="A613" s="583" t="s">
        <v>13560</v>
      </c>
      <c r="B613" s="605" t="s">
        <v>13561</v>
      </c>
      <c r="C613" s="606" t="s">
        <v>12929</v>
      </c>
      <c r="D613" s="607">
        <v>7.54</v>
      </c>
      <c r="E613" s="607">
        <v>2.63</v>
      </c>
      <c r="F613" s="607">
        <v>10.17</v>
      </c>
      <c r="G613" s="584">
        <v>15</v>
      </c>
    </row>
    <row r="614" spans="1:7" ht="15" x14ac:dyDescent="0.25">
      <c r="A614" s="583" t="s">
        <v>13562</v>
      </c>
      <c r="B614" s="605" t="s">
        <v>13563</v>
      </c>
      <c r="C614" s="606"/>
      <c r="D614" s="607"/>
      <c r="E614" s="607"/>
      <c r="F614" s="607"/>
      <c r="G614" s="582"/>
    </row>
    <row r="615" spans="1:7" ht="15" x14ac:dyDescent="0.2">
      <c r="A615" s="583" t="s">
        <v>13564</v>
      </c>
      <c r="B615" s="605" t="s">
        <v>13565</v>
      </c>
      <c r="C615" s="606" t="s">
        <v>12929</v>
      </c>
      <c r="D615" s="607">
        <v>8.39</v>
      </c>
      <c r="E615" s="607">
        <v>1.32</v>
      </c>
      <c r="F615" s="607">
        <v>9.7100000000000009</v>
      </c>
      <c r="G615" s="584">
        <v>15</v>
      </c>
    </row>
    <row r="616" spans="1:7" ht="15" x14ac:dyDescent="0.25">
      <c r="A616" s="583" t="s">
        <v>20269</v>
      </c>
      <c r="B616" s="605" t="s">
        <v>20270</v>
      </c>
      <c r="C616" s="606"/>
      <c r="D616" s="607"/>
      <c r="E616" s="607"/>
      <c r="F616" s="607"/>
      <c r="G616" s="582"/>
    </row>
    <row r="617" spans="1:7" ht="30" x14ac:dyDescent="0.2">
      <c r="A617" s="583" t="s">
        <v>20271</v>
      </c>
      <c r="B617" s="605" t="s">
        <v>20272</v>
      </c>
      <c r="C617" s="606" t="s">
        <v>12929</v>
      </c>
      <c r="D617" s="607">
        <v>45.41</v>
      </c>
      <c r="E617" s="607">
        <v>13.21</v>
      </c>
      <c r="F617" s="607">
        <v>58.62</v>
      </c>
      <c r="G617" s="584">
        <v>15</v>
      </c>
    </row>
    <row r="618" spans="1:7" ht="15" x14ac:dyDescent="0.25">
      <c r="A618" s="583" t="s">
        <v>13566</v>
      </c>
      <c r="B618" s="605" t="s">
        <v>13567</v>
      </c>
      <c r="C618" s="606"/>
      <c r="D618" s="607"/>
      <c r="E618" s="607"/>
      <c r="F618" s="607"/>
      <c r="G618" s="582"/>
    </row>
    <row r="619" spans="1:7" ht="15" x14ac:dyDescent="0.25">
      <c r="A619" s="583" t="s">
        <v>13568</v>
      </c>
      <c r="B619" s="605" t="s">
        <v>13569</v>
      </c>
      <c r="C619" s="606"/>
      <c r="D619" s="607"/>
      <c r="E619" s="607"/>
      <c r="F619" s="607"/>
      <c r="G619" s="582"/>
    </row>
    <row r="620" spans="1:7" ht="15" x14ac:dyDescent="0.2">
      <c r="A620" s="583" t="s">
        <v>13570</v>
      </c>
      <c r="B620" s="605" t="s">
        <v>13571</v>
      </c>
      <c r="C620" s="606" t="s">
        <v>12508</v>
      </c>
      <c r="D620" s="607">
        <v>495.76</v>
      </c>
      <c r="E620" s="607"/>
      <c r="F620" s="607">
        <v>495.76</v>
      </c>
      <c r="G620" s="584">
        <v>15</v>
      </c>
    </row>
    <row r="621" spans="1:7" ht="15" x14ac:dyDescent="0.2">
      <c r="A621" s="583" t="s">
        <v>12354</v>
      </c>
      <c r="B621" s="605" t="s">
        <v>13572</v>
      </c>
      <c r="C621" s="606" t="s">
        <v>12508</v>
      </c>
      <c r="D621" s="607">
        <v>519.37</v>
      </c>
      <c r="E621" s="607"/>
      <c r="F621" s="607">
        <v>519.37</v>
      </c>
      <c r="G621" s="584">
        <v>15</v>
      </c>
    </row>
    <row r="622" spans="1:7" ht="15" x14ac:dyDescent="0.2">
      <c r="A622" s="583" t="s">
        <v>12353</v>
      </c>
      <c r="B622" s="605" t="s">
        <v>13573</v>
      </c>
      <c r="C622" s="606" t="s">
        <v>12508</v>
      </c>
      <c r="D622" s="607">
        <v>544.1</v>
      </c>
      <c r="E622" s="607"/>
      <c r="F622" s="607">
        <v>544.1</v>
      </c>
      <c r="G622" s="584">
        <v>15</v>
      </c>
    </row>
    <row r="623" spans="1:7" ht="15" x14ac:dyDescent="0.2">
      <c r="A623" s="583" t="s">
        <v>13574</v>
      </c>
      <c r="B623" s="605" t="s">
        <v>13575</v>
      </c>
      <c r="C623" s="606" t="s">
        <v>12508</v>
      </c>
      <c r="D623" s="607">
        <v>570.01</v>
      </c>
      <c r="E623" s="607"/>
      <c r="F623" s="607">
        <v>570.01</v>
      </c>
      <c r="G623" s="584">
        <v>15</v>
      </c>
    </row>
    <row r="624" spans="1:7" ht="15" x14ac:dyDescent="0.2">
      <c r="A624" s="583" t="s">
        <v>13576</v>
      </c>
      <c r="B624" s="605" t="s">
        <v>13577</v>
      </c>
      <c r="C624" s="606" t="s">
        <v>12508</v>
      </c>
      <c r="D624" s="607">
        <v>597.16999999999996</v>
      </c>
      <c r="E624" s="607"/>
      <c r="F624" s="607">
        <v>597.16999999999996</v>
      </c>
      <c r="G624" s="584">
        <v>15</v>
      </c>
    </row>
    <row r="625" spans="1:7" ht="15" x14ac:dyDescent="0.2">
      <c r="A625" s="583" t="s">
        <v>13578</v>
      </c>
      <c r="B625" s="605" t="s">
        <v>13579</v>
      </c>
      <c r="C625" s="606" t="s">
        <v>12508</v>
      </c>
      <c r="D625" s="607">
        <v>554.54</v>
      </c>
      <c r="E625" s="607"/>
      <c r="F625" s="607">
        <v>554.54</v>
      </c>
      <c r="G625" s="584">
        <v>15</v>
      </c>
    </row>
    <row r="626" spans="1:7" ht="15" x14ac:dyDescent="0.2">
      <c r="A626" s="583" t="s">
        <v>13580</v>
      </c>
      <c r="B626" s="605" t="s">
        <v>13581</v>
      </c>
      <c r="C626" s="606" t="s">
        <v>12508</v>
      </c>
      <c r="D626" s="607">
        <v>575.48</v>
      </c>
      <c r="E626" s="607"/>
      <c r="F626" s="607">
        <v>575.48</v>
      </c>
      <c r="G626" s="584">
        <v>15</v>
      </c>
    </row>
    <row r="627" spans="1:7" ht="15" x14ac:dyDescent="0.2">
      <c r="A627" s="583" t="s">
        <v>13582</v>
      </c>
      <c r="B627" s="605" t="s">
        <v>13583</v>
      </c>
      <c r="C627" s="606" t="s">
        <v>12508</v>
      </c>
      <c r="D627" s="607">
        <v>599.80999999999995</v>
      </c>
      <c r="E627" s="607"/>
      <c r="F627" s="607">
        <v>599.80999999999995</v>
      </c>
      <c r="G627" s="584">
        <v>15</v>
      </c>
    </row>
    <row r="628" spans="1:7" ht="15" x14ac:dyDescent="0.2">
      <c r="A628" s="583" t="s">
        <v>13584</v>
      </c>
      <c r="B628" s="605" t="s">
        <v>13585</v>
      </c>
      <c r="C628" s="606" t="s">
        <v>12508</v>
      </c>
      <c r="D628" s="607">
        <v>625.29999999999995</v>
      </c>
      <c r="E628" s="607"/>
      <c r="F628" s="607">
        <v>625.29999999999995</v>
      </c>
      <c r="G628" s="584">
        <v>15</v>
      </c>
    </row>
    <row r="629" spans="1:7" ht="15" x14ac:dyDescent="0.2">
      <c r="A629" s="583" t="s">
        <v>13586</v>
      </c>
      <c r="B629" s="605" t="s">
        <v>13587</v>
      </c>
      <c r="C629" s="606" t="s">
        <v>12508</v>
      </c>
      <c r="D629" s="607">
        <v>654.75</v>
      </c>
      <c r="E629" s="607"/>
      <c r="F629" s="607">
        <v>654.75</v>
      </c>
      <c r="G629" s="584">
        <v>15</v>
      </c>
    </row>
    <row r="630" spans="1:7" ht="30" x14ac:dyDescent="0.2">
      <c r="A630" s="583" t="s">
        <v>13588</v>
      </c>
      <c r="B630" s="605" t="s">
        <v>13589</v>
      </c>
      <c r="C630" s="606" t="s">
        <v>12508</v>
      </c>
      <c r="D630" s="607">
        <v>623.58000000000004</v>
      </c>
      <c r="E630" s="607"/>
      <c r="F630" s="607">
        <v>623.58000000000004</v>
      </c>
      <c r="G630" s="584">
        <v>15</v>
      </c>
    </row>
    <row r="631" spans="1:7" ht="15" x14ac:dyDescent="0.2">
      <c r="A631" s="583" t="s">
        <v>20273</v>
      </c>
      <c r="B631" s="605" t="s">
        <v>20274</v>
      </c>
      <c r="C631" s="606" t="s">
        <v>12508</v>
      </c>
      <c r="D631" s="607">
        <v>544.1</v>
      </c>
      <c r="E631" s="607"/>
      <c r="F631" s="607">
        <v>544.1</v>
      </c>
      <c r="G631" s="584">
        <v>15</v>
      </c>
    </row>
    <row r="632" spans="1:7" ht="15" x14ac:dyDescent="0.2">
      <c r="A632" s="583" t="s">
        <v>13590</v>
      </c>
      <c r="B632" s="605" t="s">
        <v>13591</v>
      </c>
      <c r="C632" s="606" t="s">
        <v>12508</v>
      </c>
      <c r="D632" s="607">
        <v>621.84</v>
      </c>
      <c r="E632" s="607"/>
      <c r="F632" s="607">
        <v>621.84</v>
      </c>
      <c r="G632" s="584">
        <v>15</v>
      </c>
    </row>
    <row r="633" spans="1:7" ht="15" x14ac:dyDescent="0.25">
      <c r="A633" s="583" t="s">
        <v>13592</v>
      </c>
      <c r="B633" s="605" t="s">
        <v>13593</v>
      </c>
      <c r="C633" s="606"/>
      <c r="D633" s="607"/>
      <c r="E633" s="607"/>
      <c r="F633" s="607"/>
      <c r="G633" s="582"/>
    </row>
    <row r="634" spans="1:7" ht="15" x14ac:dyDescent="0.2">
      <c r="A634" s="583" t="s">
        <v>13594</v>
      </c>
      <c r="B634" s="605" t="s">
        <v>13595</v>
      </c>
      <c r="C634" s="606" t="s">
        <v>12508</v>
      </c>
      <c r="D634" s="607">
        <v>684.6</v>
      </c>
      <c r="E634" s="607"/>
      <c r="F634" s="607">
        <v>684.6</v>
      </c>
      <c r="G634" s="584">
        <v>15</v>
      </c>
    </row>
    <row r="635" spans="1:7" ht="15" x14ac:dyDescent="0.2">
      <c r="A635" s="583" t="s">
        <v>13596</v>
      </c>
      <c r="B635" s="605" t="s">
        <v>13597</v>
      </c>
      <c r="C635" s="606" t="s">
        <v>12508</v>
      </c>
      <c r="D635" s="607">
        <v>730.8</v>
      </c>
      <c r="E635" s="607"/>
      <c r="F635" s="607">
        <v>730.8</v>
      </c>
      <c r="G635" s="584">
        <v>15</v>
      </c>
    </row>
    <row r="636" spans="1:7" ht="15" x14ac:dyDescent="0.2">
      <c r="A636" s="583" t="s">
        <v>13598</v>
      </c>
      <c r="B636" s="605" t="s">
        <v>13599</v>
      </c>
      <c r="C636" s="606" t="s">
        <v>12508</v>
      </c>
      <c r="D636" s="607">
        <v>609.13</v>
      </c>
      <c r="E636" s="607"/>
      <c r="F636" s="607">
        <v>609.13</v>
      </c>
      <c r="G636" s="584">
        <v>15</v>
      </c>
    </row>
    <row r="637" spans="1:7" ht="30" x14ac:dyDescent="0.25">
      <c r="A637" s="583" t="s">
        <v>13600</v>
      </c>
      <c r="B637" s="605" t="s">
        <v>13601</v>
      </c>
      <c r="C637" s="606"/>
      <c r="D637" s="607"/>
      <c r="E637" s="607"/>
      <c r="F637" s="607"/>
      <c r="G637" s="582"/>
    </row>
    <row r="638" spans="1:7" ht="15" x14ac:dyDescent="0.2">
      <c r="A638" s="583" t="s">
        <v>13602</v>
      </c>
      <c r="B638" s="605" t="s">
        <v>13603</v>
      </c>
      <c r="C638" s="606" t="s">
        <v>12508</v>
      </c>
      <c r="D638" s="607">
        <v>420.94</v>
      </c>
      <c r="E638" s="607">
        <v>122.64</v>
      </c>
      <c r="F638" s="607">
        <v>543.58000000000004</v>
      </c>
      <c r="G638" s="584">
        <v>15</v>
      </c>
    </row>
    <row r="639" spans="1:7" ht="30" x14ac:dyDescent="0.25">
      <c r="A639" s="583" t="s">
        <v>13604</v>
      </c>
      <c r="B639" s="605" t="s">
        <v>13605</v>
      </c>
      <c r="C639" s="606"/>
      <c r="D639" s="607"/>
      <c r="E639" s="607"/>
      <c r="F639" s="607"/>
      <c r="G639" s="582"/>
    </row>
    <row r="640" spans="1:7" ht="30" x14ac:dyDescent="0.2">
      <c r="A640" s="583" t="s">
        <v>13606</v>
      </c>
      <c r="B640" s="605" t="s">
        <v>13607</v>
      </c>
      <c r="C640" s="606" t="s">
        <v>12508</v>
      </c>
      <c r="D640" s="607">
        <v>347.66</v>
      </c>
      <c r="E640" s="607">
        <v>51.1</v>
      </c>
      <c r="F640" s="607">
        <v>398.76</v>
      </c>
      <c r="G640" s="584">
        <v>15</v>
      </c>
    </row>
    <row r="641" spans="1:7" ht="30" x14ac:dyDescent="0.2">
      <c r="A641" s="583" t="s">
        <v>13608</v>
      </c>
      <c r="B641" s="605" t="s">
        <v>13609</v>
      </c>
      <c r="C641" s="606" t="s">
        <v>12508</v>
      </c>
      <c r="D641" s="607">
        <v>380.16</v>
      </c>
      <c r="E641" s="607">
        <v>51.1</v>
      </c>
      <c r="F641" s="607">
        <v>431.26</v>
      </c>
      <c r="G641" s="584">
        <v>15</v>
      </c>
    </row>
    <row r="642" spans="1:7" ht="30" x14ac:dyDescent="0.2">
      <c r="A642" s="583" t="s">
        <v>13610</v>
      </c>
      <c r="B642" s="605" t="s">
        <v>13611</v>
      </c>
      <c r="C642" s="606" t="s">
        <v>12508</v>
      </c>
      <c r="D642" s="607">
        <v>449.16</v>
      </c>
      <c r="E642" s="607">
        <v>51.1</v>
      </c>
      <c r="F642" s="607">
        <v>500.26</v>
      </c>
      <c r="G642" s="584">
        <v>15</v>
      </c>
    </row>
    <row r="643" spans="1:7" ht="15" x14ac:dyDescent="0.25">
      <c r="A643" s="583" t="s">
        <v>13612</v>
      </c>
      <c r="B643" s="605" t="s">
        <v>13613</v>
      </c>
      <c r="C643" s="606"/>
      <c r="D643" s="607"/>
      <c r="E643" s="607"/>
      <c r="F643" s="607"/>
      <c r="G643" s="582"/>
    </row>
    <row r="644" spans="1:7" ht="15" x14ac:dyDescent="0.2">
      <c r="A644" s="583" t="s">
        <v>13614</v>
      </c>
      <c r="B644" s="605" t="s">
        <v>13615</v>
      </c>
      <c r="C644" s="606" t="s">
        <v>12508</v>
      </c>
      <c r="D644" s="607">
        <v>81.08</v>
      </c>
      <c r="E644" s="607">
        <v>51.1</v>
      </c>
      <c r="F644" s="607">
        <v>132.18</v>
      </c>
      <c r="G644" s="584">
        <v>15</v>
      </c>
    </row>
    <row r="645" spans="1:7" ht="15" x14ac:dyDescent="0.2">
      <c r="A645" s="583" t="s">
        <v>13616</v>
      </c>
      <c r="B645" s="605" t="s">
        <v>21375</v>
      </c>
      <c r="C645" s="606" t="s">
        <v>12508</v>
      </c>
      <c r="D645" s="607">
        <v>3918.83</v>
      </c>
      <c r="E645" s="607">
        <v>57.32</v>
      </c>
      <c r="F645" s="607">
        <v>3976.15</v>
      </c>
      <c r="G645" s="584">
        <v>15</v>
      </c>
    </row>
    <row r="646" spans="1:7" ht="15" x14ac:dyDescent="0.2">
      <c r="A646" s="583" t="s">
        <v>13617</v>
      </c>
      <c r="B646" s="605" t="s">
        <v>13618</v>
      </c>
      <c r="C646" s="606" t="s">
        <v>12508</v>
      </c>
      <c r="D646" s="607">
        <v>386.87</v>
      </c>
      <c r="E646" s="607">
        <v>57.32</v>
      </c>
      <c r="F646" s="607">
        <v>444.19</v>
      </c>
      <c r="G646" s="584">
        <v>15</v>
      </c>
    </row>
    <row r="647" spans="1:7" ht="30" x14ac:dyDescent="0.2">
      <c r="A647" s="583" t="s">
        <v>13619</v>
      </c>
      <c r="B647" s="605" t="s">
        <v>13620</v>
      </c>
      <c r="C647" s="606" t="s">
        <v>12508</v>
      </c>
      <c r="D647" s="607">
        <v>406.2</v>
      </c>
      <c r="E647" s="607">
        <v>376.78</v>
      </c>
      <c r="F647" s="607">
        <v>782.98</v>
      </c>
      <c r="G647" s="584">
        <v>15</v>
      </c>
    </row>
    <row r="648" spans="1:7" ht="30" x14ac:dyDescent="0.2">
      <c r="A648" s="583" t="s">
        <v>13621</v>
      </c>
      <c r="B648" s="605" t="s">
        <v>13622</v>
      </c>
      <c r="C648" s="606" t="s">
        <v>12508</v>
      </c>
      <c r="D648" s="607">
        <v>2387.8200000000002</v>
      </c>
      <c r="E648" s="607">
        <v>689.52</v>
      </c>
      <c r="F648" s="607">
        <v>3077.34</v>
      </c>
      <c r="G648" s="584">
        <v>15</v>
      </c>
    </row>
    <row r="649" spans="1:7" ht="15" x14ac:dyDescent="0.25">
      <c r="A649" s="583" t="s">
        <v>13623</v>
      </c>
      <c r="B649" s="605" t="s">
        <v>13624</v>
      </c>
      <c r="C649" s="606"/>
      <c r="D649" s="607"/>
      <c r="E649" s="607"/>
      <c r="F649" s="607"/>
      <c r="G649" s="582"/>
    </row>
    <row r="650" spans="1:7" ht="30" x14ac:dyDescent="0.2">
      <c r="A650" s="583" t="s">
        <v>13625</v>
      </c>
      <c r="B650" s="605" t="s">
        <v>13626</v>
      </c>
      <c r="C650" s="606" t="s">
        <v>12508</v>
      </c>
      <c r="D650" s="607">
        <v>538.89</v>
      </c>
      <c r="E650" s="607">
        <v>51.1</v>
      </c>
      <c r="F650" s="607">
        <v>589.99</v>
      </c>
      <c r="G650" s="584">
        <v>15</v>
      </c>
    </row>
    <row r="651" spans="1:7" ht="15" x14ac:dyDescent="0.25">
      <c r="A651" s="583" t="s">
        <v>13627</v>
      </c>
      <c r="B651" s="605" t="s">
        <v>13628</v>
      </c>
      <c r="C651" s="606"/>
      <c r="D651" s="607"/>
      <c r="E651" s="607"/>
      <c r="F651" s="607"/>
      <c r="G651" s="582"/>
    </row>
    <row r="652" spans="1:7" ht="30" x14ac:dyDescent="0.2">
      <c r="A652" s="583" t="s">
        <v>12352</v>
      </c>
      <c r="B652" s="605" t="s">
        <v>131</v>
      </c>
      <c r="C652" s="606" t="s">
        <v>12508</v>
      </c>
      <c r="D652" s="607"/>
      <c r="E652" s="607">
        <v>86.19</v>
      </c>
      <c r="F652" s="607">
        <v>86.19</v>
      </c>
      <c r="G652" s="584">
        <v>15</v>
      </c>
    </row>
    <row r="653" spans="1:7" ht="30" x14ac:dyDescent="0.2">
      <c r="A653" s="583" t="s">
        <v>13629</v>
      </c>
      <c r="B653" s="605" t="s">
        <v>13630</v>
      </c>
      <c r="C653" s="606" t="s">
        <v>12508</v>
      </c>
      <c r="D653" s="607"/>
      <c r="E653" s="607">
        <v>172.38</v>
      </c>
      <c r="F653" s="607">
        <v>172.38</v>
      </c>
      <c r="G653" s="584">
        <v>15</v>
      </c>
    </row>
    <row r="654" spans="1:7" ht="30" x14ac:dyDescent="0.2">
      <c r="A654" s="583" t="s">
        <v>13631</v>
      </c>
      <c r="B654" s="605" t="s">
        <v>13632</v>
      </c>
      <c r="C654" s="606" t="s">
        <v>12508</v>
      </c>
      <c r="D654" s="607"/>
      <c r="E654" s="607">
        <v>119.07</v>
      </c>
      <c r="F654" s="607">
        <v>119.07</v>
      </c>
      <c r="G654" s="584">
        <v>15</v>
      </c>
    </row>
    <row r="655" spans="1:7" ht="30" x14ac:dyDescent="0.2">
      <c r="A655" s="583" t="s">
        <v>13633</v>
      </c>
      <c r="B655" s="605" t="s">
        <v>13634</v>
      </c>
      <c r="C655" s="606" t="s">
        <v>12508</v>
      </c>
      <c r="D655" s="607">
        <v>62.73</v>
      </c>
      <c r="E655" s="607">
        <v>65.75</v>
      </c>
      <c r="F655" s="607">
        <v>128.47999999999999</v>
      </c>
      <c r="G655" s="584">
        <v>15</v>
      </c>
    </row>
    <row r="656" spans="1:7" ht="15" x14ac:dyDescent="0.2">
      <c r="A656" s="583" t="s">
        <v>13635</v>
      </c>
      <c r="B656" s="605" t="s">
        <v>13636</v>
      </c>
      <c r="C656" s="606" t="s">
        <v>12427</v>
      </c>
      <c r="D656" s="607">
        <v>16.170000000000002</v>
      </c>
      <c r="E656" s="607"/>
      <c r="F656" s="607">
        <v>16.170000000000002</v>
      </c>
      <c r="G656" s="584">
        <v>15</v>
      </c>
    </row>
    <row r="657" spans="1:7" ht="15" x14ac:dyDescent="0.25">
      <c r="A657" s="583" t="s">
        <v>13637</v>
      </c>
      <c r="B657" s="605" t="s">
        <v>13638</v>
      </c>
      <c r="C657" s="606"/>
      <c r="D657" s="607"/>
      <c r="E657" s="607"/>
      <c r="F657" s="607"/>
      <c r="G657" s="582"/>
    </row>
    <row r="658" spans="1:7" ht="15" x14ac:dyDescent="0.2">
      <c r="A658" s="583" t="s">
        <v>13639</v>
      </c>
      <c r="B658" s="605" t="s">
        <v>13640</v>
      </c>
      <c r="C658" s="606" t="s">
        <v>12508</v>
      </c>
      <c r="D658" s="607">
        <v>195.5</v>
      </c>
      <c r="E658" s="607">
        <v>71.540000000000006</v>
      </c>
      <c r="F658" s="607">
        <v>267.04000000000002</v>
      </c>
      <c r="G658" s="584">
        <v>15</v>
      </c>
    </row>
    <row r="659" spans="1:7" ht="15" x14ac:dyDescent="0.2">
      <c r="A659" s="583" t="s">
        <v>13641</v>
      </c>
      <c r="B659" s="605" t="s">
        <v>13642</v>
      </c>
      <c r="C659" s="606" t="s">
        <v>12508</v>
      </c>
      <c r="D659" s="607">
        <v>184.96</v>
      </c>
      <c r="E659" s="607">
        <v>30.66</v>
      </c>
      <c r="F659" s="607">
        <v>215.62</v>
      </c>
      <c r="G659" s="584">
        <v>15</v>
      </c>
    </row>
    <row r="660" spans="1:7" ht="15" x14ac:dyDescent="0.2">
      <c r="A660" s="583" t="s">
        <v>12351</v>
      </c>
      <c r="B660" s="605" t="s">
        <v>21376</v>
      </c>
      <c r="C660" s="606" t="s">
        <v>12427</v>
      </c>
      <c r="D660" s="607">
        <v>1.41</v>
      </c>
      <c r="E660" s="607">
        <v>0.61</v>
      </c>
      <c r="F660" s="607">
        <v>2.02</v>
      </c>
      <c r="G660" s="584">
        <v>15</v>
      </c>
    </row>
    <row r="661" spans="1:7" ht="30" x14ac:dyDescent="0.2">
      <c r="A661" s="583" t="s">
        <v>13643</v>
      </c>
      <c r="B661" s="605" t="s">
        <v>13644</v>
      </c>
      <c r="C661" s="606" t="s">
        <v>12508</v>
      </c>
      <c r="D661" s="607">
        <v>1209.29</v>
      </c>
      <c r="E661" s="607">
        <v>94.2</v>
      </c>
      <c r="F661" s="607">
        <v>1303.49</v>
      </c>
      <c r="G661" s="584">
        <v>15</v>
      </c>
    </row>
    <row r="662" spans="1:7" ht="15" x14ac:dyDescent="0.2">
      <c r="A662" s="583" t="s">
        <v>13645</v>
      </c>
      <c r="B662" s="605" t="s">
        <v>13646</v>
      </c>
      <c r="C662" s="606" t="s">
        <v>12508</v>
      </c>
      <c r="D662" s="607">
        <v>343.88</v>
      </c>
      <c r="E662" s="607">
        <v>40.880000000000003</v>
      </c>
      <c r="F662" s="607">
        <v>384.76</v>
      </c>
      <c r="G662" s="584">
        <v>15</v>
      </c>
    </row>
    <row r="663" spans="1:7" ht="30" x14ac:dyDescent="0.2">
      <c r="A663" s="583" t="s">
        <v>13647</v>
      </c>
      <c r="B663" s="605" t="s">
        <v>13648</v>
      </c>
      <c r="C663" s="606" t="s">
        <v>12508</v>
      </c>
      <c r="D663" s="607"/>
      <c r="E663" s="607">
        <v>40.880000000000003</v>
      </c>
      <c r="F663" s="607">
        <v>40.880000000000003</v>
      </c>
      <c r="G663" s="584">
        <v>15</v>
      </c>
    </row>
    <row r="664" spans="1:7" ht="15" x14ac:dyDescent="0.2">
      <c r="A664" s="583" t="s">
        <v>11</v>
      </c>
      <c r="B664" s="605" t="s">
        <v>13649</v>
      </c>
      <c r="C664" s="606" t="s">
        <v>12508</v>
      </c>
      <c r="D664" s="607">
        <v>244</v>
      </c>
      <c r="E664" s="607">
        <v>20.440000000000001</v>
      </c>
      <c r="F664" s="607">
        <v>264.44</v>
      </c>
      <c r="G664" s="584">
        <v>15</v>
      </c>
    </row>
    <row r="665" spans="1:7" ht="15" x14ac:dyDescent="0.2">
      <c r="A665" s="583" t="s">
        <v>13650</v>
      </c>
      <c r="B665" s="605" t="s">
        <v>13651</v>
      </c>
      <c r="C665" s="606" t="s">
        <v>12508</v>
      </c>
      <c r="D665" s="607">
        <v>209.29</v>
      </c>
      <c r="E665" s="607">
        <v>61.32</v>
      </c>
      <c r="F665" s="607">
        <v>270.61</v>
      </c>
      <c r="G665" s="584">
        <v>15</v>
      </c>
    </row>
    <row r="666" spans="1:7" ht="15" x14ac:dyDescent="0.2">
      <c r="A666" s="583" t="s">
        <v>13652</v>
      </c>
      <c r="B666" s="605" t="s">
        <v>13653</v>
      </c>
      <c r="C666" s="606" t="s">
        <v>12508</v>
      </c>
      <c r="D666" s="607">
        <v>195.5</v>
      </c>
      <c r="E666" s="607">
        <v>96.41</v>
      </c>
      <c r="F666" s="607">
        <v>291.91000000000003</v>
      </c>
      <c r="G666" s="584">
        <v>15</v>
      </c>
    </row>
    <row r="667" spans="1:7" ht="15" x14ac:dyDescent="0.2">
      <c r="A667" s="583" t="s">
        <v>13654</v>
      </c>
      <c r="B667" s="605" t="s">
        <v>13655</v>
      </c>
      <c r="C667" s="606" t="s">
        <v>12508</v>
      </c>
      <c r="D667" s="607">
        <v>214.62</v>
      </c>
      <c r="E667" s="607">
        <v>0.2</v>
      </c>
      <c r="F667" s="607">
        <v>214.82</v>
      </c>
      <c r="G667" s="584">
        <v>15</v>
      </c>
    </row>
    <row r="668" spans="1:7" ht="15" x14ac:dyDescent="0.2">
      <c r="A668" s="583" t="s">
        <v>13656</v>
      </c>
      <c r="B668" s="605" t="s">
        <v>13657</v>
      </c>
      <c r="C668" s="606" t="s">
        <v>12508</v>
      </c>
      <c r="D668" s="607">
        <v>393.45</v>
      </c>
      <c r="E668" s="607">
        <v>16.350000000000001</v>
      </c>
      <c r="F668" s="607">
        <v>409.8</v>
      </c>
      <c r="G668" s="584">
        <v>15</v>
      </c>
    </row>
    <row r="669" spans="1:7" ht="30" x14ac:dyDescent="0.2">
      <c r="A669" s="583" t="s">
        <v>13658</v>
      </c>
      <c r="B669" s="605" t="s">
        <v>13659</v>
      </c>
      <c r="C669" s="606" t="s">
        <v>12508</v>
      </c>
      <c r="D669" s="607">
        <v>1153.8599999999999</v>
      </c>
      <c r="E669" s="607">
        <v>16.350000000000001</v>
      </c>
      <c r="F669" s="607">
        <v>1170.21</v>
      </c>
      <c r="G669" s="584">
        <v>15</v>
      </c>
    </row>
    <row r="670" spans="1:7" ht="15" x14ac:dyDescent="0.25">
      <c r="A670" s="583" t="s">
        <v>13660</v>
      </c>
      <c r="B670" s="605" t="s">
        <v>13661</v>
      </c>
      <c r="C670" s="606"/>
      <c r="D670" s="607"/>
      <c r="E670" s="607"/>
      <c r="F670" s="607"/>
      <c r="G670" s="582"/>
    </row>
    <row r="671" spans="1:7" ht="15" x14ac:dyDescent="0.2">
      <c r="A671" s="583" t="s">
        <v>13662</v>
      </c>
      <c r="B671" s="605" t="s">
        <v>20275</v>
      </c>
      <c r="C671" s="606" t="s">
        <v>12427</v>
      </c>
      <c r="D671" s="607">
        <v>2.77</v>
      </c>
      <c r="E671" s="607">
        <v>5.1100000000000003</v>
      </c>
      <c r="F671" s="607">
        <v>7.88</v>
      </c>
      <c r="G671" s="584">
        <v>15</v>
      </c>
    </row>
    <row r="672" spans="1:7" ht="30" x14ac:dyDescent="0.2">
      <c r="A672" s="583" t="s">
        <v>13663</v>
      </c>
      <c r="B672" s="605" t="s">
        <v>13664</v>
      </c>
      <c r="C672" s="606" t="s">
        <v>12483</v>
      </c>
      <c r="D672" s="607">
        <v>11.92</v>
      </c>
      <c r="E672" s="607"/>
      <c r="F672" s="607">
        <v>11.92</v>
      </c>
      <c r="G672" s="584">
        <v>15</v>
      </c>
    </row>
    <row r="673" spans="1:7" ht="15" x14ac:dyDescent="0.2">
      <c r="A673" s="583" t="s">
        <v>13665</v>
      </c>
      <c r="B673" s="605" t="s">
        <v>13666</v>
      </c>
      <c r="C673" s="606" t="s">
        <v>12427</v>
      </c>
      <c r="D673" s="607">
        <v>3.99</v>
      </c>
      <c r="E673" s="607">
        <v>5.1100000000000003</v>
      </c>
      <c r="F673" s="607">
        <v>9.1</v>
      </c>
      <c r="G673" s="584">
        <v>15</v>
      </c>
    </row>
    <row r="674" spans="1:7" ht="30" x14ac:dyDescent="0.2">
      <c r="A674" s="583" t="s">
        <v>13667</v>
      </c>
      <c r="B674" s="605" t="s">
        <v>13668</v>
      </c>
      <c r="C674" s="606" t="s">
        <v>12508</v>
      </c>
      <c r="D674" s="607">
        <v>9273.2000000000007</v>
      </c>
      <c r="E674" s="607">
        <v>1774.94</v>
      </c>
      <c r="F674" s="607">
        <v>11048.14</v>
      </c>
      <c r="G674" s="584">
        <v>15</v>
      </c>
    </row>
    <row r="675" spans="1:7" ht="30" x14ac:dyDescent="0.2">
      <c r="A675" s="583" t="s">
        <v>13669</v>
      </c>
      <c r="B675" s="605" t="s">
        <v>13670</v>
      </c>
      <c r="C675" s="606" t="s">
        <v>12483</v>
      </c>
      <c r="D675" s="607">
        <v>191.65</v>
      </c>
      <c r="E675" s="607">
        <v>135.93</v>
      </c>
      <c r="F675" s="607">
        <v>327.58</v>
      </c>
      <c r="G675" s="584">
        <v>15</v>
      </c>
    </row>
    <row r="676" spans="1:7" ht="15" x14ac:dyDescent="0.2">
      <c r="A676" s="583" t="s">
        <v>21377</v>
      </c>
      <c r="B676" s="605" t="s">
        <v>21378</v>
      </c>
      <c r="C676" s="606" t="s">
        <v>12929</v>
      </c>
      <c r="D676" s="607">
        <v>7.66</v>
      </c>
      <c r="E676" s="607">
        <v>0.34</v>
      </c>
      <c r="F676" s="607">
        <v>8</v>
      </c>
      <c r="G676" s="584">
        <v>15</v>
      </c>
    </row>
    <row r="677" spans="1:7" ht="15" x14ac:dyDescent="0.25">
      <c r="A677" s="583" t="s">
        <v>13671</v>
      </c>
      <c r="B677" s="605" t="s">
        <v>13672</v>
      </c>
      <c r="C677" s="606"/>
      <c r="D677" s="607"/>
      <c r="E677" s="607"/>
      <c r="F677" s="607"/>
      <c r="G677" s="582"/>
    </row>
    <row r="678" spans="1:7" ht="15" x14ac:dyDescent="0.25">
      <c r="A678" s="583" t="s">
        <v>13673</v>
      </c>
      <c r="B678" s="605" t="s">
        <v>13674</v>
      </c>
      <c r="C678" s="606"/>
      <c r="D678" s="607"/>
      <c r="E678" s="607"/>
      <c r="F678" s="607"/>
      <c r="G678" s="582"/>
    </row>
    <row r="679" spans="1:7" ht="15" x14ac:dyDescent="0.2">
      <c r="A679" s="583" t="s">
        <v>13675</v>
      </c>
      <c r="B679" s="605" t="s">
        <v>13676</v>
      </c>
      <c r="C679" s="606" t="s">
        <v>12483</v>
      </c>
      <c r="D679" s="607">
        <v>18.87</v>
      </c>
      <c r="E679" s="607">
        <v>47.7</v>
      </c>
      <c r="F679" s="607">
        <v>66.569999999999993</v>
      </c>
      <c r="G679" s="584">
        <v>15</v>
      </c>
    </row>
    <row r="680" spans="1:7" ht="15" x14ac:dyDescent="0.2">
      <c r="A680" s="583" t="s">
        <v>13677</v>
      </c>
      <c r="B680" s="605" t="s">
        <v>13678</v>
      </c>
      <c r="C680" s="606" t="s">
        <v>12483</v>
      </c>
      <c r="D680" s="607">
        <v>30.52</v>
      </c>
      <c r="E680" s="607">
        <v>49.61</v>
      </c>
      <c r="F680" s="607">
        <v>80.13</v>
      </c>
      <c r="G680" s="584">
        <v>15</v>
      </c>
    </row>
    <row r="681" spans="1:7" ht="15" x14ac:dyDescent="0.2">
      <c r="A681" s="583" t="s">
        <v>13679</v>
      </c>
      <c r="B681" s="605" t="s">
        <v>13680</v>
      </c>
      <c r="C681" s="606" t="s">
        <v>12483</v>
      </c>
      <c r="D681" s="607">
        <v>45.71</v>
      </c>
      <c r="E681" s="607">
        <v>78.97</v>
      </c>
      <c r="F681" s="607">
        <v>124.68</v>
      </c>
      <c r="G681" s="584">
        <v>15</v>
      </c>
    </row>
    <row r="682" spans="1:7" ht="15" x14ac:dyDescent="0.25">
      <c r="A682" s="583" t="s">
        <v>13681</v>
      </c>
      <c r="B682" s="605" t="s">
        <v>13682</v>
      </c>
      <c r="C682" s="606"/>
      <c r="D682" s="607"/>
      <c r="E682" s="607"/>
      <c r="F682" s="607"/>
      <c r="G682" s="582"/>
    </row>
    <row r="683" spans="1:7" ht="30" x14ac:dyDescent="0.2">
      <c r="A683" s="583" t="s">
        <v>20276</v>
      </c>
      <c r="B683" s="605" t="s">
        <v>13683</v>
      </c>
      <c r="C683" s="606" t="s">
        <v>12424</v>
      </c>
      <c r="D683" s="607">
        <v>29246.12</v>
      </c>
      <c r="E683" s="607"/>
      <c r="F683" s="607">
        <v>29246.12</v>
      </c>
      <c r="G683" s="584">
        <v>15</v>
      </c>
    </row>
    <row r="684" spans="1:7" ht="15" x14ac:dyDescent="0.2">
      <c r="A684" s="583" t="s">
        <v>20277</v>
      </c>
      <c r="B684" s="605" t="s">
        <v>20278</v>
      </c>
      <c r="C684" s="606" t="s">
        <v>12483</v>
      </c>
      <c r="D684" s="607">
        <v>181.75</v>
      </c>
      <c r="E684" s="607">
        <v>2.04</v>
      </c>
      <c r="F684" s="607">
        <v>183.79</v>
      </c>
      <c r="G684" s="584">
        <v>15</v>
      </c>
    </row>
    <row r="685" spans="1:7" ht="15" x14ac:dyDescent="0.2">
      <c r="A685" s="583" t="s">
        <v>20279</v>
      </c>
      <c r="B685" s="605" t="s">
        <v>20280</v>
      </c>
      <c r="C685" s="606" t="s">
        <v>12483</v>
      </c>
      <c r="D685" s="607">
        <v>196.51</v>
      </c>
      <c r="E685" s="607">
        <v>2.04</v>
      </c>
      <c r="F685" s="607">
        <v>198.55</v>
      </c>
      <c r="G685" s="584">
        <v>15</v>
      </c>
    </row>
    <row r="686" spans="1:7" ht="15" x14ac:dyDescent="0.2">
      <c r="A686" s="583" t="s">
        <v>20281</v>
      </c>
      <c r="B686" s="605" t="s">
        <v>20282</v>
      </c>
      <c r="C686" s="606" t="s">
        <v>12483</v>
      </c>
      <c r="D686" s="607">
        <v>205.58</v>
      </c>
      <c r="E686" s="607">
        <v>2.04</v>
      </c>
      <c r="F686" s="607">
        <v>207.62</v>
      </c>
      <c r="G686" s="584">
        <v>15</v>
      </c>
    </row>
    <row r="687" spans="1:7" ht="15" x14ac:dyDescent="0.2">
      <c r="A687" s="583" t="s">
        <v>20283</v>
      </c>
      <c r="B687" s="605" t="s">
        <v>20284</v>
      </c>
      <c r="C687" s="606" t="s">
        <v>12483</v>
      </c>
      <c r="D687" s="607">
        <v>217.91</v>
      </c>
      <c r="E687" s="607">
        <v>2.04</v>
      </c>
      <c r="F687" s="607">
        <v>219.95</v>
      </c>
      <c r="G687" s="584">
        <v>15</v>
      </c>
    </row>
    <row r="688" spans="1:7" ht="15" x14ac:dyDescent="0.2">
      <c r="A688" s="583" t="s">
        <v>20285</v>
      </c>
      <c r="B688" s="605" t="s">
        <v>20286</v>
      </c>
      <c r="C688" s="606" t="s">
        <v>12483</v>
      </c>
      <c r="D688" s="607">
        <v>251.12</v>
      </c>
      <c r="E688" s="607">
        <v>2.04</v>
      </c>
      <c r="F688" s="607">
        <v>253.16</v>
      </c>
      <c r="G688" s="584">
        <v>15</v>
      </c>
    </row>
    <row r="689" spans="1:7" ht="15" x14ac:dyDescent="0.25">
      <c r="A689" s="583" t="s">
        <v>13684</v>
      </c>
      <c r="B689" s="605" t="s">
        <v>13685</v>
      </c>
      <c r="C689" s="606"/>
      <c r="D689" s="607"/>
      <c r="E689" s="607"/>
      <c r="F689" s="607"/>
      <c r="G689" s="582"/>
    </row>
    <row r="690" spans="1:7" ht="30" x14ac:dyDescent="0.2">
      <c r="A690" s="583" t="s">
        <v>13686</v>
      </c>
      <c r="B690" s="605" t="s">
        <v>13687</v>
      </c>
      <c r="C690" s="606" t="s">
        <v>12424</v>
      </c>
      <c r="D690" s="607">
        <v>2552.3000000000002</v>
      </c>
      <c r="E690" s="607"/>
      <c r="F690" s="607">
        <v>2552.3000000000002</v>
      </c>
      <c r="G690" s="584">
        <v>15</v>
      </c>
    </row>
    <row r="691" spans="1:7" ht="15" x14ac:dyDescent="0.2">
      <c r="A691" s="583" t="s">
        <v>13688</v>
      </c>
      <c r="B691" s="605" t="s">
        <v>13689</v>
      </c>
      <c r="C691" s="606" t="s">
        <v>12483</v>
      </c>
      <c r="D691" s="607">
        <v>43.29</v>
      </c>
      <c r="E691" s="607">
        <v>15.12</v>
      </c>
      <c r="F691" s="607">
        <v>58.41</v>
      </c>
      <c r="G691" s="584">
        <v>15</v>
      </c>
    </row>
    <row r="692" spans="1:7" ht="15" x14ac:dyDescent="0.2">
      <c r="A692" s="583" t="s">
        <v>13690</v>
      </c>
      <c r="B692" s="605" t="s">
        <v>13691</v>
      </c>
      <c r="C692" s="606" t="s">
        <v>12483</v>
      </c>
      <c r="D692" s="607">
        <v>58.92</v>
      </c>
      <c r="E692" s="607">
        <v>21.82</v>
      </c>
      <c r="F692" s="607">
        <v>80.739999999999995</v>
      </c>
      <c r="G692" s="584">
        <v>15</v>
      </c>
    </row>
    <row r="693" spans="1:7" ht="15" x14ac:dyDescent="0.2">
      <c r="A693" s="583" t="s">
        <v>13692</v>
      </c>
      <c r="B693" s="605" t="s">
        <v>13693</v>
      </c>
      <c r="C693" s="606" t="s">
        <v>12483</v>
      </c>
      <c r="D693" s="607">
        <v>77.319999999999993</v>
      </c>
      <c r="E693" s="607">
        <v>29.9</v>
      </c>
      <c r="F693" s="607">
        <v>107.22</v>
      </c>
      <c r="G693" s="584">
        <v>15</v>
      </c>
    </row>
    <row r="694" spans="1:7" ht="15" x14ac:dyDescent="0.2">
      <c r="A694" s="583" t="s">
        <v>13694</v>
      </c>
      <c r="B694" s="605" t="s">
        <v>13695</v>
      </c>
      <c r="C694" s="606" t="s">
        <v>12483</v>
      </c>
      <c r="D694" s="607">
        <v>100.38</v>
      </c>
      <c r="E694" s="607">
        <v>39.57</v>
      </c>
      <c r="F694" s="607">
        <v>139.94999999999999</v>
      </c>
      <c r="G694" s="584">
        <v>15</v>
      </c>
    </row>
    <row r="695" spans="1:7" ht="15" x14ac:dyDescent="0.25">
      <c r="A695" s="583" t="s">
        <v>13696</v>
      </c>
      <c r="B695" s="605" t="s">
        <v>13697</v>
      </c>
      <c r="C695" s="606"/>
      <c r="D695" s="607"/>
      <c r="E695" s="607"/>
      <c r="F695" s="607"/>
      <c r="G695" s="582"/>
    </row>
    <row r="696" spans="1:7" ht="30" x14ac:dyDescent="0.2">
      <c r="A696" s="583" t="s">
        <v>13698</v>
      </c>
      <c r="B696" s="605" t="s">
        <v>13699</v>
      </c>
      <c r="C696" s="606" t="s">
        <v>12424</v>
      </c>
      <c r="D696" s="607">
        <v>3099.83</v>
      </c>
      <c r="E696" s="607"/>
      <c r="F696" s="607">
        <v>3099.83</v>
      </c>
      <c r="G696" s="584">
        <v>15</v>
      </c>
    </row>
    <row r="697" spans="1:7" ht="15" x14ac:dyDescent="0.2">
      <c r="A697" s="583" t="s">
        <v>13700</v>
      </c>
      <c r="B697" s="605" t="s">
        <v>13701</v>
      </c>
      <c r="C697" s="606" t="s">
        <v>12483</v>
      </c>
      <c r="D697" s="607">
        <v>63.81</v>
      </c>
      <c r="E697" s="607">
        <v>12.72</v>
      </c>
      <c r="F697" s="607">
        <v>76.53</v>
      </c>
      <c r="G697" s="584">
        <v>15</v>
      </c>
    </row>
    <row r="698" spans="1:7" ht="15" x14ac:dyDescent="0.2">
      <c r="A698" s="583" t="s">
        <v>13702</v>
      </c>
      <c r="B698" s="605" t="s">
        <v>13703</v>
      </c>
      <c r="C698" s="606" t="s">
        <v>12483</v>
      </c>
      <c r="D698" s="607">
        <v>82.89</v>
      </c>
      <c r="E698" s="607">
        <v>18.350000000000001</v>
      </c>
      <c r="F698" s="607">
        <v>101.24</v>
      </c>
      <c r="G698" s="584">
        <v>15</v>
      </c>
    </row>
    <row r="699" spans="1:7" ht="15" x14ac:dyDescent="0.2">
      <c r="A699" s="583" t="s">
        <v>13704</v>
      </c>
      <c r="B699" s="605" t="s">
        <v>13705</v>
      </c>
      <c r="C699" s="606" t="s">
        <v>12483</v>
      </c>
      <c r="D699" s="607">
        <v>108.37</v>
      </c>
      <c r="E699" s="607">
        <v>25.03</v>
      </c>
      <c r="F699" s="607">
        <v>133.4</v>
      </c>
      <c r="G699" s="584">
        <v>15</v>
      </c>
    </row>
    <row r="700" spans="1:7" ht="15" x14ac:dyDescent="0.2">
      <c r="A700" s="583" t="s">
        <v>13706</v>
      </c>
      <c r="B700" s="605" t="s">
        <v>13707</v>
      </c>
      <c r="C700" s="606" t="s">
        <v>12483</v>
      </c>
      <c r="D700" s="607">
        <v>166.11</v>
      </c>
      <c r="E700" s="607">
        <v>32.64</v>
      </c>
      <c r="F700" s="607">
        <v>198.75</v>
      </c>
      <c r="G700" s="584">
        <v>15</v>
      </c>
    </row>
    <row r="701" spans="1:7" ht="15" x14ac:dyDescent="0.25">
      <c r="A701" s="583" t="s">
        <v>13708</v>
      </c>
      <c r="B701" s="605" t="s">
        <v>13709</v>
      </c>
      <c r="C701" s="606"/>
      <c r="D701" s="607"/>
      <c r="E701" s="607"/>
      <c r="F701" s="607"/>
      <c r="G701" s="582"/>
    </row>
    <row r="702" spans="1:7" ht="30" x14ac:dyDescent="0.2">
      <c r="A702" s="583" t="s">
        <v>13710</v>
      </c>
      <c r="B702" s="605" t="s">
        <v>13711</v>
      </c>
      <c r="C702" s="606" t="s">
        <v>12424</v>
      </c>
      <c r="D702" s="607">
        <v>32754.42</v>
      </c>
      <c r="E702" s="607"/>
      <c r="F702" s="607">
        <v>32754.42</v>
      </c>
      <c r="G702" s="584">
        <v>15</v>
      </c>
    </row>
    <row r="703" spans="1:7" ht="15" x14ac:dyDescent="0.2">
      <c r="A703" s="583" t="s">
        <v>13712</v>
      </c>
      <c r="B703" s="605" t="s">
        <v>13713</v>
      </c>
      <c r="C703" s="606" t="s">
        <v>12483</v>
      </c>
      <c r="D703" s="607">
        <v>252.21</v>
      </c>
      <c r="E703" s="607">
        <v>9.26</v>
      </c>
      <c r="F703" s="607">
        <v>261.47000000000003</v>
      </c>
      <c r="G703" s="584">
        <v>15</v>
      </c>
    </row>
    <row r="704" spans="1:7" ht="15" x14ac:dyDescent="0.2">
      <c r="A704" s="583" t="s">
        <v>13714</v>
      </c>
      <c r="B704" s="605" t="s">
        <v>13715</v>
      </c>
      <c r="C704" s="606" t="s">
        <v>12483</v>
      </c>
      <c r="D704" s="607">
        <v>274.14</v>
      </c>
      <c r="E704" s="607">
        <v>11.59</v>
      </c>
      <c r="F704" s="607">
        <v>285.73</v>
      </c>
      <c r="G704" s="584">
        <v>15</v>
      </c>
    </row>
    <row r="705" spans="1:7" ht="15" x14ac:dyDescent="0.2">
      <c r="A705" s="583" t="s">
        <v>13716</v>
      </c>
      <c r="B705" s="605" t="s">
        <v>13717</v>
      </c>
      <c r="C705" s="606" t="s">
        <v>12483</v>
      </c>
      <c r="D705" s="607">
        <v>333.62</v>
      </c>
      <c r="E705" s="607">
        <v>17.559999999999999</v>
      </c>
      <c r="F705" s="607">
        <v>351.18</v>
      </c>
      <c r="G705" s="584">
        <v>15</v>
      </c>
    </row>
    <row r="706" spans="1:7" ht="15" x14ac:dyDescent="0.2">
      <c r="A706" s="583" t="s">
        <v>13718</v>
      </c>
      <c r="B706" s="605" t="s">
        <v>13719</v>
      </c>
      <c r="C706" s="606" t="s">
        <v>12483</v>
      </c>
      <c r="D706" s="607">
        <v>361.65</v>
      </c>
      <c r="E706" s="607">
        <v>24.56</v>
      </c>
      <c r="F706" s="607">
        <v>386.21</v>
      </c>
      <c r="G706" s="584">
        <v>15</v>
      </c>
    </row>
    <row r="707" spans="1:7" ht="15" x14ac:dyDescent="0.2">
      <c r="A707" s="583" t="s">
        <v>13720</v>
      </c>
      <c r="B707" s="605" t="s">
        <v>13721</v>
      </c>
      <c r="C707" s="606" t="s">
        <v>12483</v>
      </c>
      <c r="D707" s="607">
        <v>422.66</v>
      </c>
      <c r="E707" s="607">
        <v>37.53</v>
      </c>
      <c r="F707" s="607">
        <v>460.19</v>
      </c>
      <c r="G707" s="584">
        <v>15</v>
      </c>
    </row>
    <row r="708" spans="1:7" ht="15" x14ac:dyDescent="0.2">
      <c r="A708" s="583" t="s">
        <v>13722</v>
      </c>
      <c r="B708" s="605" t="s">
        <v>13723</v>
      </c>
      <c r="C708" s="606" t="s">
        <v>12483</v>
      </c>
      <c r="D708" s="607">
        <v>482.72</v>
      </c>
      <c r="E708" s="607">
        <v>44.02</v>
      </c>
      <c r="F708" s="607">
        <v>526.74</v>
      </c>
      <c r="G708" s="584">
        <v>15</v>
      </c>
    </row>
    <row r="709" spans="1:7" ht="15" x14ac:dyDescent="0.2">
      <c r="A709" s="583" t="s">
        <v>13724</v>
      </c>
      <c r="B709" s="605" t="s">
        <v>13725</v>
      </c>
      <c r="C709" s="606" t="s">
        <v>12483</v>
      </c>
      <c r="D709" s="607">
        <v>599.13</v>
      </c>
      <c r="E709" s="607">
        <v>52.04</v>
      </c>
      <c r="F709" s="607">
        <v>651.16999999999996</v>
      </c>
      <c r="G709" s="584">
        <v>15</v>
      </c>
    </row>
    <row r="710" spans="1:7" ht="15" x14ac:dyDescent="0.2">
      <c r="A710" s="583" t="s">
        <v>13726</v>
      </c>
      <c r="B710" s="605" t="s">
        <v>13727</v>
      </c>
      <c r="C710" s="606" t="s">
        <v>12483</v>
      </c>
      <c r="D710" s="607">
        <v>705.79</v>
      </c>
      <c r="E710" s="607">
        <v>44.02</v>
      </c>
      <c r="F710" s="607">
        <v>749.81</v>
      </c>
      <c r="G710" s="584">
        <v>15</v>
      </c>
    </row>
    <row r="711" spans="1:7" ht="15" x14ac:dyDescent="0.2">
      <c r="A711" s="583" t="s">
        <v>13728</v>
      </c>
      <c r="B711" s="605" t="s">
        <v>13729</v>
      </c>
      <c r="C711" s="606" t="s">
        <v>12483</v>
      </c>
      <c r="D711" s="607">
        <v>404.96</v>
      </c>
      <c r="E711" s="607"/>
      <c r="F711" s="607">
        <v>404.96</v>
      </c>
      <c r="G711" s="584">
        <v>15</v>
      </c>
    </row>
    <row r="712" spans="1:7" ht="15" x14ac:dyDescent="0.2">
      <c r="A712" s="583" t="s">
        <v>13730</v>
      </c>
      <c r="B712" s="605" t="s">
        <v>13731</v>
      </c>
      <c r="C712" s="606" t="s">
        <v>12483</v>
      </c>
      <c r="D712" s="607">
        <v>545.34</v>
      </c>
      <c r="E712" s="607"/>
      <c r="F712" s="607">
        <v>545.34</v>
      </c>
      <c r="G712" s="584">
        <v>15</v>
      </c>
    </row>
    <row r="713" spans="1:7" ht="30" x14ac:dyDescent="0.2">
      <c r="A713" s="583" t="s">
        <v>13732</v>
      </c>
      <c r="B713" s="605" t="s">
        <v>13733</v>
      </c>
      <c r="C713" s="606" t="s">
        <v>12424</v>
      </c>
      <c r="D713" s="607">
        <v>32754.42</v>
      </c>
      <c r="E713" s="607"/>
      <c r="F713" s="607">
        <v>32754.42</v>
      </c>
      <c r="G713" s="584">
        <v>15</v>
      </c>
    </row>
    <row r="714" spans="1:7" ht="15" x14ac:dyDescent="0.2">
      <c r="A714" s="583" t="s">
        <v>13734</v>
      </c>
      <c r="B714" s="605" t="s">
        <v>13735</v>
      </c>
      <c r="C714" s="606" t="s">
        <v>12483</v>
      </c>
      <c r="D714" s="607">
        <v>1284.24</v>
      </c>
      <c r="E714" s="607"/>
      <c r="F714" s="607">
        <v>1284.24</v>
      </c>
      <c r="G714" s="584">
        <v>15</v>
      </c>
    </row>
    <row r="715" spans="1:7" ht="15" x14ac:dyDescent="0.2">
      <c r="A715" s="583" t="s">
        <v>13736</v>
      </c>
      <c r="B715" s="605" t="s">
        <v>13737</v>
      </c>
      <c r="C715" s="606" t="s">
        <v>12483</v>
      </c>
      <c r="D715" s="607">
        <v>1475.3</v>
      </c>
      <c r="E715" s="607"/>
      <c r="F715" s="607">
        <v>1475.3</v>
      </c>
      <c r="G715" s="584">
        <v>15</v>
      </c>
    </row>
    <row r="716" spans="1:7" ht="15" x14ac:dyDescent="0.2">
      <c r="A716" s="583" t="s">
        <v>13738</v>
      </c>
      <c r="B716" s="605" t="s">
        <v>13739</v>
      </c>
      <c r="C716" s="606" t="s">
        <v>12483</v>
      </c>
      <c r="D716" s="607">
        <v>1716.6</v>
      </c>
      <c r="E716" s="607"/>
      <c r="F716" s="607">
        <v>1716.6</v>
      </c>
      <c r="G716" s="584">
        <v>15</v>
      </c>
    </row>
    <row r="717" spans="1:7" ht="30" x14ac:dyDescent="0.2">
      <c r="A717" s="583" t="s">
        <v>13740</v>
      </c>
      <c r="B717" s="605" t="s">
        <v>13741</v>
      </c>
      <c r="C717" s="606" t="s">
        <v>12483</v>
      </c>
      <c r="D717" s="607">
        <v>839</v>
      </c>
      <c r="E717" s="607"/>
      <c r="F717" s="607">
        <v>839</v>
      </c>
      <c r="G717" s="584">
        <v>15</v>
      </c>
    </row>
    <row r="718" spans="1:7" ht="30" x14ac:dyDescent="0.2">
      <c r="A718" s="583" t="s">
        <v>20067</v>
      </c>
      <c r="B718" s="605" t="s">
        <v>20068</v>
      </c>
      <c r="C718" s="606" t="s">
        <v>12483</v>
      </c>
      <c r="D718" s="607">
        <v>962.12</v>
      </c>
      <c r="E718" s="607"/>
      <c r="F718" s="607">
        <v>962.12</v>
      </c>
      <c r="G718" s="584">
        <v>15</v>
      </c>
    </row>
    <row r="719" spans="1:7" ht="30" x14ac:dyDescent="0.2">
      <c r="A719" s="583" t="s">
        <v>13742</v>
      </c>
      <c r="B719" s="605" t="s">
        <v>13743</v>
      </c>
      <c r="C719" s="606" t="s">
        <v>12508</v>
      </c>
      <c r="D719" s="607">
        <v>669.02</v>
      </c>
      <c r="E719" s="607"/>
      <c r="F719" s="607">
        <v>669.02</v>
      </c>
      <c r="G719" s="584">
        <v>15</v>
      </c>
    </row>
    <row r="720" spans="1:7" ht="15" x14ac:dyDescent="0.25">
      <c r="A720" s="583" t="s">
        <v>13744</v>
      </c>
      <c r="B720" s="605" t="s">
        <v>13745</v>
      </c>
      <c r="C720" s="606"/>
      <c r="D720" s="607"/>
      <c r="E720" s="607"/>
      <c r="F720" s="607"/>
      <c r="G720" s="582"/>
    </row>
    <row r="721" spans="1:7" ht="30" x14ac:dyDescent="0.2">
      <c r="A721" s="583" t="s">
        <v>13746</v>
      </c>
      <c r="B721" s="605" t="s">
        <v>13747</v>
      </c>
      <c r="C721" s="606" t="s">
        <v>12424</v>
      </c>
      <c r="D721" s="607">
        <v>1897.51</v>
      </c>
      <c r="E721" s="607"/>
      <c r="F721" s="607">
        <v>1897.51</v>
      </c>
      <c r="G721" s="584">
        <v>15</v>
      </c>
    </row>
    <row r="722" spans="1:7" ht="15" x14ac:dyDescent="0.2">
      <c r="A722" s="583" t="s">
        <v>13748</v>
      </c>
      <c r="B722" s="605" t="s">
        <v>13749</v>
      </c>
      <c r="C722" s="606" t="s">
        <v>12483</v>
      </c>
      <c r="D722" s="607">
        <v>40.119999999999997</v>
      </c>
      <c r="E722" s="607"/>
      <c r="F722" s="607">
        <v>40.119999999999997</v>
      </c>
      <c r="G722" s="584">
        <v>15</v>
      </c>
    </row>
    <row r="723" spans="1:7" ht="15" x14ac:dyDescent="0.2">
      <c r="A723" s="583" t="s">
        <v>13750</v>
      </c>
      <c r="B723" s="605" t="s">
        <v>13751</v>
      </c>
      <c r="C723" s="606" t="s">
        <v>12483</v>
      </c>
      <c r="D723" s="607">
        <v>45.6</v>
      </c>
      <c r="E723" s="607"/>
      <c r="F723" s="607">
        <v>45.6</v>
      </c>
      <c r="G723" s="584">
        <v>15</v>
      </c>
    </row>
    <row r="724" spans="1:7" ht="15" x14ac:dyDescent="0.2">
      <c r="A724" s="583" t="s">
        <v>13752</v>
      </c>
      <c r="B724" s="605" t="s">
        <v>13753</v>
      </c>
      <c r="C724" s="606" t="s">
        <v>12483</v>
      </c>
      <c r="D724" s="607">
        <v>75.59</v>
      </c>
      <c r="E724" s="607"/>
      <c r="F724" s="607">
        <v>75.59</v>
      </c>
      <c r="G724" s="584">
        <v>15</v>
      </c>
    </row>
    <row r="725" spans="1:7" ht="30" x14ac:dyDescent="0.2">
      <c r="A725" s="583" t="s">
        <v>13754</v>
      </c>
      <c r="B725" s="605" t="s">
        <v>13755</v>
      </c>
      <c r="C725" s="606" t="s">
        <v>12508</v>
      </c>
      <c r="D725" s="607"/>
      <c r="E725" s="607">
        <v>502.4</v>
      </c>
      <c r="F725" s="607">
        <v>502.4</v>
      </c>
      <c r="G725" s="584">
        <v>15</v>
      </c>
    </row>
    <row r="726" spans="1:7" ht="15" x14ac:dyDescent="0.25">
      <c r="A726" s="583" t="s">
        <v>13756</v>
      </c>
      <c r="B726" s="605" t="s">
        <v>13757</v>
      </c>
      <c r="C726" s="606"/>
      <c r="D726" s="607"/>
      <c r="E726" s="607"/>
      <c r="F726" s="607"/>
      <c r="G726" s="582"/>
    </row>
    <row r="727" spans="1:7" ht="30" x14ac:dyDescent="0.2">
      <c r="A727" s="583" t="s">
        <v>13758</v>
      </c>
      <c r="B727" s="605" t="s">
        <v>13759</v>
      </c>
      <c r="C727" s="606" t="s">
        <v>12424</v>
      </c>
      <c r="D727" s="607">
        <v>43530.57</v>
      </c>
      <c r="E727" s="607"/>
      <c r="F727" s="607">
        <v>43530.57</v>
      </c>
      <c r="G727" s="584">
        <v>15</v>
      </c>
    </row>
    <row r="728" spans="1:7" ht="15" x14ac:dyDescent="0.2">
      <c r="A728" s="583" t="s">
        <v>13760</v>
      </c>
      <c r="B728" s="605" t="s">
        <v>13761</v>
      </c>
      <c r="C728" s="606" t="s">
        <v>12483</v>
      </c>
      <c r="D728" s="607">
        <v>43.66</v>
      </c>
      <c r="E728" s="607">
        <v>5.45</v>
      </c>
      <c r="F728" s="607">
        <v>49.11</v>
      </c>
      <c r="G728" s="584">
        <v>15</v>
      </c>
    </row>
    <row r="729" spans="1:7" ht="15" x14ac:dyDescent="0.2">
      <c r="A729" s="583" t="s">
        <v>13762</v>
      </c>
      <c r="B729" s="605" t="s">
        <v>13763</v>
      </c>
      <c r="C729" s="606" t="s">
        <v>12483</v>
      </c>
      <c r="D729" s="607">
        <v>56.06</v>
      </c>
      <c r="E729" s="607">
        <v>5.45</v>
      </c>
      <c r="F729" s="607">
        <v>61.51</v>
      </c>
      <c r="G729" s="584">
        <v>15</v>
      </c>
    </row>
    <row r="730" spans="1:7" ht="15" x14ac:dyDescent="0.2">
      <c r="A730" s="583" t="s">
        <v>13764</v>
      </c>
      <c r="B730" s="605" t="s">
        <v>13765</v>
      </c>
      <c r="C730" s="606" t="s">
        <v>12483</v>
      </c>
      <c r="D730" s="607">
        <v>66.45</v>
      </c>
      <c r="E730" s="607">
        <v>5.45</v>
      </c>
      <c r="F730" s="607">
        <v>71.900000000000006</v>
      </c>
      <c r="G730" s="584">
        <v>15</v>
      </c>
    </row>
    <row r="731" spans="1:7" ht="15" x14ac:dyDescent="0.2">
      <c r="A731" s="583" t="s">
        <v>13766</v>
      </c>
      <c r="B731" s="605" t="s">
        <v>13767</v>
      </c>
      <c r="C731" s="606" t="s">
        <v>12483</v>
      </c>
      <c r="D731" s="607">
        <v>78.760000000000005</v>
      </c>
      <c r="E731" s="607">
        <v>5.45</v>
      </c>
      <c r="F731" s="607">
        <v>84.21</v>
      </c>
      <c r="G731" s="584">
        <v>15</v>
      </c>
    </row>
    <row r="732" spans="1:7" ht="15" x14ac:dyDescent="0.2">
      <c r="A732" s="583" t="s">
        <v>13768</v>
      </c>
      <c r="B732" s="605" t="s">
        <v>13769</v>
      </c>
      <c r="C732" s="606" t="s">
        <v>12483</v>
      </c>
      <c r="D732" s="607">
        <v>98.89</v>
      </c>
      <c r="E732" s="607">
        <v>5.45</v>
      </c>
      <c r="F732" s="607">
        <v>104.34</v>
      </c>
      <c r="G732" s="584">
        <v>15</v>
      </c>
    </row>
    <row r="733" spans="1:7" ht="15" x14ac:dyDescent="0.2">
      <c r="A733" s="583" t="s">
        <v>13770</v>
      </c>
      <c r="B733" s="605" t="s">
        <v>13771</v>
      </c>
      <c r="C733" s="606" t="s">
        <v>12483</v>
      </c>
      <c r="D733" s="607">
        <v>116.26</v>
      </c>
      <c r="E733" s="607">
        <v>5.45</v>
      </c>
      <c r="F733" s="607">
        <v>121.71</v>
      </c>
      <c r="G733" s="584">
        <v>15</v>
      </c>
    </row>
    <row r="734" spans="1:7" ht="15" x14ac:dyDescent="0.2">
      <c r="A734" s="583" t="s">
        <v>13772</v>
      </c>
      <c r="B734" s="605" t="s">
        <v>13773</v>
      </c>
      <c r="C734" s="606" t="s">
        <v>12483</v>
      </c>
      <c r="D734" s="607">
        <v>155.61000000000001</v>
      </c>
      <c r="E734" s="607">
        <v>5.45</v>
      </c>
      <c r="F734" s="607">
        <v>161.06</v>
      </c>
      <c r="G734" s="584">
        <v>15</v>
      </c>
    </row>
    <row r="735" spans="1:7" ht="15" x14ac:dyDescent="0.2">
      <c r="A735" s="583" t="s">
        <v>13774</v>
      </c>
      <c r="B735" s="605" t="s">
        <v>13775</v>
      </c>
      <c r="C735" s="606" t="s">
        <v>12483</v>
      </c>
      <c r="D735" s="607">
        <v>195.22</v>
      </c>
      <c r="E735" s="607">
        <v>5.45</v>
      </c>
      <c r="F735" s="607">
        <v>200.67</v>
      </c>
      <c r="G735" s="584">
        <v>15</v>
      </c>
    </row>
    <row r="736" spans="1:7" ht="15" x14ac:dyDescent="0.25">
      <c r="A736" s="583" t="s">
        <v>13776</v>
      </c>
      <c r="B736" s="605" t="s">
        <v>13777</v>
      </c>
      <c r="C736" s="606"/>
      <c r="D736" s="607"/>
      <c r="E736" s="607"/>
      <c r="F736" s="607"/>
      <c r="G736" s="582"/>
    </row>
    <row r="737" spans="1:7" ht="30" x14ac:dyDescent="0.2">
      <c r="A737" s="583" t="s">
        <v>13778</v>
      </c>
      <c r="B737" s="605" t="s">
        <v>13779</v>
      </c>
      <c r="C737" s="606" t="s">
        <v>12424</v>
      </c>
      <c r="D737" s="607">
        <v>30410.47</v>
      </c>
      <c r="E737" s="607"/>
      <c r="F737" s="607">
        <v>30410.47</v>
      </c>
      <c r="G737" s="584">
        <v>15</v>
      </c>
    </row>
    <row r="738" spans="1:7" ht="15" x14ac:dyDescent="0.2">
      <c r="A738" s="583" t="s">
        <v>13780</v>
      </c>
      <c r="B738" s="605" t="s">
        <v>13781</v>
      </c>
      <c r="C738" s="606" t="s">
        <v>12483</v>
      </c>
      <c r="D738" s="607">
        <v>362.15</v>
      </c>
      <c r="E738" s="607">
        <v>24.56</v>
      </c>
      <c r="F738" s="607">
        <v>386.71</v>
      </c>
      <c r="G738" s="584">
        <v>15</v>
      </c>
    </row>
    <row r="739" spans="1:7" ht="15" x14ac:dyDescent="0.2">
      <c r="A739" s="583" t="s">
        <v>13782</v>
      </c>
      <c r="B739" s="605" t="s">
        <v>13783</v>
      </c>
      <c r="C739" s="606" t="s">
        <v>12483</v>
      </c>
      <c r="D739" s="607">
        <v>432.51</v>
      </c>
      <c r="E739" s="607">
        <v>37.53</v>
      </c>
      <c r="F739" s="607">
        <v>470.04</v>
      </c>
      <c r="G739" s="584">
        <v>15</v>
      </c>
    </row>
    <row r="740" spans="1:7" ht="15" x14ac:dyDescent="0.2">
      <c r="A740" s="583" t="s">
        <v>13784</v>
      </c>
      <c r="B740" s="605" t="s">
        <v>13785</v>
      </c>
      <c r="C740" s="606" t="s">
        <v>12483</v>
      </c>
      <c r="D740" s="607">
        <v>491.41</v>
      </c>
      <c r="E740" s="607">
        <v>44.02</v>
      </c>
      <c r="F740" s="607">
        <v>535.42999999999995</v>
      </c>
      <c r="G740" s="584">
        <v>15</v>
      </c>
    </row>
    <row r="741" spans="1:7" ht="15" x14ac:dyDescent="0.25">
      <c r="A741" s="583" t="s">
        <v>13786</v>
      </c>
      <c r="B741" s="605" t="s">
        <v>13787</v>
      </c>
      <c r="C741" s="606"/>
      <c r="D741" s="607"/>
      <c r="E741" s="607"/>
      <c r="F741" s="607"/>
      <c r="G741" s="582"/>
    </row>
    <row r="742" spans="1:7" ht="15" x14ac:dyDescent="0.25">
      <c r="A742" s="583" t="s">
        <v>13788</v>
      </c>
      <c r="B742" s="605" t="s">
        <v>13789</v>
      </c>
      <c r="C742" s="606"/>
      <c r="D742" s="607"/>
      <c r="E742" s="607"/>
      <c r="F742" s="607"/>
      <c r="G742" s="582"/>
    </row>
    <row r="743" spans="1:7" ht="30" x14ac:dyDescent="0.2">
      <c r="A743" s="583" t="s">
        <v>13790</v>
      </c>
      <c r="B743" s="605" t="s">
        <v>13791</v>
      </c>
      <c r="C743" s="606" t="s">
        <v>12427</v>
      </c>
      <c r="D743" s="607">
        <v>117.06</v>
      </c>
      <c r="E743" s="607">
        <v>32.979999999999997</v>
      </c>
      <c r="F743" s="607">
        <v>150.04</v>
      </c>
      <c r="G743" s="584">
        <v>15</v>
      </c>
    </row>
    <row r="744" spans="1:7" ht="30" x14ac:dyDescent="0.2">
      <c r="A744" s="583" t="s">
        <v>13792</v>
      </c>
      <c r="B744" s="605" t="s">
        <v>13793</v>
      </c>
      <c r="C744" s="606" t="s">
        <v>12427</v>
      </c>
      <c r="D744" s="607">
        <v>124.31</v>
      </c>
      <c r="E744" s="607">
        <v>36.270000000000003</v>
      </c>
      <c r="F744" s="607">
        <v>160.58000000000001</v>
      </c>
      <c r="G744" s="584">
        <v>15</v>
      </c>
    </row>
    <row r="745" spans="1:7" ht="30" x14ac:dyDescent="0.2">
      <c r="A745" s="583" t="s">
        <v>13794</v>
      </c>
      <c r="B745" s="605" t="s">
        <v>13795</v>
      </c>
      <c r="C745" s="606" t="s">
        <v>12427</v>
      </c>
      <c r="D745" s="607">
        <v>152.28</v>
      </c>
      <c r="E745" s="607">
        <v>39.56</v>
      </c>
      <c r="F745" s="607">
        <v>191.84</v>
      </c>
      <c r="G745" s="584">
        <v>15</v>
      </c>
    </row>
    <row r="746" spans="1:7" ht="30" x14ac:dyDescent="0.2">
      <c r="A746" s="583" t="s">
        <v>13796</v>
      </c>
      <c r="B746" s="605" t="s">
        <v>13797</v>
      </c>
      <c r="C746" s="606" t="s">
        <v>12427</v>
      </c>
      <c r="D746" s="607">
        <v>161.31</v>
      </c>
      <c r="E746" s="607">
        <v>42.85</v>
      </c>
      <c r="F746" s="607">
        <v>204.16</v>
      </c>
      <c r="G746" s="584">
        <v>15</v>
      </c>
    </row>
    <row r="747" spans="1:7" ht="30" x14ac:dyDescent="0.2">
      <c r="A747" s="583" t="s">
        <v>13798</v>
      </c>
      <c r="B747" s="605" t="s">
        <v>13799</v>
      </c>
      <c r="C747" s="606" t="s">
        <v>12427</v>
      </c>
      <c r="D747" s="607">
        <v>197.79</v>
      </c>
      <c r="E747" s="607">
        <v>47.04</v>
      </c>
      <c r="F747" s="607">
        <v>244.83</v>
      </c>
      <c r="G747" s="584">
        <v>15</v>
      </c>
    </row>
    <row r="748" spans="1:7" ht="30" x14ac:dyDescent="0.2">
      <c r="A748" s="583" t="s">
        <v>13800</v>
      </c>
      <c r="B748" s="605" t="s">
        <v>13801</v>
      </c>
      <c r="C748" s="606" t="s">
        <v>12427</v>
      </c>
      <c r="D748" s="607">
        <v>140.32</v>
      </c>
      <c r="E748" s="607">
        <v>36.270000000000003</v>
      </c>
      <c r="F748" s="607">
        <v>176.59</v>
      </c>
      <c r="G748" s="584">
        <v>15</v>
      </c>
    </row>
    <row r="749" spans="1:7" ht="30" x14ac:dyDescent="0.2">
      <c r="A749" s="583" t="s">
        <v>13802</v>
      </c>
      <c r="B749" s="605" t="s">
        <v>13803</v>
      </c>
      <c r="C749" s="606" t="s">
        <v>12427</v>
      </c>
      <c r="D749" s="607">
        <v>162.91999999999999</v>
      </c>
      <c r="E749" s="607">
        <v>36.270000000000003</v>
      </c>
      <c r="F749" s="607">
        <v>199.19</v>
      </c>
      <c r="G749" s="584">
        <v>15</v>
      </c>
    </row>
    <row r="750" spans="1:7" ht="30" x14ac:dyDescent="0.2">
      <c r="A750" s="583" t="s">
        <v>13804</v>
      </c>
      <c r="B750" s="605" t="s">
        <v>13805</v>
      </c>
      <c r="C750" s="606" t="s">
        <v>12427</v>
      </c>
      <c r="D750" s="607">
        <v>201.23</v>
      </c>
      <c r="E750" s="607">
        <v>39.56</v>
      </c>
      <c r="F750" s="607">
        <v>240.79</v>
      </c>
      <c r="G750" s="584">
        <v>15</v>
      </c>
    </row>
    <row r="751" spans="1:7" ht="30" x14ac:dyDescent="0.2">
      <c r="A751" s="583" t="s">
        <v>13806</v>
      </c>
      <c r="B751" s="605" t="s">
        <v>13807</v>
      </c>
      <c r="C751" s="606" t="s">
        <v>12427</v>
      </c>
      <c r="D751" s="607">
        <v>222.52</v>
      </c>
      <c r="E751" s="607">
        <v>42.85</v>
      </c>
      <c r="F751" s="607">
        <v>265.37</v>
      </c>
      <c r="G751" s="584">
        <v>15</v>
      </c>
    </row>
    <row r="752" spans="1:7" ht="30" x14ac:dyDescent="0.2">
      <c r="A752" s="583" t="s">
        <v>13808</v>
      </c>
      <c r="B752" s="605" t="s">
        <v>13809</v>
      </c>
      <c r="C752" s="606" t="s">
        <v>12427</v>
      </c>
      <c r="D752" s="607">
        <v>242.19</v>
      </c>
      <c r="E752" s="607">
        <v>47.04</v>
      </c>
      <c r="F752" s="607">
        <v>289.23</v>
      </c>
      <c r="G752" s="584">
        <v>15</v>
      </c>
    </row>
    <row r="753" spans="1:7" ht="15" x14ac:dyDescent="0.25">
      <c r="A753" s="583" t="s">
        <v>13810</v>
      </c>
      <c r="B753" s="605" t="s">
        <v>13811</v>
      </c>
      <c r="C753" s="606"/>
      <c r="D753" s="607"/>
      <c r="E753" s="607"/>
      <c r="F753" s="607"/>
      <c r="G753" s="582"/>
    </row>
    <row r="754" spans="1:7" ht="30" x14ac:dyDescent="0.2">
      <c r="A754" s="583" t="s">
        <v>13812</v>
      </c>
      <c r="B754" s="605" t="s">
        <v>13813</v>
      </c>
      <c r="C754" s="606" t="s">
        <v>12427</v>
      </c>
      <c r="D754" s="607">
        <v>160.93</v>
      </c>
      <c r="E754" s="607">
        <v>36.270000000000003</v>
      </c>
      <c r="F754" s="607">
        <v>197.2</v>
      </c>
      <c r="G754" s="584">
        <v>15</v>
      </c>
    </row>
    <row r="755" spans="1:7" ht="30" x14ac:dyDescent="0.2">
      <c r="A755" s="583" t="s">
        <v>13814</v>
      </c>
      <c r="B755" s="605" t="s">
        <v>13815</v>
      </c>
      <c r="C755" s="606" t="s">
        <v>12427</v>
      </c>
      <c r="D755" s="607">
        <v>181.16</v>
      </c>
      <c r="E755" s="607">
        <v>39.56</v>
      </c>
      <c r="F755" s="607">
        <v>220.72</v>
      </c>
      <c r="G755" s="584">
        <v>15</v>
      </c>
    </row>
    <row r="756" spans="1:7" ht="30" x14ac:dyDescent="0.2">
      <c r="A756" s="583" t="s">
        <v>13816</v>
      </c>
      <c r="B756" s="605" t="s">
        <v>13817</v>
      </c>
      <c r="C756" s="606" t="s">
        <v>12427</v>
      </c>
      <c r="D756" s="607">
        <v>196.91</v>
      </c>
      <c r="E756" s="607">
        <v>42.85</v>
      </c>
      <c r="F756" s="607">
        <v>239.76</v>
      </c>
      <c r="G756" s="584">
        <v>15</v>
      </c>
    </row>
    <row r="757" spans="1:7" ht="30" x14ac:dyDescent="0.2">
      <c r="A757" s="583" t="s">
        <v>13818</v>
      </c>
      <c r="B757" s="605" t="s">
        <v>13819</v>
      </c>
      <c r="C757" s="606" t="s">
        <v>12427</v>
      </c>
      <c r="D757" s="607">
        <v>206.98</v>
      </c>
      <c r="E757" s="607">
        <v>47.04</v>
      </c>
      <c r="F757" s="607">
        <v>254.02</v>
      </c>
      <c r="G757" s="584">
        <v>15</v>
      </c>
    </row>
    <row r="758" spans="1:7" ht="15" x14ac:dyDescent="0.25">
      <c r="A758" s="583" t="s">
        <v>13820</v>
      </c>
      <c r="B758" s="605" t="s">
        <v>13821</v>
      </c>
      <c r="C758" s="606"/>
      <c r="D758" s="607"/>
      <c r="E758" s="607"/>
      <c r="F758" s="607"/>
      <c r="G758" s="582"/>
    </row>
    <row r="759" spans="1:7" ht="15" x14ac:dyDescent="0.2">
      <c r="A759" s="583" t="s">
        <v>13822</v>
      </c>
      <c r="B759" s="605" t="s">
        <v>13823</v>
      </c>
      <c r="C759" s="606" t="s">
        <v>12427</v>
      </c>
      <c r="D759" s="607">
        <v>146.58000000000001</v>
      </c>
      <c r="E759" s="607">
        <v>11.06</v>
      </c>
      <c r="F759" s="607">
        <v>157.63999999999999</v>
      </c>
      <c r="G759" s="584">
        <v>15</v>
      </c>
    </row>
    <row r="760" spans="1:7" ht="15" x14ac:dyDescent="0.2">
      <c r="A760" s="583" t="s">
        <v>13824</v>
      </c>
      <c r="B760" s="605" t="s">
        <v>13825</v>
      </c>
      <c r="C760" s="606" t="s">
        <v>12427</v>
      </c>
      <c r="D760" s="607">
        <v>163.18</v>
      </c>
      <c r="E760" s="607">
        <v>11.63</v>
      </c>
      <c r="F760" s="607">
        <v>174.81</v>
      </c>
      <c r="G760" s="584">
        <v>15</v>
      </c>
    </row>
    <row r="761" spans="1:7" ht="15" x14ac:dyDescent="0.2">
      <c r="A761" s="583" t="s">
        <v>13826</v>
      </c>
      <c r="B761" s="605" t="s">
        <v>13827</v>
      </c>
      <c r="C761" s="606" t="s">
        <v>12427</v>
      </c>
      <c r="D761" s="607">
        <v>177.08</v>
      </c>
      <c r="E761" s="607">
        <v>12.2</v>
      </c>
      <c r="F761" s="607">
        <v>189.28</v>
      </c>
      <c r="G761" s="584">
        <v>15</v>
      </c>
    </row>
    <row r="762" spans="1:7" ht="15" x14ac:dyDescent="0.2">
      <c r="A762" s="583" t="s">
        <v>13828</v>
      </c>
      <c r="B762" s="605" t="s">
        <v>13829</v>
      </c>
      <c r="C762" s="606" t="s">
        <v>12427</v>
      </c>
      <c r="D762" s="607">
        <v>251.03</v>
      </c>
      <c r="E762" s="607">
        <v>12.42</v>
      </c>
      <c r="F762" s="607">
        <v>263.45</v>
      </c>
      <c r="G762" s="584">
        <v>15</v>
      </c>
    </row>
    <row r="763" spans="1:7" ht="15" x14ac:dyDescent="0.2">
      <c r="A763" s="583" t="s">
        <v>13830</v>
      </c>
      <c r="B763" s="605" t="s">
        <v>13831</v>
      </c>
      <c r="C763" s="606" t="s">
        <v>12427</v>
      </c>
      <c r="D763" s="607">
        <v>147.01</v>
      </c>
      <c r="E763" s="607">
        <v>11.06</v>
      </c>
      <c r="F763" s="607">
        <v>158.07</v>
      </c>
      <c r="G763" s="584">
        <v>15</v>
      </c>
    </row>
    <row r="764" spans="1:7" ht="15" x14ac:dyDescent="0.2">
      <c r="A764" s="583" t="s">
        <v>13832</v>
      </c>
      <c r="B764" s="605" t="s">
        <v>13833</v>
      </c>
      <c r="C764" s="606" t="s">
        <v>12427</v>
      </c>
      <c r="D764" s="607">
        <v>154.27000000000001</v>
      </c>
      <c r="E764" s="607">
        <v>11.63</v>
      </c>
      <c r="F764" s="607">
        <v>165.9</v>
      </c>
      <c r="G764" s="584">
        <v>15</v>
      </c>
    </row>
    <row r="765" spans="1:7" ht="15" x14ac:dyDescent="0.25">
      <c r="A765" s="583" t="s">
        <v>13834</v>
      </c>
      <c r="B765" s="605" t="s">
        <v>13835</v>
      </c>
      <c r="C765" s="606"/>
      <c r="D765" s="607"/>
      <c r="E765" s="607"/>
      <c r="F765" s="607"/>
      <c r="G765" s="582"/>
    </row>
    <row r="766" spans="1:7" ht="15" x14ac:dyDescent="0.25">
      <c r="A766" s="583" t="s">
        <v>13836</v>
      </c>
      <c r="B766" s="605" t="s">
        <v>13837</v>
      </c>
      <c r="C766" s="606"/>
      <c r="D766" s="607"/>
      <c r="E766" s="607"/>
      <c r="F766" s="607"/>
      <c r="G766" s="582"/>
    </row>
    <row r="767" spans="1:7" ht="15" x14ac:dyDescent="0.2">
      <c r="A767" s="583" t="s">
        <v>13838</v>
      </c>
      <c r="B767" s="605" t="s">
        <v>13839</v>
      </c>
      <c r="C767" s="606" t="s">
        <v>12508</v>
      </c>
      <c r="D767" s="607">
        <v>687.42</v>
      </c>
      <c r="E767" s="607">
        <v>375.42</v>
      </c>
      <c r="F767" s="607">
        <v>1062.8399999999999</v>
      </c>
      <c r="G767" s="584">
        <v>15</v>
      </c>
    </row>
    <row r="768" spans="1:7" ht="30" x14ac:dyDescent="0.2">
      <c r="A768" s="583" t="s">
        <v>13840</v>
      </c>
      <c r="B768" s="605" t="s">
        <v>13841</v>
      </c>
      <c r="C768" s="606" t="s">
        <v>12427</v>
      </c>
      <c r="D768" s="607">
        <v>76.94</v>
      </c>
      <c r="E768" s="607">
        <v>36.020000000000003</v>
      </c>
      <c r="F768" s="607">
        <v>112.96</v>
      </c>
      <c r="G768" s="584">
        <v>15</v>
      </c>
    </row>
    <row r="769" spans="1:7" ht="30" x14ac:dyDescent="0.2">
      <c r="A769" s="583" t="s">
        <v>13842</v>
      </c>
      <c r="B769" s="605" t="s">
        <v>13843</v>
      </c>
      <c r="C769" s="606" t="s">
        <v>12427</v>
      </c>
      <c r="D769" s="607">
        <v>103.17</v>
      </c>
      <c r="E769" s="607">
        <v>36.840000000000003</v>
      </c>
      <c r="F769" s="607">
        <v>140.01</v>
      </c>
      <c r="G769" s="584">
        <v>15</v>
      </c>
    </row>
    <row r="770" spans="1:7" ht="15" x14ac:dyDescent="0.25">
      <c r="A770" s="583" t="s">
        <v>13844</v>
      </c>
      <c r="B770" s="605" t="s">
        <v>13845</v>
      </c>
      <c r="C770" s="606"/>
      <c r="D770" s="607"/>
      <c r="E770" s="607"/>
      <c r="F770" s="607"/>
      <c r="G770" s="582"/>
    </row>
    <row r="771" spans="1:7" ht="15" x14ac:dyDescent="0.2">
      <c r="A771" s="583" t="s">
        <v>13846</v>
      </c>
      <c r="B771" s="605" t="s">
        <v>13847</v>
      </c>
      <c r="C771" s="606" t="s">
        <v>12427</v>
      </c>
      <c r="D771" s="607">
        <v>42.64</v>
      </c>
      <c r="E771" s="607">
        <v>46.36</v>
      </c>
      <c r="F771" s="607">
        <v>89</v>
      </c>
      <c r="G771" s="584">
        <v>15</v>
      </c>
    </row>
    <row r="772" spans="1:7" ht="15" x14ac:dyDescent="0.2">
      <c r="A772" s="583" t="s">
        <v>13848</v>
      </c>
      <c r="B772" s="605" t="s">
        <v>13849</v>
      </c>
      <c r="C772" s="606" t="s">
        <v>12427</v>
      </c>
      <c r="D772" s="607">
        <v>58.38</v>
      </c>
      <c r="E772" s="607">
        <v>73.37</v>
      </c>
      <c r="F772" s="607">
        <v>131.75</v>
      </c>
      <c r="G772" s="584">
        <v>15</v>
      </c>
    </row>
    <row r="773" spans="1:7" ht="15" x14ac:dyDescent="0.2">
      <c r="A773" s="583" t="s">
        <v>13850</v>
      </c>
      <c r="B773" s="605" t="s">
        <v>13851</v>
      </c>
      <c r="C773" s="606" t="s">
        <v>12427</v>
      </c>
      <c r="D773" s="607">
        <v>129.38</v>
      </c>
      <c r="E773" s="607">
        <v>119.06</v>
      </c>
      <c r="F773" s="607">
        <v>248.44</v>
      </c>
      <c r="G773" s="584">
        <v>15</v>
      </c>
    </row>
    <row r="774" spans="1:7" ht="15" x14ac:dyDescent="0.2">
      <c r="A774" s="583" t="s">
        <v>13852</v>
      </c>
      <c r="B774" s="605" t="s">
        <v>13853</v>
      </c>
      <c r="C774" s="606" t="s">
        <v>12427</v>
      </c>
      <c r="D774" s="607">
        <v>186.85</v>
      </c>
      <c r="E774" s="607">
        <v>146.82</v>
      </c>
      <c r="F774" s="607">
        <v>333.67</v>
      </c>
      <c r="G774" s="584">
        <v>15</v>
      </c>
    </row>
    <row r="775" spans="1:7" ht="15" x14ac:dyDescent="0.2">
      <c r="A775" s="583" t="s">
        <v>13854</v>
      </c>
      <c r="B775" s="605" t="s">
        <v>13855</v>
      </c>
      <c r="C775" s="606" t="s">
        <v>12427</v>
      </c>
      <c r="D775" s="607">
        <v>117.34</v>
      </c>
      <c r="E775" s="607">
        <v>73.37</v>
      </c>
      <c r="F775" s="607">
        <v>190.71</v>
      </c>
      <c r="G775" s="584">
        <v>15</v>
      </c>
    </row>
    <row r="776" spans="1:7" ht="15" x14ac:dyDescent="0.2">
      <c r="A776" s="583" t="s">
        <v>13856</v>
      </c>
      <c r="B776" s="605" t="s">
        <v>13857</v>
      </c>
      <c r="C776" s="606" t="s">
        <v>12427</v>
      </c>
      <c r="D776" s="607">
        <v>264.89999999999998</v>
      </c>
      <c r="E776" s="607">
        <v>119.06</v>
      </c>
      <c r="F776" s="607">
        <v>383.96</v>
      </c>
      <c r="G776" s="584">
        <v>15</v>
      </c>
    </row>
    <row r="777" spans="1:7" ht="15" x14ac:dyDescent="0.25">
      <c r="A777" s="583" t="s">
        <v>13858</v>
      </c>
      <c r="B777" s="605" t="s">
        <v>13859</v>
      </c>
      <c r="C777" s="606"/>
      <c r="D777" s="607"/>
      <c r="E777" s="607"/>
      <c r="F777" s="607"/>
      <c r="G777" s="582"/>
    </row>
    <row r="778" spans="1:7" ht="15" x14ac:dyDescent="0.2">
      <c r="A778" s="583" t="s">
        <v>13860</v>
      </c>
      <c r="B778" s="605" t="s">
        <v>13861</v>
      </c>
      <c r="C778" s="606" t="s">
        <v>12427</v>
      </c>
      <c r="D778" s="607">
        <v>144.93</v>
      </c>
      <c r="E778" s="607">
        <v>65.39</v>
      </c>
      <c r="F778" s="607">
        <v>210.32</v>
      </c>
      <c r="G778" s="584">
        <v>15</v>
      </c>
    </row>
    <row r="779" spans="1:7" ht="15" x14ac:dyDescent="0.2">
      <c r="A779" s="583" t="s">
        <v>13862</v>
      </c>
      <c r="B779" s="605" t="s">
        <v>13863</v>
      </c>
      <c r="C779" s="606" t="s">
        <v>12427</v>
      </c>
      <c r="D779" s="607">
        <v>273.45</v>
      </c>
      <c r="E779" s="607">
        <v>123.32</v>
      </c>
      <c r="F779" s="607">
        <v>396.77</v>
      </c>
      <c r="G779" s="584">
        <v>15</v>
      </c>
    </row>
    <row r="780" spans="1:7" ht="15" x14ac:dyDescent="0.2">
      <c r="A780" s="583" t="s">
        <v>13864</v>
      </c>
      <c r="B780" s="605" t="s">
        <v>13865</v>
      </c>
      <c r="C780" s="606" t="s">
        <v>12427</v>
      </c>
      <c r="D780" s="607">
        <v>565.54</v>
      </c>
      <c r="E780" s="607">
        <v>172.49</v>
      </c>
      <c r="F780" s="607">
        <v>738.03</v>
      </c>
      <c r="G780" s="584">
        <v>15</v>
      </c>
    </row>
    <row r="781" spans="1:7" ht="15" x14ac:dyDescent="0.25">
      <c r="A781" s="583" t="s">
        <v>13866</v>
      </c>
      <c r="B781" s="605" t="s">
        <v>13867</v>
      </c>
      <c r="C781" s="606"/>
      <c r="D781" s="607"/>
      <c r="E781" s="607"/>
      <c r="F781" s="607"/>
      <c r="G781" s="582"/>
    </row>
    <row r="782" spans="1:7" ht="15" x14ac:dyDescent="0.2">
      <c r="A782" s="583" t="s">
        <v>13868</v>
      </c>
      <c r="B782" s="605" t="s">
        <v>20366</v>
      </c>
      <c r="C782" s="606" t="s">
        <v>12427</v>
      </c>
      <c r="D782" s="607">
        <v>39.659999999999997</v>
      </c>
      <c r="E782" s="607">
        <v>33.19</v>
      </c>
      <c r="F782" s="607">
        <v>72.849999999999994</v>
      </c>
      <c r="G782" s="584">
        <v>15</v>
      </c>
    </row>
    <row r="783" spans="1:7" ht="15" x14ac:dyDescent="0.2">
      <c r="A783" s="583" t="s">
        <v>13869</v>
      </c>
      <c r="B783" s="605" t="s">
        <v>20367</v>
      </c>
      <c r="C783" s="606" t="s">
        <v>12427</v>
      </c>
      <c r="D783" s="607">
        <v>47.3</v>
      </c>
      <c r="E783" s="607">
        <v>36.020000000000003</v>
      </c>
      <c r="F783" s="607">
        <v>83.32</v>
      </c>
      <c r="G783" s="584">
        <v>15</v>
      </c>
    </row>
    <row r="784" spans="1:7" ht="15" x14ac:dyDescent="0.2">
      <c r="A784" s="583" t="s">
        <v>13870</v>
      </c>
      <c r="B784" s="605" t="s">
        <v>20368</v>
      </c>
      <c r="C784" s="606" t="s">
        <v>12427</v>
      </c>
      <c r="D784" s="607">
        <v>58.84</v>
      </c>
      <c r="E784" s="607">
        <v>38.659999999999997</v>
      </c>
      <c r="F784" s="607">
        <v>97.5</v>
      </c>
      <c r="G784" s="584">
        <v>15</v>
      </c>
    </row>
    <row r="785" spans="1:7" ht="15" x14ac:dyDescent="0.25">
      <c r="A785" s="583" t="s">
        <v>13871</v>
      </c>
      <c r="B785" s="605" t="s">
        <v>13872</v>
      </c>
      <c r="C785" s="606"/>
      <c r="D785" s="607"/>
      <c r="E785" s="607"/>
      <c r="F785" s="607"/>
      <c r="G785" s="582"/>
    </row>
    <row r="786" spans="1:7" ht="15" x14ac:dyDescent="0.2">
      <c r="A786" s="583" t="s">
        <v>13873</v>
      </c>
      <c r="B786" s="605" t="s">
        <v>20369</v>
      </c>
      <c r="C786" s="606" t="s">
        <v>12427</v>
      </c>
      <c r="D786" s="607">
        <v>46.41</v>
      </c>
      <c r="E786" s="607">
        <v>36.020000000000003</v>
      </c>
      <c r="F786" s="607">
        <v>82.43</v>
      </c>
      <c r="G786" s="584">
        <v>15</v>
      </c>
    </row>
    <row r="787" spans="1:7" ht="15" x14ac:dyDescent="0.2">
      <c r="A787" s="583" t="s">
        <v>13874</v>
      </c>
      <c r="B787" s="605" t="s">
        <v>20370</v>
      </c>
      <c r="C787" s="606" t="s">
        <v>12427</v>
      </c>
      <c r="D787" s="607">
        <v>62.02</v>
      </c>
      <c r="E787" s="607">
        <v>38.659999999999997</v>
      </c>
      <c r="F787" s="607">
        <v>100.68</v>
      </c>
      <c r="G787" s="584">
        <v>15</v>
      </c>
    </row>
    <row r="788" spans="1:7" ht="15" x14ac:dyDescent="0.25">
      <c r="A788" s="583" t="s">
        <v>13875</v>
      </c>
      <c r="B788" s="605" t="s">
        <v>13876</v>
      </c>
      <c r="C788" s="606"/>
      <c r="D788" s="607"/>
      <c r="E788" s="607"/>
      <c r="F788" s="607"/>
      <c r="G788" s="582"/>
    </row>
    <row r="789" spans="1:7" ht="15" x14ac:dyDescent="0.2">
      <c r="A789" s="583" t="s">
        <v>13877</v>
      </c>
      <c r="B789" s="605" t="s">
        <v>20388</v>
      </c>
      <c r="C789" s="606" t="s">
        <v>12427</v>
      </c>
      <c r="D789" s="607">
        <v>46.4</v>
      </c>
      <c r="E789" s="607">
        <v>33.19</v>
      </c>
      <c r="F789" s="607">
        <v>79.59</v>
      </c>
      <c r="G789" s="584">
        <v>15</v>
      </c>
    </row>
    <row r="790" spans="1:7" ht="15" x14ac:dyDescent="0.2">
      <c r="A790" s="583" t="s">
        <v>13878</v>
      </c>
      <c r="B790" s="605" t="s">
        <v>20389</v>
      </c>
      <c r="C790" s="606" t="s">
        <v>12427</v>
      </c>
      <c r="D790" s="607">
        <v>60.03</v>
      </c>
      <c r="E790" s="607">
        <v>36.020000000000003</v>
      </c>
      <c r="F790" s="607">
        <v>96.05</v>
      </c>
      <c r="G790" s="584">
        <v>15</v>
      </c>
    </row>
    <row r="791" spans="1:7" ht="15" x14ac:dyDescent="0.2">
      <c r="A791" s="583" t="s">
        <v>13879</v>
      </c>
      <c r="B791" s="605" t="s">
        <v>20390</v>
      </c>
      <c r="C791" s="606" t="s">
        <v>12427</v>
      </c>
      <c r="D791" s="607">
        <v>78.59</v>
      </c>
      <c r="E791" s="607">
        <v>36.840000000000003</v>
      </c>
      <c r="F791" s="607">
        <v>115.43</v>
      </c>
      <c r="G791" s="584">
        <v>15</v>
      </c>
    </row>
    <row r="792" spans="1:7" ht="15" x14ac:dyDescent="0.25">
      <c r="A792" s="583" t="s">
        <v>13880</v>
      </c>
      <c r="B792" s="605" t="s">
        <v>13881</v>
      </c>
      <c r="C792" s="606"/>
      <c r="D792" s="607"/>
      <c r="E792" s="607"/>
      <c r="F792" s="607"/>
      <c r="G792" s="582"/>
    </row>
    <row r="793" spans="1:7" ht="15" x14ac:dyDescent="0.2">
      <c r="A793" s="583" t="s">
        <v>13882</v>
      </c>
      <c r="B793" s="605" t="s">
        <v>20391</v>
      </c>
      <c r="C793" s="606" t="s">
        <v>12427</v>
      </c>
      <c r="D793" s="607">
        <v>74.08</v>
      </c>
      <c r="E793" s="607">
        <v>40.56</v>
      </c>
      <c r="F793" s="607">
        <v>114.64</v>
      </c>
      <c r="G793" s="584">
        <v>15</v>
      </c>
    </row>
    <row r="794" spans="1:7" ht="15" x14ac:dyDescent="0.2">
      <c r="A794" s="583" t="s">
        <v>13883</v>
      </c>
      <c r="B794" s="605" t="s">
        <v>20392</v>
      </c>
      <c r="C794" s="606" t="s">
        <v>12427</v>
      </c>
      <c r="D794" s="607">
        <v>86.28</v>
      </c>
      <c r="E794" s="607">
        <v>41.58</v>
      </c>
      <c r="F794" s="607">
        <v>127.86</v>
      </c>
      <c r="G794" s="584">
        <v>15</v>
      </c>
    </row>
    <row r="795" spans="1:7" ht="15" x14ac:dyDescent="0.2">
      <c r="A795" s="583" t="s">
        <v>13884</v>
      </c>
      <c r="B795" s="605" t="s">
        <v>20393</v>
      </c>
      <c r="C795" s="606" t="s">
        <v>12427</v>
      </c>
      <c r="D795" s="607">
        <v>77.849999999999994</v>
      </c>
      <c r="E795" s="607">
        <v>53.7</v>
      </c>
      <c r="F795" s="607">
        <v>131.55000000000001</v>
      </c>
      <c r="G795" s="584">
        <v>15</v>
      </c>
    </row>
    <row r="796" spans="1:7" ht="15" x14ac:dyDescent="0.2">
      <c r="A796" s="583" t="s">
        <v>13885</v>
      </c>
      <c r="B796" s="605" t="s">
        <v>20394</v>
      </c>
      <c r="C796" s="606" t="s">
        <v>12427</v>
      </c>
      <c r="D796" s="607">
        <v>104.48</v>
      </c>
      <c r="E796" s="607">
        <v>57.23</v>
      </c>
      <c r="F796" s="607">
        <v>161.71</v>
      </c>
      <c r="G796" s="584">
        <v>15</v>
      </c>
    </row>
    <row r="797" spans="1:7" ht="15" x14ac:dyDescent="0.25">
      <c r="A797" s="583" t="s">
        <v>13886</v>
      </c>
      <c r="B797" s="605" t="s">
        <v>13887</v>
      </c>
      <c r="C797" s="606"/>
      <c r="D797" s="607"/>
      <c r="E797" s="607"/>
      <c r="F797" s="607"/>
      <c r="G797" s="582"/>
    </row>
    <row r="798" spans="1:7" ht="30" x14ac:dyDescent="0.2">
      <c r="A798" s="583" t="s">
        <v>13888</v>
      </c>
      <c r="B798" s="605" t="s">
        <v>13889</v>
      </c>
      <c r="C798" s="606" t="s">
        <v>12427</v>
      </c>
      <c r="D798" s="607">
        <v>99.09</v>
      </c>
      <c r="E798" s="607">
        <v>15.73</v>
      </c>
      <c r="F798" s="607">
        <v>114.82</v>
      </c>
      <c r="G798" s="584">
        <v>15</v>
      </c>
    </row>
    <row r="799" spans="1:7" ht="30" x14ac:dyDescent="0.2">
      <c r="A799" s="583" t="s">
        <v>13890</v>
      </c>
      <c r="B799" s="605" t="s">
        <v>13891</v>
      </c>
      <c r="C799" s="606" t="s">
        <v>12427</v>
      </c>
      <c r="D799" s="607">
        <v>115.77</v>
      </c>
      <c r="E799" s="607">
        <v>16.14</v>
      </c>
      <c r="F799" s="607">
        <v>131.91</v>
      </c>
      <c r="G799" s="584">
        <v>15</v>
      </c>
    </row>
    <row r="800" spans="1:7" ht="30" x14ac:dyDescent="0.2">
      <c r="A800" s="583" t="s">
        <v>13892</v>
      </c>
      <c r="B800" s="605" t="s">
        <v>13893</v>
      </c>
      <c r="C800" s="606" t="s">
        <v>12427</v>
      </c>
      <c r="D800" s="607">
        <v>144.84</v>
      </c>
      <c r="E800" s="607">
        <v>16.34</v>
      </c>
      <c r="F800" s="607">
        <v>161.18</v>
      </c>
      <c r="G800" s="584">
        <v>15</v>
      </c>
    </row>
    <row r="801" spans="1:7" ht="30" x14ac:dyDescent="0.2">
      <c r="A801" s="583" t="s">
        <v>13894</v>
      </c>
      <c r="B801" s="605" t="s">
        <v>13895</v>
      </c>
      <c r="C801" s="606" t="s">
        <v>12427</v>
      </c>
      <c r="D801" s="607">
        <v>181.07</v>
      </c>
      <c r="E801" s="607">
        <v>16.95</v>
      </c>
      <c r="F801" s="607">
        <v>198.02</v>
      </c>
      <c r="G801" s="584">
        <v>15</v>
      </c>
    </row>
    <row r="802" spans="1:7" ht="15" x14ac:dyDescent="0.25">
      <c r="A802" s="583" t="s">
        <v>13896</v>
      </c>
      <c r="B802" s="605" t="s">
        <v>13897</v>
      </c>
      <c r="C802" s="606"/>
      <c r="D802" s="607"/>
      <c r="E802" s="607"/>
      <c r="F802" s="607"/>
      <c r="G802" s="582"/>
    </row>
    <row r="803" spans="1:7" ht="15" x14ac:dyDescent="0.2">
      <c r="A803" s="583" t="s">
        <v>13898</v>
      </c>
      <c r="B803" s="605" t="s">
        <v>13899</v>
      </c>
      <c r="C803" s="606" t="s">
        <v>12508</v>
      </c>
      <c r="D803" s="607">
        <v>941.84</v>
      </c>
      <c r="E803" s="607">
        <v>856.87</v>
      </c>
      <c r="F803" s="607">
        <v>1798.71</v>
      </c>
      <c r="G803" s="584">
        <v>15</v>
      </c>
    </row>
    <row r="804" spans="1:7" ht="15" x14ac:dyDescent="0.2">
      <c r="A804" s="583" t="s">
        <v>13900</v>
      </c>
      <c r="B804" s="605" t="s">
        <v>13901</v>
      </c>
      <c r="C804" s="606" t="s">
        <v>12483</v>
      </c>
      <c r="D804" s="607">
        <v>4.24</v>
      </c>
      <c r="E804" s="607">
        <v>7.75</v>
      </c>
      <c r="F804" s="607">
        <v>11.99</v>
      </c>
      <c r="G804" s="584">
        <v>15</v>
      </c>
    </row>
    <row r="805" spans="1:7" ht="15" x14ac:dyDescent="0.25">
      <c r="A805" s="583" t="s">
        <v>13902</v>
      </c>
      <c r="B805" s="605" t="s">
        <v>13903</v>
      </c>
      <c r="C805" s="606"/>
      <c r="D805" s="607"/>
      <c r="E805" s="607"/>
      <c r="F805" s="607"/>
      <c r="G805" s="582"/>
    </row>
    <row r="806" spans="1:7" ht="30" x14ac:dyDescent="0.2">
      <c r="A806" s="583" t="s">
        <v>20132</v>
      </c>
      <c r="B806" s="605" t="s">
        <v>20133</v>
      </c>
      <c r="C806" s="606" t="s">
        <v>12427</v>
      </c>
      <c r="D806" s="607">
        <v>174.54</v>
      </c>
      <c r="E806" s="607">
        <v>81.510000000000005</v>
      </c>
      <c r="F806" s="607">
        <v>256.05</v>
      </c>
      <c r="G806" s="584">
        <v>15</v>
      </c>
    </row>
    <row r="807" spans="1:7" ht="30" x14ac:dyDescent="0.2">
      <c r="A807" s="583" t="s">
        <v>13904</v>
      </c>
      <c r="B807" s="605" t="s">
        <v>13905</v>
      </c>
      <c r="C807" s="606" t="s">
        <v>12427</v>
      </c>
      <c r="D807" s="607">
        <v>156.19</v>
      </c>
      <c r="E807" s="607">
        <v>67.650000000000006</v>
      </c>
      <c r="F807" s="607">
        <v>223.84</v>
      </c>
      <c r="G807" s="584">
        <v>15</v>
      </c>
    </row>
    <row r="808" spans="1:7" ht="30" x14ac:dyDescent="0.2">
      <c r="A808" s="583" t="s">
        <v>13906</v>
      </c>
      <c r="B808" s="605" t="s">
        <v>13907</v>
      </c>
      <c r="C808" s="606" t="s">
        <v>12427</v>
      </c>
      <c r="D808" s="607">
        <v>154.57</v>
      </c>
      <c r="E808" s="607">
        <v>67.650000000000006</v>
      </c>
      <c r="F808" s="607">
        <v>222.22</v>
      </c>
      <c r="G808" s="584">
        <v>15</v>
      </c>
    </row>
    <row r="809" spans="1:7" ht="30" x14ac:dyDescent="0.2">
      <c r="A809" s="583" t="s">
        <v>13908</v>
      </c>
      <c r="B809" s="605" t="s">
        <v>13909</v>
      </c>
      <c r="C809" s="606" t="s">
        <v>12427</v>
      </c>
      <c r="D809" s="607">
        <v>2116.84</v>
      </c>
      <c r="E809" s="607">
        <v>183.48</v>
      </c>
      <c r="F809" s="607">
        <v>2300.3200000000002</v>
      </c>
      <c r="G809" s="584">
        <v>15</v>
      </c>
    </row>
    <row r="810" spans="1:7" ht="15" x14ac:dyDescent="0.2">
      <c r="A810" s="583" t="s">
        <v>13910</v>
      </c>
      <c r="B810" s="605" t="s">
        <v>13911</v>
      </c>
      <c r="C810" s="606" t="s">
        <v>12427</v>
      </c>
      <c r="D810" s="607">
        <v>1001.69</v>
      </c>
      <c r="E810" s="607">
        <v>121.83</v>
      </c>
      <c r="F810" s="607">
        <v>1123.52</v>
      </c>
      <c r="G810" s="584">
        <v>15</v>
      </c>
    </row>
    <row r="811" spans="1:7" ht="15" x14ac:dyDescent="0.25">
      <c r="A811" s="583" t="s">
        <v>13912</v>
      </c>
      <c r="B811" s="605" t="s">
        <v>13913</v>
      </c>
      <c r="C811" s="606"/>
      <c r="D811" s="607"/>
      <c r="E811" s="607"/>
      <c r="F811" s="607"/>
      <c r="G811" s="582"/>
    </row>
    <row r="812" spans="1:7" ht="15" x14ac:dyDescent="0.2">
      <c r="A812" s="583" t="s">
        <v>13914</v>
      </c>
      <c r="B812" s="605" t="s">
        <v>13915</v>
      </c>
      <c r="C812" s="606" t="s">
        <v>12427</v>
      </c>
      <c r="D812" s="607">
        <v>1199.6199999999999</v>
      </c>
      <c r="E812" s="607">
        <v>78.900000000000006</v>
      </c>
      <c r="F812" s="607">
        <v>1278.52</v>
      </c>
      <c r="G812" s="584">
        <v>15</v>
      </c>
    </row>
    <row r="813" spans="1:7" ht="15" x14ac:dyDescent="0.2">
      <c r="A813" s="583" t="s">
        <v>13916</v>
      </c>
      <c r="B813" s="605" t="s">
        <v>13917</v>
      </c>
      <c r="C813" s="606" t="s">
        <v>12427</v>
      </c>
      <c r="D813" s="607">
        <v>272.45</v>
      </c>
      <c r="E813" s="607"/>
      <c r="F813" s="607">
        <v>272.45</v>
      </c>
      <c r="G813" s="584">
        <v>15</v>
      </c>
    </row>
    <row r="814" spans="1:7" ht="45" x14ac:dyDescent="0.2">
      <c r="A814" s="583" t="s">
        <v>13918</v>
      </c>
      <c r="B814" s="605" t="s">
        <v>13919</v>
      </c>
      <c r="C814" s="606" t="s">
        <v>12427</v>
      </c>
      <c r="D814" s="607">
        <v>820.17</v>
      </c>
      <c r="E814" s="607"/>
      <c r="F814" s="607">
        <v>820.17</v>
      </c>
      <c r="G814" s="584">
        <v>15</v>
      </c>
    </row>
    <row r="815" spans="1:7" ht="30" x14ac:dyDescent="0.2">
      <c r="A815" s="583" t="s">
        <v>13920</v>
      </c>
      <c r="B815" s="605" t="s">
        <v>13921</v>
      </c>
      <c r="C815" s="606" t="s">
        <v>12427</v>
      </c>
      <c r="D815" s="607">
        <v>1152.3499999999999</v>
      </c>
      <c r="E815" s="607">
        <v>78.900000000000006</v>
      </c>
      <c r="F815" s="607">
        <v>1231.25</v>
      </c>
      <c r="G815" s="584">
        <v>15</v>
      </c>
    </row>
    <row r="816" spans="1:7" ht="30" x14ac:dyDescent="0.2">
      <c r="A816" s="583" t="s">
        <v>13922</v>
      </c>
      <c r="B816" s="605" t="s">
        <v>13923</v>
      </c>
      <c r="C816" s="606" t="s">
        <v>12427</v>
      </c>
      <c r="D816" s="607">
        <v>190.02</v>
      </c>
      <c r="E816" s="607"/>
      <c r="F816" s="607">
        <v>190.02</v>
      </c>
      <c r="G816" s="584">
        <v>15</v>
      </c>
    </row>
    <row r="817" spans="1:7" ht="30" x14ac:dyDescent="0.2">
      <c r="A817" s="583" t="s">
        <v>13924</v>
      </c>
      <c r="B817" s="605" t="s">
        <v>13925</v>
      </c>
      <c r="C817" s="606" t="s">
        <v>12427</v>
      </c>
      <c r="D817" s="607">
        <v>222.27</v>
      </c>
      <c r="E817" s="607"/>
      <c r="F817" s="607">
        <v>222.27</v>
      </c>
      <c r="G817" s="584">
        <v>15</v>
      </c>
    </row>
    <row r="818" spans="1:7" ht="30" x14ac:dyDescent="0.2">
      <c r="A818" s="583" t="s">
        <v>13926</v>
      </c>
      <c r="B818" s="605" t="s">
        <v>13927</v>
      </c>
      <c r="C818" s="606" t="s">
        <v>12427</v>
      </c>
      <c r="D818" s="607">
        <v>215.71</v>
      </c>
      <c r="E818" s="607"/>
      <c r="F818" s="607">
        <v>215.71</v>
      </c>
      <c r="G818" s="584">
        <v>15</v>
      </c>
    </row>
    <row r="819" spans="1:7" ht="30" x14ac:dyDescent="0.2">
      <c r="A819" s="583" t="s">
        <v>13928</v>
      </c>
      <c r="B819" s="605" t="s">
        <v>13929</v>
      </c>
      <c r="C819" s="606" t="s">
        <v>12427</v>
      </c>
      <c r="D819" s="607">
        <v>191.17</v>
      </c>
      <c r="E819" s="607"/>
      <c r="F819" s="607">
        <v>191.17</v>
      </c>
      <c r="G819" s="584">
        <v>15</v>
      </c>
    </row>
    <row r="820" spans="1:7" ht="30" x14ac:dyDescent="0.2">
      <c r="A820" s="583" t="s">
        <v>13930</v>
      </c>
      <c r="B820" s="605" t="s">
        <v>13931</v>
      </c>
      <c r="C820" s="606" t="s">
        <v>12427</v>
      </c>
      <c r="D820" s="607">
        <v>159.74</v>
      </c>
      <c r="E820" s="607"/>
      <c r="F820" s="607">
        <v>159.74</v>
      </c>
      <c r="G820" s="584">
        <v>15</v>
      </c>
    </row>
    <row r="821" spans="1:7" ht="30" x14ac:dyDescent="0.2">
      <c r="A821" s="583" t="s">
        <v>13932</v>
      </c>
      <c r="B821" s="605" t="s">
        <v>13933</v>
      </c>
      <c r="C821" s="606" t="s">
        <v>12427</v>
      </c>
      <c r="D821" s="607">
        <v>173.62</v>
      </c>
      <c r="E821" s="607"/>
      <c r="F821" s="607">
        <v>173.62</v>
      </c>
      <c r="G821" s="584">
        <v>15</v>
      </c>
    </row>
    <row r="822" spans="1:7" ht="30" x14ac:dyDescent="0.2">
      <c r="A822" s="583" t="s">
        <v>13934</v>
      </c>
      <c r="B822" s="605" t="s">
        <v>13935</v>
      </c>
      <c r="C822" s="606" t="s">
        <v>12427</v>
      </c>
      <c r="D822" s="607">
        <v>221.1</v>
      </c>
      <c r="E822" s="607"/>
      <c r="F822" s="607">
        <v>221.1</v>
      </c>
      <c r="G822" s="584">
        <v>15</v>
      </c>
    </row>
    <row r="823" spans="1:7" ht="30" x14ac:dyDescent="0.2">
      <c r="A823" s="583" t="s">
        <v>13936</v>
      </c>
      <c r="B823" s="605" t="s">
        <v>13937</v>
      </c>
      <c r="C823" s="606" t="s">
        <v>12427</v>
      </c>
      <c r="D823" s="607">
        <v>171.17</v>
      </c>
      <c r="E823" s="607"/>
      <c r="F823" s="607">
        <v>171.17</v>
      </c>
      <c r="G823" s="584">
        <v>15</v>
      </c>
    </row>
    <row r="824" spans="1:7" ht="30" x14ac:dyDescent="0.2">
      <c r="A824" s="583" t="s">
        <v>13938</v>
      </c>
      <c r="B824" s="605" t="s">
        <v>13939</v>
      </c>
      <c r="C824" s="606" t="s">
        <v>12427</v>
      </c>
      <c r="D824" s="607">
        <v>249.79</v>
      </c>
      <c r="E824" s="607"/>
      <c r="F824" s="607">
        <v>249.79</v>
      </c>
      <c r="G824" s="584">
        <v>15</v>
      </c>
    </row>
    <row r="825" spans="1:7" ht="30" x14ac:dyDescent="0.2">
      <c r="A825" s="583" t="s">
        <v>13940</v>
      </c>
      <c r="B825" s="605" t="s">
        <v>13941</v>
      </c>
      <c r="C825" s="606" t="s">
        <v>12427</v>
      </c>
      <c r="D825" s="607">
        <v>262.82</v>
      </c>
      <c r="E825" s="607"/>
      <c r="F825" s="607">
        <v>262.82</v>
      </c>
      <c r="G825" s="584">
        <v>15</v>
      </c>
    </row>
    <row r="826" spans="1:7" ht="30" x14ac:dyDescent="0.2">
      <c r="A826" s="583" t="s">
        <v>13942</v>
      </c>
      <c r="B826" s="605" t="s">
        <v>13943</v>
      </c>
      <c r="C826" s="606" t="s">
        <v>12427</v>
      </c>
      <c r="D826" s="607">
        <v>1613.29</v>
      </c>
      <c r="E826" s="607"/>
      <c r="F826" s="607">
        <v>1613.29</v>
      </c>
      <c r="G826" s="584">
        <v>15</v>
      </c>
    </row>
    <row r="827" spans="1:7" ht="30" x14ac:dyDescent="0.2">
      <c r="A827" s="583" t="s">
        <v>13944</v>
      </c>
      <c r="B827" s="605" t="s">
        <v>13945</v>
      </c>
      <c r="C827" s="606" t="s">
        <v>12427</v>
      </c>
      <c r="D827" s="607">
        <v>922.85</v>
      </c>
      <c r="E827" s="607"/>
      <c r="F827" s="607">
        <v>922.85</v>
      </c>
      <c r="G827" s="584">
        <v>15</v>
      </c>
    </row>
    <row r="828" spans="1:7" ht="30" x14ac:dyDescent="0.2">
      <c r="A828" s="583" t="s">
        <v>13946</v>
      </c>
      <c r="B828" s="605" t="s">
        <v>13947</v>
      </c>
      <c r="C828" s="606" t="s">
        <v>12427</v>
      </c>
      <c r="D828" s="607">
        <v>1473.06</v>
      </c>
      <c r="E828" s="607"/>
      <c r="F828" s="607">
        <v>1473.06</v>
      </c>
      <c r="G828" s="584">
        <v>15</v>
      </c>
    </row>
    <row r="829" spans="1:7" ht="15" x14ac:dyDescent="0.2">
      <c r="A829" s="583" t="s">
        <v>13948</v>
      </c>
      <c r="B829" s="605" t="s">
        <v>13949</v>
      </c>
      <c r="C829" s="606" t="s">
        <v>12427</v>
      </c>
      <c r="D829" s="607">
        <v>310.58</v>
      </c>
      <c r="E829" s="607">
        <v>73.209999999999994</v>
      </c>
      <c r="F829" s="607">
        <v>383.79</v>
      </c>
      <c r="G829" s="584">
        <v>15</v>
      </c>
    </row>
    <row r="830" spans="1:7" ht="30" x14ac:dyDescent="0.2">
      <c r="A830" s="583" t="s">
        <v>13950</v>
      </c>
      <c r="B830" s="605" t="s">
        <v>13951</v>
      </c>
      <c r="C830" s="606" t="s">
        <v>12427</v>
      </c>
      <c r="D830" s="607">
        <v>284.14</v>
      </c>
      <c r="E830" s="607"/>
      <c r="F830" s="607">
        <v>284.14</v>
      </c>
      <c r="G830" s="584">
        <v>15</v>
      </c>
    </row>
    <row r="831" spans="1:7" ht="30" x14ac:dyDescent="0.2">
      <c r="A831" s="583" t="s">
        <v>13952</v>
      </c>
      <c r="B831" s="605" t="s">
        <v>13953</v>
      </c>
      <c r="C831" s="606" t="s">
        <v>12427</v>
      </c>
      <c r="D831" s="607">
        <v>299.67</v>
      </c>
      <c r="E831" s="607"/>
      <c r="F831" s="607">
        <v>299.67</v>
      </c>
      <c r="G831" s="584">
        <v>15</v>
      </c>
    </row>
    <row r="832" spans="1:7" ht="30" x14ac:dyDescent="0.2">
      <c r="A832" s="583" t="s">
        <v>13954</v>
      </c>
      <c r="B832" s="605" t="s">
        <v>13955</v>
      </c>
      <c r="C832" s="606" t="s">
        <v>12427</v>
      </c>
      <c r="D832" s="607">
        <v>293.56</v>
      </c>
      <c r="E832" s="607"/>
      <c r="F832" s="607">
        <v>293.56</v>
      </c>
      <c r="G832" s="584">
        <v>15</v>
      </c>
    </row>
    <row r="833" spans="1:7" ht="30" x14ac:dyDescent="0.2">
      <c r="A833" s="583" t="s">
        <v>13956</v>
      </c>
      <c r="B833" s="605" t="s">
        <v>13957</v>
      </c>
      <c r="C833" s="606" t="s">
        <v>12427</v>
      </c>
      <c r="D833" s="607">
        <v>254.67</v>
      </c>
      <c r="E833" s="607"/>
      <c r="F833" s="607">
        <v>254.67</v>
      </c>
      <c r="G833" s="584">
        <v>15</v>
      </c>
    </row>
    <row r="834" spans="1:7" ht="30" x14ac:dyDescent="0.2">
      <c r="A834" s="583" t="s">
        <v>13958</v>
      </c>
      <c r="B834" s="605" t="s">
        <v>13959</v>
      </c>
      <c r="C834" s="606" t="s">
        <v>12427</v>
      </c>
      <c r="D834" s="607">
        <v>293.93</v>
      </c>
      <c r="E834" s="607"/>
      <c r="F834" s="607">
        <v>293.93</v>
      </c>
      <c r="G834" s="584">
        <v>15</v>
      </c>
    </row>
    <row r="835" spans="1:7" ht="30" x14ac:dyDescent="0.2">
      <c r="A835" s="583" t="s">
        <v>13960</v>
      </c>
      <c r="B835" s="605" t="s">
        <v>13961</v>
      </c>
      <c r="C835" s="606" t="s">
        <v>12427</v>
      </c>
      <c r="D835" s="607">
        <v>257.60000000000002</v>
      </c>
      <c r="E835" s="607"/>
      <c r="F835" s="607">
        <v>257.60000000000002</v>
      </c>
      <c r="G835" s="584">
        <v>15</v>
      </c>
    </row>
    <row r="836" spans="1:7" ht="15" x14ac:dyDescent="0.25">
      <c r="A836" s="583" t="s">
        <v>13962</v>
      </c>
      <c r="B836" s="605" t="s">
        <v>13963</v>
      </c>
      <c r="C836" s="606"/>
      <c r="D836" s="607"/>
      <c r="E836" s="607"/>
      <c r="F836" s="607"/>
      <c r="G836" s="582"/>
    </row>
    <row r="837" spans="1:7" ht="15" x14ac:dyDescent="0.2">
      <c r="A837" s="583" t="s">
        <v>13964</v>
      </c>
      <c r="B837" s="605" t="s">
        <v>13965</v>
      </c>
      <c r="C837" s="606" t="s">
        <v>12427</v>
      </c>
      <c r="D837" s="607">
        <v>96.86</v>
      </c>
      <c r="E837" s="607">
        <v>130.65</v>
      </c>
      <c r="F837" s="607">
        <v>227.51</v>
      </c>
      <c r="G837" s="584">
        <v>15</v>
      </c>
    </row>
    <row r="838" spans="1:7" ht="15" x14ac:dyDescent="0.25">
      <c r="A838" s="583" t="s">
        <v>13966</v>
      </c>
      <c r="B838" s="605" t="s">
        <v>13967</v>
      </c>
      <c r="C838" s="606"/>
      <c r="D838" s="607"/>
      <c r="E838" s="607"/>
      <c r="F838" s="607"/>
      <c r="G838" s="582"/>
    </row>
    <row r="839" spans="1:7" ht="15" x14ac:dyDescent="0.2">
      <c r="A839" s="583" t="s">
        <v>13968</v>
      </c>
      <c r="B839" s="605" t="s">
        <v>13969</v>
      </c>
      <c r="C839" s="606" t="s">
        <v>12427</v>
      </c>
      <c r="D839" s="607"/>
      <c r="E839" s="607">
        <v>45.31</v>
      </c>
      <c r="F839" s="607">
        <v>45.31</v>
      </c>
      <c r="G839" s="584">
        <v>15</v>
      </c>
    </row>
    <row r="840" spans="1:7" ht="30" x14ac:dyDescent="0.2">
      <c r="A840" s="583" t="s">
        <v>13970</v>
      </c>
      <c r="B840" s="605" t="s">
        <v>13971</v>
      </c>
      <c r="C840" s="606" t="s">
        <v>12375</v>
      </c>
      <c r="D840" s="607">
        <v>1.96</v>
      </c>
      <c r="E840" s="607">
        <v>6.22</v>
      </c>
      <c r="F840" s="607">
        <v>8.18</v>
      </c>
      <c r="G840" s="584">
        <v>15</v>
      </c>
    </row>
    <row r="841" spans="1:7" ht="30" x14ac:dyDescent="0.2">
      <c r="A841" s="583" t="s">
        <v>13972</v>
      </c>
      <c r="B841" s="605" t="s">
        <v>13973</v>
      </c>
      <c r="C841" s="606" t="s">
        <v>12375</v>
      </c>
      <c r="D841" s="607">
        <v>2.12</v>
      </c>
      <c r="E841" s="607">
        <v>6.22</v>
      </c>
      <c r="F841" s="607">
        <v>8.34</v>
      </c>
      <c r="G841" s="584">
        <v>15</v>
      </c>
    </row>
    <row r="842" spans="1:7" ht="30" x14ac:dyDescent="0.2">
      <c r="A842" s="583" t="s">
        <v>13974</v>
      </c>
      <c r="B842" s="605" t="s">
        <v>13975</v>
      </c>
      <c r="C842" s="606" t="s">
        <v>12375</v>
      </c>
      <c r="D842" s="607">
        <v>2.59</v>
      </c>
      <c r="E842" s="607">
        <v>6.22</v>
      </c>
      <c r="F842" s="607">
        <v>8.81</v>
      </c>
      <c r="G842" s="584">
        <v>15</v>
      </c>
    </row>
    <row r="843" spans="1:7" ht="30" x14ac:dyDescent="0.2">
      <c r="A843" s="583" t="s">
        <v>13976</v>
      </c>
      <c r="B843" s="605" t="s">
        <v>13977</v>
      </c>
      <c r="C843" s="606" t="s">
        <v>12375</v>
      </c>
      <c r="D843" s="607">
        <v>2.74</v>
      </c>
      <c r="E843" s="607">
        <v>6.22</v>
      </c>
      <c r="F843" s="607">
        <v>8.9600000000000009</v>
      </c>
      <c r="G843" s="584">
        <v>15</v>
      </c>
    </row>
    <row r="844" spans="1:7" ht="30" x14ac:dyDescent="0.2">
      <c r="A844" s="583" t="s">
        <v>13978</v>
      </c>
      <c r="B844" s="605" t="s">
        <v>13979</v>
      </c>
      <c r="C844" s="606" t="s">
        <v>12375</v>
      </c>
      <c r="D844" s="607">
        <v>3.75</v>
      </c>
      <c r="E844" s="607">
        <v>6.22</v>
      </c>
      <c r="F844" s="607">
        <v>9.9700000000000006</v>
      </c>
      <c r="G844" s="584">
        <v>15</v>
      </c>
    </row>
    <row r="845" spans="1:7" ht="15" x14ac:dyDescent="0.25">
      <c r="A845" s="583" t="s">
        <v>13980</v>
      </c>
      <c r="B845" s="605" t="s">
        <v>13981</v>
      </c>
      <c r="C845" s="606"/>
      <c r="D845" s="607"/>
      <c r="E845" s="607"/>
      <c r="F845" s="607"/>
      <c r="G845" s="582"/>
    </row>
    <row r="846" spans="1:7" ht="15" x14ac:dyDescent="0.25">
      <c r="A846" s="583" t="s">
        <v>13982</v>
      </c>
      <c r="B846" s="605" t="s">
        <v>13983</v>
      </c>
      <c r="C846" s="606"/>
      <c r="D846" s="607"/>
      <c r="E846" s="607"/>
      <c r="F846" s="607"/>
      <c r="G846" s="582"/>
    </row>
    <row r="847" spans="1:7" ht="30" x14ac:dyDescent="0.2">
      <c r="A847" s="583" t="s">
        <v>13984</v>
      </c>
      <c r="B847" s="605" t="s">
        <v>13985</v>
      </c>
      <c r="C847" s="606" t="s">
        <v>12427</v>
      </c>
      <c r="D847" s="607">
        <v>112.18</v>
      </c>
      <c r="E847" s="607">
        <v>56.64</v>
      </c>
      <c r="F847" s="607">
        <v>168.82</v>
      </c>
      <c r="G847" s="584">
        <v>15</v>
      </c>
    </row>
    <row r="848" spans="1:7" ht="30" x14ac:dyDescent="0.2">
      <c r="A848" s="583" t="s">
        <v>13986</v>
      </c>
      <c r="B848" s="605" t="s">
        <v>13987</v>
      </c>
      <c r="C848" s="606" t="s">
        <v>12427</v>
      </c>
      <c r="D848" s="607">
        <v>120.33</v>
      </c>
      <c r="E848" s="607">
        <v>58.9</v>
      </c>
      <c r="F848" s="607">
        <v>179.23</v>
      </c>
      <c r="G848" s="584">
        <v>15</v>
      </c>
    </row>
    <row r="849" spans="1:7" ht="30" x14ac:dyDescent="0.2">
      <c r="A849" s="583" t="s">
        <v>13988</v>
      </c>
      <c r="B849" s="605" t="s">
        <v>13989</v>
      </c>
      <c r="C849" s="606" t="s">
        <v>12427</v>
      </c>
      <c r="D849" s="607">
        <v>128.47</v>
      </c>
      <c r="E849" s="607">
        <v>61.16</v>
      </c>
      <c r="F849" s="607">
        <v>189.63</v>
      </c>
      <c r="G849" s="584">
        <v>15</v>
      </c>
    </row>
    <row r="850" spans="1:7" ht="30" x14ac:dyDescent="0.2">
      <c r="A850" s="583" t="s">
        <v>13990</v>
      </c>
      <c r="B850" s="605" t="s">
        <v>13991</v>
      </c>
      <c r="C850" s="606" t="s">
        <v>12427</v>
      </c>
      <c r="D850" s="607">
        <v>140.88999999999999</v>
      </c>
      <c r="E850" s="607">
        <v>65.7</v>
      </c>
      <c r="F850" s="607">
        <v>206.59</v>
      </c>
      <c r="G850" s="584">
        <v>15</v>
      </c>
    </row>
    <row r="851" spans="1:7" ht="30" x14ac:dyDescent="0.2">
      <c r="A851" s="583" t="s">
        <v>13992</v>
      </c>
      <c r="B851" s="605" t="s">
        <v>13993</v>
      </c>
      <c r="C851" s="606" t="s">
        <v>12427</v>
      </c>
      <c r="D851" s="607">
        <v>77.069999999999993</v>
      </c>
      <c r="E851" s="607">
        <v>43.05</v>
      </c>
      <c r="F851" s="607">
        <v>120.12</v>
      </c>
      <c r="G851" s="584">
        <v>15</v>
      </c>
    </row>
    <row r="852" spans="1:7" ht="30" x14ac:dyDescent="0.2">
      <c r="A852" s="583" t="s">
        <v>13994</v>
      </c>
      <c r="B852" s="605" t="s">
        <v>13995</v>
      </c>
      <c r="C852" s="606" t="s">
        <v>12427</v>
      </c>
      <c r="D852" s="607">
        <v>85.21</v>
      </c>
      <c r="E852" s="607">
        <v>45.31</v>
      </c>
      <c r="F852" s="607">
        <v>130.52000000000001</v>
      </c>
      <c r="G852" s="584">
        <v>15</v>
      </c>
    </row>
    <row r="853" spans="1:7" ht="30" x14ac:dyDescent="0.2">
      <c r="A853" s="583" t="s">
        <v>13996</v>
      </c>
      <c r="B853" s="605" t="s">
        <v>13997</v>
      </c>
      <c r="C853" s="606" t="s">
        <v>12427</v>
      </c>
      <c r="D853" s="607">
        <v>93.36</v>
      </c>
      <c r="E853" s="607">
        <v>47.57</v>
      </c>
      <c r="F853" s="607">
        <v>140.93</v>
      </c>
      <c r="G853" s="584">
        <v>15</v>
      </c>
    </row>
    <row r="854" spans="1:7" ht="30" x14ac:dyDescent="0.2">
      <c r="A854" s="583" t="s">
        <v>13998</v>
      </c>
      <c r="B854" s="605" t="s">
        <v>13999</v>
      </c>
      <c r="C854" s="606" t="s">
        <v>12427</v>
      </c>
      <c r="D854" s="607">
        <v>101.9</v>
      </c>
      <c r="E854" s="607">
        <v>52.11</v>
      </c>
      <c r="F854" s="607">
        <v>154.01</v>
      </c>
      <c r="G854" s="584">
        <v>15</v>
      </c>
    </row>
    <row r="855" spans="1:7" ht="15" x14ac:dyDescent="0.2">
      <c r="A855" s="583" t="s">
        <v>14000</v>
      </c>
      <c r="B855" s="605" t="s">
        <v>14001</v>
      </c>
      <c r="C855" s="606" t="s">
        <v>12427</v>
      </c>
      <c r="D855" s="607">
        <v>83.94</v>
      </c>
      <c r="E855" s="607">
        <v>54.37</v>
      </c>
      <c r="F855" s="607">
        <v>138.31</v>
      </c>
      <c r="G855" s="584">
        <v>15</v>
      </c>
    </row>
    <row r="856" spans="1:7" ht="15" x14ac:dyDescent="0.2">
      <c r="A856" s="583" t="s">
        <v>14002</v>
      </c>
      <c r="B856" s="605" t="s">
        <v>14003</v>
      </c>
      <c r="C856" s="606" t="s">
        <v>12427</v>
      </c>
      <c r="D856" s="607">
        <v>63.3</v>
      </c>
      <c r="E856" s="607">
        <v>40.78</v>
      </c>
      <c r="F856" s="607">
        <v>104.08</v>
      </c>
      <c r="G856" s="584">
        <v>15</v>
      </c>
    </row>
    <row r="857" spans="1:7" ht="15" x14ac:dyDescent="0.2">
      <c r="A857" s="583" t="s">
        <v>14004</v>
      </c>
      <c r="B857" s="605" t="s">
        <v>14005</v>
      </c>
      <c r="C857" s="606" t="s">
        <v>12427</v>
      </c>
      <c r="D857" s="607">
        <v>78.19</v>
      </c>
      <c r="E857" s="607">
        <v>29.46</v>
      </c>
      <c r="F857" s="607">
        <v>107.65</v>
      </c>
      <c r="G857" s="584">
        <v>15</v>
      </c>
    </row>
    <row r="858" spans="1:7" ht="30" x14ac:dyDescent="0.2">
      <c r="A858" s="583" t="s">
        <v>14006</v>
      </c>
      <c r="B858" s="605" t="s">
        <v>14007</v>
      </c>
      <c r="C858" s="606" t="s">
        <v>12427</v>
      </c>
      <c r="D858" s="607">
        <v>23.79</v>
      </c>
      <c r="E858" s="607">
        <v>5.77</v>
      </c>
      <c r="F858" s="607">
        <v>29.56</v>
      </c>
      <c r="G858" s="584">
        <v>15</v>
      </c>
    </row>
    <row r="859" spans="1:7" ht="15" x14ac:dyDescent="0.2">
      <c r="A859" s="583" t="s">
        <v>14008</v>
      </c>
      <c r="B859" s="605" t="s">
        <v>14009</v>
      </c>
      <c r="C859" s="606" t="s">
        <v>12427</v>
      </c>
      <c r="D859" s="607">
        <v>14.87</v>
      </c>
      <c r="E859" s="607">
        <v>5.77</v>
      </c>
      <c r="F859" s="607">
        <v>20.64</v>
      </c>
      <c r="G859" s="584">
        <v>15</v>
      </c>
    </row>
    <row r="860" spans="1:7" ht="15" x14ac:dyDescent="0.25">
      <c r="A860" s="583" t="s">
        <v>14010</v>
      </c>
      <c r="B860" s="605" t="s">
        <v>14011</v>
      </c>
      <c r="C860" s="606"/>
      <c r="D860" s="607"/>
      <c r="E860" s="607"/>
      <c r="F860" s="607"/>
      <c r="G860" s="582"/>
    </row>
    <row r="861" spans="1:7" ht="30" x14ac:dyDescent="0.2">
      <c r="A861" s="583" t="s">
        <v>14012</v>
      </c>
      <c r="B861" s="605" t="s">
        <v>14013</v>
      </c>
      <c r="C861" s="606" t="s">
        <v>12929</v>
      </c>
      <c r="D861" s="607">
        <v>28.72</v>
      </c>
      <c r="E861" s="607"/>
      <c r="F861" s="607">
        <v>28.72</v>
      </c>
      <c r="G861" s="584">
        <v>15</v>
      </c>
    </row>
    <row r="862" spans="1:7" ht="15" x14ac:dyDescent="0.2">
      <c r="A862" s="583" t="s">
        <v>14014</v>
      </c>
      <c r="B862" s="605" t="s">
        <v>14015</v>
      </c>
      <c r="C862" s="606" t="s">
        <v>12929</v>
      </c>
      <c r="D862" s="607"/>
      <c r="E862" s="607">
        <v>5.82</v>
      </c>
      <c r="F862" s="607">
        <v>5.82</v>
      </c>
      <c r="G862" s="584">
        <v>15</v>
      </c>
    </row>
    <row r="863" spans="1:7" ht="30" x14ac:dyDescent="0.2">
      <c r="A863" s="583" t="s">
        <v>14016</v>
      </c>
      <c r="B863" s="605" t="s">
        <v>14017</v>
      </c>
      <c r="C863" s="606" t="s">
        <v>12929</v>
      </c>
      <c r="D863" s="607">
        <v>31.09</v>
      </c>
      <c r="E863" s="607"/>
      <c r="F863" s="607">
        <v>31.09</v>
      </c>
      <c r="G863" s="584">
        <v>15</v>
      </c>
    </row>
    <row r="864" spans="1:7" ht="30" x14ac:dyDescent="0.2">
      <c r="A864" s="583" t="s">
        <v>14018</v>
      </c>
      <c r="B864" s="605" t="s">
        <v>14019</v>
      </c>
      <c r="C864" s="606" t="s">
        <v>12929</v>
      </c>
      <c r="D864" s="607">
        <v>31.13</v>
      </c>
      <c r="E864" s="607"/>
      <c r="F864" s="607">
        <v>31.13</v>
      </c>
      <c r="G864" s="584">
        <v>15</v>
      </c>
    </row>
    <row r="865" spans="1:7" ht="30" x14ac:dyDescent="0.2">
      <c r="A865" s="583" t="s">
        <v>14020</v>
      </c>
      <c r="B865" s="605" t="s">
        <v>14021</v>
      </c>
      <c r="C865" s="606" t="s">
        <v>12929</v>
      </c>
      <c r="D865" s="607">
        <v>32.840000000000003</v>
      </c>
      <c r="E865" s="607"/>
      <c r="F865" s="607">
        <v>32.840000000000003</v>
      </c>
      <c r="G865" s="584">
        <v>15</v>
      </c>
    </row>
    <row r="866" spans="1:7" ht="30" x14ac:dyDescent="0.2">
      <c r="A866" s="583" t="s">
        <v>14022</v>
      </c>
      <c r="B866" s="605" t="s">
        <v>14023</v>
      </c>
      <c r="C866" s="606" t="s">
        <v>12929</v>
      </c>
      <c r="D866" s="607">
        <v>10.87</v>
      </c>
      <c r="E866" s="607">
        <v>5.82</v>
      </c>
      <c r="F866" s="607">
        <v>16.690000000000001</v>
      </c>
      <c r="G866" s="584">
        <v>15</v>
      </c>
    </row>
    <row r="867" spans="1:7" ht="15" x14ac:dyDescent="0.25">
      <c r="A867" s="583" t="s">
        <v>14024</v>
      </c>
      <c r="B867" s="605" t="s">
        <v>14025</v>
      </c>
      <c r="C867" s="606"/>
      <c r="D867" s="607"/>
      <c r="E867" s="607"/>
      <c r="F867" s="607"/>
      <c r="G867" s="582"/>
    </row>
    <row r="868" spans="1:7" ht="30" x14ac:dyDescent="0.2">
      <c r="A868" s="583" t="s">
        <v>14026</v>
      </c>
      <c r="B868" s="605" t="s">
        <v>14027</v>
      </c>
      <c r="C868" s="606" t="s">
        <v>12508</v>
      </c>
      <c r="D868" s="607">
        <v>2503.34</v>
      </c>
      <c r="E868" s="607">
        <v>871.91</v>
      </c>
      <c r="F868" s="607">
        <v>3375.25</v>
      </c>
      <c r="G868" s="584">
        <v>15</v>
      </c>
    </row>
    <row r="869" spans="1:7" ht="15" x14ac:dyDescent="0.2">
      <c r="A869" s="583" t="s">
        <v>14028</v>
      </c>
      <c r="B869" s="605" t="s">
        <v>14029</v>
      </c>
      <c r="C869" s="606" t="s">
        <v>12508</v>
      </c>
      <c r="D869" s="607">
        <v>2421.4499999999998</v>
      </c>
      <c r="E869" s="607">
        <v>961.97</v>
      </c>
      <c r="F869" s="607">
        <v>3383.42</v>
      </c>
      <c r="G869" s="584">
        <v>15</v>
      </c>
    </row>
    <row r="870" spans="1:7" ht="30" x14ac:dyDescent="0.2">
      <c r="A870" s="583" t="s">
        <v>14030</v>
      </c>
      <c r="B870" s="605" t="s">
        <v>14031</v>
      </c>
      <c r="C870" s="606" t="s">
        <v>12508</v>
      </c>
      <c r="D870" s="607">
        <v>2233.31</v>
      </c>
      <c r="E870" s="607">
        <v>828.95</v>
      </c>
      <c r="F870" s="607">
        <v>3062.26</v>
      </c>
      <c r="G870" s="584">
        <v>15</v>
      </c>
    </row>
    <row r="871" spans="1:7" ht="30" x14ac:dyDescent="0.2">
      <c r="A871" s="583" t="s">
        <v>14032</v>
      </c>
      <c r="B871" s="605" t="s">
        <v>14033</v>
      </c>
      <c r="C871" s="606" t="s">
        <v>12508</v>
      </c>
      <c r="D871" s="607">
        <v>1964.04</v>
      </c>
      <c r="E871" s="607">
        <v>820.57</v>
      </c>
      <c r="F871" s="607">
        <v>2784.61</v>
      </c>
      <c r="G871" s="584">
        <v>15</v>
      </c>
    </row>
    <row r="872" spans="1:7" ht="15" x14ac:dyDescent="0.2">
      <c r="A872" s="583" t="s">
        <v>14034</v>
      </c>
      <c r="B872" s="605" t="s">
        <v>14035</v>
      </c>
      <c r="C872" s="606" t="s">
        <v>12508</v>
      </c>
      <c r="D872" s="607">
        <v>2205.64</v>
      </c>
      <c r="E872" s="607">
        <v>879.22</v>
      </c>
      <c r="F872" s="607">
        <v>3084.86</v>
      </c>
      <c r="G872" s="584">
        <v>15</v>
      </c>
    </row>
    <row r="873" spans="1:7" ht="15" x14ac:dyDescent="0.25">
      <c r="A873" s="583" t="s">
        <v>14036</v>
      </c>
      <c r="B873" s="605" t="s">
        <v>14037</v>
      </c>
      <c r="C873" s="606"/>
      <c r="D873" s="607"/>
      <c r="E873" s="607"/>
      <c r="F873" s="607"/>
      <c r="G873" s="582"/>
    </row>
    <row r="874" spans="1:7" ht="15" x14ac:dyDescent="0.2">
      <c r="A874" s="583" t="s">
        <v>14038</v>
      </c>
      <c r="B874" s="605" t="s">
        <v>14039</v>
      </c>
      <c r="C874" s="606" t="s">
        <v>12508</v>
      </c>
      <c r="D874" s="607">
        <v>3909.5</v>
      </c>
      <c r="E874" s="607">
        <v>1359.3</v>
      </c>
      <c r="F874" s="607">
        <v>5268.8</v>
      </c>
      <c r="G874" s="584">
        <v>15</v>
      </c>
    </row>
    <row r="875" spans="1:7" ht="30" x14ac:dyDescent="0.2">
      <c r="A875" s="583" t="s">
        <v>14040</v>
      </c>
      <c r="B875" s="605" t="s">
        <v>14041</v>
      </c>
      <c r="C875" s="606" t="s">
        <v>12483</v>
      </c>
      <c r="D875" s="607">
        <v>0.1</v>
      </c>
      <c r="E875" s="607">
        <v>6.34</v>
      </c>
      <c r="F875" s="607">
        <v>6.44</v>
      </c>
      <c r="G875" s="584">
        <v>15</v>
      </c>
    </row>
    <row r="876" spans="1:7" ht="30" x14ac:dyDescent="0.2">
      <c r="A876" s="583" t="s">
        <v>14042</v>
      </c>
      <c r="B876" s="605" t="s">
        <v>14043</v>
      </c>
      <c r="C876" s="606" t="s">
        <v>12483</v>
      </c>
      <c r="D876" s="607">
        <v>0.26</v>
      </c>
      <c r="E876" s="607">
        <v>16.760000000000002</v>
      </c>
      <c r="F876" s="607">
        <v>17.02</v>
      </c>
      <c r="G876" s="584">
        <v>15</v>
      </c>
    </row>
    <row r="877" spans="1:7" ht="15" x14ac:dyDescent="0.25">
      <c r="A877" s="583" t="s">
        <v>14044</v>
      </c>
      <c r="B877" s="605" t="s">
        <v>14045</v>
      </c>
      <c r="C877" s="606"/>
      <c r="D877" s="607"/>
      <c r="E877" s="607"/>
      <c r="F877" s="607"/>
      <c r="G877" s="582"/>
    </row>
    <row r="878" spans="1:7" ht="15" x14ac:dyDescent="0.25">
      <c r="A878" s="583" t="s">
        <v>14046</v>
      </c>
      <c r="B878" s="605" t="s">
        <v>14047</v>
      </c>
      <c r="C878" s="606"/>
      <c r="D878" s="607"/>
      <c r="E878" s="607"/>
      <c r="F878" s="607"/>
      <c r="G878" s="582"/>
    </row>
    <row r="879" spans="1:7" ht="15" x14ac:dyDescent="0.2">
      <c r="A879" s="583" t="s">
        <v>14048</v>
      </c>
      <c r="B879" s="605" t="s">
        <v>14049</v>
      </c>
      <c r="C879" s="606" t="s">
        <v>12427</v>
      </c>
      <c r="D879" s="607">
        <v>46.4</v>
      </c>
      <c r="E879" s="607">
        <v>32.880000000000003</v>
      </c>
      <c r="F879" s="607">
        <v>79.28</v>
      </c>
      <c r="G879" s="584">
        <v>15</v>
      </c>
    </row>
    <row r="880" spans="1:7" ht="15" x14ac:dyDescent="0.2">
      <c r="A880" s="583" t="s">
        <v>14050</v>
      </c>
      <c r="B880" s="605" t="s">
        <v>14051</v>
      </c>
      <c r="C880" s="606" t="s">
        <v>12427</v>
      </c>
      <c r="D880" s="607">
        <v>62.72</v>
      </c>
      <c r="E880" s="607">
        <v>32.880000000000003</v>
      </c>
      <c r="F880" s="607">
        <v>95.6</v>
      </c>
      <c r="G880" s="584">
        <v>15</v>
      </c>
    </row>
    <row r="881" spans="1:7" ht="15" x14ac:dyDescent="0.2">
      <c r="A881" s="583" t="s">
        <v>14052</v>
      </c>
      <c r="B881" s="605" t="s">
        <v>14053</v>
      </c>
      <c r="C881" s="606" t="s">
        <v>12427</v>
      </c>
      <c r="D881" s="607">
        <v>35.36</v>
      </c>
      <c r="E881" s="607">
        <v>32.880000000000003</v>
      </c>
      <c r="F881" s="607">
        <v>68.239999999999995</v>
      </c>
      <c r="G881" s="584">
        <v>15</v>
      </c>
    </row>
    <row r="882" spans="1:7" ht="15" x14ac:dyDescent="0.2">
      <c r="A882" s="583" t="s">
        <v>14054</v>
      </c>
      <c r="B882" s="605" t="s">
        <v>14055</v>
      </c>
      <c r="C882" s="606" t="s">
        <v>12427</v>
      </c>
      <c r="D882" s="607">
        <v>88.29</v>
      </c>
      <c r="E882" s="607">
        <v>49.31</v>
      </c>
      <c r="F882" s="607">
        <v>137.6</v>
      </c>
      <c r="G882" s="584">
        <v>15</v>
      </c>
    </row>
    <row r="883" spans="1:7" ht="15" x14ac:dyDescent="0.2">
      <c r="A883" s="583" t="s">
        <v>14056</v>
      </c>
      <c r="B883" s="605" t="s">
        <v>14057</v>
      </c>
      <c r="C883" s="606" t="s">
        <v>12427</v>
      </c>
      <c r="D883" s="607">
        <v>105.03</v>
      </c>
      <c r="E883" s="607">
        <v>49.31</v>
      </c>
      <c r="F883" s="607">
        <v>154.34</v>
      </c>
      <c r="G883" s="584">
        <v>15</v>
      </c>
    </row>
    <row r="884" spans="1:7" ht="15" x14ac:dyDescent="0.2">
      <c r="A884" s="583" t="s">
        <v>14058</v>
      </c>
      <c r="B884" s="605" t="s">
        <v>14059</v>
      </c>
      <c r="C884" s="606" t="s">
        <v>12483</v>
      </c>
      <c r="D884" s="607">
        <v>1</v>
      </c>
      <c r="E884" s="607">
        <v>14.5</v>
      </c>
      <c r="F884" s="607">
        <v>15.5</v>
      </c>
      <c r="G884" s="584">
        <v>15</v>
      </c>
    </row>
    <row r="885" spans="1:7" ht="30" x14ac:dyDescent="0.2">
      <c r="A885" s="583" t="s">
        <v>14060</v>
      </c>
      <c r="B885" s="605" t="s">
        <v>14061</v>
      </c>
      <c r="C885" s="606" t="s">
        <v>12483</v>
      </c>
      <c r="D885" s="607">
        <v>13.82</v>
      </c>
      <c r="E885" s="607">
        <v>18.13</v>
      </c>
      <c r="F885" s="607">
        <v>31.95</v>
      </c>
      <c r="G885" s="584">
        <v>15</v>
      </c>
    </row>
    <row r="886" spans="1:7" ht="15" x14ac:dyDescent="0.2">
      <c r="A886" s="583" t="s">
        <v>14062</v>
      </c>
      <c r="B886" s="605" t="s">
        <v>14063</v>
      </c>
      <c r="C886" s="606" t="s">
        <v>12483</v>
      </c>
      <c r="D886" s="607">
        <v>21.43</v>
      </c>
      <c r="E886" s="607">
        <v>18.13</v>
      </c>
      <c r="F886" s="607">
        <v>39.56</v>
      </c>
      <c r="G886" s="584">
        <v>15</v>
      </c>
    </row>
    <row r="887" spans="1:7" ht="15" x14ac:dyDescent="0.25">
      <c r="A887" s="583" t="s">
        <v>14064</v>
      </c>
      <c r="B887" s="605" t="s">
        <v>14065</v>
      </c>
      <c r="C887" s="606"/>
      <c r="D887" s="607"/>
      <c r="E887" s="607"/>
      <c r="F887" s="607"/>
      <c r="G887" s="582"/>
    </row>
    <row r="888" spans="1:7" ht="30" x14ac:dyDescent="0.2">
      <c r="A888" s="583" t="s">
        <v>14066</v>
      </c>
      <c r="B888" s="605" t="s">
        <v>14067</v>
      </c>
      <c r="C888" s="606" t="s">
        <v>12427</v>
      </c>
      <c r="D888" s="607">
        <v>39.520000000000003</v>
      </c>
      <c r="E888" s="607">
        <v>18.13</v>
      </c>
      <c r="F888" s="607">
        <v>57.65</v>
      </c>
      <c r="G888" s="584">
        <v>15</v>
      </c>
    </row>
    <row r="889" spans="1:7" ht="30" x14ac:dyDescent="0.2">
      <c r="A889" s="583" t="s">
        <v>14068</v>
      </c>
      <c r="B889" s="605" t="s">
        <v>14069</v>
      </c>
      <c r="C889" s="606" t="s">
        <v>12427</v>
      </c>
      <c r="D889" s="607">
        <v>60.33</v>
      </c>
      <c r="E889" s="607">
        <v>18.13</v>
      </c>
      <c r="F889" s="607">
        <v>78.459999999999994</v>
      </c>
      <c r="G889" s="584">
        <v>15</v>
      </c>
    </row>
    <row r="890" spans="1:7" ht="30" x14ac:dyDescent="0.2">
      <c r="A890" s="583" t="s">
        <v>14070</v>
      </c>
      <c r="B890" s="605" t="s">
        <v>14071</v>
      </c>
      <c r="C890" s="606" t="s">
        <v>12427</v>
      </c>
      <c r="D890" s="607">
        <v>150.83000000000001</v>
      </c>
      <c r="E890" s="607">
        <v>18.13</v>
      </c>
      <c r="F890" s="607">
        <v>168.96</v>
      </c>
      <c r="G890" s="584">
        <v>15</v>
      </c>
    </row>
    <row r="891" spans="1:7" ht="30" x14ac:dyDescent="0.2">
      <c r="A891" s="583" t="s">
        <v>14072</v>
      </c>
      <c r="B891" s="605" t="s">
        <v>14073</v>
      </c>
      <c r="C891" s="606" t="s">
        <v>12427</v>
      </c>
      <c r="D891" s="607">
        <v>160.19999999999999</v>
      </c>
      <c r="E891" s="607">
        <v>18.13</v>
      </c>
      <c r="F891" s="607">
        <v>178.33</v>
      </c>
      <c r="G891" s="584">
        <v>15</v>
      </c>
    </row>
    <row r="892" spans="1:7" ht="30" x14ac:dyDescent="0.2">
      <c r="A892" s="583" t="s">
        <v>14074</v>
      </c>
      <c r="B892" s="605" t="s">
        <v>14075</v>
      </c>
      <c r="C892" s="606" t="s">
        <v>12483</v>
      </c>
      <c r="D892" s="607">
        <v>84.15</v>
      </c>
      <c r="E892" s="607">
        <v>9.06</v>
      </c>
      <c r="F892" s="607">
        <v>93.21</v>
      </c>
      <c r="G892" s="584">
        <v>15</v>
      </c>
    </row>
    <row r="893" spans="1:7" ht="30" x14ac:dyDescent="0.2">
      <c r="A893" s="583" t="s">
        <v>14076</v>
      </c>
      <c r="B893" s="605" t="s">
        <v>14077</v>
      </c>
      <c r="C893" s="606" t="s">
        <v>12483</v>
      </c>
      <c r="D893" s="607">
        <v>79.010000000000005</v>
      </c>
      <c r="E893" s="607">
        <v>9.06</v>
      </c>
      <c r="F893" s="607">
        <v>88.07</v>
      </c>
      <c r="G893" s="584">
        <v>15</v>
      </c>
    </row>
    <row r="894" spans="1:7" ht="30" x14ac:dyDescent="0.2">
      <c r="A894" s="583" t="s">
        <v>14078</v>
      </c>
      <c r="B894" s="605" t="s">
        <v>14079</v>
      </c>
      <c r="C894" s="606" t="s">
        <v>12483</v>
      </c>
      <c r="D894" s="607">
        <v>112.82</v>
      </c>
      <c r="E894" s="607">
        <v>9.06</v>
      </c>
      <c r="F894" s="607">
        <v>121.88</v>
      </c>
      <c r="G894" s="584">
        <v>15</v>
      </c>
    </row>
    <row r="895" spans="1:7" ht="30" x14ac:dyDescent="0.2">
      <c r="A895" s="583" t="s">
        <v>14080</v>
      </c>
      <c r="B895" s="605" t="s">
        <v>14081</v>
      </c>
      <c r="C895" s="606" t="s">
        <v>12483</v>
      </c>
      <c r="D895" s="607">
        <v>173.82</v>
      </c>
      <c r="E895" s="607">
        <v>9.06</v>
      </c>
      <c r="F895" s="607">
        <v>182.88</v>
      </c>
      <c r="G895" s="584">
        <v>15</v>
      </c>
    </row>
    <row r="896" spans="1:7" ht="30" x14ac:dyDescent="0.2">
      <c r="A896" s="583" t="s">
        <v>14082</v>
      </c>
      <c r="B896" s="605" t="s">
        <v>14083</v>
      </c>
      <c r="C896" s="606" t="s">
        <v>12483</v>
      </c>
      <c r="D896" s="607">
        <v>56.3</v>
      </c>
      <c r="E896" s="607">
        <v>9.06</v>
      </c>
      <c r="F896" s="607">
        <v>65.36</v>
      </c>
      <c r="G896" s="584">
        <v>15</v>
      </c>
    </row>
    <row r="897" spans="1:7" ht="30" x14ac:dyDescent="0.2">
      <c r="A897" s="583" t="s">
        <v>14084</v>
      </c>
      <c r="B897" s="605" t="s">
        <v>14085</v>
      </c>
      <c r="C897" s="606" t="s">
        <v>12483</v>
      </c>
      <c r="D897" s="607">
        <v>107.07</v>
      </c>
      <c r="E897" s="607">
        <v>9.06</v>
      </c>
      <c r="F897" s="607">
        <v>116.13</v>
      </c>
      <c r="G897" s="584">
        <v>15</v>
      </c>
    </row>
    <row r="898" spans="1:7" ht="30" x14ac:dyDescent="0.2">
      <c r="A898" s="583" t="s">
        <v>14086</v>
      </c>
      <c r="B898" s="605" t="s">
        <v>14087</v>
      </c>
      <c r="C898" s="606" t="s">
        <v>12483</v>
      </c>
      <c r="D898" s="607">
        <v>72.78</v>
      </c>
      <c r="E898" s="607">
        <v>9.06</v>
      </c>
      <c r="F898" s="607">
        <v>81.84</v>
      </c>
      <c r="G898" s="584">
        <v>15</v>
      </c>
    </row>
    <row r="899" spans="1:7" ht="15" x14ac:dyDescent="0.25">
      <c r="A899" s="583" t="s">
        <v>14088</v>
      </c>
      <c r="B899" s="605" t="s">
        <v>14089</v>
      </c>
      <c r="C899" s="606"/>
      <c r="D899" s="607"/>
      <c r="E899" s="607"/>
      <c r="F899" s="607"/>
      <c r="G899" s="582"/>
    </row>
    <row r="900" spans="1:7" ht="15" x14ac:dyDescent="0.2">
      <c r="A900" s="583" t="s">
        <v>14090</v>
      </c>
      <c r="B900" s="605" t="s">
        <v>21379</v>
      </c>
      <c r="C900" s="606" t="s">
        <v>12427</v>
      </c>
      <c r="D900" s="607">
        <v>80.75</v>
      </c>
      <c r="E900" s="607">
        <v>29.46</v>
      </c>
      <c r="F900" s="607">
        <v>110.21</v>
      </c>
      <c r="G900" s="584">
        <v>15</v>
      </c>
    </row>
    <row r="901" spans="1:7" ht="15" x14ac:dyDescent="0.2">
      <c r="A901" s="583" t="s">
        <v>14091</v>
      </c>
      <c r="B901" s="605" t="s">
        <v>21380</v>
      </c>
      <c r="C901" s="606" t="s">
        <v>12483</v>
      </c>
      <c r="D901" s="607">
        <v>106.76</v>
      </c>
      <c r="E901" s="607">
        <v>9.9700000000000006</v>
      </c>
      <c r="F901" s="607">
        <v>116.73</v>
      </c>
      <c r="G901" s="584">
        <v>15</v>
      </c>
    </row>
    <row r="902" spans="1:7" ht="15" x14ac:dyDescent="0.25">
      <c r="A902" s="583" t="s">
        <v>14092</v>
      </c>
      <c r="B902" s="605" t="s">
        <v>14093</v>
      </c>
      <c r="C902" s="606"/>
      <c r="D902" s="607"/>
      <c r="E902" s="607"/>
      <c r="F902" s="607"/>
      <c r="G902" s="582"/>
    </row>
    <row r="903" spans="1:7" ht="30" x14ac:dyDescent="0.2">
      <c r="A903" s="583" t="s">
        <v>14094</v>
      </c>
      <c r="B903" s="605" t="s">
        <v>21381</v>
      </c>
      <c r="C903" s="606" t="s">
        <v>12427</v>
      </c>
      <c r="D903" s="607">
        <v>94.05</v>
      </c>
      <c r="E903" s="607">
        <v>18.13</v>
      </c>
      <c r="F903" s="607">
        <v>112.18</v>
      </c>
      <c r="G903" s="584">
        <v>15</v>
      </c>
    </row>
    <row r="904" spans="1:7" ht="30" x14ac:dyDescent="0.2">
      <c r="A904" s="583" t="s">
        <v>14095</v>
      </c>
      <c r="B904" s="605" t="s">
        <v>21382</v>
      </c>
      <c r="C904" s="606" t="s">
        <v>12427</v>
      </c>
      <c r="D904" s="607">
        <v>172.57</v>
      </c>
      <c r="E904" s="607">
        <v>18.13</v>
      </c>
      <c r="F904" s="607">
        <v>190.7</v>
      </c>
      <c r="G904" s="584">
        <v>15</v>
      </c>
    </row>
    <row r="905" spans="1:7" ht="30" x14ac:dyDescent="0.2">
      <c r="A905" s="583" t="s">
        <v>14096</v>
      </c>
      <c r="B905" s="605" t="s">
        <v>21383</v>
      </c>
      <c r="C905" s="606" t="s">
        <v>12427</v>
      </c>
      <c r="D905" s="607">
        <v>163.25</v>
      </c>
      <c r="E905" s="607">
        <v>18.13</v>
      </c>
      <c r="F905" s="607">
        <v>181.38</v>
      </c>
      <c r="G905" s="584">
        <v>15</v>
      </c>
    </row>
    <row r="906" spans="1:7" ht="30" x14ac:dyDescent="0.2">
      <c r="A906" s="583" t="s">
        <v>14097</v>
      </c>
      <c r="B906" s="605" t="s">
        <v>21384</v>
      </c>
      <c r="C906" s="606" t="s">
        <v>12427</v>
      </c>
      <c r="D906" s="607">
        <v>93.37</v>
      </c>
      <c r="E906" s="607">
        <v>18.13</v>
      </c>
      <c r="F906" s="607">
        <v>111.5</v>
      </c>
      <c r="G906" s="584">
        <v>15</v>
      </c>
    </row>
    <row r="907" spans="1:7" ht="30" x14ac:dyDescent="0.2">
      <c r="A907" s="583" t="s">
        <v>14098</v>
      </c>
      <c r="B907" s="605" t="s">
        <v>21385</v>
      </c>
      <c r="C907" s="606" t="s">
        <v>12483</v>
      </c>
      <c r="D907" s="607">
        <v>75.14</v>
      </c>
      <c r="E907" s="607">
        <v>9.06</v>
      </c>
      <c r="F907" s="607">
        <v>84.2</v>
      </c>
      <c r="G907" s="584">
        <v>15</v>
      </c>
    </row>
    <row r="908" spans="1:7" ht="30" x14ac:dyDescent="0.2">
      <c r="A908" s="583" t="s">
        <v>14099</v>
      </c>
      <c r="B908" s="605" t="s">
        <v>21386</v>
      </c>
      <c r="C908" s="606" t="s">
        <v>12483</v>
      </c>
      <c r="D908" s="607">
        <v>74.97</v>
      </c>
      <c r="E908" s="607">
        <v>9.06</v>
      </c>
      <c r="F908" s="607">
        <v>84.03</v>
      </c>
      <c r="G908" s="584">
        <v>15</v>
      </c>
    </row>
    <row r="909" spans="1:7" ht="15" x14ac:dyDescent="0.25">
      <c r="A909" s="583" t="s">
        <v>14100</v>
      </c>
      <c r="B909" s="605" t="s">
        <v>14101</v>
      </c>
      <c r="C909" s="606"/>
      <c r="D909" s="607"/>
      <c r="E909" s="607"/>
      <c r="F909" s="607"/>
      <c r="G909" s="582"/>
    </row>
    <row r="910" spans="1:7" ht="30" x14ac:dyDescent="0.2">
      <c r="A910" s="583" t="s">
        <v>14102</v>
      </c>
      <c r="B910" s="605" t="s">
        <v>21387</v>
      </c>
      <c r="C910" s="606" t="s">
        <v>12427</v>
      </c>
      <c r="D910" s="607">
        <v>166.47</v>
      </c>
      <c r="E910" s="607">
        <v>45.58</v>
      </c>
      <c r="F910" s="607">
        <v>212.05</v>
      </c>
      <c r="G910" s="584">
        <v>15</v>
      </c>
    </row>
    <row r="911" spans="1:7" ht="30" x14ac:dyDescent="0.2">
      <c r="A911" s="583" t="s">
        <v>14103</v>
      </c>
      <c r="B911" s="605" t="s">
        <v>21388</v>
      </c>
      <c r="C911" s="606" t="s">
        <v>12427</v>
      </c>
      <c r="D911" s="607">
        <v>179</v>
      </c>
      <c r="E911" s="607">
        <v>19.72</v>
      </c>
      <c r="F911" s="607">
        <v>198.72</v>
      </c>
      <c r="G911" s="584">
        <v>15</v>
      </c>
    </row>
    <row r="912" spans="1:7" ht="30" x14ac:dyDescent="0.2">
      <c r="A912" s="583" t="s">
        <v>14104</v>
      </c>
      <c r="B912" s="605" t="s">
        <v>21389</v>
      </c>
      <c r="C912" s="606" t="s">
        <v>12427</v>
      </c>
      <c r="D912" s="607">
        <v>122.03</v>
      </c>
      <c r="E912" s="607">
        <v>19.72</v>
      </c>
      <c r="F912" s="607">
        <v>141.75</v>
      </c>
      <c r="G912" s="584">
        <v>15</v>
      </c>
    </row>
    <row r="913" spans="1:7" ht="30" x14ac:dyDescent="0.2">
      <c r="A913" s="583" t="s">
        <v>14105</v>
      </c>
      <c r="B913" s="605" t="s">
        <v>21390</v>
      </c>
      <c r="C913" s="606" t="s">
        <v>12427</v>
      </c>
      <c r="D913" s="607">
        <v>116.9</v>
      </c>
      <c r="E913" s="607">
        <v>18.13</v>
      </c>
      <c r="F913" s="607">
        <v>135.03</v>
      </c>
      <c r="G913" s="584">
        <v>15</v>
      </c>
    </row>
    <row r="914" spans="1:7" ht="15" x14ac:dyDescent="0.25">
      <c r="A914" s="583" t="s">
        <v>14106</v>
      </c>
      <c r="B914" s="605" t="s">
        <v>14107</v>
      </c>
      <c r="C914" s="606"/>
      <c r="D914" s="607"/>
      <c r="E914" s="607"/>
      <c r="F914" s="607"/>
      <c r="G914" s="582"/>
    </row>
    <row r="915" spans="1:7" ht="15" x14ac:dyDescent="0.2">
      <c r="A915" s="583" t="s">
        <v>14108</v>
      </c>
      <c r="B915" s="605" t="s">
        <v>14109</v>
      </c>
      <c r="C915" s="606" t="s">
        <v>12427</v>
      </c>
      <c r="D915" s="607">
        <v>69.709999999999994</v>
      </c>
      <c r="E915" s="607">
        <v>18.13</v>
      </c>
      <c r="F915" s="607">
        <v>87.84</v>
      </c>
      <c r="G915" s="584">
        <v>15</v>
      </c>
    </row>
    <row r="916" spans="1:7" ht="30" x14ac:dyDescent="0.2">
      <c r="A916" s="583" t="s">
        <v>14110</v>
      </c>
      <c r="B916" s="605" t="s">
        <v>14111</v>
      </c>
      <c r="C916" s="606" t="s">
        <v>12427</v>
      </c>
      <c r="D916" s="607">
        <v>112.08</v>
      </c>
      <c r="E916" s="607">
        <v>18.13</v>
      </c>
      <c r="F916" s="607">
        <v>130.21</v>
      </c>
      <c r="G916" s="584">
        <v>15</v>
      </c>
    </row>
    <row r="917" spans="1:7" ht="15" x14ac:dyDescent="0.2">
      <c r="A917" s="583" t="s">
        <v>14112</v>
      </c>
      <c r="B917" s="605" t="s">
        <v>14113</v>
      </c>
      <c r="C917" s="606" t="s">
        <v>12483</v>
      </c>
      <c r="D917" s="607">
        <v>166.52</v>
      </c>
      <c r="E917" s="607">
        <v>9.06</v>
      </c>
      <c r="F917" s="607">
        <v>175.58</v>
      </c>
      <c r="G917" s="584">
        <v>15</v>
      </c>
    </row>
    <row r="918" spans="1:7" ht="15" x14ac:dyDescent="0.25">
      <c r="A918" s="583" t="s">
        <v>14114</v>
      </c>
      <c r="B918" s="605" t="s">
        <v>14115</v>
      </c>
      <c r="C918" s="606"/>
      <c r="D918" s="607"/>
      <c r="E918" s="607"/>
      <c r="F918" s="607"/>
      <c r="G918" s="582"/>
    </row>
    <row r="919" spans="1:7" ht="15" x14ac:dyDescent="0.2">
      <c r="A919" s="583" t="s">
        <v>14116</v>
      </c>
      <c r="B919" s="605" t="s">
        <v>14117</v>
      </c>
      <c r="C919" s="606" t="s">
        <v>12375</v>
      </c>
      <c r="D919" s="607">
        <v>74.31</v>
      </c>
      <c r="E919" s="607">
        <v>4.53</v>
      </c>
      <c r="F919" s="607">
        <v>78.84</v>
      </c>
      <c r="G919" s="584">
        <v>15</v>
      </c>
    </row>
    <row r="920" spans="1:7" ht="15" x14ac:dyDescent="0.2">
      <c r="A920" s="583" t="s">
        <v>14118</v>
      </c>
      <c r="B920" s="605" t="s">
        <v>14119</v>
      </c>
      <c r="C920" s="606" t="s">
        <v>12375</v>
      </c>
      <c r="D920" s="607">
        <v>74.31</v>
      </c>
      <c r="E920" s="607">
        <v>4.53</v>
      </c>
      <c r="F920" s="607">
        <v>78.84</v>
      </c>
      <c r="G920" s="584">
        <v>15</v>
      </c>
    </row>
    <row r="921" spans="1:7" ht="15" x14ac:dyDescent="0.25">
      <c r="A921" s="583" t="s">
        <v>14120</v>
      </c>
      <c r="B921" s="605" t="s">
        <v>14121</v>
      </c>
      <c r="C921" s="606"/>
      <c r="D921" s="607"/>
      <c r="E921" s="607"/>
      <c r="F921" s="607"/>
      <c r="G921" s="582"/>
    </row>
    <row r="922" spans="1:7" ht="15" x14ac:dyDescent="0.2">
      <c r="A922" s="583" t="s">
        <v>14122</v>
      </c>
      <c r="B922" s="605" t="s">
        <v>14123</v>
      </c>
      <c r="C922" s="606" t="s">
        <v>12427</v>
      </c>
      <c r="D922" s="607">
        <v>903.8</v>
      </c>
      <c r="E922" s="607"/>
      <c r="F922" s="607">
        <v>903.8</v>
      </c>
      <c r="G922" s="584">
        <v>15</v>
      </c>
    </row>
    <row r="923" spans="1:7" ht="15" x14ac:dyDescent="0.25">
      <c r="A923" s="583" t="s">
        <v>14124</v>
      </c>
      <c r="B923" s="605" t="s">
        <v>14125</v>
      </c>
      <c r="C923" s="606"/>
      <c r="D923" s="607"/>
      <c r="E923" s="607"/>
      <c r="F923" s="607"/>
      <c r="G923" s="582"/>
    </row>
    <row r="924" spans="1:7" ht="30" x14ac:dyDescent="0.2">
      <c r="A924" s="583" t="s">
        <v>14126</v>
      </c>
      <c r="B924" s="605" t="s">
        <v>14127</v>
      </c>
      <c r="C924" s="606" t="s">
        <v>12427</v>
      </c>
      <c r="D924" s="607">
        <v>131.9</v>
      </c>
      <c r="E924" s="607">
        <v>92.44</v>
      </c>
      <c r="F924" s="607">
        <v>224.34</v>
      </c>
      <c r="G924" s="584">
        <v>15</v>
      </c>
    </row>
    <row r="925" spans="1:7" ht="15" x14ac:dyDescent="0.2">
      <c r="A925" s="583" t="s">
        <v>14128</v>
      </c>
      <c r="B925" s="605" t="s">
        <v>14129</v>
      </c>
      <c r="C925" s="606" t="s">
        <v>12427</v>
      </c>
      <c r="D925" s="607">
        <v>173.96</v>
      </c>
      <c r="E925" s="607">
        <v>83.2</v>
      </c>
      <c r="F925" s="607">
        <v>257.16000000000003</v>
      </c>
      <c r="G925" s="584">
        <v>15</v>
      </c>
    </row>
    <row r="926" spans="1:7" ht="30" x14ac:dyDescent="0.2">
      <c r="A926" s="583" t="s">
        <v>14130</v>
      </c>
      <c r="B926" s="605" t="s">
        <v>14131</v>
      </c>
      <c r="C926" s="606" t="s">
        <v>12427</v>
      </c>
      <c r="D926" s="607">
        <v>176.95</v>
      </c>
      <c r="E926" s="607">
        <v>92.44</v>
      </c>
      <c r="F926" s="607">
        <v>269.39</v>
      </c>
      <c r="G926" s="584">
        <v>15</v>
      </c>
    </row>
    <row r="927" spans="1:7" ht="15" x14ac:dyDescent="0.25">
      <c r="A927" s="583" t="s">
        <v>14132</v>
      </c>
      <c r="B927" s="605" t="s">
        <v>14133</v>
      </c>
      <c r="C927" s="606"/>
      <c r="D927" s="607"/>
      <c r="E927" s="607"/>
      <c r="F927" s="607"/>
      <c r="G927" s="582"/>
    </row>
    <row r="928" spans="1:7" ht="15" x14ac:dyDescent="0.2">
      <c r="A928" s="583" t="s">
        <v>14134</v>
      </c>
      <c r="B928" s="605" t="s">
        <v>14135</v>
      </c>
      <c r="C928" s="606" t="s">
        <v>12483</v>
      </c>
      <c r="D928" s="607">
        <v>57.25</v>
      </c>
      <c r="E928" s="607">
        <v>55.26</v>
      </c>
      <c r="F928" s="607">
        <v>112.51</v>
      </c>
      <c r="G928" s="584">
        <v>15</v>
      </c>
    </row>
    <row r="929" spans="1:7" ht="15" x14ac:dyDescent="0.2">
      <c r="A929" s="583" t="s">
        <v>14136</v>
      </c>
      <c r="B929" s="605" t="s">
        <v>14137</v>
      </c>
      <c r="C929" s="606" t="s">
        <v>12483</v>
      </c>
      <c r="D929" s="607">
        <v>88.55</v>
      </c>
      <c r="E929" s="607">
        <v>65.31</v>
      </c>
      <c r="F929" s="607">
        <v>153.86000000000001</v>
      </c>
      <c r="G929" s="584">
        <v>15</v>
      </c>
    </row>
    <row r="930" spans="1:7" ht="15" x14ac:dyDescent="0.2">
      <c r="A930" s="583" t="s">
        <v>14138</v>
      </c>
      <c r="B930" s="605" t="s">
        <v>14139</v>
      </c>
      <c r="C930" s="606" t="s">
        <v>12483</v>
      </c>
      <c r="D930" s="607">
        <v>165.94</v>
      </c>
      <c r="E930" s="607">
        <v>70.34</v>
      </c>
      <c r="F930" s="607">
        <v>236.28</v>
      </c>
      <c r="G930" s="584">
        <v>15</v>
      </c>
    </row>
    <row r="931" spans="1:7" ht="15" x14ac:dyDescent="0.2">
      <c r="A931" s="583" t="s">
        <v>14140</v>
      </c>
      <c r="B931" s="605" t="s">
        <v>14141</v>
      </c>
      <c r="C931" s="606" t="s">
        <v>12483</v>
      </c>
      <c r="D931" s="607">
        <v>44.39</v>
      </c>
      <c r="E931" s="607">
        <v>55.26</v>
      </c>
      <c r="F931" s="607">
        <v>99.65</v>
      </c>
      <c r="G931" s="584">
        <v>15</v>
      </c>
    </row>
    <row r="932" spans="1:7" ht="15" x14ac:dyDescent="0.2">
      <c r="A932" s="583" t="s">
        <v>14142</v>
      </c>
      <c r="B932" s="605" t="s">
        <v>14143</v>
      </c>
      <c r="C932" s="606" t="s">
        <v>12483</v>
      </c>
      <c r="D932" s="607">
        <v>67.91</v>
      </c>
      <c r="E932" s="607">
        <v>65.31</v>
      </c>
      <c r="F932" s="607">
        <v>133.22</v>
      </c>
      <c r="G932" s="584">
        <v>15</v>
      </c>
    </row>
    <row r="933" spans="1:7" ht="15" x14ac:dyDescent="0.2">
      <c r="A933" s="583" t="s">
        <v>20069</v>
      </c>
      <c r="B933" s="605" t="s">
        <v>20070</v>
      </c>
      <c r="C933" s="606" t="s">
        <v>12483</v>
      </c>
      <c r="D933" s="607">
        <v>105.91</v>
      </c>
      <c r="E933" s="607">
        <v>47.73</v>
      </c>
      <c r="F933" s="607">
        <v>153.63999999999999</v>
      </c>
      <c r="G933" s="584">
        <v>15</v>
      </c>
    </row>
    <row r="934" spans="1:7" ht="15" x14ac:dyDescent="0.2">
      <c r="A934" s="583" t="s">
        <v>14144</v>
      </c>
      <c r="B934" s="605" t="s">
        <v>14145</v>
      </c>
      <c r="C934" s="606" t="s">
        <v>12375</v>
      </c>
      <c r="D934" s="607">
        <v>15.58</v>
      </c>
      <c r="E934" s="607">
        <v>1.43</v>
      </c>
      <c r="F934" s="607">
        <v>17.010000000000002</v>
      </c>
      <c r="G934" s="584">
        <v>15</v>
      </c>
    </row>
    <row r="935" spans="1:7" ht="15" x14ac:dyDescent="0.2">
      <c r="A935" s="583" t="s">
        <v>14146</v>
      </c>
      <c r="B935" s="605" t="s">
        <v>14147</v>
      </c>
      <c r="C935" s="606" t="s">
        <v>12375</v>
      </c>
      <c r="D935" s="607">
        <v>18.37</v>
      </c>
      <c r="E935" s="607">
        <v>2.04</v>
      </c>
      <c r="F935" s="607">
        <v>20.41</v>
      </c>
      <c r="G935" s="584">
        <v>15</v>
      </c>
    </row>
    <row r="936" spans="1:7" ht="15" x14ac:dyDescent="0.2">
      <c r="A936" s="583" t="s">
        <v>14148</v>
      </c>
      <c r="B936" s="605" t="s">
        <v>14149</v>
      </c>
      <c r="C936" s="606" t="s">
        <v>12375</v>
      </c>
      <c r="D936" s="607">
        <v>20.23</v>
      </c>
      <c r="E936" s="607">
        <v>2.86</v>
      </c>
      <c r="F936" s="607">
        <v>23.09</v>
      </c>
      <c r="G936" s="584">
        <v>15</v>
      </c>
    </row>
    <row r="937" spans="1:7" ht="15" x14ac:dyDescent="0.25">
      <c r="A937" s="583" t="s">
        <v>14150</v>
      </c>
      <c r="B937" s="605" t="s">
        <v>14151</v>
      </c>
      <c r="C937" s="606"/>
      <c r="D937" s="607"/>
      <c r="E937" s="607"/>
      <c r="F937" s="607"/>
      <c r="G937" s="582"/>
    </row>
    <row r="938" spans="1:7" ht="15" x14ac:dyDescent="0.2">
      <c r="A938" s="583" t="s">
        <v>14152</v>
      </c>
      <c r="B938" s="605" t="s">
        <v>14153</v>
      </c>
      <c r="C938" s="606" t="s">
        <v>12483</v>
      </c>
      <c r="D938" s="607">
        <v>2.57</v>
      </c>
      <c r="E938" s="607">
        <v>18.13</v>
      </c>
      <c r="F938" s="607">
        <v>20.7</v>
      </c>
      <c r="G938" s="584">
        <v>15</v>
      </c>
    </row>
    <row r="939" spans="1:7" ht="15" x14ac:dyDescent="0.2">
      <c r="A939" s="583" t="s">
        <v>14154</v>
      </c>
      <c r="B939" s="605" t="s">
        <v>14155</v>
      </c>
      <c r="C939" s="606" t="s">
        <v>12427</v>
      </c>
      <c r="D939" s="607"/>
      <c r="E939" s="607">
        <v>49.31</v>
      </c>
      <c r="F939" s="607">
        <v>49.31</v>
      </c>
      <c r="G939" s="584">
        <v>15</v>
      </c>
    </row>
    <row r="940" spans="1:7" ht="15" x14ac:dyDescent="0.2">
      <c r="A940" s="583" t="s">
        <v>14156</v>
      </c>
      <c r="B940" s="605" t="s">
        <v>14157</v>
      </c>
      <c r="C940" s="606" t="s">
        <v>12427</v>
      </c>
      <c r="D940" s="607"/>
      <c r="E940" s="607">
        <v>49.31</v>
      </c>
      <c r="F940" s="607">
        <v>49.31</v>
      </c>
      <c r="G940" s="584">
        <v>15</v>
      </c>
    </row>
    <row r="941" spans="1:7" ht="30" x14ac:dyDescent="0.2">
      <c r="A941" s="583" t="s">
        <v>14158</v>
      </c>
      <c r="B941" s="605" t="s">
        <v>14159</v>
      </c>
      <c r="C941" s="606" t="s">
        <v>12427</v>
      </c>
      <c r="D941" s="607"/>
      <c r="E941" s="607">
        <v>22.66</v>
      </c>
      <c r="F941" s="607">
        <v>22.66</v>
      </c>
      <c r="G941" s="584">
        <v>15</v>
      </c>
    </row>
    <row r="942" spans="1:7" ht="15" x14ac:dyDescent="0.2">
      <c r="A942" s="583" t="s">
        <v>14160</v>
      </c>
      <c r="B942" s="605" t="s">
        <v>20287</v>
      </c>
      <c r="C942" s="606" t="s">
        <v>12427</v>
      </c>
      <c r="D942" s="607"/>
      <c r="E942" s="607">
        <v>32.880000000000003</v>
      </c>
      <c r="F942" s="607">
        <v>32.880000000000003</v>
      </c>
      <c r="G942" s="584">
        <v>15</v>
      </c>
    </row>
    <row r="943" spans="1:7" ht="15" x14ac:dyDescent="0.2">
      <c r="A943" s="583" t="s">
        <v>14161</v>
      </c>
      <c r="B943" s="605" t="s">
        <v>14162</v>
      </c>
      <c r="C943" s="606" t="s">
        <v>12427</v>
      </c>
      <c r="D943" s="607">
        <v>3.11</v>
      </c>
      <c r="E943" s="607">
        <v>18.13</v>
      </c>
      <c r="F943" s="607">
        <v>21.24</v>
      </c>
      <c r="G943" s="584">
        <v>15</v>
      </c>
    </row>
    <row r="944" spans="1:7" ht="30" x14ac:dyDescent="0.2">
      <c r="A944" s="583" t="s">
        <v>14163</v>
      </c>
      <c r="B944" s="605" t="s">
        <v>14164</v>
      </c>
      <c r="C944" s="606" t="s">
        <v>12427</v>
      </c>
      <c r="D944" s="607">
        <v>9.33</v>
      </c>
      <c r="E944" s="607">
        <v>18.13</v>
      </c>
      <c r="F944" s="607">
        <v>27.46</v>
      </c>
      <c r="G944" s="584">
        <v>15</v>
      </c>
    </row>
    <row r="945" spans="1:7" ht="15" x14ac:dyDescent="0.25">
      <c r="A945" s="583" t="s">
        <v>14165</v>
      </c>
      <c r="B945" s="605" t="s">
        <v>14166</v>
      </c>
      <c r="C945" s="606"/>
      <c r="D945" s="607"/>
      <c r="E945" s="607"/>
      <c r="F945" s="607"/>
      <c r="G945" s="582"/>
    </row>
    <row r="946" spans="1:7" ht="15" x14ac:dyDescent="0.25">
      <c r="A946" s="583" t="s">
        <v>14167</v>
      </c>
      <c r="B946" s="605" t="s">
        <v>14168</v>
      </c>
      <c r="C946" s="606"/>
      <c r="D946" s="607"/>
      <c r="E946" s="607"/>
      <c r="F946" s="607"/>
      <c r="G946" s="582"/>
    </row>
    <row r="947" spans="1:7" ht="15" x14ac:dyDescent="0.2">
      <c r="A947" s="583" t="s">
        <v>14169</v>
      </c>
      <c r="B947" s="605" t="s">
        <v>14170</v>
      </c>
      <c r="C947" s="606" t="s">
        <v>12508</v>
      </c>
      <c r="D947" s="607">
        <v>1111.77</v>
      </c>
      <c r="E947" s="607">
        <v>322.95999999999998</v>
      </c>
      <c r="F947" s="607">
        <v>1434.73</v>
      </c>
      <c r="G947" s="584">
        <v>15</v>
      </c>
    </row>
    <row r="948" spans="1:7" ht="15" x14ac:dyDescent="0.2">
      <c r="A948" s="583" t="s">
        <v>14171</v>
      </c>
      <c r="B948" s="605" t="s">
        <v>14172</v>
      </c>
      <c r="C948" s="606" t="s">
        <v>12508</v>
      </c>
      <c r="D948" s="607">
        <v>484.93</v>
      </c>
      <c r="E948" s="607">
        <v>322.95999999999998</v>
      </c>
      <c r="F948" s="607">
        <v>807.89</v>
      </c>
      <c r="G948" s="584">
        <v>15</v>
      </c>
    </row>
    <row r="949" spans="1:7" ht="15" x14ac:dyDescent="0.2">
      <c r="A949" s="583" t="s">
        <v>14173</v>
      </c>
      <c r="B949" s="605" t="s">
        <v>14174</v>
      </c>
      <c r="C949" s="606" t="s">
        <v>12508</v>
      </c>
      <c r="D949" s="607">
        <v>432.76</v>
      </c>
      <c r="E949" s="607">
        <v>322.95999999999998</v>
      </c>
      <c r="F949" s="607">
        <v>755.72</v>
      </c>
      <c r="G949" s="584">
        <v>15</v>
      </c>
    </row>
    <row r="950" spans="1:7" ht="15" x14ac:dyDescent="0.2">
      <c r="A950" s="583" t="s">
        <v>14175</v>
      </c>
      <c r="B950" s="605" t="s">
        <v>14176</v>
      </c>
      <c r="C950" s="606" t="s">
        <v>12427</v>
      </c>
      <c r="D950" s="607">
        <v>4.1100000000000003</v>
      </c>
      <c r="E950" s="607">
        <v>25.14</v>
      </c>
      <c r="F950" s="607">
        <v>29.25</v>
      </c>
      <c r="G950" s="584">
        <v>15</v>
      </c>
    </row>
    <row r="951" spans="1:7" ht="30" x14ac:dyDescent="0.2">
      <c r="A951" s="583" t="s">
        <v>14177</v>
      </c>
      <c r="B951" s="605" t="s">
        <v>20134</v>
      </c>
      <c r="C951" s="606" t="s">
        <v>12427</v>
      </c>
      <c r="D951" s="607">
        <v>9.14</v>
      </c>
      <c r="E951" s="607">
        <v>24.7</v>
      </c>
      <c r="F951" s="607">
        <v>33.840000000000003</v>
      </c>
      <c r="G951" s="584">
        <v>15</v>
      </c>
    </row>
    <row r="952" spans="1:7" ht="15" x14ac:dyDescent="0.2">
      <c r="A952" s="583" t="s">
        <v>14178</v>
      </c>
      <c r="B952" s="605" t="s">
        <v>14179</v>
      </c>
      <c r="C952" s="606" t="s">
        <v>12508</v>
      </c>
      <c r="D952" s="607">
        <v>1205.75</v>
      </c>
      <c r="E952" s="607">
        <v>322.95999999999998</v>
      </c>
      <c r="F952" s="607">
        <v>1528.71</v>
      </c>
      <c r="G952" s="584">
        <v>15</v>
      </c>
    </row>
    <row r="953" spans="1:7" ht="15" x14ac:dyDescent="0.25">
      <c r="A953" s="583" t="s">
        <v>14180</v>
      </c>
      <c r="B953" s="605" t="s">
        <v>14181</v>
      </c>
      <c r="C953" s="606"/>
      <c r="D953" s="607"/>
      <c r="E953" s="607"/>
      <c r="F953" s="607"/>
      <c r="G953" s="582"/>
    </row>
    <row r="954" spans="1:7" ht="15" x14ac:dyDescent="0.2">
      <c r="A954" s="583" t="s">
        <v>14182</v>
      </c>
      <c r="B954" s="605" t="s">
        <v>14183</v>
      </c>
      <c r="C954" s="606" t="s">
        <v>12427</v>
      </c>
      <c r="D954" s="607">
        <v>2.42</v>
      </c>
      <c r="E954" s="607">
        <v>4.79</v>
      </c>
      <c r="F954" s="607">
        <v>7.21</v>
      </c>
      <c r="G954" s="584">
        <v>15</v>
      </c>
    </row>
    <row r="955" spans="1:7" ht="15" x14ac:dyDescent="0.2">
      <c r="A955" s="583" t="s">
        <v>14184</v>
      </c>
      <c r="B955" s="605" t="s">
        <v>14185</v>
      </c>
      <c r="C955" s="606" t="s">
        <v>12427</v>
      </c>
      <c r="D955" s="607">
        <v>1.55</v>
      </c>
      <c r="E955" s="607">
        <v>4.79</v>
      </c>
      <c r="F955" s="607">
        <v>6.34</v>
      </c>
      <c r="G955" s="584">
        <v>15</v>
      </c>
    </row>
    <row r="956" spans="1:7" ht="15" x14ac:dyDescent="0.2">
      <c r="A956" s="583" t="s">
        <v>14186</v>
      </c>
      <c r="B956" s="605" t="s">
        <v>20135</v>
      </c>
      <c r="C956" s="606" t="s">
        <v>12427</v>
      </c>
      <c r="D956" s="607">
        <v>7.38</v>
      </c>
      <c r="E956" s="607">
        <v>4.79</v>
      </c>
      <c r="F956" s="607">
        <v>12.17</v>
      </c>
      <c r="G956" s="584">
        <v>15</v>
      </c>
    </row>
    <row r="957" spans="1:7" ht="15" x14ac:dyDescent="0.2">
      <c r="A957" s="583" t="s">
        <v>14187</v>
      </c>
      <c r="B957" s="605" t="s">
        <v>14188</v>
      </c>
      <c r="C957" s="606" t="s">
        <v>12427</v>
      </c>
      <c r="D957" s="607">
        <v>2.48</v>
      </c>
      <c r="E957" s="607">
        <v>6.99</v>
      </c>
      <c r="F957" s="607">
        <v>9.4700000000000006</v>
      </c>
      <c r="G957" s="584">
        <v>15</v>
      </c>
    </row>
    <row r="958" spans="1:7" ht="15" x14ac:dyDescent="0.2">
      <c r="A958" s="583" t="s">
        <v>14189</v>
      </c>
      <c r="B958" s="605" t="s">
        <v>14190</v>
      </c>
      <c r="C958" s="606" t="s">
        <v>12427</v>
      </c>
      <c r="D958" s="607">
        <v>4.3099999999999996</v>
      </c>
      <c r="E958" s="607">
        <v>7.41</v>
      </c>
      <c r="F958" s="607">
        <v>11.72</v>
      </c>
      <c r="G958" s="584">
        <v>15</v>
      </c>
    </row>
    <row r="959" spans="1:7" ht="15" x14ac:dyDescent="0.2">
      <c r="A959" s="583" t="s">
        <v>14191</v>
      </c>
      <c r="B959" s="605" t="s">
        <v>14192</v>
      </c>
      <c r="C959" s="606" t="s">
        <v>12427</v>
      </c>
      <c r="D959" s="607">
        <v>10.08</v>
      </c>
      <c r="E959" s="607">
        <v>13.15</v>
      </c>
      <c r="F959" s="607">
        <v>23.23</v>
      </c>
      <c r="G959" s="584">
        <v>15</v>
      </c>
    </row>
    <row r="960" spans="1:7" ht="15" x14ac:dyDescent="0.2">
      <c r="A960" s="583" t="s">
        <v>14193</v>
      </c>
      <c r="B960" s="605" t="s">
        <v>14194</v>
      </c>
      <c r="C960" s="606" t="s">
        <v>12427</v>
      </c>
      <c r="D960" s="607">
        <v>10.08</v>
      </c>
      <c r="E960" s="607">
        <v>18.13</v>
      </c>
      <c r="F960" s="607">
        <v>28.21</v>
      </c>
      <c r="G960" s="584">
        <v>15</v>
      </c>
    </row>
    <row r="961" spans="1:7" ht="15" x14ac:dyDescent="0.2">
      <c r="A961" s="583" t="s">
        <v>14195</v>
      </c>
      <c r="B961" s="605" t="s">
        <v>14196</v>
      </c>
      <c r="C961" s="606" t="s">
        <v>12427</v>
      </c>
      <c r="D961" s="607">
        <v>50.15</v>
      </c>
      <c r="E961" s="607">
        <v>11.33</v>
      </c>
      <c r="F961" s="607">
        <v>61.48</v>
      </c>
      <c r="G961" s="584">
        <v>15</v>
      </c>
    </row>
    <row r="962" spans="1:7" ht="15" x14ac:dyDescent="0.2">
      <c r="A962" s="583" t="s">
        <v>14197</v>
      </c>
      <c r="B962" s="605" t="s">
        <v>14198</v>
      </c>
      <c r="C962" s="606" t="s">
        <v>12427</v>
      </c>
      <c r="D962" s="607">
        <v>2.0099999999999998</v>
      </c>
      <c r="E962" s="607">
        <v>11.33</v>
      </c>
      <c r="F962" s="607">
        <v>13.34</v>
      </c>
      <c r="G962" s="584">
        <v>15</v>
      </c>
    </row>
    <row r="963" spans="1:7" ht="15" x14ac:dyDescent="0.2">
      <c r="A963" s="583" t="s">
        <v>14199</v>
      </c>
      <c r="B963" s="605" t="s">
        <v>14200</v>
      </c>
      <c r="C963" s="606" t="s">
        <v>12427</v>
      </c>
      <c r="D963" s="607">
        <v>9.9700000000000006</v>
      </c>
      <c r="E963" s="607">
        <v>29.46</v>
      </c>
      <c r="F963" s="607">
        <v>39.43</v>
      </c>
      <c r="G963" s="584">
        <v>15</v>
      </c>
    </row>
    <row r="964" spans="1:7" ht="15" x14ac:dyDescent="0.25">
      <c r="A964" s="583" t="s">
        <v>14201</v>
      </c>
      <c r="B964" s="605" t="s">
        <v>14202</v>
      </c>
      <c r="C964" s="606"/>
      <c r="D964" s="607"/>
      <c r="E964" s="607"/>
      <c r="F964" s="607"/>
      <c r="G964" s="582"/>
    </row>
    <row r="965" spans="1:7" ht="15" x14ac:dyDescent="0.2">
      <c r="A965" s="583" t="s">
        <v>14203</v>
      </c>
      <c r="B965" s="605" t="s">
        <v>14204</v>
      </c>
      <c r="C965" s="606" t="s">
        <v>12427</v>
      </c>
      <c r="D965" s="607">
        <v>9.6999999999999993</v>
      </c>
      <c r="E965" s="607">
        <v>24.92</v>
      </c>
      <c r="F965" s="607">
        <v>34.619999999999997</v>
      </c>
      <c r="G965" s="584">
        <v>15</v>
      </c>
    </row>
    <row r="966" spans="1:7" ht="15" x14ac:dyDescent="0.2">
      <c r="A966" s="583" t="s">
        <v>14205</v>
      </c>
      <c r="B966" s="605" t="s">
        <v>14206</v>
      </c>
      <c r="C966" s="606" t="s">
        <v>12427</v>
      </c>
      <c r="D966" s="607">
        <v>10.35</v>
      </c>
      <c r="E966" s="607">
        <v>29.46</v>
      </c>
      <c r="F966" s="607">
        <v>39.81</v>
      </c>
      <c r="G966" s="584">
        <v>15</v>
      </c>
    </row>
    <row r="967" spans="1:7" ht="15" x14ac:dyDescent="0.2">
      <c r="A967" s="583" t="s">
        <v>14207</v>
      </c>
      <c r="B967" s="605" t="s">
        <v>14208</v>
      </c>
      <c r="C967" s="606" t="s">
        <v>12427</v>
      </c>
      <c r="D967" s="607">
        <v>30.17</v>
      </c>
      <c r="E967" s="607">
        <v>29.46</v>
      </c>
      <c r="F967" s="607">
        <v>59.63</v>
      </c>
      <c r="G967" s="584">
        <v>15</v>
      </c>
    </row>
    <row r="968" spans="1:7" ht="15" x14ac:dyDescent="0.2">
      <c r="A968" s="583" t="s">
        <v>14209</v>
      </c>
      <c r="B968" s="605" t="s">
        <v>14210</v>
      </c>
      <c r="C968" s="606" t="s">
        <v>12427</v>
      </c>
      <c r="D968" s="607">
        <v>9.6999999999999993</v>
      </c>
      <c r="E968" s="607">
        <v>18.13</v>
      </c>
      <c r="F968" s="607">
        <v>27.83</v>
      </c>
      <c r="G968" s="584">
        <v>15</v>
      </c>
    </row>
    <row r="969" spans="1:7" ht="15" x14ac:dyDescent="0.2">
      <c r="A969" s="583" t="s">
        <v>14211</v>
      </c>
      <c r="B969" s="605" t="s">
        <v>14212</v>
      </c>
      <c r="C969" s="606" t="s">
        <v>12427</v>
      </c>
      <c r="D969" s="607">
        <v>9.6999999999999993</v>
      </c>
      <c r="E969" s="607">
        <v>31.72</v>
      </c>
      <c r="F969" s="607">
        <v>41.42</v>
      </c>
      <c r="G969" s="584">
        <v>15</v>
      </c>
    </row>
    <row r="970" spans="1:7" ht="15" x14ac:dyDescent="0.2">
      <c r="A970" s="583" t="s">
        <v>14213</v>
      </c>
      <c r="B970" s="605" t="s">
        <v>14214</v>
      </c>
      <c r="C970" s="606" t="s">
        <v>12483</v>
      </c>
      <c r="D970" s="607">
        <v>6.97</v>
      </c>
      <c r="E970" s="607">
        <v>51.3</v>
      </c>
      <c r="F970" s="607">
        <v>58.27</v>
      </c>
      <c r="G970" s="584">
        <v>15</v>
      </c>
    </row>
    <row r="971" spans="1:7" ht="15" x14ac:dyDescent="0.2">
      <c r="A971" s="583" t="s">
        <v>14215</v>
      </c>
      <c r="B971" s="605" t="s">
        <v>14216</v>
      </c>
      <c r="C971" s="606" t="s">
        <v>12483</v>
      </c>
      <c r="D971" s="607">
        <v>1.19</v>
      </c>
      <c r="E971" s="607">
        <v>23.89</v>
      </c>
      <c r="F971" s="607">
        <v>25.08</v>
      </c>
      <c r="G971" s="584">
        <v>15</v>
      </c>
    </row>
    <row r="972" spans="1:7" ht="15" x14ac:dyDescent="0.2">
      <c r="A972" s="583" t="s">
        <v>14217</v>
      </c>
      <c r="B972" s="605" t="s">
        <v>14218</v>
      </c>
      <c r="C972" s="606" t="s">
        <v>12483</v>
      </c>
      <c r="D972" s="607">
        <v>1.37</v>
      </c>
      <c r="E972" s="607">
        <v>23.89</v>
      </c>
      <c r="F972" s="607">
        <v>25.26</v>
      </c>
      <c r="G972" s="584">
        <v>15</v>
      </c>
    </row>
    <row r="973" spans="1:7" ht="30" x14ac:dyDescent="0.2">
      <c r="A973" s="583" t="s">
        <v>14219</v>
      </c>
      <c r="B973" s="605" t="s">
        <v>14220</v>
      </c>
      <c r="C973" s="606" t="s">
        <v>12483</v>
      </c>
      <c r="D973" s="607">
        <v>1.63</v>
      </c>
      <c r="E973" s="607">
        <v>23.89</v>
      </c>
      <c r="F973" s="607">
        <v>25.52</v>
      </c>
      <c r="G973" s="584">
        <v>15</v>
      </c>
    </row>
    <row r="974" spans="1:7" ht="30" x14ac:dyDescent="0.2">
      <c r="A974" s="583" t="s">
        <v>14221</v>
      </c>
      <c r="B974" s="605" t="s">
        <v>14222</v>
      </c>
      <c r="C974" s="606" t="s">
        <v>12483</v>
      </c>
      <c r="D974" s="607">
        <v>2.12</v>
      </c>
      <c r="E974" s="607">
        <v>23.89</v>
      </c>
      <c r="F974" s="607">
        <v>26.01</v>
      </c>
      <c r="G974" s="584">
        <v>15</v>
      </c>
    </row>
    <row r="975" spans="1:7" ht="15" x14ac:dyDescent="0.25">
      <c r="A975" s="583" t="s">
        <v>14223</v>
      </c>
      <c r="B975" s="605" t="s">
        <v>14224</v>
      </c>
      <c r="C975" s="606"/>
      <c r="D975" s="607"/>
      <c r="E975" s="607"/>
      <c r="F975" s="607"/>
      <c r="G975" s="582"/>
    </row>
    <row r="976" spans="1:7" ht="15" x14ac:dyDescent="0.2">
      <c r="A976" s="583" t="s">
        <v>14225</v>
      </c>
      <c r="B976" s="605" t="s">
        <v>14226</v>
      </c>
      <c r="C976" s="606" t="s">
        <v>12427</v>
      </c>
      <c r="D976" s="607">
        <v>5.0999999999999996</v>
      </c>
      <c r="E976" s="607">
        <v>15.06</v>
      </c>
      <c r="F976" s="607">
        <v>20.16</v>
      </c>
      <c r="G976" s="584">
        <v>15</v>
      </c>
    </row>
    <row r="977" spans="1:7" ht="15" x14ac:dyDescent="0.2">
      <c r="A977" s="583" t="s">
        <v>14227</v>
      </c>
      <c r="B977" s="605" t="s">
        <v>14228</v>
      </c>
      <c r="C977" s="606" t="s">
        <v>12427</v>
      </c>
      <c r="D977" s="607">
        <v>7.14</v>
      </c>
      <c r="E977" s="607">
        <v>15.06</v>
      </c>
      <c r="F977" s="607">
        <v>22.2</v>
      </c>
      <c r="G977" s="584">
        <v>15</v>
      </c>
    </row>
    <row r="978" spans="1:7" ht="15" x14ac:dyDescent="0.25">
      <c r="A978" s="583" t="s">
        <v>14229</v>
      </c>
      <c r="B978" s="605" t="s">
        <v>14230</v>
      </c>
      <c r="C978" s="606"/>
      <c r="D978" s="607"/>
      <c r="E978" s="607"/>
      <c r="F978" s="607"/>
      <c r="G978" s="582"/>
    </row>
    <row r="979" spans="1:7" ht="15" x14ac:dyDescent="0.2">
      <c r="A979" s="583" t="s">
        <v>14231</v>
      </c>
      <c r="B979" s="605" t="s">
        <v>14232</v>
      </c>
      <c r="C979" s="606" t="s">
        <v>12508</v>
      </c>
      <c r="D979" s="607">
        <v>489.74</v>
      </c>
      <c r="E979" s="607">
        <v>434.88</v>
      </c>
      <c r="F979" s="607">
        <v>924.62</v>
      </c>
      <c r="G979" s="584">
        <v>15</v>
      </c>
    </row>
    <row r="980" spans="1:7" ht="30" x14ac:dyDescent="0.2">
      <c r="A980" s="583" t="s">
        <v>14233</v>
      </c>
      <c r="B980" s="605" t="s">
        <v>14234</v>
      </c>
      <c r="C980" s="606" t="s">
        <v>12508</v>
      </c>
      <c r="D980" s="607">
        <v>566.23</v>
      </c>
      <c r="E980" s="607">
        <v>434.88</v>
      </c>
      <c r="F980" s="607">
        <v>1001.11</v>
      </c>
      <c r="G980" s="584">
        <v>15</v>
      </c>
    </row>
    <row r="981" spans="1:7" ht="30" x14ac:dyDescent="0.2">
      <c r="A981" s="583" t="s">
        <v>14235</v>
      </c>
      <c r="B981" s="605" t="s">
        <v>14236</v>
      </c>
      <c r="C981" s="606" t="s">
        <v>12508</v>
      </c>
      <c r="D981" s="607">
        <v>605.57000000000005</v>
      </c>
      <c r="E981" s="607">
        <v>434.88</v>
      </c>
      <c r="F981" s="607">
        <v>1040.45</v>
      </c>
      <c r="G981" s="584">
        <v>15</v>
      </c>
    </row>
    <row r="982" spans="1:7" ht="15" x14ac:dyDescent="0.2">
      <c r="A982" s="583" t="s">
        <v>14237</v>
      </c>
      <c r="B982" s="605" t="s">
        <v>14238</v>
      </c>
      <c r="C982" s="606" t="s">
        <v>12483</v>
      </c>
      <c r="D982" s="607">
        <v>27.17</v>
      </c>
      <c r="E982" s="607">
        <v>50.53</v>
      </c>
      <c r="F982" s="607">
        <v>77.7</v>
      </c>
      <c r="G982" s="584">
        <v>15</v>
      </c>
    </row>
    <row r="983" spans="1:7" ht="15" x14ac:dyDescent="0.2">
      <c r="A983" s="583" t="s">
        <v>14239</v>
      </c>
      <c r="B983" s="605" t="s">
        <v>14240</v>
      </c>
      <c r="C983" s="606" t="s">
        <v>12483</v>
      </c>
      <c r="D983" s="607">
        <v>14.45</v>
      </c>
      <c r="E983" s="607">
        <v>68.790000000000006</v>
      </c>
      <c r="F983" s="607">
        <v>83.24</v>
      </c>
      <c r="G983" s="584">
        <v>15</v>
      </c>
    </row>
    <row r="984" spans="1:7" ht="15" x14ac:dyDescent="0.25">
      <c r="A984" s="583" t="s">
        <v>14241</v>
      </c>
      <c r="B984" s="605" t="s">
        <v>14242</v>
      </c>
      <c r="C984" s="606"/>
      <c r="D984" s="607"/>
      <c r="E984" s="607"/>
      <c r="F984" s="607"/>
      <c r="G984" s="582"/>
    </row>
    <row r="985" spans="1:7" ht="15" x14ac:dyDescent="0.2">
      <c r="A985" s="583" t="s">
        <v>14243</v>
      </c>
      <c r="B985" s="605" t="s">
        <v>14244</v>
      </c>
      <c r="C985" s="606" t="s">
        <v>12427</v>
      </c>
      <c r="D985" s="607">
        <v>98.3</v>
      </c>
      <c r="E985" s="607">
        <v>8.18</v>
      </c>
      <c r="F985" s="607">
        <v>106.48</v>
      </c>
      <c r="G985" s="584">
        <v>15</v>
      </c>
    </row>
    <row r="986" spans="1:7" ht="15" x14ac:dyDescent="0.2">
      <c r="A986" s="583" t="s">
        <v>14245</v>
      </c>
      <c r="B986" s="605" t="s">
        <v>14246</v>
      </c>
      <c r="C986" s="606" t="s">
        <v>12483</v>
      </c>
      <c r="D986" s="607">
        <v>58.61</v>
      </c>
      <c r="E986" s="607">
        <v>2.04</v>
      </c>
      <c r="F986" s="607">
        <v>60.65</v>
      </c>
      <c r="G986" s="584">
        <v>15</v>
      </c>
    </row>
    <row r="987" spans="1:7" ht="15" x14ac:dyDescent="0.2">
      <c r="A987" s="583" t="s">
        <v>14247</v>
      </c>
      <c r="B987" s="605" t="s">
        <v>14248</v>
      </c>
      <c r="C987" s="606" t="s">
        <v>12483</v>
      </c>
      <c r="D987" s="607">
        <v>97.85</v>
      </c>
      <c r="E987" s="607">
        <v>2.4500000000000002</v>
      </c>
      <c r="F987" s="607">
        <v>100.3</v>
      </c>
      <c r="G987" s="584">
        <v>15</v>
      </c>
    </row>
    <row r="988" spans="1:7" ht="15" x14ac:dyDescent="0.2">
      <c r="A988" s="583" t="s">
        <v>14249</v>
      </c>
      <c r="B988" s="605" t="s">
        <v>14250</v>
      </c>
      <c r="C988" s="606" t="s">
        <v>12483</v>
      </c>
      <c r="D988" s="607">
        <v>54.23</v>
      </c>
      <c r="E988" s="607">
        <v>4.09</v>
      </c>
      <c r="F988" s="607">
        <v>58.32</v>
      </c>
      <c r="G988" s="584">
        <v>15</v>
      </c>
    </row>
    <row r="989" spans="1:7" ht="30" x14ac:dyDescent="0.2">
      <c r="A989" s="583" t="s">
        <v>14251</v>
      </c>
      <c r="B989" s="605" t="s">
        <v>14252</v>
      </c>
      <c r="C989" s="606" t="s">
        <v>12483</v>
      </c>
      <c r="D989" s="607">
        <v>128.11000000000001</v>
      </c>
      <c r="E989" s="607">
        <v>0.49</v>
      </c>
      <c r="F989" s="607">
        <v>128.6</v>
      </c>
      <c r="G989" s="584">
        <v>15</v>
      </c>
    </row>
    <row r="990" spans="1:7" ht="15" x14ac:dyDescent="0.2">
      <c r="A990" s="583" t="s">
        <v>14253</v>
      </c>
      <c r="B990" s="605" t="s">
        <v>14254</v>
      </c>
      <c r="C990" s="606" t="s">
        <v>12427</v>
      </c>
      <c r="D990" s="607">
        <v>267.81</v>
      </c>
      <c r="E990" s="607">
        <v>4.91</v>
      </c>
      <c r="F990" s="607">
        <v>272.72000000000003</v>
      </c>
      <c r="G990" s="584">
        <v>15</v>
      </c>
    </row>
    <row r="991" spans="1:7" ht="15" x14ac:dyDescent="0.25">
      <c r="A991" s="583" t="s">
        <v>14255</v>
      </c>
      <c r="B991" s="605" t="s">
        <v>14256</v>
      </c>
      <c r="C991" s="606"/>
      <c r="D991" s="607"/>
      <c r="E991" s="607"/>
      <c r="F991" s="607"/>
      <c r="G991" s="582"/>
    </row>
    <row r="992" spans="1:7" ht="15" x14ac:dyDescent="0.2">
      <c r="A992" s="583" t="s">
        <v>14257</v>
      </c>
      <c r="B992" s="605" t="s">
        <v>14258</v>
      </c>
      <c r="C992" s="606" t="s">
        <v>12427</v>
      </c>
      <c r="D992" s="607">
        <v>99.15</v>
      </c>
      <c r="E992" s="607">
        <v>8.18</v>
      </c>
      <c r="F992" s="607">
        <v>107.33</v>
      </c>
      <c r="G992" s="584">
        <v>15</v>
      </c>
    </row>
    <row r="993" spans="1:7" ht="15" x14ac:dyDescent="0.2">
      <c r="A993" s="583" t="s">
        <v>14259</v>
      </c>
      <c r="B993" s="605" t="s">
        <v>14260</v>
      </c>
      <c r="C993" s="606" t="s">
        <v>12483</v>
      </c>
      <c r="D993" s="607">
        <v>44.62</v>
      </c>
      <c r="E993" s="607">
        <v>2.04</v>
      </c>
      <c r="F993" s="607">
        <v>46.66</v>
      </c>
      <c r="G993" s="584">
        <v>15</v>
      </c>
    </row>
    <row r="994" spans="1:7" ht="15" x14ac:dyDescent="0.2">
      <c r="A994" s="583" t="s">
        <v>14261</v>
      </c>
      <c r="B994" s="605" t="s">
        <v>14262</v>
      </c>
      <c r="C994" s="606" t="s">
        <v>12483</v>
      </c>
      <c r="D994" s="607">
        <v>104.79</v>
      </c>
      <c r="E994" s="607">
        <v>2.4500000000000002</v>
      </c>
      <c r="F994" s="607">
        <v>107.24</v>
      </c>
      <c r="G994" s="584">
        <v>15</v>
      </c>
    </row>
    <row r="995" spans="1:7" ht="15" x14ac:dyDescent="0.2">
      <c r="A995" s="583" t="s">
        <v>14263</v>
      </c>
      <c r="B995" s="605" t="s">
        <v>14264</v>
      </c>
      <c r="C995" s="606" t="s">
        <v>12483</v>
      </c>
      <c r="D995" s="607">
        <v>97.42</v>
      </c>
      <c r="E995" s="607">
        <v>2.4500000000000002</v>
      </c>
      <c r="F995" s="607">
        <v>99.87</v>
      </c>
      <c r="G995" s="584">
        <v>15</v>
      </c>
    </row>
    <row r="996" spans="1:7" ht="30" x14ac:dyDescent="0.2">
      <c r="A996" s="583" t="s">
        <v>14265</v>
      </c>
      <c r="B996" s="605" t="s">
        <v>14266</v>
      </c>
      <c r="C996" s="606" t="s">
        <v>12483</v>
      </c>
      <c r="D996" s="607">
        <v>47.25</v>
      </c>
      <c r="E996" s="607">
        <v>4.09</v>
      </c>
      <c r="F996" s="607">
        <v>51.34</v>
      </c>
      <c r="G996" s="584">
        <v>15</v>
      </c>
    </row>
    <row r="997" spans="1:7" ht="15" x14ac:dyDescent="0.2">
      <c r="A997" s="583" t="s">
        <v>14267</v>
      </c>
      <c r="B997" s="605" t="s">
        <v>20136</v>
      </c>
      <c r="C997" s="606" t="s">
        <v>12483</v>
      </c>
      <c r="D997" s="607">
        <v>100.92</v>
      </c>
      <c r="E997" s="607"/>
      <c r="F997" s="607">
        <v>100.92</v>
      </c>
      <c r="G997" s="584">
        <v>15</v>
      </c>
    </row>
    <row r="998" spans="1:7" ht="15" x14ac:dyDescent="0.2">
      <c r="A998" s="583" t="s">
        <v>20137</v>
      </c>
      <c r="B998" s="605" t="s">
        <v>20138</v>
      </c>
      <c r="C998" s="606" t="s">
        <v>12427</v>
      </c>
      <c r="D998" s="607">
        <v>156.66999999999999</v>
      </c>
      <c r="E998" s="607"/>
      <c r="F998" s="607">
        <v>156.66999999999999</v>
      </c>
      <c r="G998" s="584">
        <v>15</v>
      </c>
    </row>
    <row r="999" spans="1:7" ht="30" x14ac:dyDescent="0.2">
      <c r="A999" s="583" t="s">
        <v>20139</v>
      </c>
      <c r="B999" s="605" t="s">
        <v>20140</v>
      </c>
      <c r="C999" s="606" t="s">
        <v>12424</v>
      </c>
      <c r="D999" s="607">
        <v>1924.5</v>
      </c>
      <c r="E999" s="607"/>
      <c r="F999" s="607">
        <v>1924.5</v>
      </c>
      <c r="G999" s="584">
        <v>15</v>
      </c>
    </row>
    <row r="1000" spans="1:7" ht="15" x14ac:dyDescent="0.25">
      <c r="A1000" s="583" t="s">
        <v>14268</v>
      </c>
      <c r="B1000" s="605" t="s">
        <v>14269</v>
      </c>
      <c r="C1000" s="606"/>
      <c r="D1000" s="607"/>
      <c r="E1000" s="607"/>
      <c r="F1000" s="607"/>
      <c r="G1000" s="582"/>
    </row>
    <row r="1001" spans="1:7" ht="15" x14ac:dyDescent="0.2">
      <c r="A1001" s="583" t="s">
        <v>14270</v>
      </c>
      <c r="B1001" s="605" t="s">
        <v>14271</v>
      </c>
      <c r="C1001" s="606" t="s">
        <v>12427</v>
      </c>
      <c r="D1001" s="607">
        <v>34.86</v>
      </c>
      <c r="E1001" s="607">
        <v>57.43</v>
      </c>
      <c r="F1001" s="607">
        <v>92.29</v>
      </c>
      <c r="G1001" s="584">
        <v>15</v>
      </c>
    </row>
    <row r="1002" spans="1:7" ht="30" x14ac:dyDescent="0.2">
      <c r="A1002" s="583" t="s">
        <v>14272</v>
      </c>
      <c r="B1002" s="605" t="s">
        <v>14273</v>
      </c>
      <c r="C1002" s="606" t="s">
        <v>12483</v>
      </c>
      <c r="D1002" s="607">
        <v>82.21</v>
      </c>
      <c r="E1002" s="607">
        <v>20.440000000000001</v>
      </c>
      <c r="F1002" s="607">
        <v>102.65</v>
      </c>
      <c r="G1002" s="584">
        <v>15</v>
      </c>
    </row>
    <row r="1003" spans="1:7" ht="30" x14ac:dyDescent="0.2">
      <c r="A1003" s="583" t="s">
        <v>14274</v>
      </c>
      <c r="B1003" s="605" t="s">
        <v>14275</v>
      </c>
      <c r="C1003" s="606" t="s">
        <v>12483</v>
      </c>
      <c r="D1003" s="607">
        <v>10.81</v>
      </c>
      <c r="E1003" s="607"/>
      <c r="F1003" s="607">
        <v>10.81</v>
      </c>
      <c r="G1003" s="584">
        <v>15</v>
      </c>
    </row>
    <row r="1004" spans="1:7" ht="15" x14ac:dyDescent="0.2">
      <c r="A1004" s="583" t="s">
        <v>14276</v>
      </c>
      <c r="B1004" s="605" t="s">
        <v>14277</v>
      </c>
      <c r="C1004" s="606" t="s">
        <v>12427</v>
      </c>
      <c r="D1004" s="607">
        <v>198.51</v>
      </c>
      <c r="E1004" s="607">
        <v>20.440000000000001</v>
      </c>
      <c r="F1004" s="607">
        <v>218.95</v>
      </c>
      <c r="G1004" s="584">
        <v>15</v>
      </c>
    </row>
    <row r="1005" spans="1:7" ht="30" x14ac:dyDescent="0.2">
      <c r="A1005" s="583" t="s">
        <v>14278</v>
      </c>
      <c r="B1005" s="605" t="s">
        <v>14279</v>
      </c>
      <c r="C1005" s="606" t="s">
        <v>12427</v>
      </c>
      <c r="D1005" s="607">
        <v>14.74</v>
      </c>
      <c r="E1005" s="607">
        <v>22.53</v>
      </c>
      <c r="F1005" s="607">
        <v>37.270000000000003</v>
      </c>
      <c r="G1005" s="584">
        <v>15</v>
      </c>
    </row>
    <row r="1006" spans="1:7" ht="15" x14ac:dyDescent="0.25">
      <c r="A1006" s="583" t="s">
        <v>14280</v>
      </c>
      <c r="B1006" s="605" t="s">
        <v>14281</v>
      </c>
      <c r="C1006" s="606"/>
      <c r="D1006" s="607"/>
      <c r="E1006" s="607"/>
      <c r="F1006" s="607"/>
      <c r="G1006" s="582"/>
    </row>
    <row r="1007" spans="1:7" ht="15" x14ac:dyDescent="0.2">
      <c r="A1007" s="583" t="s">
        <v>14282</v>
      </c>
      <c r="B1007" s="605" t="s">
        <v>14283</v>
      </c>
      <c r="C1007" s="606" t="s">
        <v>12427</v>
      </c>
      <c r="D1007" s="607">
        <v>56.13</v>
      </c>
      <c r="E1007" s="607"/>
      <c r="F1007" s="607">
        <v>56.13</v>
      </c>
      <c r="G1007" s="584">
        <v>15</v>
      </c>
    </row>
    <row r="1008" spans="1:7" ht="30" x14ac:dyDescent="0.2">
      <c r="A1008" s="583" t="s">
        <v>14284</v>
      </c>
      <c r="B1008" s="605" t="s">
        <v>14285</v>
      </c>
      <c r="C1008" s="606" t="s">
        <v>12427</v>
      </c>
      <c r="D1008" s="607">
        <v>49.47</v>
      </c>
      <c r="E1008" s="607"/>
      <c r="F1008" s="607">
        <v>49.47</v>
      </c>
      <c r="G1008" s="584">
        <v>15</v>
      </c>
    </row>
    <row r="1009" spans="1:7" ht="30" x14ac:dyDescent="0.2">
      <c r="A1009" s="583" t="s">
        <v>14286</v>
      </c>
      <c r="B1009" s="605" t="s">
        <v>14287</v>
      </c>
      <c r="C1009" s="606" t="s">
        <v>12483</v>
      </c>
      <c r="D1009" s="607">
        <v>57.86</v>
      </c>
      <c r="E1009" s="607"/>
      <c r="F1009" s="607">
        <v>57.86</v>
      </c>
      <c r="G1009" s="584">
        <v>15</v>
      </c>
    </row>
    <row r="1010" spans="1:7" ht="15" x14ac:dyDescent="0.2">
      <c r="A1010" s="583" t="s">
        <v>14288</v>
      </c>
      <c r="B1010" s="605" t="s">
        <v>14289</v>
      </c>
      <c r="C1010" s="606" t="s">
        <v>12483</v>
      </c>
      <c r="D1010" s="607">
        <v>57.82</v>
      </c>
      <c r="E1010" s="607"/>
      <c r="F1010" s="607">
        <v>57.82</v>
      </c>
      <c r="G1010" s="584">
        <v>15</v>
      </c>
    </row>
    <row r="1011" spans="1:7" ht="30" x14ac:dyDescent="0.2">
      <c r="A1011" s="583" t="s">
        <v>14290</v>
      </c>
      <c r="B1011" s="605" t="s">
        <v>14291</v>
      </c>
      <c r="C1011" s="606" t="s">
        <v>12483</v>
      </c>
      <c r="D1011" s="607"/>
      <c r="E1011" s="607">
        <v>45.31</v>
      </c>
      <c r="F1011" s="607">
        <v>45.31</v>
      </c>
      <c r="G1011" s="584">
        <v>15</v>
      </c>
    </row>
    <row r="1012" spans="1:7" ht="15" x14ac:dyDescent="0.2">
      <c r="A1012" s="583" t="s">
        <v>14292</v>
      </c>
      <c r="B1012" s="605" t="s">
        <v>14293</v>
      </c>
      <c r="C1012" s="606" t="s">
        <v>12427</v>
      </c>
      <c r="D1012" s="607">
        <v>11.57</v>
      </c>
      <c r="E1012" s="607">
        <v>23.08</v>
      </c>
      <c r="F1012" s="607">
        <v>34.65</v>
      </c>
      <c r="G1012" s="584">
        <v>15</v>
      </c>
    </row>
    <row r="1013" spans="1:7" ht="15" x14ac:dyDescent="0.2">
      <c r="A1013" s="583" t="s">
        <v>14294</v>
      </c>
      <c r="B1013" s="605" t="s">
        <v>14295</v>
      </c>
      <c r="C1013" s="606" t="s">
        <v>12427</v>
      </c>
      <c r="D1013" s="607">
        <v>26.18</v>
      </c>
      <c r="E1013" s="607">
        <v>23.08</v>
      </c>
      <c r="F1013" s="607">
        <v>49.26</v>
      </c>
      <c r="G1013" s="584">
        <v>15</v>
      </c>
    </row>
    <row r="1014" spans="1:7" ht="15" x14ac:dyDescent="0.2">
      <c r="A1014" s="583" t="s">
        <v>14296</v>
      </c>
      <c r="B1014" s="605" t="s">
        <v>14297</v>
      </c>
      <c r="C1014" s="606" t="s">
        <v>12483</v>
      </c>
      <c r="D1014" s="607">
        <v>6.17</v>
      </c>
      <c r="E1014" s="607">
        <v>12.04</v>
      </c>
      <c r="F1014" s="607">
        <v>18.21</v>
      </c>
      <c r="G1014" s="584">
        <v>15</v>
      </c>
    </row>
    <row r="1015" spans="1:7" ht="15" x14ac:dyDescent="0.2">
      <c r="A1015" s="583" t="s">
        <v>14298</v>
      </c>
      <c r="B1015" s="605" t="s">
        <v>14299</v>
      </c>
      <c r="C1015" s="606" t="s">
        <v>12483</v>
      </c>
      <c r="D1015" s="607">
        <v>13.96</v>
      </c>
      <c r="E1015" s="607">
        <v>12.04</v>
      </c>
      <c r="F1015" s="607">
        <v>26</v>
      </c>
      <c r="G1015" s="584">
        <v>15</v>
      </c>
    </row>
    <row r="1016" spans="1:7" ht="15" x14ac:dyDescent="0.25">
      <c r="A1016" s="583" t="s">
        <v>14300</v>
      </c>
      <c r="B1016" s="605" t="s">
        <v>14301</v>
      </c>
      <c r="C1016" s="606"/>
      <c r="D1016" s="607"/>
      <c r="E1016" s="607"/>
      <c r="F1016" s="607"/>
      <c r="G1016" s="582"/>
    </row>
    <row r="1017" spans="1:7" ht="15" x14ac:dyDescent="0.25">
      <c r="A1017" s="583" t="s">
        <v>14302</v>
      </c>
      <c r="B1017" s="605" t="s">
        <v>14303</v>
      </c>
      <c r="C1017" s="606"/>
      <c r="D1017" s="607"/>
      <c r="E1017" s="607"/>
      <c r="F1017" s="607"/>
      <c r="G1017" s="582"/>
    </row>
    <row r="1018" spans="1:7" ht="30" x14ac:dyDescent="0.2">
      <c r="A1018" s="583" t="s">
        <v>14304</v>
      </c>
      <c r="B1018" s="605" t="s">
        <v>14305</v>
      </c>
      <c r="C1018" s="606" t="s">
        <v>12427</v>
      </c>
      <c r="D1018" s="607">
        <v>58.83</v>
      </c>
      <c r="E1018" s="607">
        <v>13.04</v>
      </c>
      <c r="F1018" s="607">
        <v>71.87</v>
      </c>
      <c r="G1018" s="584">
        <v>15</v>
      </c>
    </row>
    <row r="1019" spans="1:7" ht="15" x14ac:dyDescent="0.25">
      <c r="A1019" s="583" t="s">
        <v>14306</v>
      </c>
      <c r="B1019" s="605" t="s">
        <v>14307</v>
      </c>
      <c r="C1019" s="606"/>
      <c r="D1019" s="607"/>
      <c r="E1019" s="607"/>
      <c r="F1019" s="607"/>
      <c r="G1019" s="582"/>
    </row>
    <row r="1020" spans="1:7" ht="45" x14ac:dyDescent="0.2">
      <c r="A1020" s="583" t="s">
        <v>14308</v>
      </c>
      <c r="B1020" s="605" t="s">
        <v>14309</v>
      </c>
      <c r="C1020" s="606" t="s">
        <v>12427</v>
      </c>
      <c r="D1020" s="607">
        <v>34.07</v>
      </c>
      <c r="E1020" s="607">
        <v>15.44</v>
      </c>
      <c r="F1020" s="607">
        <v>49.51</v>
      </c>
      <c r="G1020" s="584">
        <v>15</v>
      </c>
    </row>
    <row r="1021" spans="1:7" ht="45" x14ac:dyDescent="0.2">
      <c r="A1021" s="583" t="s">
        <v>14310</v>
      </c>
      <c r="B1021" s="605" t="s">
        <v>14311</v>
      </c>
      <c r="C1021" s="606" t="s">
        <v>12483</v>
      </c>
      <c r="D1021" s="607">
        <v>5.61</v>
      </c>
      <c r="E1021" s="607">
        <v>1.24</v>
      </c>
      <c r="F1021" s="607">
        <v>6.85</v>
      </c>
      <c r="G1021" s="584">
        <v>15</v>
      </c>
    </row>
    <row r="1022" spans="1:7" ht="60" x14ac:dyDescent="0.2">
      <c r="A1022" s="583" t="s">
        <v>14312</v>
      </c>
      <c r="B1022" s="605" t="s">
        <v>14313</v>
      </c>
      <c r="C1022" s="606" t="s">
        <v>12427</v>
      </c>
      <c r="D1022" s="607">
        <v>116.07</v>
      </c>
      <c r="E1022" s="607">
        <v>15.44</v>
      </c>
      <c r="F1022" s="607">
        <v>131.51</v>
      </c>
      <c r="G1022" s="584">
        <v>15</v>
      </c>
    </row>
    <row r="1023" spans="1:7" ht="60" x14ac:dyDescent="0.2">
      <c r="A1023" s="583" t="s">
        <v>14314</v>
      </c>
      <c r="B1023" s="605" t="s">
        <v>14315</v>
      </c>
      <c r="C1023" s="606" t="s">
        <v>12483</v>
      </c>
      <c r="D1023" s="607">
        <v>19.399999999999999</v>
      </c>
      <c r="E1023" s="607">
        <v>1.24</v>
      </c>
      <c r="F1023" s="607">
        <v>20.64</v>
      </c>
      <c r="G1023" s="584">
        <v>15</v>
      </c>
    </row>
    <row r="1024" spans="1:7" ht="45" x14ac:dyDescent="0.2">
      <c r="A1024" s="583" t="s">
        <v>20141</v>
      </c>
      <c r="B1024" s="605" t="s">
        <v>20142</v>
      </c>
      <c r="C1024" s="606" t="s">
        <v>12427</v>
      </c>
      <c r="D1024" s="607">
        <v>40.380000000000003</v>
      </c>
      <c r="E1024" s="607">
        <v>15.44</v>
      </c>
      <c r="F1024" s="607">
        <v>55.82</v>
      </c>
      <c r="G1024" s="584">
        <v>15</v>
      </c>
    </row>
    <row r="1025" spans="1:7" ht="45" x14ac:dyDescent="0.2">
      <c r="A1025" s="583" t="s">
        <v>20143</v>
      </c>
      <c r="B1025" s="605" t="s">
        <v>20144</v>
      </c>
      <c r="C1025" s="606" t="s">
        <v>12483</v>
      </c>
      <c r="D1025" s="607">
        <v>6.47</v>
      </c>
      <c r="E1025" s="607">
        <v>1.24</v>
      </c>
      <c r="F1025" s="607">
        <v>7.71</v>
      </c>
      <c r="G1025" s="584">
        <v>15</v>
      </c>
    </row>
    <row r="1026" spans="1:7" ht="45" x14ac:dyDescent="0.2">
      <c r="A1026" s="583" t="s">
        <v>14316</v>
      </c>
      <c r="B1026" s="605" t="s">
        <v>14317</v>
      </c>
      <c r="C1026" s="606" t="s">
        <v>12427</v>
      </c>
      <c r="D1026" s="607">
        <v>35.380000000000003</v>
      </c>
      <c r="E1026" s="607">
        <v>15.44</v>
      </c>
      <c r="F1026" s="607">
        <v>50.82</v>
      </c>
      <c r="G1026" s="584">
        <v>15</v>
      </c>
    </row>
    <row r="1027" spans="1:7" ht="60" x14ac:dyDescent="0.2">
      <c r="A1027" s="583" t="s">
        <v>14318</v>
      </c>
      <c r="B1027" s="605" t="s">
        <v>14319</v>
      </c>
      <c r="C1027" s="606" t="s">
        <v>12483</v>
      </c>
      <c r="D1027" s="607">
        <v>5.61</v>
      </c>
      <c r="E1027" s="607">
        <v>1.24</v>
      </c>
      <c r="F1027" s="607">
        <v>6.85</v>
      </c>
      <c r="G1027" s="584">
        <v>15</v>
      </c>
    </row>
    <row r="1028" spans="1:7" ht="30" x14ac:dyDescent="0.2">
      <c r="A1028" s="583" t="s">
        <v>14320</v>
      </c>
      <c r="B1028" s="605" t="s">
        <v>14321</v>
      </c>
      <c r="C1028" s="606" t="s">
        <v>12427</v>
      </c>
      <c r="D1028" s="607">
        <v>12.37</v>
      </c>
      <c r="E1028" s="607">
        <v>64.900000000000006</v>
      </c>
      <c r="F1028" s="607">
        <v>77.27</v>
      </c>
      <c r="G1028" s="584">
        <v>15</v>
      </c>
    </row>
    <row r="1029" spans="1:7" ht="30" x14ac:dyDescent="0.2">
      <c r="A1029" s="583" t="s">
        <v>14322</v>
      </c>
      <c r="B1029" s="605" t="s">
        <v>14323</v>
      </c>
      <c r="C1029" s="606" t="s">
        <v>12427</v>
      </c>
      <c r="D1029" s="607">
        <v>1.18</v>
      </c>
      <c r="E1029" s="607">
        <v>10.31</v>
      </c>
      <c r="F1029" s="607">
        <v>11.49</v>
      </c>
      <c r="G1029" s="584">
        <v>15</v>
      </c>
    </row>
    <row r="1030" spans="1:7" ht="30" x14ac:dyDescent="0.2">
      <c r="A1030" s="583" t="s">
        <v>14324</v>
      </c>
      <c r="B1030" s="605" t="s">
        <v>14325</v>
      </c>
      <c r="C1030" s="606" t="s">
        <v>12427</v>
      </c>
      <c r="D1030" s="607">
        <v>2.96</v>
      </c>
      <c r="E1030" s="607">
        <v>10.31</v>
      </c>
      <c r="F1030" s="607">
        <v>13.27</v>
      </c>
      <c r="G1030" s="584">
        <v>15</v>
      </c>
    </row>
    <row r="1031" spans="1:7" ht="30" x14ac:dyDescent="0.2">
      <c r="A1031" s="583" t="s">
        <v>14326</v>
      </c>
      <c r="B1031" s="605" t="s">
        <v>14327</v>
      </c>
      <c r="C1031" s="606" t="s">
        <v>12427</v>
      </c>
      <c r="D1031" s="607">
        <v>2.36</v>
      </c>
      <c r="E1031" s="607">
        <v>10.31</v>
      </c>
      <c r="F1031" s="607">
        <v>12.67</v>
      </c>
      <c r="G1031" s="584">
        <v>15</v>
      </c>
    </row>
    <row r="1032" spans="1:7" ht="30" x14ac:dyDescent="0.2">
      <c r="A1032" s="583" t="s">
        <v>14328</v>
      </c>
      <c r="B1032" s="605" t="s">
        <v>14329</v>
      </c>
      <c r="C1032" s="606" t="s">
        <v>12427</v>
      </c>
      <c r="D1032" s="607">
        <v>7.39</v>
      </c>
      <c r="E1032" s="607">
        <v>10.31</v>
      </c>
      <c r="F1032" s="607">
        <v>17.7</v>
      </c>
      <c r="G1032" s="584">
        <v>15</v>
      </c>
    </row>
    <row r="1033" spans="1:7" ht="30" x14ac:dyDescent="0.2">
      <c r="A1033" s="583" t="s">
        <v>14330</v>
      </c>
      <c r="B1033" s="605" t="s">
        <v>14331</v>
      </c>
      <c r="C1033" s="606" t="s">
        <v>12483</v>
      </c>
      <c r="D1033" s="607">
        <v>0.12</v>
      </c>
      <c r="E1033" s="607">
        <v>1.1599999999999999</v>
      </c>
      <c r="F1033" s="607">
        <v>1.28</v>
      </c>
      <c r="G1033" s="584">
        <v>15</v>
      </c>
    </row>
    <row r="1034" spans="1:7" ht="45" x14ac:dyDescent="0.2">
      <c r="A1034" s="583" t="s">
        <v>14332</v>
      </c>
      <c r="B1034" s="605" t="s">
        <v>14333</v>
      </c>
      <c r="C1034" s="606" t="s">
        <v>12483</v>
      </c>
      <c r="D1034" s="607">
        <v>0.3</v>
      </c>
      <c r="E1034" s="607">
        <v>1.1599999999999999</v>
      </c>
      <c r="F1034" s="607">
        <v>1.46</v>
      </c>
      <c r="G1034" s="584">
        <v>15</v>
      </c>
    </row>
    <row r="1035" spans="1:7" ht="30" x14ac:dyDescent="0.2">
      <c r="A1035" s="583" t="s">
        <v>14334</v>
      </c>
      <c r="B1035" s="605" t="s">
        <v>14335</v>
      </c>
      <c r="C1035" s="606" t="s">
        <v>12483</v>
      </c>
      <c r="D1035" s="607">
        <v>0.24</v>
      </c>
      <c r="E1035" s="607">
        <v>1.1599999999999999</v>
      </c>
      <c r="F1035" s="607">
        <v>1.4</v>
      </c>
      <c r="G1035" s="584">
        <v>15</v>
      </c>
    </row>
    <row r="1036" spans="1:7" ht="45" x14ac:dyDescent="0.2">
      <c r="A1036" s="583" t="s">
        <v>14336</v>
      </c>
      <c r="B1036" s="605" t="s">
        <v>14337</v>
      </c>
      <c r="C1036" s="606" t="s">
        <v>12483</v>
      </c>
      <c r="D1036" s="607">
        <v>0.74</v>
      </c>
      <c r="E1036" s="607">
        <v>1.1599999999999999</v>
      </c>
      <c r="F1036" s="607">
        <v>1.9</v>
      </c>
      <c r="G1036" s="584">
        <v>15</v>
      </c>
    </row>
    <row r="1037" spans="1:7" ht="15" x14ac:dyDescent="0.25">
      <c r="A1037" s="583" t="s">
        <v>14338</v>
      </c>
      <c r="B1037" s="605" t="s">
        <v>14339</v>
      </c>
      <c r="C1037" s="606"/>
      <c r="D1037" s="607"/>
      <c r="E1037" s="607"/>
      <c r="F1037" s="607"/>
      <c r="G1037" s="582"/>
    </row>
    <row r="1038" spans="1:7" ht="45" x14ac:dyDescent="0.2">
      <c r="A1038" s="583" t="s">
        <v>14340</v>
      </c>
      <c r="B1038" s="605" t="s">
        <v>14341</v>
      </c>
      <c r="C1038" s="606" t="s">
        <v>12427</v>
      </c>
      <c r="D1038" s="607">
        <v>159.80000000000001</v>
      </c>
      <c r="E1038" s="607">
        <v>15.44</v>
      </c>
      <c r="F1038" s="607">
        <v>175.24</v>
      </c>
      <c r="G1038" s="584">
        <v>15</v>
      </c>
    </row>
    <row r="1039" spans="1:7" ht="45" x14ac:dyDescent="0.2">
      <c r="A1039" s="583" t="s">
        <v>14342</v>
      </c>
      <c r="B1039" s="605" t="s">
        <v>14343</v>
      </c>
      <c r="C1039" s="606" t="s">
        <v>12427</v>
      </c>
      <c r="D1039" s="607">
        <v>201.54</v>
      </c>
      <c r="E1039" s="607">
        <v>15.44</v>
      </c>
      <c r="F1039" s="607">
        <v>216.98</v>
      </c>
      <c r="G1039" s="584">
        <v>15</v>
      </c>
    </row>
    <row r="1040" spans="1:7" ht="45" x14ac:dyDescent="0.2">
      <c r="A1040" s="583" t="s">
        <v>14344</v>
      </c>
      <c r="B1040" s="605" t="s">
        <v>14345</v>
      </c>
      <c r="C1040" s="606" t="s">
        <v>12427</v>
      </c>
      <c r="D1040" s="607">
        <v>178.04</v>
      </c>
      <c r="E1040" s="607">
        <v>15.44</v>
      </c>
      <c r="F1040" s="607">
        <v>193.48</v>
      </c>
      <c r="G1040" s="584">
        <v>15</v>
      </c>
    </row>
    <row r="1041" spans="1:7" ht="45" x14ac:dyDescent="0.2">
      <c r="A1041" s="583" t="s">
        <v>14346</v>
      </c>
      <c r="B1041" s="605" t="s">
        <v>14347</v>
      </c>
      <c r="C1041" s="606" t="s">
        <v>12483</v>
      </c>
      <c r="D1041" s="607">
        <v>44.86</v>
      </c>
      <c r="E1041" s="607">
        <v>1.54</v>
      </c>
      <c r="F1041" s="607">
        <v>46.4</v>
      </c>
      <c r="G1041" s="584">
        <v>15</v>
      </c>
    </row>
    <row r="1042" spans="1:7" ht="60" x14ac:dyDescent="0.2">
      <c r="A1042" s="583" t="s">
        <v>14348</v>
      </c>
      <c r="B1042" s="605" t="s">
        <v>14349</v>
      </c>
      <c r="C1042" s="606" t="s">
        <v>12427</v>
      </c>
      <c r="D1042" s="607">
        <v>313.47000000000003</v>
      </c>
      <c r="E1042" s="607">
        <v>15.44</v>
      </c>
      <c r="F1042" s="607">
        <v>328.91</v>
      </c>
      <c r="G1042" s="584">
        <v>15</v>
      </c>
    </row>
    <row r="1043" spans="1:7" ht="60" x14ac:dyDescent="0.2">
      <c r="A1043" s="583" t="s">
        <v>14350</v>
      </c>
      <c r="B1043" s="605" t="s">
        <v>14351</v>
      </c>
      <c r="C1043" s="606" t="s">
        <v>12483</v>
      </c>
      <c r="D1043" s="607">
        <v>62.8</v>
      </c>
      <c r="E1043" s="607">
        <v>1.54</v>
      </c>
      <c r="F1043" s="607">
        <v>64.34</v>
      </c>
      <c r="G1043" s="584">
        <v>15</v>
      </c>
    </row>
    <row r="1044" spans="1:7" ht="45" x14ac:dyDescent="0.2">
      <c r="A1044" s="583" t="s">
        <v>14352</v>
      </c>
      <c r="B1044" s="605" t="s">
        <v>14353</v>
      </c>
      <c r="C1044" s="606" t="s">
        <v>12427</v>
      </c>
      <c r="D1044" s="607">
        <v>43.24</v>
      </c>
      <c r="E1044" s="607">
        <v>10.31</v>
      </c>
      <c r="F1044" s="607">
        <v>53.55</v>
      </c>
      <c r="G1044" s="584">
        <v>15</v>
      </c>
    </row>
    <row r="1045" spans="1:7" ht="45" x14ac:dyDescent="0.2">
      <c r="A1045" s="583" t="s">
        <v>14354</v>
      </c>
      <c r="B1045" s="605" t="s">
        <v>14355</v>
      </c>
      <c r="C1045" s="606" t="s">
        <v>12427</v>
      </c>
      <c r="D1045" s="607">
        <v>40.9</v>
      </c>
      <c r="E1045" s="607">
        <v>10.31</v>
      </c>
      <c r="F1045" s="607">
        <v>51.21</v>
      </c>
      <c r="G1045" s="584">
        <v>15</v>
      </c>
    </row>
    <row r="1046" spans="1:7" ht="60" x14ac:dyDescent="0.2">
      <c r="A1046" s="583" t="s">
        <v>14356</v>
      </c>
      <c r="B1046" s="605" t="s">
        <v>14357</v>
      </c>
      <c r="C1046" s="606" t="s">
        <v>12427</v>
      </c>
      <c r="D1046" s="607">
        <v>72.06</v>
      </c>
      <c r="E1046" s="607">
        <v>10.31</v>
      </c>
      <c r="F1046" s="607">
        <v>82.37</v>
      </c>
      <c r="G1046" s="584">
        <v>15</v>
      </c>
    </row>
    <row r="1047" spans="1:7" ht="45" x14ac:dyDescent="0.2">
      <c r="A1047" s="583" t="s">
        <v>14358</v>
      </c>
      <c r="B1047" s="605" t="s">
        <v>14359</v>
      </c>
      <c r="C1047" s="606" t="s">
        <v>12427</v>
      </c>
      <c r="D1047" s="607">
        <v>68.16</v>
      </c>
      <c r="E1047" s="607">
        <v>10.31</v>
      </c>
      <c r="F1047" s="607">
        <v>78.47</v>
      </c>
      <c r="G1047" s="584">
        <v>15</v>
      </c>
    </row>
    <row r="1048" spans="1:7" ht="60" x14ac:dyDescent="0.2">
      <c r="A1048" s="583" t="s">
        <v>14360</v>
      </c>
      <c r="B1048" s="605" t="s">
        <v>20145</v>
      </c>
      <c r="C1048" s="606" t="s">
        <v>12427</v>
      </c>
      <c r="D1048" s="607">
        <v>65.5</v>
      </c>
      <c r="E1048" s="607">
        <v>10.31</v>
      </c>
      <c r="F1048" s="607">
        <v>75.81</v>
      </c>
      <c r="G1048" s="584">
        <v>15</v>
      </c>
    </row>
    <row r="1049" spans="1:7" ht="60" x14ac:dyDescent="0.2">
      <c r="A1049" s="583" t="s">
        <v>14361</v>
      </c>
      <c r="B1049" s="605" t="s">
        <v>14362</v>
      </c>
      <c r="C1049" s="606" t="s">
        <v>12483</v>
      </c>
      <c r="D1049" s="607">
        <v>4.32</v>
      </c>
      <c r="E1049" s="607">
        <v>1.03</v>
      </c>
      <c r="F1049" s="607">
        <v>5.35</v>
      </c>
      <c r="G1049" s="584">
        <v>15</v>
      </c>
    </row>
    <row r="1050" spans="1:7" ht="60" x14ac:dyDescent="0.2">
      <c r="A1050" s="583" t="s">
        <v>14363</v>
      </c>
      <c r="B1050" s="605" t="s">
        <v>14364</v>
      </c>
      <c r="C1050" s="606" t="s">
        <v>12483</v>
      </c>
      <c r="D1050" s="607">
        <v>4.09</v>
      </c>
      <c r="E1050" s="607">
        <v>1.03</v>
      </c>
      <c r="F1050" s="607">
        <v>5.12</v>
      </c>
      <c r="G1050" s="584">
        <v>15</v>
      </c>
    </row>
    <row r="1051" spans="1:7" ht="15" x14ac:dyDescent="0.25">
      <c r="A1051" s="583" t="s">
        <v>14365</v>
      </c>
      <c r="B1051" s="605" t="s">
        <v>14366</v>
      </c>
      <c r="C1051" s="606"/>
      <c r="D1051" s="607"/>
      <c r="E1051" s="607"/>
      <c r="F1051" s="607"/>
      <c r="G1051" s="582"/>
    </row>
    <row r="1052" spans="1:7" ht="60" x14ac:dyDescent="0.2">
      <c r="A1052" s="583" t="s">
        <v>14367</v>
      </c>
      <c r="B1052" s="605" t="s">
        <v>14368</v>
      </c>
      <c r="C1052" s="606" t="s">
        <v>12427</v>
      </c>
      <c r="D1052" s="607">
        <v>96.97</v>
      </c>
      <c r="E1052" s="607">
        <v>40.78</v>
      </c>
      <c r="F1052" s="607">
        <v>137.75</v>
      </c>
      <c r="G1052" s="584">
        <v>15</v>
      </c>
    </row>
    <row r="1053" spans="1:7" ht="45" x14ac:dyDescent="0.2">
      <c r="A1053" s="583" t="s">
        <v>14369</v>
      </c>
      <c r="B1053" s="605" t="s">
        <v>14370</v>
      </c>
      <c r="C1053" s="606" t="s">
        <v>12483</v>
      </c>
      <c r="D1053" s="607">
        <v>17.37</v>
      </c>
      <c r="E1053" s="607">
        <v>11.33</v>
      </c>
      <c r="F1053" s="607">
        <v>28.7</v>
      </c>
      <c r="G1053" s="584">
        <v>15</v>
      </c>
    </row>
    <row r="1054" spans="1:7" ht="45" x14ac:dyDescent="0.2">
      <c r="A1054" s="583" t="s">
        <v>14371</v>
      </c>
      <c r="B1054" s="605" t="s">
        <v>14372</v>
      </c>
      <c r="C1054" s="606" t="s">
        <v>12427</v>
      </c>
      <c r="D1054" s="607">
        <v>145.05000000000001</v>
      </c>
      <c r="E1054" s="607">
        <v>40.78</v>
      </c>
      <c r="F1054" s="607">
        <v>185.83</v>
      </c>
      <c r="G1054" s="584">
        <v>15</v>
      </c>
    </row>
    <row r="1055" spans="1:7" ht="45" x14ac:dyDescent="0.2">
      <c r="A1055" s="583" t="s">
        <v>14373</v>
      </c>
      <c r="B1055" s="605" t="s">
        <v>14374</v>
      </c>
      <c r="C1055" s="606" t="s">
        <v>12483</v>
      </c>
      <c r="D1055" s="607">
        <v>25.74</v>
      </c>
      <c r="E1055" s="607">
        <v>11.33</v>
      </c>
      <c r="F1055" s="607">
        <v>37.07</v>
      </c>
      <c r="G1055" s="584">
        <v>15</v>
      </c>
    </row>
    <row r="1056" spans="1:7" ht="60" x14ac:dyDescent="0.2">
      <c r="A1056" s="583" t="s">
        <v>14375</v>
      </c>
      <c r="B1056" s="605" t="s">
        <v>14376</v>
      </c>
      <c r="C1056" s="606" t="s">
        <v>12427</v>
      </c>
      <c r="D1056" s="607">
        <v>103.74</v>
      </c>
      <c r="E1056" s="607">
        <v>40.78</v>
      </c>
      <c r="F1056" s="607">
        <v>144.52000000000001</v>
      </c>
      <c r="G1056" s="584">
        <v>15</v>
      </c>
    </row>
    <row r="1057" spans="1:7" ht="60" x14ac:dyDescent="0.2">
      <c r="A1057" s="583" t="s">
        <v>14377</v>
      </c>
      <c r="B1057" s="605" t="s">
        <v>14378</v>
      </c>
      <c r="C1057" s="606" t="s">
        <v>12483</v>
      </c>
      <c r="D1057" s="607">
        <v>18.55</v>
      </c>
      <c r="E1057" s="607">
        <v>11.33</v>
      </c>
      <c r="F1057" s="607">
        <v>29.88</v>
      </c>
      <c r="G1057" s="584">
        <v>15</v>
      </c>
    </row>
    <row r="1058" spans="1:7" ht="45" x14ac:dyDescent="0.2">
      <c r="A1058" s="583" t="s">
        <v>14379</v>
      </c>
      <c r="B1058" s="605" t="s">
        <v>14380</v>
      </c>
      <c r="C1058" s="606" t="s">
        <v>12427</v>
      </c>
      <c r="D1058" s="607">
        <v>150.97</v>
      </c>
      <c r="E1058" s="607">
        <v>40.78</v>
      </c>
      <c r="F1058" s="607">
        <v>191.75</v>
      </c>
      <c r="G1058" s="584">
        <v>15</v>
      </c>
    </row>
    <row r="1059" spans="1:7" ht="45" x14ac:dyDescent="0.2">
      <c r="A1059" s="583" t="s">
        <v>14381</v>
      </c>
      <c r="B1059" s="605" t="s">
        <v>14382</v>
      </c>
      <c r="C1059" s="606" t="s">
        <v>12483</v>
      </c>
      <c r="D1059" s="607">
        <v>27.04</v>
      </c>
      <c r="E1059" s="607">
        <v>11.33</v>
      </c>
      <c r="F1059" s="607">
        <v>38.369999999999997</v>
      </c>
      <c r="G1059" s="584">
        <v>15</v>
      </c>
    </row>
    <row r="1060" spans="1:7" ht="45" x14ac:dyDescent="0.2">
      <c r="A1060" s="583" t="s">
        <v>14383</v>
      </c>
      <c r="B1060" s="605" t="s">
        <v>14384</v>
      </c>
      <c r="C1060" s="606" t="s">
        <v>12427</v>
      </c>
      <c r="D1060" s="607">
        <v>151.69</v>
      </c>
      <c r="E1060" s="607">
        <v>40.78</v>
      </c>
      <c r="F1060" s="607">
        <v>192.47</v>
      </c>
      <c r="G1060" s="584">
        <v>15</v>
      </c>
    </row>
    <row r="1061" spans="1:7" ht="45" x14ac:dyDescent="0.2">
      <c r="A1061" s="583" t="s">
        <v>14385</v>
      </c>
      <c r="B1061" s="605" t="s">
        <v>14386</v>
      </c>
      <c r="C1061" s="606" t="s">
        <v>12483</v>
      </c>
      <c r="D1061" s="607">
        <v>27.17</v>
      </c>
      <c r="E1061" s="607">
        <v>11.33</v>
      </c>
      <c r="F1061" s="607">
        <v>38.5</v>
      </c>
      <c r="G1061" s="584">
        <v>15</v>
      </c>
    </row>
    <row r="1062" spans="1:7" ht="60" x14ac:dyDescent="0.2">
      <c r="A1062" s="583" t="s">
        <v>14387</v>
      </c>
      <c r="B1062" s="605" t="s">
        <v>14388</v>
      </c>
      <c r="C1062" s="606" t="s">
        <v>12427</v>
      </c>
      <c r="D1062" s="607">
        <v>202.03</v>
      </c>
      <c r="E1062" s="607">
        <v>40.78</v>
      </c>
      <c r="F1062" s="607">
        <v>242.81</v>
      </c>
      <c r="G1062" s="584">
        <v>15</v>
      </c>
    </row>
    <row r="1063" spans="1:7" ht="45" x14ac:dyDescent="0.2">
      <c r="A1063" s="583" t="s">
        <v>14389</v>
      </c>
      <c r="B1063" s="605" t="s">
        <v>14390</v>
      </c>
      <c r="C1063" s="606" t="s">
        <v>12483</v>
      </c>
      <c r="D1063" s="607">
        <v>35.93</v>
      </c>
      <c r="E1063" s="607">
        <v>11.33</v>
      </c>
      <c r="F1063" s="607">
        <v>47.26</v>
      </c>
      <c r="G1063" s="584">
        <v>15</v>
      </c>
    </row>
    <row r="1064" spans="1:7" ht="15" x14ac:dyDescent="0.25">
      <c r="A1064" s="583" t="s">
        <v>14391</v>
      </c>
      <c r="B1064" s="605" t="s">
        <v>14392</v>
      </c>
      <c r="C1064" s="606"/>
      <c r="D1064" s="607"/>
      <c r="E1064" s="607"/>
      <c r="F1064" s="607"/>
      <c r="G1064" s="582"/>
    </row>
    <row r="1065" spans="1:7" ht="30" x14ac:dyDescent="0.2">
      <c r="A1065" s="583" t="s">
        <v>14393</v>
      </c>
      <c r="B1065" s="605" t="s">
        <v>14394</v>
      </c>
      <c r="C1065" s="606" t="s">
        <v>12427</v>
      </c>
      <c r="D1065" s="607">
        <v>137.80000000000001</v>
      </c>
      <c r="E1065" s="607">
        <v>23.1</v>
      </c>
      <c r="F1065" s="607">
        <v>160.9</v>
      </c>
      <c r="G1065" s="584">
        <v>15</v>
      </c>
    </row>
    <row r="1066" spans="1:7" ht="30" x14ac:dyDescent="0.2">
      <c r="A1066" s="583" t="s">
        <v>14395</v>
      </c>
      <c r="B1066" s="605" t="s">
        <v>14396</v>
      </c>
      <c r="C1066" s="606" t="s">
        <v>12427</v>
      </c>
      <c r="D1066" s="607">
        <v>114.06</v>
      </c>
      <c r="E1066" s="607">
        <v>23.1</v>
      </c>
      <c r="F1066" s="607">
        <v>137.16</v>
      </c>
      <c r="G1066" s="584">
        <v>15</v>
      </c>
    </row>
    <row r="1067" spans="1:7" ht="45" x14ac:dyDescent="0.2">
      <c r="A1067" s="583" t="s">
        <v>14397</v>
      </c>
      <c r="B1067" s="605" t="s">
        <v>14398</v>
      </c>
      <c r="C1067" s="606" t="s">
        <v>12427</v>
      </c>
      <c r="D1067" s="607">
        <v>75.239999999999995</v>
      </c>
      <c r="E1067" s="607">
        <v>23.1</v>
      </c>
      <c r="F1067" s="607">
        <v>98.34</v>
      </c>
      <c r="G1067" s="584">
        <v>15</v>
      </c>
    </row>
    <row r="1068" spans="1:7" ht="45" x14ac:dyDescent="0.2">
      <c r="A1068" s="583" t="s">
        <v>14399</v>
      </c>
      <c r="B1068" s="605" t="s">
        <v>14400</v>
      </c>
      <c r="C1068" s="606" t="s">
        <v>12427</v>
      </c>
      <c r="D1068" s="607">
        <v>89.26</v>
      </c>
      <c r="E1068" s="607">
        <v>23.1</v>
      </c>
      <c r="F1068" s="607">
        <v>112.36</v>
      </c>
      <c r="G1068" s="584">
        <v>15</v>
      </c>
    </row>
    <row r="1069" spans="1:7" ht="30" x14ac:dyDescent="0.2">
      <c r="A1069" s="583" t="s">
        <v>14401</v>
      </c>
      <c r="B1069" s="605" t="s">
        <v>20146</v>
      </c>
      <c r="C1069" s="606" t="s">
        <v>12427</v>
      </c>
      <c r="D1069" s="607">
        <v>86.72</v>
      </c>
      <c r="E1069" s="607">
        <v>23.1</v>
      </c>
      <c r="F1069" s="607">
        <v>109.82</v>
      </c>
      <c r="G1069" s="584">
        <v>15</v>
      </c>
    </row>
    <row r="1070" spans="1:7" ht="15" x14ac:dyDescent="0.25">
      <c r="A1070" s="583" t="s">
        <v>14402</v>
      </c>
      <c r="B1070" s="605" t="s">
        <v>14403</v>
      </c>
      <c r="C1070" s="606"/>
      <c r="D1070" s="607"/>
      <c r="E1070" s="607"/>
      <c r="F1070" s="607"/>
      <c r="G1070" s="582"/>
    </row>
    <row r="1071" spans="1:7" ht="45" x14ac:dyDescent="0.2">
      <c r="A1071" s="583" t="s">
        <v>14404</v>
      </c>
      <c r="B1071" s="605" t="s">
        <v>20147</v>
      </c>
      <c r="C1071" s="606" t="s">
        <v>12427</v>
      </c>
      <c r="D1071" s="607">
        <v>175.02</v>
      </c>
      <c r="E1071" s="607">
        <v>29.23</v>
      </c>
      <c r="F1071" s="607">
        <v>204.25</v>
      </c>
      <c r="G1071" s="584">
        <v>15</v>
      </c>
    </row>
    <row r="1072" spans="1:7" ht="45" x14ac:dyDescent="0.2">
      <c r="A1072" s="583" t="s">
        <v>14405</v>
      </c>
      <c r="B1072" s="605" t="s">
        <v>20148</v>
      </c>
      <c r="C1072" s="606" t="s">
        <v>12427</v>
      </c>
      <c r="D1072" s="607">
        <v>176.2</v>
      </c>
      <c r="E1072" s="607">
        <v>29.23</v>
      </c>
      <c r="F1072" s="607">
        <v>205.43</v>
      </c>
      <c r="G1072" s="584">
        <v>15</v>
      </c>
    </row>
    <row r="1073" spans="1:7" ht="45" x14ac:dyDescent="0.2">
      <c r="A1073" s="583" t="s">
        <v>14406</v>
      </c>
      <c r="B1073" s="605" t="s">
        <v>20149</v>
      </c>
      <c r="C1073" s="606" t="s">
        <v>12427</v>
      </c>
      <c r="D1073" s="607">
        <v>275.68</v>
      </c>
      <c r="E1073" s="607">
        <v>29.23</v>
      </c>
      <c r="F1073" s="607">
        <v>304.91000000000003</v>
      </c>
      <c r="G1073" s="584">
        <v>15</v>
      </c>
    </row>
    <row r="1074" spans="1:7" ht="15" x14ac:dyDescent="0.25">
      <c r="A1074" s="583" t="s">
        <v>14407</v>
      </c>
      <c r="B1074" s="605" t="s">
        <v>14408</v>
      </c>
      <c r="C1074" s="606"/>
      <c r="D1074" s="607"/>
      <c r="E1074" s="607"/>
      <c r="F1074" s="607"/>
      <c r="G1074" s="582"/>
    </row>
    <row r="1075" spans="1:7" ht="45" x14ac:dyDescent="0.2">
      <c r="A1075" s="583" t="s">
        <v>14409</v>
      </c>
      <c r="B1075" s="605" t="s">
        <v>14410</v>
      </c>
      <c r="C1075" s="606" t="s">
        <v>12427</v>
      </c>
      <c r="D1075" s="607">
        <v>133.53</v>
      </c>
      <c r="E1075" s="607">
        <v>18.7</v>
      </c>
      <c r="F1075" s="607">
        <v>152.22999999999999</v>
      </c>
      <c r="G1075" s="584">
        <v>15</v>
      </c>
    </row>
    <row r="1076" spans="1:7" ht="45" x14ac:dyDescent="0.2">
      <c r="A1076" s="583" t="s">
        <v>14411</v>
      </c>
      <c r="B1076" s="605" t="s">
        <v>14412</v>
      </c>
      <c r="C1076" s="606" t="s">
        <v>12427</v>
      </c>
      <c r="D1076" s="607">
        <v>142.47999999999999</v>
      </c>
      <c r="E1076" s="607">
        <v>18.7</v>
      </c>
      <c r="F1076" s="607">
        <v>161.18</v>
      </c>
      <c r="G1076" s="584">
        <v>15</v>
      </c>
    </row>
    <row r="1077" spans="1:7" ht="45" x14ac:dyDescent="0.2">
      <c r="A1077" s="583" t="s">
        <v>14413</v>
      </c>
      <c r="B1077" s="605" t="s">
        <v>14414</v>
      </c>
      <c r="C1077" s="606" t="s">
        <v>12427</v>
      </c>
      <c r="D1077" s="607">
        <v>59.64</v>
      </c>
      <c r="E1077" s="607">
        <v>10.31</v>
      </c>
      <c r="F1077" s="607">
        <v>69.95</v>
      </c>
      <c r="G1077" s="584">
        <v>15</v>
      </c>
    </row>
    <row r="1078" spans="1:7" ht="15" x14ac:dyDescent="0.25">
      <c r="A1078" s="583" t="s">
        <v>14415</v>
      </c>
      <c r="B1078" s="605" t="s">
        <v>14416</v>
      </c>
      <c r="C1078" s="606"/>
      <c r="D1078" s="607"/>
      <c r="E1078" s="607"/>
      <c r="F1078" s="607"/>
      <c r="G1078" s="582"/>
    </row>
    <row r="1079" spans="1:7" ht="15" x14ac:dyDescent="0.25">
      <c r="A1079" s="583" t="s">
        <v>14417</v>
      </c>
      <c r="B1079" s="605" t="s">
        <v>14418</v>
      </c>
      <c r="C1079" s="606"/>
      <c r="D1079" s="607"/>
      <c r="E1079" s="607"/>
      <c r="F1079" s="607"/>
      <c r="G1079" s="582"/>
    </row>
    <row r="1080" spans="1:7" ht="30" x14ac:dyDescent="0.2">
      <c r="A1080" s="583" t="s">
        <v>14419</v>
      </c>
      <c r="B1080" s="605" t="s">
        <v>14420</v>
      </c>
      <c r="C1080" s="606" t="s">
        <v>12427</v>
      </c>
      <c r="D1080" s="607">
        <v>463.76</v>
      </c>
      <c r="E1080" s="607">
        <v>45.22</v>
      </c>
      <c r="F1080" s="607">
        <v>508.98</v>
      </c>
      <c r="G1080" s="584">
        <v>15</v>
      </c>
    </row>
    <row r="1081" spans="1:7" ht="30" x14ac:dyDescent="0.2">
      <c r="A1081" s="583" t="s">
        <v>14421</v>
      </c>
      <c r="B1081" s="605" t="s">
        <v>14422</v>
      </c>
      <c r="C1081" s="606" t="s">
        <v>12483</v>
      </c>
      <c r="D1081" s="607">
        <v>164.48</v>
      </c>
      <c r="E1081" s="607">
        <v>13.57</v>
      </c>
      <c r="F1081" s="607">
        <v>178.05</v>
      </c>
      <c r="G1081" s="584">
        <v>15</v>
      </c>
    </row>
    <row r="1082" spans="1:7" ht="30" x14ac:dyDescent="0.2">
      <c r="A1082" s="583" t="s">
        <v>14423</v>
      </c>
      <c r="B1082" s="605" t="s">
        <v>14424</v>
      </c>
      <c r="C1082" s="606" t="s">
        <v>12483</v>
      </c>
      <c r="D1082" s="607">
        <v>193.49</v>
      </c>
      <c r="E1082" s="607">
        <v>20.350000000000001</v>
      </c>
      <c r="F1082" s="607">
        <v>213.84</v>
      </c>
      <c r="G1082" s="584">
        <v>15</v>
      </c>
    </row>
    <row r="1083" spans="1:7" ht="30" x14ac:dyDescent="0.2">
      <c r="A1083" s="583" t="s">
        <v>14425</v>
      </c>
      <c r="B1083" s="605" t="s">
        <v>14426</v>
      </c>
      <c r="C1083" s="606" t="s">
        <v>12483</v>
      </c>
      <c r="D1083" s="607">
        <v>397.32</v>
      </c>
      <c r="E1083" s="607">
        <v>33.92</v>
      </c>
      <c r="F1083" s="607">
        <v>431.24</v>
      </c>
      <c r="G1083" s="584">
        <v>15</v>
      </c>
    </row>
    <row r="1084" spans="1:7" ht="30" x14ac:dyDescent="0.2">
      <c r="A1084" s="583" t="s">
        <v>14427</v>
      </c>
      <c r="B1084" s="605" t="s">
        <v>14428</v>
      </c>
      <c r="C1084" s="606" t="s">
        <v>12483</v>
      </c>
      <c r="D1084" s="607">
        <v>78.27</v>
      </c>
      <c r="E1084" s="607">
        <v>6.78</v>
      </c>
      <c r="F1084" s="607">
        <v>85.05</v>
      </c>
      <c r="G1084" s="584">
        <v>15</v>
      </c>
    </row>
    <row r="1085" spans="1:7" ht="30" x14ac:dyDescent="0.2">
      <c r="A1085" s="583" t="s">
        <v>14429</v>
      </c>
      <c r="B1085" s="605" t="s">
        <v>14430</v>
      </c>
      <c r="C1085" s="606" t="s">
        <v>12483</v>
      </c>
      <c r="D1085" s="607">
        <v>91.94</v>
      </c>
      <c r="E1085" s="607">
        <v>6.78</v>
      </c>
      <c r="F1085" s="607">
        <v>98.72</v>
      </c>
      <c r="G1085" s="584">
        <v>15</v>
      </c>
    </row>
    <row r="1086" spans="1:7" ht="15" x14ac:dyDescent="0.25">
      <c r="A1086" s="583" t="s">
        <v>14431</v>
      </c>
      <c r="B1086" s="605" t="s">
        <v>14432</v>
      </c>
      <c r="C1086" s="606"/>
      <c r="D1086" s="607"/>
      <c r="E1086" s="607"/>
      <c r="F1086" s="607"/>
      <c r="G1086" s="582"/>
    </row>
    <row r="1087" spans="1:7" ht="30" x14ac:dyDescent="0.2">
      <c r="A1087" s="583" t="s">
        <v>14433</v>
      </c>
      <c r="B1087" s="605" t="s">
        <v>14434</v>
      </c>
      <c r="C1087" s="606" t="s">
        <v>12427</v>
      </c>
      <c r="D1087" s="607">
        <v>919.96</v>
      </c>
      <c r="E1087" s="607">
        <v>45.22</v>
      </c>
      <c r="F1087" s="607">
        <v>965.18</v>
      </c>
      <c r="G1087" s="584">
        <v>15</v>
      </c>
    </row>
    <row r="1088" spans="1:7" ht="30" x14ac:dyDescent="0.2">
      <c r="A1088" s="583" t="s">
        <v>14435</v>
      </c>
      <c r="B1088" s="605" t="s">
        <v>14436</v>
      </c>
      <c r="C1088" s="606" t="s">
        <v>12427</v>
      </c>
      <c r="D1088" s="607">
        <v>958.02</v>
      </c>
      <c r="E1088" s="607">
        <v>45.22</v>
      </c>
      <c r="F1088" s="607">
        <v>1003.24</v>
      </c>
      <c r="G1088" s="584">
        <v>15</v>
      </c>
    </row>
    <row r="1089" spans="1:7" ht="30" x14ac:dyDescent="0.2">
      <c r="A1089" s="583" t="s">
        <v>14437</v>
      </c>
      <c r="B1089" s="605" t="s">
        <v>14438</v>
      </c>
      <c r="C1089" s="606" t="s">
        <v>12427</v>
      </c>
      <c r="D1089" s="607">
        <v>1079.82</v>
      </c>
      <c r="E1089" s="607">
        <v>45.22</v>
      </c>
      <c r="F1089" s="607">
        <v>1125.04</v>
      </c>
      <c r="G1089" s="584">
        <v>15</v>
      </c>
    </row>
    <row r="1090" spans="1:7" ht="30" x14ac:dyDescent="0.2">
      <c r="A1090" s="583" t="s">
        <v>14439</v>
      </c>
      <c r="B1090" s="605" t="s">
        <v>14440</v>
      </c>
      <c r="C1090" s="606" t="s">
        <v>12427</v>
      </c>
      <c r="D1090" s="607">
        <v>1084.02</v>
      </c>
      <c r="E1090" s="607">
        <v>45.22</v>
      </c>
      <c r="F1090" s="607">
        <v>1129.24</v>
      </c>
      <c r="G1090" s="584">
        <v>15</v>
      </c>
    </row>
    <row r="1091" spans="1:7" ht="15" x14ac:dyDescent="0.2">
      <c r="A1091" s="583" t="s">
        <v>14441</v>
      </c>
      <c r="B1091" s="605" t="s">
        <v>14442</v>
      </c>
      <c r="C1091" s="606" t="s">
        <v>12483</v>
      </c>
      <c r="D1091" s="607">
        <v>441.48</v>
      </c>
      <c r="E1091" s="607">
        <v>33.92</v>
      </c>
      <c r="F1091" s="607">
        <v>475.4</v>
      </c>
      <c r="G1091" s="584">
        <v>15</v>
      </c>
    </row>
    <row r="1092" spans="1:7" ht="30" x14ac:dyDescent="0.2">
      <c r="A1092" s="583" t="s">
        <v>14443</v>
      </c>
      <c r="B1092" s="605" t="s">
        <v>14444</v>
      </c>
      <c r="C1092" s="606" t="s">
        <v>12483</v>
      </c>
      <c r="D1092" s="607">
        <v>495.08</v>
      </c>
      <c r="E1092" s="607">
        <v>33.92</v>
      </c>
      <c r="F1092" s="607">
        <v>529</v>
      </c>
      <c r="G1092" s="584">
        <v>15</v>
      </c>
    </row>
    <row r="1093" spans="1:7" ht="30" x14ac:dyDescent="0.2">
      <c r="A1093" s="583" t="s">
        <v>14445</v>
      </c>
      <c r="B1093" s="605" t="s">
        <v>14446</v>
      </c>
      <c r="C1093" s="606" t="s">
        <v>12483</v>
      </c>
      <c r="D1093" s="607">
        <v>69.31</v>
      </c>
      <c r="E1093" s="607">
        <v>9.0399999999999991</v>
      </c>
      <c r="F1093" s="607">
        <v>78.349999999999994</v>
      </c>
      <c r="G1093" s="584">
        <v>15</v>
      </c>
    </row>
    <row r="1094" spans="1:7" ht="15" x14ac:dyDescent="0.25">
      <c r="A1094" s="583" t="s">
        <v>14447</v>
      </c>
      <c r="B1094" s="605" t="s">
        <v>14448</v>
      </c>
      <c r="C1094" s="606"/>
      <c r="D1094" s="607"/>
      <c r="E1094" s="607"/>
      <c r="F1094" s="607"/>
      <c r="G1094" s="582"/>
    </row>
    <row r="1095" spans="1:7" ht="15" x14ac:dyDescent="0.2">
      <c r="A1095" s="583" t="s">
        <v>14449</v>
      </c>
      <c r="B1095" s="605" t="s">
        <v>14450</v>
      </c>
      <c r="C1095" s="606" t="s">
        <v>12427</v>
      </c>
      <c r="D1095" s="607">
        <v>272.41000000000003</v>
      </c>
      <c r="E1095" s="607">
        <v>40.78</v>
      </c>
      <c r="F1095" s="607">
        <v>313.19</v>
      </c>
      <c r="G1095" s="584">
        <v>15</v>
      </c>
    </row>
    <row r="1096" spans="1:7" ht="15" x14ac:dyDescent="0.2">
      <c r="A1096" s="583" t="s">
        <v>14451</v>
      </c>
      <c r="B1096" s="605" t="s">
        <v>14452</v>
      </c>
      <c r="C1096" s="606" t="s">
        <v>12427</v>
      </c>
      <c r="D1096" s="607">
        <v>65.709999999999994</v>
      </c>
      <c r="E1096" s="607">
        <v>40.78</v>
      </c>
      <c r="F1096" s="607">
        <v>106.49</v>
      </c>
      <c r="G1096" s="584">
        <v>15</v>
      </c>
    </row>
    <row r="1097" spans="1:7" ht="15" x14ac:dyDescent="0.2">
      <c r="A1097" s="583" t="s">
        <v>14453</v>
      </c>
      <c r="B1097" s="605" t="s">
        <v>14454</v>
      </c>
      <c r="C1097" s="606" t="s">
        <v>12483</v>
      </c>
      <c r="D1097" s="607">
        <v>8.93</v>
      </c>
      <c r="E1097" s="607">
        <v>12.23</v>
      </c>
      <c r="F1097" s="607">
        <v>21.16</v>
      </c>
      <c r="G1097" s="584">
        <v>15</v>
      </c>
    </row>
    <row r="1098" spans="1:7" ht="15" x14ac:dyDescent="0.2">
      <c r="A1098" s="583" t="s">
        <v>14455</v>
      </c>
      <c r="B1098" s="605" t="s">
        <v>14456</v>
      </c>
      <c r="C1098" s="606" t="s">
        <v>12483</v>
      </c>
      <c r="D1098" s="607">
        <v>57.31</v>
      </c>
      <c r="E1098" s="607">
        <v>6.12</v>
      </c>
      <c r="F1098" s="607">
        <v>63.43</v>
      </c>
      <c r="G1098" s="584">
        <v>15</v>
      </c>
    </row>
    <row r="1099" spans="1:7" ht="15" x14ac:dyDescent="0.2">
      <c r="A1099" s="583" t="s">
        <v>14457</v>
      </c>
      <c r="B1099" s="605" t="s">
        <v>14458</v>
      </c>
      <c r="C1099" s="606" t="s">
        <v>12427</v>
      </c>
      <c r="D1099" s="607">
        <v>73.34</v>
      </c>
      <c r="E1099" s="607">
        <v>18.13</v>
      </c>
      <c r="F1099" s="607">
        <v>91.47</v>
      </c>
      <c r="G1099" s="584">
        <v>15</v>
      </c>
    </row>
    <row r="1100" spans="1:7" ht="15" x14ac:dyDescent="0.2">
      <c r="A1100" s="583" t="s">
        <v>14459</v>
      </c>
      <c r="B1100" s="605" t="s">
        <v>14460</v>
      </c>
      <c r="C1100" s="606" t="s">
        <v>12483</v>
      </c>
      <c r="D1100" s="607">
        <v>18.190000000000001</v>
      </c>
      <c r="E1100" s="607">
        <v>6.12</v>
      </c>
      <c r="F1100" s="607">
        <v>24.31</v>
      </c>
      <c r="G1100" s="584">
        <v>15</v>
      </c>
    </row>
    <row r="1101" spans="1:7" ht="30" x14ac:dyDescent="0.2">
      <c r="A1101" s="583" t="s">
        <v>14461</v>
      </c>
      <c r="B1101" s="605" t="s">
        <v>14462</v>
      </c>
      <c r="C1101" s="606" t="s">
        <v>12483</v>
      </c>
      <c r="D1101" s="607">
        <v>88.06</v>
      </c>
      <c r="E1101" s="607">
        <v>12.23</v>
      </c>
      <c r="F1101" s="607">
        <v>100.29</v>
      </c>
      <c r="G1101" s="584">
        <v>15</v>
      </c>
    </row>
    <row r="1102" spans="1:7" ht="15" x14ac:dyDescent="0.25">
      <c r="A1102" s="583" t="s">
        <v>14463</v>
      </c>
      <c r="B1102" s="605" t="s">
        <v>14464</v>
      </c>
      <c r="C1102" s="606"/>
      <c r="D1102" s="607"/>
      <c r="E1102" s="607"/>
      <c r="F1102" s="607"/>
      <c r="G1102" s="582"/>
    </row>
    <row r="1103" spans="1:7" ht="30" x14ac:dyDescent="0.2">
      <c r="A1103" s="583" t="s">
        <v>14465</v>
      </c>
      <c r="B1103" s="605" t="s">
        <v>14466</v>
      </c>
      <c r="C1103" s="606" t="s">
        <v>12427</v>
      </c>
      <c r="D1103" s="607">
        <v>25.14</v>
      </c>
      <c r="E1103" s="607">
        <v>40.78</v>
      </c>
      <c r="F1103" s="607">
        <v>65.92</v>
      </c>
      <c r="G1103" s="584">
        <v>15</v>
      </c>
    </row>
    <row r="1104" spans="1:7" ht="15" x14ac:dyDescent="0.25">
      <c r="A1104" s="583" t="s">
        <v>14467</v>
      </c>
      <c r="B1104" s="605" t="s">
        <v>14468</v>
      </c>
      <c r="C1104" s="606"/>
      <c r="D1104" s="607"/>
      <c r="E1104" s="607"/>
      <c r="F1104" s="607"/>
      <c r="G1104" s="582"/>
    </row>
    <row r="1105" spans="1:7" ht="15" x14ac:dyDescent="0.25">
      <c r="A1105" s="583" t="s">
        <v>14469</v>
      </c>
      <c r="B1105" s="605" t="s">
        <v>14470</v>
      </c>
      <c r="C1105" s="606"/>
      <c r="D1105" s="607"/>
      <c r="E1105" s="607"/>
      <c r="F1105" s="607"/>
      <c r="G1105" s="582"/>
    </row>
    <row r="1106" spans="1:7" ht="15" x14ac:dyDescent="0.2">
      <c r="A1106" s="583" t="s">
        <v>14471</v>
      </c>
      <c r="B1106" s="605" t="s">
        <v>14472</v>
      </c>
      <c r="C1106" s="606" t="s">
        <v>12427</v>
      </c>
      <c r="D1106" s="607">
        <v>103.53</v>
      </c>
      <c r="E1106" s="607">
        <v>70.010000000000005</v>
      </c>
      <c r="F1106" s="607">
        <v>173.54</v>
      </c>
      <c r="G1106" s="584">
        <v>15</v>
      </c>
    </row>
    <row r="1107" spans="1:7" ht="15" x14ac:dyDescent="0.25">
      <c r="A1107" s="583" t="s">
        <v>14473</v>
      </c>
      <c r="B1107" s="605" t="s">
        <v>14474</v>
      </c>
      <c r="C1107" s="606"/>
      <c r="D1107" s="607"/>
      <c r="E1107" s="607"/>
      <c r="F1107" s="607"/>
      <c r="G1107" s="582"/>
    </row>
    <row r="1108" spans="1:7" ht="15" x14ac:dyDescent="0.2">
      <c r="A1108" s="583" t="s">
        <v>14475</v>
      </c>
      <c r="B1108" s="605" t="s">
        <v>14476</v>
      </c>
      <c r="C1108" s="606" t="s">
        <v>12427</v>
      </c>
      <c r="D1108" s="607">
        <v>732.01</v>
      </c>
      <c r="E1108" s="607"/>
      <c r="F1108" s="607">
        <v>732.01</v>
      </c>
      <c r="G1108" s="584">
        <v>15</v>
      </c>
    </row>
    <row r="1109" spans="1:7" ht="15" x14ac:dyDescent="0.25">
      <c r="A1109" s="583" t="s">
        <v>14477</v>
      </c>
      <c r="B1109" s="605" t="s">
        <v>14478</v>
      </c>
      <c r="C1109" s="606"/>
      <c r="D1109" s="607"/>
      <c r="E1109" s="607"/>
      <c r="F1109" s="607"/>
      <c r="G1109" s="582"/>
    </row>
    <row r="1110" spans="1:7" ht="15" x14ac:dyDescent="0.2">
      <c r="A1110" s="583" t="s">
        <v>14479</v>
      </c>
      <c r="B1110" s="605" t="s">
        <v>14480</v>
      </c>
      <c r="C1110" s="606" t="s">
        <v>12427</v>
      </c>
      <c r="D1110" s="607">
        <v>393.64</v>
      </c>
      <c r="E1110" s="607">
        <v>23.01</v>
      </c>
      <c r="F1110" s="607">
        <v>416.65</v>
      </c>
      <c r="G1110" s="584">
        <v>15</v>
      </c>
    </row>
    <row r="1111" spans="1:7" ht="15" x14ac:dyDescent="0.25">
      <c r="A1111" s="583" t="s">
        <v>14481</v>
      </c>
      <c r="B1111" s="605" t="s">
        <v>14482</v>
      </c>
      <c r="C1111" s="606"/>
      <c r="D1111" s="607"/>
      <c r="E1111" s="607"/>
      <c r="F1111" s="607"/>
      <c r="G1111" s="582"/>
    </row>
    <row r="1112" spans="1:7" ht="15" x14ac:dyDescent="0.2">
      <c r="A1112" s="583" t="s">
        <v>14483</v>
      </c>
      <c r="B1112" s="605" t="s">
        <v>14484</v>
      </c>
      <c r="C1112" s="606" t="s">
        <v>12483</v>
      </c>
      <c r="D1112" s="607">
        <v>28.94</v>
      </c>
      <c r="E1112" s="607">
        <v>15.28</v>
      </c>
      <c r="F1112" s="607">
        <v>44.22</v>
      </c>
      <c r="G1112" s="584">
        <v>15</v>
      </c>
    </row>
    <row r="1113" spans="1:7" ht="15" x14ac:dyDescent="0.2">
      <c r="A1113" s="583" t="s">
        <v>14485</v>
      </c>
      <c r="B1113" s="605" t="s">
        <v>14486</v>
      </c>
      <c r="C1113" s="606" t="s">
        <v>12483</v>
      </c>
      <c r="D1113" s="607">
        <v>4.33</v>
      </c>
      <c r="E1113" s="607">
        <v>3.73</v>
      </c>
      <c r="F1113" s="607">
        <v>8.06</v>
      </c>
      <c r="G1113" s="584">
        <v>15</v>
      </c>
    </row>
    <row r="1114" spans="1:7" ht="15" x14ac:dyDescent="0.25">
      <c r="A1114" s="583" t="s">
        <v>14487</v>
      </c>
      <c r="B1114" s="605" t="s">
        <v>14488</v>
      </c>
      <c r="C1114" s="606"/>
      <c r="D1114" s="607"/>
      <c r="E1114" s="607"/>
      <c r="F1114" s="607"/>
      <c r="G1114" s="582"/>
    </row>
    <row r="1115" spans="1:7" ht="15" x14ac:dyDescent="0.2">
      <c r="A1115" s="583" t="s">
        <v>14489</v>
      </c>
      <c r="B1115" s="605" t="s">
        <v>14490</v>
      </c>
      <c r="C1115" s="606" t="s">
        <v>12427</v>
      </c>
      <c r="D1115" s="607">
        <v>0.42</v>
      </c>
      <c r="E1115" s="607">
        <v>9.06</v>
      </c>
      <c r="F1115" s="607">
        <v>9.48</v>
      </c>
      <c r="G1115" s="584">
        <v>15</v>
      </c>
    </row>
    <row r="1116" spans="1:7" ht="15" x14ac:dyDescent="0.2">
      <c r="A1116" s="583" t="s">
        <v>14491</v>
      </c>
      <c r="B1116" s="605" t="s">
        <v>14492</v>
      </c>
      <c r="C1116" s="606" t="s">
        <v>12427</v>
      </c>
      <c r="D1116" s="607">
        <v>24.66</v>
      </c>
      <c r="E1116" s="607">
        <v>23.01</v>
      </c>
      <c r="F1116" s="607">
        <v>47.67</v>
      </c>
      <c r="G1116" s="584">
        <v>15</v>
      </c>
    </row>
    <row r="1117" spans="1:7" ht="15" x14ac:dyDescent="0.2">
      <c r="A1117" s="583" t="s">
        <v>14493</v>
      </c>
      <c r="B1117" s="605" t="s">
        <v>14494</v>
      </c>
      <c r="C1117" s="606" t="s">
        <v>12483</v>
      </c>
      <c r="D1117" s="607">
        <v>0.42</v>
      </c>
      <c r="E1117" s="607">
        <v>11.55</v>
      </c>
      <c r="F1117" s="607">
        <v>11.97</v>
      </c>
      <c r="G1117" s="584">
        <v>15</v>
      </c>
    </row>
    <row r="1118" spans="1:7" ht="15" x14ac:dyDescent="0.2">
      <c r="A1118" s="583" t="s">
        <v>14495</v>
      </c>
      <c r="B1118" s="605" t="s">
        <v>14496</v>
      </c>
      <c r="C1118" s="606" t="s">
        <v>12427</v>
      </c>
      <c r="D1118" s="607">
        <v>169.97</v>
      </c>
      <c r="E1118" s="607"/>
      <c r="F1118" s="607">
        <v>169.97</v>
      </c>
      <c r="G1118" s="584">
        <v>15</v>
      </c>
    </row>
    <row r="1119" spans="1:7" ht="15" x14ac:dyDescent="0.25">
      <c r="A1119" s="583" t="s">
        <v>14497</v>
      </c>
      <c r="B1119" s="605" t="s">
        <v>14498</v>
      </c>
      <c r="C1119" s="606"/>
      <c r="D1119" s="607"/>
      <c r="E1119" s="607"/>
      <c r="F1119" s="607"/>
      <c r="G1119" s="582"/>
    </row>
    <row r="1120" spans="1:7" ht="15" x14ac:dyDescent="0.25">
      <c r="A1120" s="583" t="s">
        <v>14499</v>
      </c>
      <c r="B1120" s="605" t="s">
        <v>14500</v>
      </c>
      <c r="C1120" s="606"/>
      <c r="D1120" s="607"/>
      <c r="E1120" s="607"/>
      <c r="F1120" s="607"/>
      <c r="G1120" s="582"/>
    </row>
    <row r="1121" spans="1:7" ht="30" x14ac:dyDescent="0.2">
      <c r="A1121" s="583" t="s">
        <v>14501</v>
      </c>
      <c r="B1121" s="605" t="s">
        <v>14502</v>
      </c>
      <c r="C1121" s="606" t="s">
        <v>12427</v>
      </c>
      <c r="D1121" s="607">
        <v>122.14</v>
      </c>
      <c r="E1121" s="607">
        <v>10.42</v>
      </c>
      <c r="F1121" s="607">
        <v>132.56</v>
      </c>
      <c r="G1121" s="584">
        <v>15</v>
      </c>
    </row>
    <row r="1122" spans="1:7" ht="30" x14ac:dyDescent="0.2">
      <c r="A1122" s="583" t="s">
        <v>14503</v>
      </c>
      <c r="B1122" s="605" t="s">
        <v>14504</v>
      </c>
      <c r="C1122" s="606" t="s">
        <v>12427</v>
      </c>
      <c r="D1122" s="607">
        <v>99.46</v>
      </c>
      <c r="E1122" s="607"/>
      <c r="F1122" s="607">
        <v>99.46</v>
      </c>
      <c r="G1122" s="584">
        <v>15</v>
      </c>
    </row>
    <row r="1123" spans="1:7" ht="15" x14ac:dyDescent="0.25">
      <c r="A1123" s="583" t="s">
        <v>14505</v>
      </c>
      <c r="B1123" s="605" t="s">
        <v>14506</v>
      </c>
      <c r="C1123" s="606"/>
      <c r="D1123" s="607"/>
      <c r="E1123" s="607"/>
      <c r="F1123" s="607"/>
      <c r="G1123" s="582"/>
    </row>
    <row r="1124" spans="1:7" ht="30" x14ac:dyDescent="0.2">
      <c r="A1124" s="583" t="s">
        <v>14507</v>
      </c>
      <c r="B1124" s="605" t="s">
        <v>14508</v>
      </c>
      <c r="C1124" s="606" t="s">
        <v>12427</v>
      </c>
      <c r="D1124" s="607">
        <v>159.01</v>
      </c>
      <c r="E1124" s="607">
        <v>23.13</v>
      </c>
      <c r="F1124" s="607">
        <v>182.14</v>
      </c>
      <c r="G1124" s="584">
        <v>15</v>
      </c>
    </row>
    <row r="1125" spans="1:7" ht="30" x14ac:dyDescent="0.2">
      <c r="A1125" s="583" t="s">
        <v>14509</v>
      </c>
      <c r="B1125" s="605" t="s">
        <v>14510</v>
      </c>
      <c r="C1125" s="606" t="s">
        <v>12427</v>
      </c>
      <c r="D1125" s="607">
        <v>250.5</v>
      </c>
      <c r="E1125" s="607">
        <v>23.13</v>
      </c>
      <c r="F1125" s="607">
        <v>273.63</v>
      </c>
      <c r="G1125" s="584">
        <v>15</v>
      </c>
    </row>
    <row r="1126" spans="1:7" ht="30" x14ac:dyDescent="0.2">
      <c r="A1126" s="583" t="s">
        <v>14511</v>
      </c>
      <c r="B1126" s="605" t="s">
        <v>14512</v>
      </c>
      <c r="C1126" s="606" t="s">
        <v>12427</v>
      </c>
      <c r="D1126" s="607">
        <v>227.94</v>
      </c>
      <c r="E1126" s="607"/>
      <c r="F1126" s="607">
        <v>227.94</v>
      </c>
      <c r="G1126" s="584">
        <v>15</v>
      </c>
    </row>
    <row r="1127" spans="1:7" ht="30" x14ac:dyDescent="0.2">
      <c r="A1127" s="583" t="s">
        <v>14513</v>
      </c>
      <c r="B1127" s="605" t="s">
        <v>14514</v>
      </c>
      <c r="C1127" s="606" t="s">
        <v>12427</v>
      </c>
      <c r="D1127" s="607">
        <v>277.17</v>
      </c>
      <c r="E1127" s="607">
        <v>23.13</v>
      </c>
      <c r="F1127" s="607">
        <v>300.3</v>
      </c>
      <c r="G1127" s="584">
        <v>15</v>
      </c>
    </row>
    <row r="1128" spans="1:7" ht="30" x14ac:dyDescent="0.2">
      <c r="A1128" s="583" t="s">
        <v>14515</v>
      </c>
      <c r="B1128" s="605" t="s">
        <v>14516</v>
      </c>
      <c r="C1128" s="606" t="s">
        <v>12427</v>
      </c>
      <c r="D1128" s="607">
        <v>365.59</v>
      </c>
      <c r="E1128" s="607">
        <v>23.13</v>
      </c>
      <c r="F1128" s="607">
        <v>388.72</v>
      </c>
      <c r="G1128" s="584">
        <v>15</v>
      </c>
    </row>
    <row r="1129" spans="1:7" ht="30" x14ac:dyDescent="0.2">
      <c r="A1129" s="583" t="s">
        <v>14517</v>
      </c>
      <c r="B1129" s="605" t="s">
        <v>14518</v>
      </c>
      <c r="C1129" s="606" t="s">
        <v>12427</v>
      </c>
      <c r="D1129" s="607">
        <v>256.57</v>
      </c>
      <c r="E1129" s="607">
        <v>23.13</v>
      </c>
      <c r="F1129" s="607">
        <v>279.7</v>
      </c>
      <c r="G1129" s="584">
        <v>15</v>
      </c>
    </row>
    <row r="1130" spans="1:7" ht="30" x14ac:dyDescent="0.2">
      <c r="A1130" s="583" t="s">
        <v>14519</v>
      </c>
      <c r="B1130" s="605" t="s">
        <v>14520</v>
      </c>
      <c r="C1130" s="606" t="s">
        <v>12427</v>
      </c>
      <c r="D1130" s="607">
        <v>488.66</v>
      </c>
      <c r="E1130" s="607">
        <v>23.13</v>
      </c>
      <c r="F1130" s="607">
        <v>511.79</v>
      </c>
      <c r="G1130" s="584">
        <v>15</v>
      </c>
    </row>
    <row r="1131" spans="1:7" ht="30" x14ac:dyDescent="0.2">
      <c r="A1131" s="583" t="s">
        <v>14521</v>
      </c>
      <c r="B1131" s="605" t="s">
        <v>14522</v>
      </c>
      <c r="C1131" s="606" t="s">
        <v>12427</v>
      </c>
      <c r="D1131" s="607">
        <v>410.38</v>
      </c>
      <c r="E1131" s="607">
        <v>23.13</v>
      </c>
      <c r="F1131" s="607">
        <v>433.51</v>
      </c>
      <c r="G1131" s="584">
        <v>15</v>
      </c>
    </row>
    <row r="1132" spans="1:7" ht="30" x14ac:dyDescent="0.2">
      <c r="A1132" s="583" t="s">
        <v>14523</v>
      </c>
      <c r="B1132" s="605" t="s">
        <v>14524</v>
      </c>
      <c r="C1132" s="606" t="s">
        <v>12427</v>
      </c>
      <c r="D1132" s="607">
        <v>291.47000000000003</v>
      </c>
      <c r="E1132" s="607">
        <v>46.97</v>
      </c>
      <c r="F1132" s="607">
        <v>338.44</v>
      </c>
      <c r="G1132" s="584">
        <v>15</v>
      </c>
    </row>
    <row r="1133" spans="1:7" ht="15" x14ac:dyDescent="0.25">
      <c r="A1133" s="583" t="s">
        <v>14525</v>
      </c>
      <c r="B1133" s="605" t="s">
        <v>14526</v>
      </c>
      <c r="C1133" s="606"/>
      <c r="D1133" s="607"/>
      <c r="E1133" s="607"/>
      <c r="F1133" s="607"/>
      <c r="G1133" s="582"/>
    </row>
    <row r="1134" spans="1:7" ht="30" x14ac:dyDescent="0.2">
      <c r="A1134" s="583" t="s">
        <v>14527</v>
      </c>
      <c r="B1134" s="605" t="s">
        <v>14528</v>
      </c>
      <c r="C1134" s="606" t="s">
        <v>12427</v>
      </c>
      <c r="D1134" s="607">
        <v>1485</v>
      </c>
      <c r="E1134" s="607"/>
      <c r="F1134" s="607">
        <v>1485</v>
      </c>
      <c r="G1134" s="584">
        <v>15</v>
      </c>
    </row>
    <row r="1135" spans="1:7" ht="30" x14ac:dyDescent="0.2">
      <c r="A1135" s="583" t="s">
        <v>14529</v>
      </c>
      <c r="B1135" s="605" t="s">
        <v>14530</v>
      </c>
      <c r="C1135" s="606" t="s">
        <v>12427</v>
      </c>
      <c r="D1135" s="607">
        <v>333.78</v>
      </c>
      <c r="E1135" s="607"/>
      <c r="F1135" s="607">
        <v>333.78</v>
      </c>
      <c r="G1135" s="584">
        <v>15</v>
      </c>
    </row>
    <row r="1136" spans="1:7" ht="30" x14ac:dyDescent="0.2">
      <c r="A1136" s="583" t="s">
        <v>14531</v>
      </c>
      <c r="B1136" s="605" t="s">
        <v>20288</v>
      </c>
      <c r="C1136" s="606" t="s">
        <v>12427</v>
      </c>
      <c r="D1136" s="607">
        <v>558.78</v>
      </c>
      <c r="E1136" s="607">
        <v>287.52</v>
      </c>
      <c r="F1136" s="607">
        <v>846.3</v>
      </c>
      <c r="G1136" s="584">
        <v>15</v>
      </c>
    </row>
    <row r="1137" spans="1:7" ht="30" x14ac:dyDescent="0.2">
      <c r="A1137" s="583" t="s">
        <v>20289</v>
      </c>
      <c r="B1137" s="605" t="s">
        <v>20290</v>
      </c>
      <c r="C1137" s="606" t="s">
        <v>12427</v>
      </c>
      <c r="D1137" s="607">
        <v>373.9</v>
      </c>
      <c r="E1137" s="607">
        <v>287.52</v>
      </c>
      <c r="F1137" s="607">
        <v>661.42</v>
      </c>
      <c r="G1137" s="584">
        <v>15</v>
      </c>
    </row>
    <row r="1138" spans="1:7" ht="15" x14ac:dyDescent="0.25">
      <c r="A1138" s="583" t="s">
        <v>14532</v>
      </c>
      <c r="B1138" s="605" t="s">
        <v>14533</v>
      </c>
      <c r="C1138" s="606"/>
      <c r="D1138" s="607"/>
      <c r="E1138" s="607"/>
      <c r="F1138" s="607"/>
      <c r="G1138" s="582"/>
    </row>
    <row r="1139" spans="1:7" ht="30" x14ac:dyDescent="0.2">
      <c r="A1139" s="583" t="s">
        <v>14534</v>
      </c>
      <c r="B1139" s="605" t="s">
        <v>14535</v>
      </c>
      <c r="C1139" s="606" t="s">
        <v>12427</v>
      </c>
      <c r="D1139" s="607">
        <v>159.66</v>
      </c>
      <c r="E1139" s="607"/>
      <c r="F1139" s="607">
        <v>159.66</v>
      </c>
      <c r="G1139" s="584">
        <v>15</v>
      </c>
    </row>
    <row r="1140" spans="1:7" ht="30" x14ac:dyDescent="0.2">
      <c r="A1140" s="583" t="s">
        <v>14536</v>
      </c>
      <c r="B1140" s="605" t="s">
        <v>14537</v>
      </c>
      <c r="C1140" s="606" t="s">
        <v>12427</v>
      </c>
      <c r="D1140" s="607">
        <v>202.02</v>
      </c>
      <c r="E1140" s="607"/>
      <c r="F1140" s="607">
        <v>202.02</v>
      </c>
      <c r="G1140" s="584">
        <v>15</v>
      </c>
    </row>
    <row r="1141" spans="1:7" ht="15" x14ac:dyDescent="0.25">
      <c r="A1141" s="583" t="s">
        <v>14538</v>
      </c>
      <c r="B1141" s="605" t="s">
        <v>14539</v>
      </c>
      <c r="C1141" s="606"/>
      <c r="D1141" s="607"/>
      <c r="E1141" s="607"/>
      <c r="F1141" s="607"/>
      <c r="G1141" s="582"/>
    </row>
    <row r="1142" spans="1:7" ht="45" x14ac:dyDescent="0.2">
      <c r="A1142" s="583" t="s">
        <v>14540</v>
      </c>
      <c r="B1142" s="605" t="s">
        <v>14541</v>
      </c>
      <c r="C1142" s="606" t="s">
        <v>12427</v>
      </c>
      <c r="D1142" s="607">
        <v>157.15</v>
      </c>
      <c r="E1142" s="607">
        <v>98.63</v>
      </c>
      <c r="F1142" s="607">
        <v>255.78</v>
      </c>
      <c r="G1142" s="584">
        <v>15</v>
      </c>
    </row>
    <row r="1143" spans="1:7" ht="30" x14ac:dyDescent="0.2">
      <c r="A1143" s="583" t="s">
        <v>14542</v>
      </c>
      <c r="B1143" s="605" t="s">
        <v>14543</v>
      </c>
      <c r="C1143" s="606" t="s">
        <v>12427</v>
      </c>
      <c r="D1143" s="607">
        <v>514.49</v>
      </c>
      <c r="E1143" s="607"/>
      <c r="F1143" s="607">
        <v>514.49</v>
      </c>
      <c r="G1143" s="584">
        <v>15</v>
      </c>
    </row>
    <row r="1144" spans="1:7" ht="15" x14ac:dyDescent="0.25">
      <c r="A1144" s="583" t="s">
        <v>14544</v>
      </c>
      <c r="B1144" s="605" t="s">
        <v>14545</v>
      </c>
      <c r="C1144" s="606"/>
      <c r="D1144" s="607"/>
      <c r="E1144" s="607"/>
      <c r="F1144" s="607"/>
      <c r="G1144" s="582"/>
    </row>
    <row r="1145" spans="1:7" ht="15" x14ac:dyDescent="0.2">
      <c r="A1145" s="583" t="s">
        <v>14546</v>
      </c>
      <c r="B1145" s="605" t="s">
        <v>14547</v>
      </c>
      <c r="C1145" s="606" t="s">
        <v>12427</v>
      </c>
      <c r="D1145" s="607">
        <v>788.21</v>
      </c>
      <c r="E1145" s="607"/>
      <c r="F1145" s="607">
        <v>788.21</v>
      </c>
      <c r="G1145" s="584">
        <v>15</v>
      </c>
    </row>
    <row r="1146" spans="1:7" ht="15" x14ac:dyDescent="0.25">
      <c r="A1146" s="583" t="s">
        <v>14548</v>
      </c>
      <c r="B1146" s="605" t="s">
        <v>14549</v>
      </c>
      <c r="C1146" s="606"/>
      <c r="D1146" s="607"/>
      <c r="E1146" s="607"/>
      <c r="F1146" s="607"/>
      <c r="G1146" s="582"/>
    </row>
    <row r="1147" spans="1:7" ht="15" x14ac:dyDescent="0.2">
      <c r="A1147" s="583" t="s">
        <v>14550</v>
      </c>
      <c r="B1147" s="605" t="s">
        <v>14551</v>
      </c>
      <c r="C1147" s="606" t="s">
        <v>12483</v>
      </c>
      <c r="D1147" s="607">
        <v>48.71</v>
      </c>
      <c r="E1147" s="607">
        <v>7.99</v>
      </c>
      <c r="F1147" s="607">
        <v>56.7</v>
      </c>
      <c r="G1147" s="584">
        <v>15</v>
      </c>
    </row>
    <row r="1148" spans="1:7" ht="15" x14ac:dyDescent="0.2">
      <c r="A1148" s="583" t="s">
        <v>14552</v>
      </c>
      <c r="B1148" s="605" t="s">
        <v>14553</v>
      </c>
      <c r="C1148" s="606" t="s">
        <v>12483</v>
      </c>
      <c r="D1148" s="607">
        <v>66.760000000000005</v>
      </c>
      <c r="E1148" s="607">
        <v>7.99</v>
      </c>
      <c r="F1148" s="607">
        <v>74.75</v>
      </c>
      <c r="G1148" s="584">
        <v>15</v>
      </c>
    </row>
    <row r="1149" spans="1:7" ht="30" x14ac:dyDescent="0.2">
      <c r="A1149" s="583" t="s">
        <v>14554</v>
      </c>
      <c r="B1149" s="605" t="s">
        <v>14555</v>
      </c>
      <c r="C1149" s="606" t="s">
        <v>12483</v>
      </c>
      <c r="D1149" s="607">
        <v>30.38</v>
      </c>
      <c r="E1149" s="607">
        <v>10.44</v>
      </c>
      <c r="F1149" s="607">
        <v>40.82</v>
      </c>
      <c r="G1149" s="584">
        <v>15</v>
      </c>
    </row>
    <row r="1150" spans="1:7" ht="30" x14ac:dyDescent="0.2">
      <c r="A1150" s="583" t="s">
        <v>14556</v>
      </c>
      <c r="B1150" s="605" t="s">
        <v>14557</v>
      </c>
      <c r="C1150" s="606" t="s">
        <v>12483</v>
      </c>
      <c r="D1150" s="607">
        <v>36.81</v>
      </c>
      <c r="E1150" s="607">
        <v>10.44</v>
      </c>
      <c r="F1150" s="607">
        <v>47.25</v>
      </c>
      <c r="G1150" s="584">
        <v>15</v>
      </c>
    </row>
    <row r="1151" spans="1:7" ht="30" x14ac:dyDescent="0.2">
      <c r="A1151" s="583" t="s">
        <v>14558</v>
      </c>
      <c r="B1151" s="605" t="s">
        <v>14559</v>
      </c>
      <c r="C1151" s="606" t="s">
        <v>12483</v>
      </c>
      <c r="D1151" s="607">
        <v>52.27</v>
      </c>
      <c r="E1151" s="607">
        <v>7.99</v>
      </c>
      <c r="F1151" s="607">
        <v>60.26</v>
      </c>
      <c r="G1151" s="584">
        <v>15</v>
      </c>
    </row>
    <row r="1152" spans="1:7" ht="15" x14ac:dyDescent="0.2">
      <c r="A1152" s="583" t="s">
        <v>14560</v>
      </c>
      <c r="B1152" s="605" t="s">
        <v>14561</v>
      </c>
      <c r="C1152" s="606" t="s">
        <v>12483</v>
      </c>
      <c r="D1152" s="607">
        <v>23.41</v>
      </c>
      <c r="E1152" s="607">
        <v>3.17</v>
      </c>
      <c r="F1152" s="607">
        <v>26.58</v>
      </c>
      <c r="G1152" s="584">
        <v>15</v>
      </c>
    </row>
    <row r="1153" spans="1:7" ht="15" x14ac:dyDescent="0.2">
      <c r="A1153" s="583" t="s">
        <v>14562</v>
      </c>
      <c r="B1153" s="605" t="s">
        <v>14563</v>
      </c>
      <c r="C1153" s="606" t="s">
        <v>12483</v>
      </c>
      <c r="D1153" s="607">
        <v>11.15</v>
      </c>
      <c r="E1153" s="607"/>
      <c r="F1153" s="607">
        <v>11.15</v>
      </c>
      <c r="G1153" s="584">
        <v>15</v>
      </c>
    </row>
    <row r="1154" spans="1:7" ht="30" x14ac:dyDescent="0.2">
      <c r="A1154" s="583" t="s">
        <v>14564</v>
      </c>
      <c r="B1154" s="605" t="s">
        <v>14565</v>
      </c>
      <c r="C1154" s="606" t="s">
        <v>12483</v>
      </c>
      <c r="D1154" s="607">
        <v>82.57</v>
      </c>
      <c r="E1154" s="607"/>
      <c r="F1154" s="607">
        <v>82.57</v>
      </c>
      <c r="G1154" s="584">
        <v>15</v>
      </c>
    </row>
    <row r="1155" spans="1:7" ht="15" x14ac:dyDescent="0.25">
      <c r="A1155" s="583" t="s">
        <v>14566</v>
      </c>
      <c r="B1155" s="605" t="s">
        <v>14567</v>
      </c>
      <c r="C1155" s="606"/>
      <c r="D1155" s="607"/>
      <c r="E1155" s="607"/>
      <c r="F1155" s="607"/>
      <c r="G1155" s="582"/>
    </row>
    <row r="1156" spans="1:7" ht="30" x14ac:dyDescent="0.2">
      <c r="A1156" s="583" t="s">
        <v>14568</v>
      </c>
      <c r="B1156" s="605" t="s">
        <v>14569</v>
      </c>
      <c r="C1156" s="606" t="s">
        <v>12483</v>
      </c>
      <c r="D1156" s="607">
        <v>218.27</v>
      </c>
      <c r="E1156" s="607">
        <v>8.61</v>
      </c>
      <c r="F1156" s="607">
        <v>226.88</v>
      </c>
      <c r="G1156" s="584">
        <v>15</v>
      </c>
    </row>
    <row r="1157" spans="1:7" ht="30" x14ac:dyDescent="0.2">
      <c r="A1157" s="583" t="s">
        <v>14570</v>
      </c>
      <c r="B1157" s="605" t="s">
        <v>14571</v>
      </c>
      <c r="C1157" s="606" t="s">
        <v>12483</v>
      </c>
      <c r="D1157" s="607">
        <v>52.02</v>
      </c>
      <c r="E1157" s="607">
        <v>7.99</v>
      </c>
      <c r="F1157" s="607">
        <v>60.01</v>
      </c>
      <c r="G1157" s="584">
        <v>15</v>
      </c>
    </row>
    <row r="1158" spans="1:7" ht="15" x14ac:dyDescent="0.25">
      <c r="A1158" s="583" t="s">
        <v>14572</v>
      </c>
      <c r="B1158" s="605" t="s">
        <v>14573</v>
      </c>
      <c r="C1158" s="606"/>
      <c r="D1158" s="607"/>
      <c r="E1158" s="607"/>
      <c r="F1158" s="607"/>
      <c r="G1158" s="582"/>
    </row>
    <row r="1159" spans="1:7" ht="15" x14ac:dyDescent="0.2">
      <c r="A1159" s="583" t="s">
        <v>14574</v>
      </c>
      <c r="B1159" s="605" t="s">
        <v>14575</v>
      </c>
      <c r="C1159" s="606" t="s">
        <v>12427</v>
      </c>
      <c r="D1159" s="607">
        <v>12.63</v>
      </c>
      <c r="E1159" s="607">
        <v>9.06</v>
      </c>
      <c r="F1159" s="607">
        <v>21.69</v>
      </c>
      <c r="G1159" s="584">
        <v>15</v>
      </c>
    </row>
    <row r="1160" spans="1:7" ht="15" x14ac:dyDescent="0.2">
      <c r="A1160" s="583" t="s">
        <v>14576</v>
      </c>
      <c r="B1160" s="605" t="s">
        <v>14577</v>
      </c>
      <c r="C1160" s="606" t="s">
        <v>12427</v>
      </c>
      <c r="D1160" s="607">
        <v>4.12</v>
      </c>
      <c r="E1160" s="607">
        <v>31.72</v>
      </c>
      <c r="F1160" s="607">
        <v>35.840000000000003</v>
      </c>
      <c r="G1160" s="584">
        <v>15</v>
      </c>
    </row>
    <row r="1161" spans="1:7" ht="30" x14ac:dyDescent="0.2">
      <c r="A1161" s="583" t="s">
        <v>14578</v>
      </c>
      <c r="B1161" s="605" t="s">
        <v>14579</v>
      </c>
      <c r="C1161" s="606" t="s">
        <v>12427</v>
      </c>
      <c r="D1161" s="607"/>
      <c r="E1161" s="607">
        <v>69.12</v>
      </c>
      <c r="F1161" s="607">
        <v>69.12</v>
      </c>
      <c r="G1161" s="584">
        <v>15</v>
      </c>
    </row>
    <row r="1162" spans="1:7" ht="15" x14ac:dyDescent="0.2">
      <c r="A1162" s="583" t="s">
        <v>14580</v>
      </c>
      <c r="B1162" s="605" t="s">
        <v>14581</v>
      </c>
      <c r="C1162" s="606" t="s">
        <v>12375</v>
      </c>
      <c r="D1162" s="607">
        <v>56.98</v>
      </c>
      <c r="E1162" s="607"/>
      <c r="F1162" s="607">
        <v>56.98</v>
      </c>
      <c r="G1162" s="584">
        <v>15</v>
      </c>
    </row>
    <row r="1163" spans="1:7" ht="15" x14ac:dyDescent="0.2">
      <c r="A1163" s="583" t="s">
        <v>14582</v>
      </c>
      <c r="B1163" s="605" t="s">
        <v>14583</v>
      </c>
      <c r="C1163" s="606" t="s">
        <v>12483</v>
      </c>
      <c r="D1163" s="607"/>
      <c r="E1163" s="607">
        <v>11.55</v>
      </c>
      <c r="F1163" s="607">
        <v>11.55</v>
      </c>
      <c r="G1163" s="584">
        <v>15</v>
      </c>
    </row>
    <row r="1164" spans="1:7" ht="15" x14ac:dyDescent="0.2">
      <c r="A1164" s="583" t="s">
        <v>14584</v>
      </c>
      <c r="B1164" s="605" t="s">
        <v>14585</v>
      </c>
      <c r="C1164" s="606" t="s">
        <v>12483</v>
      </c>
      <c r="D1164" s="607">
        <v>16.77</v>
      </c>
      <c r="E1164" s="607">
        <v>12.44</v>
      </c>
      <c r="F1164" s="607">
        <v>29.21</v>
      </c>
      <c r="G1164" s="584">
        <v>15</v>
      </c>
    </row>
    <row r="1165" spans="1:7" ht="30" x14ac:dyDescent="0.2">
      <c r="A1165" s="583" t="s">
        <v>14586</v>
      </c>
      <c r="B1165" s="605" t="s">
        <v>14587</v>
      </c>
      <c r="C1165" s="606" t="s">
        <v>12483</v>
      </c>
      <c r="D1165" s="607">
        <v>16.440000000000001</v>
      </c>
      <c r="E1165" s="607">
        <v>12.44</v>
      </c>
      <c r="F1165" s="607">
        <v>28.88</v>
      </c>
      <c r="G1165" s="584">
        <v>15</v>
      </c>
    </row>
    <row r="1166" spans="1:7" ht="15" x14ac:dyDescent="0.2">
      <c r="A1166" s="583" t="s">
        <v>14588</v>
      </c>
      <c r="B1166" s="605" t="s">
        <v>14589</v>
      </c>
      <c r="C1166" s="606" t="s">
        <v>12483</v>
      </c>
      <c r="D1166" s="607">
        <v>55.72</v>
      </c>
      <c r="E1166" s="607">
        <v>3.17</v>
      </c>
      <c r="F1166" s="607">
        <v>58.89</v>
      </c>
      <c r="G1166" s="584">
        <v>15</v>
      </c>
    </row>
    <row r="1167" spans="1:7" ht="15" x14ac:dyDescent="0.2">
      <c r="A1167" s="583" t="s">
        <v>14590</v>
      </c>
      <c r="B1167" s="605" t="s">
        <v>14591</v>
      </c>
      <c r="C1167" s="606" t="s">
        <v>12483</v>
      </c>
      <c r="D1167" s="607">
        <v>14.72</v>
      </c>
      <c r="E1167" s="607">
        <v>1.59</v>
      </c>
      <c r="F1167" s="607">
        <v>16.309999999999999</v>
      </c>
      <c r="G1167" s="584">
        <v>15</v>
      </c>
    </row>
    <row r="1168" spans="1:7" ht="15" x14ac:dyDescent="0.2">
      <c r="A1168" s="583" t="s">
        <v>14592</v>
      </c>
      <c r="B1168" s="605" t="s">
        <v>14593</v>
      </c>
      <c r="C1168" s="606" t="s">
        <v>12483</v>
      </c>
      <c r="D1168" s="607">
        <v>38.729999999999997</v>
      </c>
      <c r="E1168" s="607">
        <v>6.8</v>
      </c>
      <c r="F1168" s="607">
        <v>45.53</v>
      </c>
      <c r="G1168" s="584">
        <v>15</v>
      </c>
    </row>
    <row r="1169" spans="1:7" ht="15" x14ac:dyDescent="0.25">
      <c r="A1169" s="583" t="s">
        <v>14594</v>
      </c>
      <c r="B1169" s="605" t="s">
        <v>14595</v>
      </c>
      <c r="C1169" s="606"/>
      <c r="D1169" s="607"/>
      <c r="E1169" s="607"/>
      <c r="F1169" s="607"/>
      <c r="G1169" s="582"/>
    </row>
    <row r="1170" spans="1:7" ht="15" x14ac:dyDescent="0.25">
      <c r="A1170" s="583" t="s">
        <v>14596</v>
      </c>
      <c r="B1170" s="605" t="s">
        <v>14597</v>
      </c>
      <c r="C1170" s="606"/>
      <c r="D1170" s="607"/>
      <c r="E1170" s="607"/>
      <c r="F1170" s="607"/>
      <c r="G1170" s="582"/>
    </row>
    <row r="1171" spans="1:7" ht="15" x14ac:dyDescent="0.2">
      <c r="A1171" s="583" t="s">
        <v>14598</v>
      </c>
      <c r="B1171" s="605" t="s">
        <v>14599</v>
      </c>
      <c r="C1171" s="606" t="s">
        <v>12427</v>
      </c>
      <c r="D1171" s="607">
        <v>57.91</v>
      </c>
      <c r="E1171" s="607">
        <v>27.18</v>
      </c>
      <c r="F1171" s="607">
        <v>85.09</v>
      </c>
      <c r="G1171" s="584">
        <v>15</v>
      </c>
    </row>
    <row r="1172" spans="1:7" ht="15" x14ac:dyDescent="0.2">
      <c r="A1172" s="583" t="s">
        <v>14600</v>
      </c>
      <c r="B1172" s="605" t="s">
        <v>14601</v>
      </c>
      <c r="C1172" s="606" t="s">
        <v>12427</v>
      </c>
      <c r="D1172" s="607">
        <v>75.12</v>
      </c>
      <c r="E1172" s="607">
        <v>54.37</v>
      </c>
      <c r="F1172" s="607">
        <v>129.49</v>
      </c>
      <c r="G1172" s="584">
        <v>15</v>
      </c>
    </row>
    <row r="1173" spans="1:7" ht="30" x14ac:dyDescent="0.2">
      <c r="A1173" s="583" t="s">
        <v>14602</v>
      </c>
      <c r="B1173" s="605" t="s">
        <v>14603</v>
      </c>
      <c r="C1173" s="606" t="s">
        <v>12427</v>
      </c>
      <c r="D1173" s="607">
        <v>104.1</v>
      </c>
      <c r="E1173" s="607">
        <v>58.9</v>
      </c>
      <c r="F1173" s="607">
        <v>163</v>
      </c>
      <c r="G1173" s="584">
        <v>15</v>
      </c>
    </row>
    <row r="1174" spans="1:7" ht="15" x14ac:dyDescent="0.2">
      <c r="A1174" s="583" t="s">
        <v>14604</v>
      </c>
      <c r="B1174" s="605" t="s">
        <v>20150</v>
      </c>
      <c r="C1174" s="606" t="s">
        <v>12483</v>
      </c>
      <c r="D1174" s="607">
        <v>20.52</v>
      </c>
      <c r="E1174" s="607">
        <v>18.13</v>
      </c>
      <c r="F1174" s="607">
        <v>38.65</v>
      </c>
      <c r="G1174" s="584">
        <v>15</v>
      </c>
    </row>
    <row r="1175" spans="1:7" ht="30" x14ac:dyDescent="0.2">
      <c r="A1175" s="583" t="s">
        <v>14605</v>
      </c>
      <c r="B1175" s="605" t="s">
        <v>14606</v>
      </c>
      <c r="C1175" s="606" t="s">
        <v>12427</v>
      </c>
      <c r="D1175" s="607">
        <v>139.41</v>
      </c>
      <c r="E1175" s="607">
        <v>54.37</v>
      </c>
      <c r="F1175" s="607">
        <v>193.78</v>
      </c>
      <c r="G1175" s="584">
        <v>15</v>
      </c>
    </row>
    <row r="1176" spans="1:7" ht="30" x14ac:dyDescent="0.2">
      <c r="A1176" s="583" t="s">
        <v>14607</v>
      </c>
      <c r="B1176" s="605" t="s">
        <v>14608</v>
      </c>
      <c r="C1176" s="606" t="s">
        <v>12427</v>
      </c>
      <c r="D1176" s="607">
        <v>106.03</v>
      </c>
      <c r="E1176" s="607">
        <v>27.18</v>
      </c>
      <c r="F1176" s="607">
        <v>133.21</v>
      </c>
      <c r="G1176" s="584">
        <v>15</v>
      </c>
    </row>
    <row r="1177" spans="1:7" ht="15" x14ac:dyDescent="0.25">
      <c r="A1177" s="583" t="s">
        <v>14609</v>
      </c>
      <c r="B1177" s="605" t="s">
        <v>14610</v>
      </c>
      <c r="C1177" s="606"/>
      <c r="D1177" s="607"/>
      <c r="E1177" s="607"/>
      <c r="F1177" s="607"/>
      <c r="G1177" s="582"/>
    </row>
    <row r="1178" spans="1:7" ht="15" x14ac:dyDescent="0.2">
      <c r="A1178" s="583" t="s">
        <v>14611</v>
      </c>
      <c r="B1178" s="605" t="s">
        <v>21391</v>
      </c>
      <c r="C1178" s="606" t="s">
        <v>12427</v>
      </c>
      <c r="D1178" s="607">
        <v>157.08000000000001</v>
      </c>
      <c r="E1178" s="607"/>
      <c r="F1178" s="607">
        <v>157.08000000000001</v>
      </c>
      <c r="G1178" s="584">
        <v>15</v>
      </c>
    </row>
    <row r="1179" spans="1:7" ht="30" x14ac:dyDescent="0.2">
      <c r="A1179" s="583" t="s">
        <v>14612</v>
      </c>
      <c r="B1179" s="605" t="s">
        <v>20151</v>
      </c>
      <c r="C1179" s="606" t="s">
        <v>12427</v>
      </c>
      <c r="D1179" s="607">
        <v>127.87</v>
      </c>
      <c r="E1179" s="607"/>
      <c r="F1179" s="607">
        <v>127.87</v>
      </c>
      <c r="G1179" s="584">
        <v>15</v>
      </c>
    </row>
    <row r="1180" spans="1:7" ht="30" x14ac:dyDescent="0.2">
      <c r="A1180" s="583" t="s">
        <v>14613</v>
      </c>
      <c r="B1180" s="605" t="s">
        <v>20291</v>
      </c>
      <c r="C1180" s="606" t="s">
        <v>12427</v>
      </c>
      <c r="D1180" s="607">
        <v>105.2</v>
      </c>
      <c r="E1180" s="607"/>
      <c r="F1180" s="607">
        <v>105.2</v>
      </c>
      <c r="G1180" s="584">
        <v>15</v>
      </c>
    </row>
    <row r="1181" spans="1:7" ht="15" x14ac:dyDescent="0.25">
      <c r="A1181" s="583" t="s">
        <v>14614</v>
      </c>
      <c r="B1181" s="605" t="s">
        <v>14615</v>
      </c>
      <c r="C1181" s="606"/>
      <c r="D1181" s="607"/>
      <c r="E1181" s="607"/>
      <c r="F1181" s="607"/>
      <c r="G1181" s="582"/>
    </row>
    <row r="1182" spans="1:7" ht="15" x14ac:dyDescent="0.2">
      <c r="A1182" s="583" t="s">
        <v>14616</v>
      </c>
      <c r="B1182" s="605" t="s">
        <v>20152</v>
      </c>
      <c r="C1182" s="606" t="s">
        <v>12427</v>
      </c>
      <c r="D1182" s="607">
        <v>122.54</v>
      </c>
      <c r="E1182" s="607"/>
      <c r="F1182" s="607">
        <v>122.54</v>
      </c>
      <c r="G1182" s="584">
        <v>15</v>
      </c>
    </row>
    <row r="1183" spans="1:7" ht="15" x14ac:dyDescent="0.2">
      <c r="A1183" s="583" t="s">
        <v>14617</v>
      </c>
      <c r="B1183" s="605" t="s">
        <v>20153</v>
      </c>
      <c r="C1183" s="606" t="s">
        <v>12427</v>
      </c>
      <c r="D1183" s="607">
        <v>177.48</v>
      </c>
      <c r="E1183" s="607"/>
      <c r="F1183" s="607">
        <v>177.48</v>
      </c>
      <c r="G1183" s="584">
        <v>15</v>
      </c>
    </row>
    <row r="1184" spans="1:7" ht="15" x14ac:dyDescent="0.2">
      <c r="A1184" s="583" t="s">
        <v>14618</v>
      </c>
      <c r="B1184" s="605" t="s">
        <v>14619</v>
      </c>
      <c r="C1184" s="606" t="s">
        <v>12427</v>
      </c>
      <c r="D1184" s="607">
        <v>115.1</v>
      </c>
      <c r="E1184" s="607"/>
      <c r="F1184" s="607">
        <v>115.1</v>
      </c>
      <c r="G1184" s="584">
        <v>15</v>
      </c>
    </row>
    <row r="1185" spans="1:7" ht="15" x14ac:dyDescent="0.2">
      <c r="A1185" s="583" t="s">
        <v>14620</v>
      </c>
      <c r="B1185" s="605" t="s">
        <v>20154</v>
      </c>
      <c r="C1185" s="606" t="s">
        <v>12427</v>
      </c>
      <c r="D1185" s="607">
        <v>178.83</v>
      </c>
      <c r="E1185" s="607"/>
      <c r="F1185" s="607">
        <v>178.83</v>
      </c>
      <c r="G1185" s="584">
        <v>15</v>
      </c>
    </row>
    <row r="1186" spans="1:7" ht="15" x14ac:dyDescent="0.2">
      <c r="A1186" s="583" t="s">
        <v>14621</v>
      </c>
      <c r="B1186" s="605" t="s">
        <v>14622</v>
      </c>
      <c r="C1186" s="606" t="s">
        <v>12427</v>
      </c>
      <c r="D1186" s="607">
        <v>102.93</v>
      </c>
      <c r="E1186" s="607"/>
      <c r="F1186" s="607">
        <v>102.93</v>
      </c>
      <c r="G1186" s="584">
        <v>15</v>
      </c>
    </row>
    <row r="1187" spans="1:7" ht="30" x14ac:dyDescent="0.2">
      <c r="A1187" s="583" t="s">
        <v>14623</v>
      </c>
      <c r="B1187" s="605" t="s">
        <v>20155</v>
      </c>
      <c r="C1187" s="606" t="s">
        <v>12427</v>
      </c>
      <c r="D1187" s="607">
        <v>326.83999999999997</v>
      </c>
      <c r="E1187" s="607"/>
      <c r="F1187" s="607">
        <v>326.83999999999997</v>
      </c>
      <c r="G1187" s="584">
        <v>15</v>
      </c>
    </row>
    <row r="1188" spans="1:7" ht="30" x14ac:dyDescent="0.2">
      <c r="A1188" s="583" t="s">
        <v>14624</v>
      </c>
      <c r="B1188" s="605" t="s">
        <v>20156</v>
      </c>
      <c r="C1188" s="606" t="s">
        <v>12427</v>
      </c>
      <c r="D1188" s="607">
        <v>280.47000000000003</v>
      </c>
      <c r="E1188" s="607"/>
      <c r="F1188" s="607">
        <v>280.47000000000003</v>
      </c>
      <c r="G1188" s="584">
        <v>15</v>
      </c>
    </row>
    <row r="1189" spans="1:7" ht="30" x14ac:dyDescent="0.2">
      <c r="A1189" s="583" t="s">
        <v>20157</v>
      </c>
      <c r="B1189" s="605" t="s">
        <v>20158</v>
      </c>
      <c r="C1189" s="606" t="s">
        <v>12427</v>
      </c>
      <c r="D1189" s="607">
        <v>359.22</v>
      </c>
      <c r="E1189" s="607"/>
      <c r="F1189" s="607">
        <v>359.22</v>
      </c>
      <c r="G1189" s="584">
        <v>15</v>
      </c>
    </row>
    <row r="1190" spans="1:7" ht="15" x14ac:dyDescent="0.25">
      <c r="A1190" s="583" t="s">
        <v>14625</v>
      </c>
      <c r="B1190" s="605" t="s">
        <v>14626</v>
      </c>
      <c r="C1190" s="606"/>
      <c r="D1190" s="607"/>
      <c r="E1190" s="607"/>
      <c r="F1190" s="607"/>
      <c r="G1190" s="582"/>
    </row>
    <row r="1191" spans="1:7" ht="30" x14ac:dyDescent="0.2">
      <c r="A1191" s="583" t="s">
        <v>14627</v>
      </c>
      <c r="B1191" s="605" t="s">
        <v>14628</v>
      </c>
      <c r="C1191" s="606" t="s">
        <v>12427</v>
      </c>
      <c r="D1191" s="607">
        <v>875.01</v>
      </c>
      <c r="E1191" s="607"/>
      <c r="F1191" s="607">
        <v>875.01</v>
      </c>
      <c r="G1191" s="584">
        <v>15</v>
      </c>
    </row>
    <row r="1192" spans="1:7" ht="30" x14ac:dyDescent="0.2">
      <c r="A1192" s="583" t="s">
        <v>20071</v>
      </c>
      <c r="B1192" s="605" t="s">
        <v>20072</v>
      </c>
      <c r="C1192" s="606" t="s">
        <v>12427</v>
      </c>
      <c r="D1192" s="607">
        <v>434.69</v>
      </c>
      <c r="E1192" s="607"/>
      <c r="F1192" s="607">
        <v>434.69</v>
      </c>
      <c r="G1192" s="584">
        <v>15</v>
      </c>
    </row>
    <row r="1193" spans="1:7" ht="15" x14ac:dyDescent="0.25">
      <c r="A1193" s="583" t="s">
        <v>14629</v>
      </c>
      <c r="B1193" s="605" t="s">
        <v>14630</v>
      </c>
      <c r="C1193" s="606"/>
      <c r="D1193" s="607"/>
      <c r="E1193" s="607"/>
      <c r="F1193" s="607"/>
      <c r="G1193" s="582"/>
    </row>
    <row r="1194" spans="1:7" ht="15" x14ac:dyDescent="0.2">
      <c r="A1194" s="583" t="s">
        <v>14631</v>
      </c>
      <c r="B1194" s="605" t="s">
        <v>14632</v>
      </c>
      <c r="C1194" s="606" t="s">
        <v>12427</v>
      </c>
      <c r="D1194" s="607">
        <v>259.10000000000002</v>
      </c>
      <c r="E1194" s="607">
        <v>130.65</v>
      </c>
      <c r="F1194" s="607">
        <v>389.75</v>
      </c>
      <c r="G1194" s="584">
        <v>15</v>
      </c>
    </row>
    <row r="1195" spans="1:7" ht="30" x14ac:dyDescent="0.2">
      <c r="A1195" s="583" t="s">
        <v>14633</v>
      </c>
      <c r="B1195" s="605" t="s">
        <v>20159</v>
      </c>
      <c r="C1195" s="606" t="s">
        <v>12427</v>
      </c>
      <c r="D1195" s="607">
        <v>827.02</v>
      </c>
      <c r="E1195" s="607"/>
      <c r="F1195" s="607">
        <v>827.02</v>
      </c>
      <c r="G1195" s="584">
        <v>15</v>
      </c>
    </row>
    <row r="1196" spans="1:7" ht="30" x14ac:dyDescent="0.2">
      <c r="A1196" s="583" t="s">
        <v>14634</v>
      </c>
      <c r="B1196" s="605" t="s">
        <v>14635</v>
      </c>
      <c r="C1196" s="606" t="s">
        <v>12427</v>
      </c>
      <c r="D1196" s="607">
        <v>651.12</v>
      </c>
      <c r="E1196" s="607"/>
      <c r="F1196" s="607">
        <v>651.12</v>
      </c>
      <c r="G1196" s="584">
        <v>15</v>
      </c>
    </row>
    <row r="1197" spans="1:7" ht="30" x14ac:dyDescent="0.2">
      <c r="A1197" s="583" t="s">
        <v>14636</v>
      </c>
      <c r="B1197" s="605" t="s">
        <v>14637</v>
      </c>
      <c r="C1197" s="606" t="s">
        <v>12427</v>
      </c>
      <c r="D1197" s="607">
        <v>1085.2</v>
      </c>
      <c r="E1197" s="607"/>
      <c r="F1197" s="607">
        <v>1085.2</v>
      </c>
      <c r="G1197" s="584">
        <v>15</v>
      </c>
    </row>
    <row r="1198" spans="1:7" ht="15" x14ac:dyDescent="0.25">
      <c r="A1198" s="583" t="s">
        <v>14638</v>
      </c>
      <c r="B1198" s="605" t="s">
        <v>14639</v>
      </c>
      <c r="C1198" s="606"/>
      <c r="D1198" s="607"/>
      <c r="E1198" s="607"/>
      <c r="F1198" s="607"/>
      <c r="G1198" s="582"/>
    </row>
    <row r="1199" spans="1:7" ht="15" x14ac:dyDescent="0.2">
      <c r="A1199" s="583" t="s">
        <v>14640</v>
      </c>
      <c r="B1199" s="605" t="s">
        <v>14641</v>
      </c>
      <c r="C1199" s="606" t="s">
        <v>12427</v>
      </c>
      <c r="D1199" s="607">
        <v>69.930000000000007</v>
      </c>
      <c r="E1199" s="607">
        <v>6.8</v>
      </c>
      <c r="F1199" s="607">
        <v>76.73</v>
      </c>
      <c r="G1199" s="584">
        <v>15</v>
      </c>
    </row>
    <row r="1200" spans="1:7" ht="15" x14ac:dyDescent="0.2">
      <c r="A1200" s="583" t="s">
        <v>14642</v>
      </c>
      <c r="B1200" s="605" t="s">
        <v>14643</v>
      </c>
      <c r="C1200" s="606" t="s">
        <v>12427</v>
      </c>
      <c r="D1200" s="607">
        <v>0.83</v>
      </c>
      <c r="E1200" s="607">
        <v>13.59</v>
      </c>
      <c r="F1200" s="607">
        <v>14.42</v>
      </c>
      <c r="G1200" s="584">
        <v>15</v>
      </c>
    </row>
    <row r="1201" spans="1:7" ht="15" x14ac:dyDescent="0.2">
      <c r="A1201" s="583" t="s">
        <v>14644</v>
      </c>
      <c r="B1201" s="605" t="s">
        <v>14645</v>
      </c>
      <c r="C1201" s="606" t="s">
        <v>12427</v>
      </c>
      <c r="D1201" s="607"/>
      <c r="E1201" s="607">
        <v>6.8</v>
      </c>
      <c r="F1201" s="607">
        <v>6.8</v>
      </c>
      <c r="G1201" s="584">
        <v>15</v>
      </c>
    </row>
    <row r="1202" spans="1:7" ht="15" x14ac:dyDescent="0.2">
      <c r="A1202" s="583" t="s">
        <v>14646</v>
      </c>
      <c r="B1202" s="605" t="s">
        <v>20160</v>
      </c>
      <c r="C1202" s="606" t="s">
        <v>12483</v>
      </c>
      <c r="D1202" s="607">
        <v>25.9</v>
      </c>
      <c r="E1202" s="607"/>
      <c r="F1202" s="607">
        <v>25.9</v>
      </c>
      <c r="G1202" s="584">
        <v>15</v>
      </c>
    </row>
    <row r="1203" spans="1:7" ht="15" x14ac:dyDescent="0.2">
      <c r="A1203" s="583" t="s">
        <v>14647</v>
      </c>
      <c r="B1203" s="605" t="s">
        <v>14648</v>
      </c>
      <c r="C1203" s="606" t="s">
        <v>12375</v>
      </c>
      <c r="D1203" s="607">
        <v>31.12</v>
      </c>
      <c r="E1203" s="607"/>
      <c r="F1203" s="607">
        <v>31.12</v>
      </c>
      <c r="G1203" s="584">
        <v>15</v>
      </c>
    </row>
    <row r="1204" spans="1:7" ht="15" x14ac:dyDescent="0.25">
      <c r="A1204" s="583" t="s">
        <v>14649</v>
      </c>
      <c r="B1204" s="605" t="s">
        <v>14650</v>
      </c>
      <c r="C1204" s="606"/>
      <c r="D1204" s="607"/>
      <c r="E1204" s="607"/>
      <c r="F1204" s="607"/>
      <c r="G1204" s="582"/>
    </row>
    <row r="1205" spans="1:7" ht="15" x14ac:dyDescent="0.25">
      <c r="A1205" s="583" t="s">
        <v>14651</v>
      </c>
      <c r="B1205" s="605" t="s">
        <v>14652</v>
      </c>
      <c r="C1205" s="606"/>
      <c r="D1205" s="607"/>
      <c r="E1205" s="607"/>
      <c r="F1205" s="607"/>
      <c r="G1205" s="582"/>
    </row>
    <row r="1206" spans="1:7" ht="15" x14ac:dyDescent="0.2">
      <c r="A1206" s="583" t="s">
        <v>14653</v>
      </c>
      <c r="B1206" s="605" t="s">
        <v>14654</v>
      </c>
      <c r="C1206" s="606" t="s">
        <v>12427</v>
      </c>
      <c r="D1206" s="607">
        <v>1013.81</v>
      </c>
      <c r="E1206" s="607">
        <v>59.34</v>
      </c>
      <c r="F1206" s="607">
        <v>1073.1500000000001</v>
      </c>
      <c r="G1206" s="584">
        <v>15</v>
      </c>
    </row>
    <row r="1207" spans="1:7" ht="15" x14ac:dyDescent="0.2">
      <c r="A1207" s="583" t="s">
        <v>14655</v>
      </c>
      <c r="B1207" s="605" t="s">
        <v>14656</v>
      </c>
      <c r="C1207" s="606" t="s">
        <v>12427</v>
      </c>
      <c r="D1207" s="607">
        <v>905.3</v>
      </c>
      <c r="E1207" s="607">
        <v>59.34</v>
      </c>
      <c r="F1207" s="607">
        <v>964.64</v>
      </c>
      <c r="G1207" s="584">
        <v>15</v>
      </c>
    </row>
    <row r="1208" spans="1:7" ht="15" x14ac:dyDescent="0.25">
      <c r="A1208" s="583" t="s">
        <v>14657</v>
      </c>
      <c r="B1208" s="605" t="s">
        <v>14658</v>
      </c>
      <c r="C1208" s="606"/>
      <c r="D1208" s="607"/>
      <c r="E1208" s="607"/>
      <c r="F1208" s="607"/>
      <c r="G1208" s="582"/>
    </row>
    <row r="1209" spans="1:7" ht="30" x14ac:dyDescent="0.2">
      <c r="A1209" s="583" t="s">
        <v>14659</v>
      </c>
      <c r="B1209" s="605" t="s">
        <v>14660</v>
      </c>
      <c r="C1209" s="606" t="s">
        <v>12427</v>
      </c>
      <c r="D1209" s="607">
        <v>804.76</v>
      </c>
      <c r="E1209" s="607">
        <v>62.53</v>
      </c>
      <c r="F1209" s="607">
        <v>867.29</v>
      </c>
      <c r="G1209" s="584">
        <v>15</v>
      </c>
    </row>
    <row r="1210" spans="1:7" ht="15" x14ac:dyDescent="0.2">
      <c r="A1210" s="583" t="s">
        <v>14661</v>
      </c>
      <c r="B1210" s="605" t="s">
        <v>14662</v>
      </c>
      <c r="C1210" s="606" t="s">
        <v>12375</v>
      </c>
      <c r="D1210" s="607">
        <v>1341.38</v>
      </c>
      <c r="E1210" s="607">
        <v>126.87</v>
      </c>
      <c r="F1210" s="607">
        <v>1468.25</v>
      </c>
      <c r="G1210" s="584">
        <v>15</v>
      </c>
    </row>
    <row r="1211" spans="1:7" ht="15" x14ac:dyDescent="0.2">
      <c r="A1211" s="583" t="s">
        <v>14663</v>
      </c>
      <c r="B1211" s="605" t="s">
        <v>14664</v>
      </c>
      <c r="C1211" s="606" t="s">
        <v>12375</v>
      </c>
      <c r="D1211" s="607">
        <v>1351.72</v>
      </c>
      <c r="E1211" s="607">
        <v>126.87</v>
      </c>
      <c r="F1211" s="607">
        <v>1478.59</v>
      </c>
      <c r="G1211" s="584">
        <v>15</v>
      </c>
    </row>
    <row r="1212" spans="1:7" ht="15" x14ac:dyDescent="0.2">
      <c r="A1212" s="583" t="s">
        <v>14665</v>
      </c>
      <c r="B1212" s="605" t="s">
        <v>14666</v>
      </c>
      <c r="C1212" s="606" t="s">
        <v>12375</v>
      </c>
      <c r="D1212" s="607">
        <v>1452.94</v>
      </c>
      <c r="E1212" s="607">
        <v>126.87</v>
      </c>
      <c r="F1212" s="607">
        <v>1579.81</v>
      </c>
      <c r="G1212" s="584">
        <v>15</v>
      </c>
    </row>
    <row r="1213" spans="1:7" ht="15" x14ac:dyDescent="0.2">
      <c r="A1213" s="583" t="s">
        <v>14667</v>
      </c>
      <c r="B1213" s="605" t="s">
        <v>14668</v>
      </c>
      <c r="C1213" s="606" t="s">
        <v>12375</v>
      </c>
      <c r="D1213" s="607">
        <v>2545.38</v>
      </c>
      <c r="E1213" s="607">
        <v>158.59</v>
      </c>
      <c r="F1213" s="607">
        <v>2703.97</v>
      </c>
      <c r="G1213" s="584">
        <v>15</v>
      </c>
    </row>
    <row r="1214" spans="1:7" ht="15" x14ac:dyDescent="0.25">
      <c r="A1214" s="583" t="s">
        <v>14669</v>
      </c>
      <c r="B1214" s="605" t="s">
        <v>14670</v>
      </c>
      <c r="C1214" s="606"/>
      <c r="D1214" s="607"/>
      <c r="E1214" s="607"/>
      <c r="F1214" s="607"/>
      <c r="G1214" s="582"/>
    </row>
    <row r="1215" spans="1:7" ht="30" x14ac:dyDescent="0.2">
      <c r="A1215" s="583" t="s">
        <v>14671</v>
      </c>
      <c r="B1215" s="605" t="s">
        <v>14672</v>
      </c>
      <c r="C1215" s="606" t="s">
        <v>12375</v>
      </c>
      <c r="D1215" s="607">
        <v>1333.81</v>
      </c>
      <c r="E1215" s="607">
        <v>63.44</v>
      </c>
      <c r="F1215" s="607">
        <v>1397.25</v>
      </c>
      <c r="G1215" s="584">
        <v>15</v>
      </c>
    </row>
    <row r="1216" spans="1:7" ht="30" x14ac:dyDescent="0.2">
      <c r="A1216" s="583" t="s">
        <v>14673</v>
      </c>
      <c r="B1216" s="605" t="s">
        <v>14674</v>
      </c>
      <c r="C1216" s="606" t="s">
        <v>12375</v>
      </c>
      <c r="D1216" s="607">
        <v>1124.27</v>
      </c>
      <c r="E1216" s="607">
        <v>63.44</v>
      </c>
      <c r="F1216" s="607">
        <v>1187.71</v>
      </c>
      <c r="G1216" s="584">
        <v>15</v>
      </c>
    </row>
    <row r="1217" spans="1:7" ht="30" x14ac:dyDescent="0.2">
      <c r="A1217" s="583" t="s">
        <v>14675</v>
      </c>
      <c r="B1217" s="605" t="s">
        <v>14676</v>
      </c>
      <c r="C1217" s="606" t="s">
        <v>12375</v>
      </c>
      <c r="D1217" s="607">
        <v>1289.73</v>
      </c>
      <c r="E1217" s="607">
        <v>126.87</v>
      </c>
      <c r="F1217" s="607">
        <v>1416.6</v>
      </c>
      <c r="G1217" s="584">
        <v>15</v>
      </c>
    </row>
    <row r="1218" spans="1:7" ht="30" x14ac:dyDescent="0.2">
      <c r="A1218" s="583" t="s">
        <v>14677</v>
      </c>
      <c r="B1218" s="605" t="s">
        <v>14678</v>
      </c>
      <c r="C1218" s="606" t="s">
        <v>12375</v>
      </c>
      <c r="D1218" s="607">
        <v>1398.11</v>
      </c>
      <c r="E1218" s="607">
        <v>126.87</v>
      </c>
      <c r="F1218" s="607">
        <v>1524.98</v>
      </c>
      <c r="G1218" s="584">
        <v>15</v>
      </c>
    </row>
    <row r="1219" spans="1:7" ht="30" x14ac:dyDescent="0.2">
      <c r="A1219" s="583" t="s">
        <v>14679</v>
      </c>
      <c r="B1219" s="605" t="s">
        <v>14680</v>
      </c>
      <c r="C1219" s="606" t="s">
        <v>12375</v>
      </c>
      <c r="D1219" s="607">
        <v>1399.95</v>
      </c>
      <c r="E1219" s="607">
        <v>126.87</v>
      </c>
      <c r="F1219" s="607">
        <v>1526.82</v>
      </c>
      <c r="G1219" s="584">
        <v>15</v>
      </c>
    </row>
    <row r="1220" spans="1:7" ht="30" x14ac:dyDescent="0.2">
      <c r="A1220" s="583" t="s">
        <v>14681</v>
      </c>
      <c r="B1220" s="605" t="s">
        <v>14682</v>
      </c>
      <c r="C1220" s="606" t="s">
        <v>12375</v>
      </c>
      <c r="D1220" s="607">
        <v>2323.6</v>
      </c>
      <c r="E1220" s="607">
        <v>158.59</v>
      </c>
      <c r="F1220" s="607">
        <v>2482.19</v>
      </c>
      <c r="G1220" s="584">
        <v>15</v>
      </c>
    </row>
    <row r="1221" spans="1:7" ht="30" x14ac:dyDescent="0.2">
      <c r="A1221" s="583" t="s">
        <v>14683</v>
      </c>
      <c r="B1221" s="605" t="s">
        <v>14684</v>
      </c>
      <c r="C1221" s="606" t="s">
        <v>12375</v>
      </c>
      <c r="D1221" s="607">
        <v>2438.69</v>
      </c>
      <c r="E1221" s="607">
        <v>158.59</v>
      </c>
      <c r="F1221" s="607">
        <v>2597.2800000000002</v>
      </c>
      <c r="G1221" s="584">
        <v>15</v>
      </c>
    </row>
    <row r="1222" spans="1:7" ht="30" x14ac:dyDescent="0.2">
      <c r="A1222" s="583" t="s">
        <v>14685</v>
      </c>
      <c r="B1222" s="605" t="s">
        <v>14686</v>
      </c>
      <c r="C1222" s="606" t="s">
        <v>12375</v>
      </c>
      <c r="D1222" s="607">
        <v>4404.04</v>
      </c>
      <c r="E1222" s="607">
        <v>181.25</v>
      </c>
      <c r="F1222" s="607">
        <v>4585.29</v>
      </c>
      <c r="G1222" s="584">
        <v>15</v>
      </c>
    </row>
    <row r="1223" spans="1:7" ht="30" x14ac:dyDescent="0.2">
      <c r="A1223" s="583" t="s">
        <v>14687</v>
      </c>
      <c r="B1223" s="605" t="s">
        <v>14688</v>
      </c>
      <c r="C1223" s="606" t="s">
        <v>12375</v>
      </c>
      <c r="D1223" s="607">
        <v>1296.6099999999999</v>
      </c>
      <c r="E1223" s="607">
        <v>15.85</v>
      </c>
      <c r="F1223" s="607">
        <v>1312.46</v>
      </c>
      <c r="G1223" s="584">
        <v>15</v>
      </c>
    </row>
    <row r="1224" spans="1:7" ht="30" x14ac:dyDescent="0.2">
      <c r="A1224" s="583" t="s">
        <v>14689</v>
      </c>
      <c r="B1224" s="605" t="s">
        <v>14690</v>
      </c>
      <c r="C1224" s="606" t="s">
        <v>12375</v>
      </c>
      <c r="D1224" s="607">
        <v>2065.59</v>
      </c>
      <c r="E1224" s="607">
        <v>122.34</v>
      </c>
      <c r="F1224" s="607">
        <v>2187.9299999999998</v>
      </c>
      <c r="G1224" s="584">
        <v>15</v>
      </c>
    </row>
    <row r="1225" spans="1:7" ht="30" x14ac:dyDescent="0.2">
      <c r="A1225" s="583" t="s">
        <v>14691</v>
      </c>
      <c r="B1225" s="605" t="s">
        <v>14692</v>
      </c>
      <c r="C1225" s="606" t="s">
        <v>12375</v>
      </c>
      <c r="D1225" s="607">
        <v>2159.89</v>
      </c>
      <c r="E1225" s="607">
        <v>117.8</v>
      </c>
      <c r="F1225" s="607">
        <v>2277.69</v>
      </c>
      <c r="G1225" s="584">
        <v>15</v>
      </c>
    </row>
    <row r="1226" spans="1:7" ht="30" x14ac:dyDescent="0.2">
      <c r="A1226" s="583" t="s">
        <v>14693</v>
      </c>
      <c r="B1226" s="605" t="s">
        <v>14694</v>
      </c>
      <c r="C1226" s="606" t="s">
        <v>12375</v>
      </c>
      <c r="D1226" s="607">
        <v>2313.61</v>
      </c>
      <c r="E1226" s="607">
        <v>117.8</v>
      </c>
      <c r="F1226" s="607">
        <v>2431.41</v>
      </c>
      <c r="G1226" s="584">
        <v>15</v>
      </c>
    </row>
    <row r="1227" spans="1:7" ht="30" x14ac:dyDescent="0.2">
      <c r="A1227" s="583" t="s">
        <v>14695</v>
      </c>
      <c r="B1227" s="605" t="s">
        <v>14696</v>
      </c>
      <c r="C1227" s="606" t="s">
        <v>12375</v>
      </c>
      <c r="D1227" s="607">
        <v>2315.4499999999998</v>
      </c>
      <c r="E1227" s="607">
        <v>117.8</v>
      </c>
      <c r="F1227" s="607">
        <v>2433.25</v>
      </c>
      <c r="G1227" s="584">
        <v>15</v>
      </c>
    </row>
    <row r="1228" spans="1:7" ht="30" x14ac:dyDescent="0.2">
      <c r="A1228" s="583" t="s">
        <v>14697</v>
      </c>
      <c r="B1228" s="605" t="s">
        <v>14698</v>
      </c>
      <c r="C1228" s="606" t="s">
        <v>12375</v>
      </c>
      <c r="D1228" s="607">
        <v>3152.21</v>
      </c>
      <c r="E1228" s="607">
        <v>154.06</v>
      </c>
      <c r="F1228" s="607">
        <v>3306.27</v>
      </c>
      <c r="G1228" s="584">
        <v>15</v>
      </c>
    </row>
    <row r="1229" spans="1:7" ht="15" x14ac:dyDescent="0.25">
      <c r="A1229" s="583" t="s">
        <v>14699</v>
      </c>
      <c r="B1229" s="605" t="s">
        <v>14700</v>
      </c>
      <c r="C1229" s="606"/>
      <c r="D1229" s="607"/>
      <c r="E1229" s="607"/>
      <c r="F1229" s="607"/>
      <c r="G1229" s="582"/>
    </row>
    <row r="1230" spans="1:7" ht="15" x14ac:dyDescent="0.2">
      <c r="A1230" s="583" t="s">
        <v>14701</v>
      </c>
      <c r="B1230" s="605" t="s">
        <v>14702</v>
      </c>
      <c r="C1230" s="606" t="s">
        <v>12427</v>
      </c>
      <c r="D1230" s="607">
        <v>95.34</v>
      </c>
      <c r="E1230" s="607">
        <v>45.31</v>
      </c>
      <c r="F1230" s="607">
        <v>140.65</v>
      </c>
      <c r="G1230" s="584">
        <v>15</v>
      </c>
    </row>
    <row r="1231" spans="1:7" ht="30" x14ac:dyDescent="0.2">
      <c r="A1231" s="583" t="s">
        <v>14703</v>
      </c>
      <c r="B1231" s="605" t="s">
        <v>14704</v>
      </c>
      <c r="C1231" s="606" t="s">
        <v>12483</v>
      </c>
      <c r="D1231" s="607">
        <v>7.13</v>
      </c>
      <c r="E1231" s="607">
        <v>9.06</v>
      </c>
      <c r="F1231" s="607">
        <v>16.190000000000001</v>
      </c>
      <c r="G1231" s="584">
        <v>15</v>
      </c>
    </row>
    <row r="1232" spans="1:7" ht="30" x14ac:dyDescent="0.2">
      <c r="A1232" s="583" t="s">
        <v>14705</v>
      </c>
      <c r="B1232" s="605" t="s">
        <v>14706</v>
      </c>
      <c r="C1232" s="606" t="s">
        <v>12483</v>
      </c>
      <c r="D1232" s="607">
        <v>103.58</v>
      </c>
      <c r="E1232" s="607">
        <v>90.62</v>
      </c>
      <c r="F1232" s="607">
        <v>194.2</v>
      </c>
      <c r="G1232" s="584">
        <v>15</v>
      </c>
    </row>
    <row r="1233" spans="1:7" ht="30" x14ac:dyDescent="0.2">
      <c r="A1233" s="583" t="s">
        <v>14707</v>
      </c>
      <c r="B1233" s="605" t="s">
        <v>14708</v>
      </c>
      <c r="C1233" s="606" t="s">
        <v>12427</v>
      </c>
      <c r="D1233" s="607">
        <v>2708.47</v>
      </c>
      <c r="E1233" s="607"/>
      <c r="F1233" s="607">
        <v>2708.47</v>
      </c>
      <c r="G1233" s="584">
        <v>15</v>
      </c>
    </row>
    <row r="1234" spans="1:7" ht="30" x14ac:dyDescent="0.2">
      <c r="A1234" s="583" t="s">
        <v>14709</v>
      </c>
      <c r="B1234" s="605" t="s">
        <v>14710</v>
      </c>
      <c r="C1234" s="606" t="s">
        <v>12427</v>
      </c>
      <c r="D1234" s="607">
        <v>900.78</v>
      </c>
      <c r="E1234" s="607"/>
      <c r="F1234" s="607">
        <v>900.78</v>
      </c>
      <c r="G1234" s="584">
        <v>15</v>
      </c>
    </row>
    <row r="1235" spans="1:7" ht="30" x14ac:dyDescent="0.2">
      <c r="A1235" s="583" t="s">
        <v>14711</v>
      </c>
      <c r="B1235" s="605" t="s">
        <v>14712</v>
      </c>
      <c r="C1235" s="606" t="s">
        <v>12427</v>
      </c>
      <c r="D1235" s="607">
        <v>676.01</v>
      </c>
      <c r="E1235" s="607">
        <v>18.13</v>
      </c>
      <c r="F1235" s="607">
        <v>694.14</v>
      </c>
      <c r="G1235" s="584">
        <v>15</v>
      </c>
    </row>
    <row r="1236" spans="1:7" ht="30" x14ac:dyDescent="0.2">
      <c r="A1236" s="583" t="s">
        <v>14713</v>
      </c>
      <c r="B1236" s="605" t="s">
        <v>14714</v>
      </c>
      <c r="C1236" s="606" t="s">
        <v>12427</v>
      </c>
      <c r="D1236" s="607">
        <v>2302.7399999999998</v>
      </c>
      <c r="E1236" s="607"/>
      <c r="F1236" s="607">
        <v>2302.7399999999998</v>
      </c>
      <c r="G1236" s="584">
        <v>15</v>
      </c>
    </row>
    <row r="1237" spans="1:7" ht="15" x14ac:dyDescent="0.2">
      <c r="A1237" s="583" t="s">
        <v>14715</v>
      </c>
      <c r="B1237" s="605" t="s">
        <v>14716</v>
      </c>
      <c r="C1237" s="606" t="s">
        <v>12427</v>
      </c>
      <c r="D1237" s="607">
        <v>178.7</v>
      </c>
      <c r="E1237" s="607">
        <v>45.31</v>
      </c>
      <c r="F1237" s="607">
        <v>224.01</v>
      </c>
      <c r="G1237" s="584">
        <v>15</v>
      </c>
    </row>
    <row r="1238" spans="1:7" ht="30" x14ac:dyDescent="0.2">
      <c r="A1238" s="583" t="s">
        <v>14717</v>
      </c>
      <c r="B1238" s="605" t="s">
        <v>14718</v>
      </c>
      <c r="C1238" s="606" t="s">
        <v>12676</v>
      </c>
      <c r="D1238" s="607">
        <v>1195.1400000000001</v>
      </c>
      <c r="E1238" s="607">
        <v>194.83</v>
      </c>
      <c r="F1238" s="607">
        <v>1389.97</v>
      </c>
      <c r="G1238" s="584">
        <v>15</v>
      </c>
    </row>
    <row r="1239" spans="1:7" ht="15" x14ac:dyDescent="0.2">
      <c r="A1239" s="583" t="s">
        <v>14719</v>
      </c>
      <c r="B1239" s="605" t="s">
        <v>14720</v>
      </c>
      <c r="C1239" s="606" t="s">
        <v>12427</v>
      </c>
      <c r="D1239" s="607">
        <v>283.47000000000003</v>
      </c>
      <c r="E1239" s="607">
        <v>8.8800000000000008</v>
      </c>
      <c r="F1239" s="607">
        <v>292.35000000000002</v>
      </c>
      <c r="G1239" s="584">
        <v>15</v>
      </c>
    </row>
    <row r="1240" spans="1:7" ht="30" x14ac:dyDescent="0.2">
      <c r="A1240" s="583" t="s">
        <v>14721</v>
      </c>
      <c r="B1240" s="605" t="s">
        <v>14722</v>
      </c>
      <c r="C1240" s="606" t="s">
        <v>12427</v>
      </c>
      <c r="D1240" s="607">
        <v>2179.79</v>
      </c>
      <c r="E1240" s="607"/>
      <c r="F1240" s="607">
        <v>2179.79</v>
      </c>
      <c r="G1240" s="584">
        <v>15</v>
      </c>
    </row>
    <row r="1241" spans="1:7" ht="30" x14ac:dyDescent="0.2">
      <c r="A1241" s="583" t="s">
        <v>14723</v>
      </c>
      <c r="B1241" s="605" t="s">
        <v>14724</v>
      </c>
      <c r="C1241" s="606" t="s">
        <v>12427</v>
      </c>
      <c r="D1241" s="607">
        <v>2031.33</v>
      </c>
      <c r="E1241" s="607"/>
      <c r="F1241" s="607">
        <v>2031.33</v>
      </c>
      <c r="G1241" s="584">
        <v>15</v>
      </c>
    </row>
    <row r="1242" spans="1:7" ht="15" x14ac:dyDescent="0.2">
      <c r="A1242" s="583" t="s">
        <v>20073</v>
      </c>
      <c r="B1242" s="605" t="s">
        <v>20074</v>
      </c>
      <c r="C1242" s="606" t="s">
        <v>12427</v>
      </c>
      <c r="D1242" s="607">
        <v>433.15</v>
      </c>
      <c r="E1242" s="607">
        <v>37.31</v>
      </c>
      <c r="F1242" s="607">
        <v>470.46</v>
      </c>
      <c r="G1242" s="584">
        <v>15</v>
      </c>
    </row>
    <row r="1243" spans="1:7" ht="30" x14ac:dyDescent="0.2">
      <c r="A1243" s="583" t="s">
        <v>20161</v>
      </c>
      <c r="B1243" s="605" t="s">
        <v>20162</v>
      </c>
      <c r="C1243" s="606" t="s">
        <v>12427</v>
      </c>
      <c r="D1243" s="607">
        <v>858.12</v>
      </c>
      <c r="E1243" s="607">
        <v>181.24</v>
      </c>
      <c r="F1243" s="607">
        <v>1039.3599999999999</v>
      </c>
      <c r="G1243" s="584">
        <v>15</v>
      </c>
    </row>
    <row r="1244" spans="1:7" ht="15" x14ac:dyDescent="0.2">
      <c r="A1244" s="583" t="s">
        <v>14725</v>
      </c>
      <c r="B1244" s="605" t="s">
        <v>14726</v>
      </c>
      <c r="C1244" s="606" t="s">
        <v>12427</v>
      </c>
      <c r="D1244" s="607">
        <v>501.34</v>
      </c>
      <c r="E1244" s="607">
        <v>90.39</v>
      </c>
      <c r="F1244" s="607">
        <v>591.73</v>
      </c>
      <c r="G1244" s="584">
        <v>15</v>
      </c>
    </row>
    <row r="1245" spans="1:7" ht="30" x14ac:dyDescent="0.2">
      <c r="A1245" s="583" t="s">
        <v>14727</v>
      </c>
      <c r="B1245" s="605" t="s">
        <v>14728</v>
      </c>
      <c r="C1245" s="606" t="s">
        <v>12483</v>
      </c>
      <c r="D1245" s="607">
        <v>278.99</v>
      </c>
      <c r="E1245" s="607">
        <v>9.06</v>
      </c>
      <c r="F1245" s="607">
        <v>288.05</v>
      </c>
      <c r="G1245" s="584">
        <v>15</v>
      </c>
    </row>
    <row r="1246" spans="1:7" ht="15" x14ac:dyDescent="0.25">
      <c r="A1246" s="583" t="s">
        <v>14729</v>
      </c>
      <c r="B1246" s="605" t="s">
        <v>14730</v>
      </c>
      <c r="C1246" s="606"/>
      <c r="D1246" s="607"/>
      <c r="E1246" s="607"/>
      <c r="F1246" s="607"/>
      <c r="G1246" s="582"/>
    </row>
    <row r="1247" spans="1:7" ht="30" x14ac:dyDescent="0.2">
      <c r="A1247" s="583" t="s">
        <v>14731</v>
      </c>
      <c r="B1247" s="605" t="s">
        <v>14732</v>
      </c>
      <c r="C1247" s="606" t="s">
        <v>12427</v>
      </c>
      <c r="D1247" s="607">
        <v>251.18</v>
      </c>
      <c r="E1247" s="607">
        <v>62.53</v>
      </c>
      <c r="F1247" s="607">
        <v>313.70999999999998</v>
      </c>
      <c r="G1247" s="584">
        <v>15</v>
      </c>
    </row>
    <row r="1248" spans="1:7" ht="15" x14ac:dyDescent="0.2">
      <c r="A1248" s="583" t="s">
        <v>14733</v>
      </c>
      <c r="B1248" s="605" t="s">
        <v>14734</v>
      </c>
      <c r="C1248" s="606" t="s">
        <v>12375</v>
      </c>
      <c r="D1248" s="607">
        <v>503.81</v>
      </c>
      <c r="E1248" s="607">
        <v>126.87</v>
      </c>
      <c r="F1248" s="607">
        <v>630.67999999999995</v>
      </c>
      <c r="G1248" s="584">
        <v>15</v>
      </c>
    </row>
    <row r="1249" spans="1:7" ht="15" x14ac:dyDescent="0.2">
      <c r="A1249" s="583" t="s">
        <v>14735</v>
      </c>
      <c r="B1249" s="605" t="s">
        <v>14736</v>
      </c>
      <c r="C1249" s="606" t="s">
        <v>12375</v>
      </c>
      <c r="D1249" s="607">
        <v>499.36</v>
      </c>
      <c r="E1249" s="607">
        <v>126.87</v>
      </c>
      <c r="F1249" s="607">
        <v>626.23</v>
      </c>
      <c r="G1249" s="584">
        <v>15</v>
      </c>
    </row>
    <row r="1250" spans="1:7" ht="15" x14ac:dyDescent="0.2">
      <c r="A1250" s="583" t="s">
        <v>14737</v>
      </c>
      <c r="B1250" s="605" t="s">
        <v>14738</v>
      </c>
      <c r="C1250" s="606" t="s">
        <v>12375</v>
      </c>
      <c r="D1250" s="607">
        <v>505.85</v>
      </c>
      <c r="E1250" s="607">
        <v>126.87</v>
      </c>
      <c r="F1250" s="607">
        <v>632.72</v>
      </c>
      <c r="G1250" s="584">
        <v>15</v>
      </c>
    </row>
    <row r="1251" spans="1:7" ht="15" x14ac:dyDescent="0.2">
      <c r="A1251" s="583" t="s">
        <v>14739</v>
      </c>
      <c r="B1251" s="605" t="s">
        <v>14740</v>
      </c>
      <c r="C1251" s="606" t="s">
        <v>12375</v>
      </c>
      <c r="D1251" s="607">
        <v>530.27</v>
      </c>
      <c r="E1251" s="607">
        <v>126.87</v>
      </c>
      <c r="F1251" s="607">
        <v>657.14</v>
      </c>
      <c r="G1251" s="584">
        <v>15</v>
      </c>
    </row>
    <row r="1252" spans="1:7" ht="15" x14ac:dyDescent="0.2">
      <c r="A1252" s="583" t="s">
        <v>14741</v>
      </c>
      <c r="B1252" s="605" t="s">
        <v>14742</v>
      </c>
      <c r="C1252" s="606" t="s">
        <v>12375</v>
      </c>
      <c r="D1252" s="607">
        <v>756.27</v>
      </c>
      <c r="E1252" s="607">
        <v>126.87</v>
      </c>
      <c r="F1252" s="607">
        <v>883.14</v>
      </c>
      <c r="G1252" s="584">
        <v>15</v>
      </c>
    </row>
    <row r="1253" spans="1:7" ht="15" x14ac:dyDescent="0.2">
      <c r="A1253" s="583" t="s">
        <v>14743</v>
      </c>
      <c r="B1253" s="605" t="s">
        <v>14744</v>
      </c>
      <c r="C1253" s="606" t="s">
        <v>12375</v>
      </c>
      <c r="D1253" s="607">
        <v>896.4</v>
      </c>
      <c r="E1253" s="607">
        <v>158.59</v>
      </c>
      <c r="F1253" s="607">
        <v>1054.99</v>
      </c>
      <c r="G1253" s="584">
        <v>15</v>
      </c>
    </row>
    <row r="1254" spans="1:7" ht="15" x14ac:dyDescent="0.2">
      <c r="A1254" s="583" t="s">
        <v>14745</v>
      </c>
      <c r="B1254" s="605" t="s">
        <v>14746</v>
      </c>
      <c r="C1254" s="606" t="s">
        <v>12375</v>
      </c>
      <c r="D1254" s="607">
        <v>896.96</v>
      </c>
      <c r="E1254" s="607">
        <v>183.5</v>
      </c>
      <c r="F1254" s="607">
        <v>1080.46</v>
      </c>
      <c r="G1254" s="584">
        <v>15</v>
      </c>
    </row>
    <row r="1255" spans="1:7" ht="30" x14ac:dyDescent="0.2">
      <c r="A1255" s="583" t="s">
        <v>14747</v>
      </c>
      <c r="B1255" s="605" t="s">
        <v>14748</v>
      </c>
      <c r="C1255" s="606" t="s">
        <v>12375</v>
      </c>
      <c r="D1255" s="607">
        <v>353.72</v>
      </c>
      <c r="E1255" s="607">
        <v>63.44</v>
      </c>
      <c r="F1255" s="607">
        <v>417.16</v>
      </c>
      <c r="G1255" s="584">
        <v>15</v>
      </c>
    </row>
    <row r="1256" spans="1:7" ht="30" x14ac:dyDescent="0.2">
      <c r="A1256" s="583" t="s">
        <v>14749</v>
      </c>
      <c r="B1256" s="605" t="s">
        <v>14750</v>
      </c>
      <c r="C1256" s="606" t="s">
        <v>12375</v>
      </c>
      <c r="D1256" s="607">
        <v>355.76</v>
      </c>
      <c r="E1256" s="607">
        <v>63.44</v>
      </c>
      <c r="F1256" s="607">
        <v>419.2</v>
      </c>
      <c r="G1256" s="584">
        <v>15</v>
      </c>
    </row>
    <row r="1257" spans="1:7" ht="30" x14ac:dyDescent="0.2">
      <c r="A1257" s="583" t="s">
        <v>14751</v>
      </c>
      <c r="B1257" s="605" t="s">
        <v>14752</v>
      </c>
      <c r="C1257" s="606" t="s">
        <v>12375</v>
      </c>
      <c r="D1257" s="607">
        <v>380.18</v>
      </c>
      <c r="E1257" s="607">
        <v>63.44</v>
      </c>
      <c r="F1257" s="607">
        <v>443.62</v>
      </c>
      <c r="G1257" s="584">
        <v>15</v>
      </c>
    </row>
    <row r="1258" spans="1:7" ht="15" x14ac:dyDescent="0.2">
      <c r="A1258" s="583" t="s">
        <v>14753</v>
      </c>
      <c r="B1258" s="605" t="s">
        <v>14754</v>
      </c>
      <c r="C1258" s="606" t="s">
        <v>12375</v>
      </c>
      <c r="D1258" s="607">
        <v>965.74</v>
      </c>
      <c r="E1258" s="607">
        <v>63.44</v>
      </c>
      <c r="F1258" s="607">
        <v>1029.18</v>
      </c>
      <c r="G1258" s="584">
        <v>15</v>
      </c>
    </row>
    <row r="1259" spans="1:7" ht="15" x14ac:dyDescent="0.2">
      <c r="A1259" s="583" t="s">
        <v>14755</v>
      </c>
      <c r="B1259" s="605" t="s">
        <v>14756</v>
      </c>
      <c r="C1259" s="606" t="s">
        <v>12375</v>
      </c>
      <c r="D1259" s="607">
        <v>967.78</v>
      </c>
      <c r="E1259" s="607">
        <v>63.44</v>
      </c>
      <c r="F1259" s="607">
        <v>1031.22</v>
      </c>
      <c r="G1259" s="584">
        <v>15</v>
      </c>
    </row>
    <row r="1260" spans="1:7" ht="15" x14ac:dyDescent="0.2">
      <c r="A1260" s="583" t="s">
        <v>14757</v>
      </c>
      <c r="B1260" s="605" t="s">
        <v>14758</v>
      </c>
      <c r="C1260" s="606" t="s">
        <v>12375</v>
      </c>
      <c r="D1260" s="607">
        <v>1369.52</v>
      </c>
      <c r="E1260" s="607">
        <v>117.8</v>
      </c>
      <c r="F1260" s="607">
        <v>1487.32</v>
      </c>
      <c r="G1260" s="584">
        <v>15</v>
      </c>
    </row>
    <row r="1261" spans="1:7" ht="15" x14ac:dyDescent="0.2">
      <c r="A1261" s="583" t="s">
        <v>14759</v>
      </c>
      <c r="B1261" s="605" t="s">
        <v>14760</v>
      </c>
      <c r="C1261" s="606" t="s">
        <v>12375</v>
      </c>
      <c r="D1261" s="607">
        <v>1398.68</v>
      </c>
      <c r="E1261" s="607">
        <v>117.8</v>
      </c>
      <c r="F1261" s="607">
        <v>1516.48</v>
      </c>
      <c r="G1261" s="584">
        <v>15</v>
      </c>
    </row>
    <row r="1262" spans="1:7" ht="15" x14ac:dyDescent="0.2">
      <c r="A1262" s="583" t="s">
        <v>14761</v>
      </c>
      <c r="B1262" s="605" t="s">
        <v>14762</v>
      </c>
      <c r="C1262" s="606" t="s">
        <v>12375</v>
      </c>
      <c r="D1262" s="607">
        <v>1445.77</v>
      </c>
      <c r="E1262" s="607">
        <v>117.8</v>
      </c>
      <c r="F1262" s="607">
        <v>1563.57</v>
      </c>
      <c r="G1262" s="584">
        <v>15</v>
      </c>
    </row>
    <row r="1263" spans="1:7" ht="15" x14ac:dyDescent="0.2">
      <c r="A1263" s="583" t="s">
        <v>14763</v>
      </c>
      <c r="B1263" s="605" t="s">
        <v>14764</v>
      </c>
      <c r="C1263" s="606" t="s">
        <v>12375</v>
      </c>
      <c r="D1263" s="607">
        <v>1725.01</v>
      </c>
      <c r="E1263" s="607">
        <v>154.06</v>
      </c>
      <c r="F1263" s="607">
        <v>1879.07</v>
      </c>
      <c r="G1263" s="584">
        <v>15</v>
      </c>
    </row>
    <row r="1264" spans="1:7" ht="15" x14ac:dyDescent="0.2">
      <c r="A1264" s="583" t="s">
        <v>14765</v>
      </c>
      <c r="B1264" s="605" t="s">
        <v>14766</v>
      </c>
      <c r="C1264" s="606" t="s">
        <v>12375</v>
      </c>
      <c r="D1264" s="607">
        <v>1819.76</v>
      </c>
      <c r="E1264" s="607">
        <v>154.06</v>
      </c>
      <c r="F1264" s="607">
        <v>1973.82</v>
      </c>
      <c r="G1264" s="584">
        <v>15</v>
      </c>
    </row>
    <row r="1265" spans="1:7" ht="15" x14ac:dyDescent="0.2">
      <c r="A1265" s="583" t="s">
        <v>14767</v>
      </c>
      <c r="B1265" s="605" t="s">
        <v>14768</v>
      </c>
      <c r="C1265" s="606" t="s">
        <v>12375</v>
      </c>
      <c r="D1265" s="607">
        <v>1147.97</v>
      </c>
      <c r="E1265" s="607">
        <v>63.44</v>
      </c>
      <c r="F1265" s="607">
        <v>1211.4100000000001</v>
      </c>
      <c r="G1265" s="584">
        <v>15</v>
      </c>
    </row>
    <row r="1266" spans="1:7" ht="15" x14ac:dyDescent="0.2">
      <c r="A1266" s="583" t="s">
        <v>14769</v>
      </c>
      <c r="B1266" s="605" t="s">
        <v>14770</v>
      </c>
      <c r="C1266" s="606" t="s">
        <v>12375</v>
      </c>
      <c r="D1266" s="607">
        <v>1351.3</v>
      </c>
      <c r="E1266" s="607">
        <v>63.44</v>
      </c>
      <c r="F1266" s="607">
        <v>1414.74</v>
      </c>
      <c r="G1266" s="584">
        <v>15</v>
      </c>
    </row>
    <row r="1267" spans="1:7" ht="15" x14ac:dyDescent="0.2">
      <c r="A1267" s="583" t="s">
        <v>14771</v>
      </c>
      <c r="B1267" s="605" t="s">
        <v>14772</v>
      </c>
      <c r="C1267" s="606" t="s">
        <v>12375</v>
      </c>
      <c r="D1267" s="607">
        <v>781.7</v>
      </c>
      <c r="E1267" s="607">
        <v>158.59</v>
      </c>
      <c r="F1267" s="607">
        <v>940.29</v>
      </c>
      <c r="G1267" s="584">
        <v>15</v>
      </c>
    </row>
    <row r="1268" spans="1:7" ht="15" x14ac:dyDescent="0.25">
      <c r="A1268" s="583" t="s">
        <v>14773</v>
      </c>
      <c r="B1268" s="605" t="s">
        <v>14774</v>
      </c>
      <c r="C1268" s="606"/>
      <c r="D1268" s="607"/>
      <c r="E1268" s="607"/>
      <c r="F1268" s="607"/>
      <c r="G1268" s="582"/>
    </row>
    <row r="1269" spans="1:7" ht="30" x14ac:dyDescent="0.2">
      <c r="A1269" s="583" t="s">
        <v>14775</v>
      </c>
      <c r="B1269" s="605" t="s">
        <v>14776</v>
      </c>
      <c r="C1269" s="606" t="s">
        <v>12427</v>
      </c>
      <c r="D1269" s="607">
        <v>261.63</v>
      </c>
      <c r="E1269" s="607">
        <v>62.53</v>
      </c>
      <c r="F1269" s="607">
        <v>324.16000000000003</v>
      </c>
      <c r="G1269" s="584">
        <v>15</v>
      </c>
    </row>
    <row r="1270" spans="1:7" ht="30" x14ac:dyDescent="0.2">
      <c r="A1270" s="583" t="s">
        <v>14777</v>
      </c>
      <c r="B1270" s="605" t="s">
        <v>14778</v>
      </c>
      <c r="C1270" s="606" t="s">
        <v>12375</v>
      </c>
      <c r="D1270" s="607">
        <v>506.48</v>
      </c>
      <c r="E1270" s="607">
        <v>126.87</v>
      </c>
      <c r="F1270" s="607">
        <v>633.35</v>
      </c>
      <c r="G1270" s="584">
        <v>15</v>
      </c>
    </row>
    <row r="1271" spans="1:7" ht="30" x14ac:dyDescent="0.2">
      <c r="A1271" s="583" t="s">
        <v>14779</v>
      </c>
      <c r="B1271" s="605" t="s">
        <v>14780</v>
      </c>
      <c r="C1271" s="606" t="s">
        <v>12375</v>
      </c>
      <c r="D1271" s="607">
        <v>515.11</v>
      </c>
      <c r="E1271" s="607">
        <v>126.87</v>
      </c>
      <c r="F1271" s="607">
        <v>641.98</v>
      </c>
      <c r="G1271" s="584">
        <v>15</v>
      </c>
    </row>
    <row r="1272" spans="1:7" ht="30" x14ac:dyDescent="0.2">
      <c r="A1272" s="583" t="s">
        <v>14781</v>
      </c>
      <c r="B1272" s="605" t="s">
        <v>14782</v>
      </c>
      <c r="C1272" s="606" t="s">
        <v>12375</v>
      </c>
      <c r="D1272" s="607">
        <v>547.84</v>
      </c>
      <c r="E1272" s="607">
        <v>126.87</v>
      </c>
      <c r="F1272" s="607">
        <v>674.71</v>
      </c>
      <c r="G1272" s="584">
        <v>15</v>
      </c>
    </row>
    <row r="1273" spans="1:7" ht="30" x14ac:dyDescent="0.25">
      <c r="A1273" s="583" t="s">
        <v>14783</v>
      </c>
      <c r="B1273" s="605" t="s">
        <v>14784</v>
      </c>
      <c r="C1273" s="606"/>
      <c r="D1273" s="607"/>
      <c r="E1273" s="607"/>
      <c r="F1273" s="607"/>
      <c r="G1273" s="582"/>
    </row>
    <row r="1274" spans="1:7" ht="45" x14ac:dyDescent="0.2">
      <c r="A1274" s="583" t="s">
        <v>14785</v>
      </c>
      <c r="B1274" s="605" t="s">
        <v>14786</v>
      </c>
      <c r="C1274" s="606" t="s">
        <v>12375</v>
      </c>
      <c r="D1274" s="607">
        <v>624.34</v>
      </c>
      <c r="E1274" s="607"/>
      <c r="F1274" s="607">
        <v>624.34</v>
      </c>
      <c r="G1274" s="584">
        <v>15</v>
      </c>
    </row>
    <row r="1275" spans="1:7" ht="30" x14ac:dyDescent="0.25">
      <c r="A1275" s="583" t="s">
        <v>14787</v>
      </c>
      <c r="B1275" s="605" t="s">
        <v>14788</v>
      </c>
      <c r="C1275" s="606"/>
      <c r="D1275" s="607"/>
      <c r="E1275" s="607"/>
      <c r="F1275" s="607"/>
      <c r="G1275" s="582"/>
    </row>
    <row r="1276" spans="1:7" ht="45" x14ac:dyDescent="0.2">
      <c r="A1276" s="583" t="s">
        <v>14789</v>
      </c>
      <c r="B1276" s="605" t="s">
        <v>14790</v>
      </c>
      <c r="C1276" s="606" t="s">
        <v>12375</v>
      </c>
      <c r="D1276" s="607">
        <v>624.34</v>
      </c>
      <c r="E1276" s="607"/>
      <c r="F1276" s="607">
        <v>624.34</v>
      </c>
      <c r="G1276" s="584">
        <v>15</v>
      </c>
    </row>
    <row r="1277" spans="1:7" ht="45" x14ac:dyDescent="0.2">
      <c r="A1277" s="583" t="s">
        <v>14791</v>
      </c>
      <c r="B1277" s="605" t="s">
        <v>14792</v>
      </c>
      <c r="C1277" s="606" t="s">
        <v>12375</v>
      </c>
      <c r="D1277" s="607">
        <v>641.89</v>
      </c>
      <c r="E1277" s="607"/>
      <c r="F1277" s="607">
        <v>641.89</v>
      </c>
      <c r="G1277" s="584">
        <v>15</v>
      </c>
    </row>
    <row r="1278" spans="1:7" ht="45" x14ac:dyDescent="0.2">
      <c r="A1278" s="583" t="s">
        <v>14793</v>
      </c>
      <c r="B1278" s="605" t="s">
        <v>14794</v>
      </c>
      <c r="C1278" s="606" t="s">
        <v>12375</v>
      </c>
      <c r="D1278" s="607">
        <v>624.34</v>
      </c>
      <c r="E1278" s="607"/>
      <c r="F1278" s="607">
        <v>624.34</v>
      </c>
      <c r="G1278" s="584">
        <v>15</v>
      </c>
    </row>
    <row r="1279" spans="1:7" ht="60" x14ac:dyDescent="0.2">
      <c r="A1279" s="583" t="s">
        <v>14795</v>
      </c>
      <c r="B1279" s="605" t="s">
        <v>14796</v>
      </c>
      <c r="C1279" s="606" t="s">
        <v>12375</v>
      </c>
      <c r="D1279" s="607">
        <v>775.59</v>
      </c>
      <c r="E1279" s="607"/>
      <c r="F1279" s="607">
        <v>775.59</v>
      </c>
      <c r="G1279" s="584">
        <v>15</v>
      </c>
    </row>
    <row r="1280" spans="1:7" ht="60" x14ac:dyDescent="0.2">
      <c r="A1280" s="583" t="s">
        <v>14797</v>
      </c>
      <c r="B1280" s="605" t="s">
        <v>14798</v>
      </c>
      <c r="C1280" s="606" t="s">
        <v>12375</v>
      </c>
      <c r="D1280" s="607">
        <v>812.83</v>
      </c>
      <c r="E1280" s="607"/>
      <c r="F1280" s="607">
        <v>812.83</v>
      </c>
      <c r="G1280" s="584">
        <v>15</v>
      </c>
    </row>
    <row r="1281" spans="1:7" ht="60" x14ac:dyDescent="0.2">
      <c r="A1281" s="583" t="s">
        <v>14799</v>
      </c>
      <c r="B1281" s="605" t="s">
        <v>14800</v>
      </c>
      <c r="C1281" s="606" t="s">
        <v>12375</v>
      </c>
      <c r="D1281" s="607">
        <v>908.56</v>
      </c>
      <c r="E1281" s="607"/>
      <c r="F1281" s="607">
        <v>908.56</v>
      </c>
      <c r="G1281" s="584">
        <v>15</v>
      </c>
    </row>
    <row r="1282" spans="1:7" ht="15" x14ac:dyDescent="0.25">
      <c r="A1282" s="583" t="s">
        <v>14801</v>
      </c>
      <c r="B1282" s="605" t="s">
        <v>14802</v>
      </c>
      <c r="C1282" s="606"/>
      <c r="D1282" s="607"/>
      <c r="E1282" s="607"/>
      <c r="F1282" s="607"/>
      <c r="G1282" s="582"/>
    </row>
    <row r="1283" spans="1:7" ht="15" x14ac:dyDescent="0.2">
      <c r="A1283" s="583" t="s">
        <v>14803</v>
      </c>
      <c r="B1283" s="605" t="s">
        <v>14804</v>
      </c>
      <c r="C1283" s="606" t="s">
        <v>12375</v>
      </c>
      <c r="D1283" s="607"/>
      <c r="E1283" s="607">
        <v>58.9</v>
      </c>
      <c r="F1283" s="607">
        <v>58.9</v>
      </c>
      <c r="G1283" s="584">
        <v>15</v>
      </c>
    </row>
    <row r="1284" spans="1:7" ht="15" x14ac:dyDescent="0.2">
      <c r="A1284" s="583" t="s">
        <v>14805</v>
      </c>
      <c r="B1284" s="605" t="s">
        <v>14806</v>
      </c>
      <c r="C1284" s="606" t="s">
        <v>12375</v>
      </c>
      <c r="D1284" s="607"/>
      <c r="E1284" s="607">
        <v>72.489999999999995</v>
      </c>
      <c r="F1284" s="607">
        <v>72.489999999999995</v>
      </c>
      <c r="G1284" s="584">
        <v>15</v>
      </c>
    </row>
    <row r="1285" spans="1:7" ht="15" x14ac:dyDescent="0.2">
      <c r="A1285" s="583" t="s">
        <v>14807</v>
      </c>
      <c r="B1285" s="605" t="s">
        <v>14808</v>
      </c>
      <c r="C1285" s="606" t="s">
        <v>12483</v>
      </c>
      <c r="D1285" s="607"/>
      <c r="E1285" s="607">
        <v>2.2599999999999998</v>
      </c>
      <c r="F1285" s="607">
        <v>2.2599999999999998</v>
      </c>
      <c r="G1285" s="584">
        <v>15</v>
      </c>
    </row>
    <row r="1286" spans="1:7" ht="15" x14ac:dyDescent="0.2">
      <c r="A1286" s="583" t="s">
        <v>14809</v>
      </c>
      <c r="B1286" s="605" t="s">
        <v>14810</v>
      </c>
      <c r="C1286" s="606" t="s">
        <v>12483</v>
      </c>
      <c r="D1286" s="607">
        <v>40.97</v>
      </c>
      <c r="E1286" s="607">
        <v>13.59</v>
      </c>
      <c r="F1286" s="607">
        <v>54.56</v>
      </c>
      <c r="G1286" s="584">
        <v>15</v>
      </c>
    </row>
    <row r="1287" spans="1:7" ht="15" x14ac:dyDescent="0.2">
      <c r="A1287" s="583" t="s">
        <v>14811</v>
      </c>
      <c r="B1287" s="605" t="s">
        <v>14812</v>
      </c>
      <c r="C1287" s="606" t="s">
        <v>12427</v>
      </c>
      <c r="D1287" s="607">
        <v>1716</v>
      </c>
      <c r="E1287" s="607">
        <v>181.24</v>
      </c>
      <c r="F1287" s="607">
        <v>1897.24</v>
      </c>
      <c r="G1287" s="584">
        <v>15</v>
      </c>
    </row>
    <row r="1288" spans="1:7" ht="15" x14ac:dyDescent="0.2">
      <c r="A1288" s="583" t="s">
        <v>14813</v>
      </c>
      <c r="B1288" s="605" t="s">
        <v>14814</v>
      </c>
      <c r="C1288" s="606" t="s">
        <v>12483</v>
      </c>
      <c r="D1288" s="607">
        <v>6.84</v>
      </c>
      <c r="E1288" s="607">
        <v>2.2599999999999998</v>
      </c>
      <c r="F1288" s="607">
        <v>9.1</v>
      </c>
      <c r="G1288" s="584">
        <v>15</v>
      </c>
    </row>
    <row r="1289" spans="1:7" ht="15" x14ac:dyDescent="0.2">
      <c r="A1289" s="583" t="s">
        <v>14815</v>
      </c>
      <c r="B1289" s="605" t="s">
        <v>14816</v>
      </c>
      <c r="C1289" s="606" t="s">
        <v>12375</v>
      </c>
      <c r="D1289" s="607">
        <v>325.32</v>
      </c>
      <c r="E1289" s="607"/>
      <c r="F1289" s="607">
        <v>325.32</v>
      </c>
      <c r="G1289" s="584">
        <v>15</v>
      </c>
    </row>
    <row r="1290" spans="1:7" ht="15" x14ac:dyDescent="0.2">
      <c r="A1290" s="583" t="s">
        <v>14817</v>
      </c>
      <c r="B1290" s="605" t="s">
        <v>14818</v>
      </c>
      <c r="C1290" s="606" t="s">
        <v>12427</v>
      </c>
      <c r="D1290" s="607">
        <v>1201.98</v>
      </c>
      <c r="E1290" s="607">
        <v>22.66</v>
      </c>
      <c r="F1290" s="607">
        <v>1224.6400000000001</v>
      </c>
      <c r="G1290" s="584">
        <v>15</v>
      </c>
    </row>
    <row r="1291" spans="1:7" ht="15" x14ac:dyDescent="0.2">
      <c r="A1291" s="583" t="s">
        <v>14819</v>
      </c>
      <c r="B1291" s="605" t="s">
        <v>14820</v>
      </c>
      <c r="C1291" s="606" t="s">
        <v>12427</v>
      </c>
      <c r="D1291" s="607">
        <v>132.72999999999999</v>
      </c>
      <c r="E1291" s="607">
        <v>22.66</v>
      </c>
      <c r="F1291" s="607">
        <v>155.38999999999999</v>
      </c>
      <c r="G1291" s="584">
        <v>15</v>
      </c>
    </row>
    <row r="1292" spans="1:7" ht="15" x14ac:dyDescent="0.2">
      <c r="A1292" s="583" t="s">
        <v>14821</v>
      </c>
      <c r="B1292" s="605" t="s">
        <v>14822</v>
      </c>
      <c r="C1292" s="606" t="s">
        <v>12427</v>
      </c>
      <c r="D1292" s="607">
        <v>482.05</v>
      </c>
      <c r="E1292" s="607">
        <v>22.66</v>
      </c>
      <c r="F1292" s="607">
        <v>504.71</v>
      </c>
      <c r="G1292" s="584">
        <v>15</v>
      </c>
    </row>
    <row r="1293" spans="1:7" ht="15" x14ac:dyDescent="0.2">
      <c r="A1293" s="583" t="s">
        <v>14823</v>
      </c>
      <c r="B1293" s="605" t="s">
        <v>14824</v>
      </c>
      <c r="C1293" s="606" t="s">
        <v>12375</v>
      </c>
      <c r="D1293" s="607">
        <v>237.69</v>
      </c>
      <c r="E1293" s="607">
        <v>67.97</v>
      </c>
      <c r="F1293" s="607">
        <v>305.66000000000003</v>
      </c>
      <c r="G1293" s="584">
        <v>15</v>
      </c>
    </row>
    <row r="1294" spans="1:7" ht="15" x14ac:dyDescent="0.2">
      <c r="A1294" s="583" t="s">
        <v>14825</v>
      </c>
      <c r="B1294" s="605" t="s">
        <v>14826</v>
      </c>
      <c r="C1294" s="606" t="s">
        <v>12375</v>
      </c>
      <c r="D1294" s="607">
        <v>233.24</v>
      </c>
      <c r="E1294" s="607">
        <v>67.97</v>
      </c>
      <c r="F1294" s="607">
        <v>301.20999999999998</v>
      </c>
      <c r="G1294" s="584">
        <v>15</v>
      </c>
    </row>
    <row r="1295" spans="1:7" ht="15" x14ac:dyDescent="0.2">
      <c r="A1295" s="583" t="s">
        <v>14827</v>
      </c>
      <c r="B1295" s="605" t="s">
        <v>14828</v>
      </c>
      <c r="C1295" s="606" t="s">
        <v>12375</v>
      </c>
      <c r="D1295" s="607">
        <v>239.73</v>
      </c>
      <c r="E1295" s="607">
        <v>67.97</v>
      </c>
      <c r="F1295" s="607">
        <v>307.7</v>
      </c>
      <c r="G1295" s="584">
        <v>15</v>
      </c>
    </row>
    <row r="1296" spans="1:7" ht="15" x14ac:dyDescent="0.2">
      <c r="A1296" s="583" t="s">
        <v>14829</v>
      </c>
      <c r="B1296" s="605" t="s">
        <v>14830</v>
      </c>
      <c r="C1296" s="606" t="s">
        <v>12375</v>
      </c>
      <c r="D1296" s="607">
        <v>264.14999999999998</v>
      </c>
      <c r="E1296" s="607">
        <v>67.97</v>
      </c>
      <c r="F1296" s="607">
        <v>332.12</v>
      </c>
      <c r="G1296" s="584">
        <v>15</v>
      </c>
    </row>
    <row r="1297" spans="1:7" ht="30" x14ac:dyDescent="0.2">
      <c r="A1297" s="583" t="s">
        <v>14831</v>
      </c>
      <c r="B1297" s="605" t="s">
        <v>14832</v>
      </c>
      <c r="C1297" s="606" t="s">
        <v>12375</v>
      </c>
      <c r="D1297" s="607">
        <v>1023.61</v>
      </c>
      <c r="E1297" s="607">
        <v>67.97</v>
      </c>
      <c r="F1297" s="607">
        <v>1091.58</v>
      </c>
      <c r="G1297" s="584">
        <v>15</v>
      </c>
    </row>
    <row r="1298" spans="1:7" ht="30" x14ac:dyDescent="0.2">
      <c r="A1298" s="583" t="s">
        <v>14833</v>
      </c>
      <c r="B1298" s="605" t="s">
        <v>14834</v>
      </c>
      <c r="C1298" s="606" t="s">
        <v>12375</v>
      </c>
      <c r="D1298" s="607">
        <v>1133.83</v>
      </c>
      <c r="E1298" s="607">
        <v>67.97</v>
      </c>
      <c r="F1298" s="607">
        <v>1201.8</v>
      </c>
      <c r="G1298" s="584">
        <v>15</v>
      </c>
    </row>
    <row r="1299" spans="1:7" ht="30" x14ac:dyDescent="0.2">
      <c r="A1299" s="583" t="s">
        <v>14835</v>
      </c>
      <c r="B1299" s="605" t="s">
        <v>14836</v>
      </c>
      <c r="C1299" s="606" t="s">
        <v>12375</v>
      </c>
      <c r="D1299" s="607">
        <v>1131.99</v>
      </c>
      <c r="E1299" s="607">
        <v>67.97</v>
      </c>
      <c r="F1299" s="607">
        <v>1199.96</v>
      </c>
      <c r="G1299" s="584">
        <v>15</v>
      </c>
    </row>
    <row r="1300" spans="1:7" ht="30" x14ac:dyDescent="0.2">
      <c r="A1300" s="583" t="s">
        <v>21392</v>
      </c>
      <c r="B1300" s="605" t="s">
        <v>21393</v>
      </c>
      <c r="C1300" s="606" t="s">
        <v>12427</v>
      </c>
      <c r="D1300" s="607">
        <v>599.91</v>
      </c>
      <c r="E1300" s="607">
        <v>36.799999999999997</v>
      </c>
      <c r="F1300" s="607">
        <v>636.71</v>
      </c>
      <c r="G1300" s="584">
        <v>15</v>
      </c>
    </row>
    <row r="1301" spans="1:7" ht="30" x14ac:dyDescent="0.2">
      <c r="A1301" s="583" t="s">
        <v>14837</v>
      </c>
      <c r="B1301" s="605" t="s">
        <v>14838</v>
      </c>
      <c r="C1301" s="606" t="s">
        <v>12427</v>
      </c>
      <c r="D1301" s="607">
        <v>1139.19</v>
      </c>
      <c r="E1301" s="607">
        <v>67.97</v>
      </c>
      <c r="F1301" s="607">
        <v>1207.1600000000001</v>
      </c>
      <c r="G1301" s="584">
        <v>15</v>
      </c>
    </row>
    <row r="1302" spans="1:7" ht="15" x14ac:dyDescent="0.25">
      <c r="A1302" s="583" t="s">
        <v>14839</v>
      </c>
      <c r="B1302" s="605" t="s">
        <v>14840</v>
      </c>
      <c r="C1302" s="606"/>
      <c r="D1302" s="607"/>
      <c r="E1302" s="607"/>
      <c r="F1302" s="607"/>
      <c r="G1302" s="582"/>
    </row>
    <row r="1303" spans="1:7" ht="15" x14ac:dyDescent="0.25">
      <c r="A1303" s="583" t="s">
        <v>14841</v>
      </c>
      <c r="B1303" s="605" t="s">
        <v>14842</v>
      </c>
      <c r="C1303" s="606"/>
      <c r="D1303" s="607"/>
      <c r="E1303" s="607"/>
      <c r="F1303" s="607"/>
      <c r="G1303" s="582"/>
    </row>
    <row r="1304" spans="1:7" ht="15" x14ac:dyDescent="0.2">
      <c r="A1304" s="583" t="s">
        <v>14843</v>
      </c>
      <c r="B1304" s="605" t="s">
        <v>14844</v>
      </c>
      <c r="C1304" s="606" t="s">
        <v>12427</v>
      </c>
      <c r="D1304" s="607">
        <v>540.87</v>
      </c>
      <c r="E1304" s="607">
        <v>28.76</v>
      </c>
      <c r="F1304" s="607">
        <v>569.63</v>
      </c>
      <c r="G1304" s="584">
        <v>15</v>
      </c>
    </row>
    <row r="1305" spans="1:7" ht="15" x14ac:dyDescent="0.2">
      <c r="A1305" s="583" t="s">
        <v>14845</v>
      </c>
      <c r="B1305" s="605" t="s">
        <v>14846</v>
      </c>
      <c r="C1305" s="606" t="s">
        <v>12427</v>
      </c>
      <c r="D1305" s="607">
        <v>1499.26</v>
      </c>
      <c r="E1305" s="607">
        <v>28.76</v>
      </c>
      <c r="F1305" s="607">
        <v>1528.02</v>
      </c>
      <c r="G1305" s="584">
        <v>15</v>
      </c>
    </row>
    <row r="1306" spans="1:7" ht="15" x14ac:dyDescent="0.2">
      <c r="A1306" s="583" t="s">
        <v>14847</v>
      </c>
      <c r="B1306" s="605" t="s">
        <v>14848</v>
      </c>
      <c r="C1306" s="606" t="s">
        <v>12427</v>
      </c>
      <c r="D1306" s="607">
        <v>909.99</v>
      </c>
      <c r="E1306" s="607">
        <v>28.76</v>
      </c>
      <c r="F1306" s="607">
        <v>938.75</v>
      </c>
      <c r="G1306" s="584">
        <v>15</v>
      </c>
    </row>
    <row r="1307" spans="1:7" ht="15" x14ac:dyDescent="0.2">
      <c r="A1307" s="583" t="s">
        <v>14849</v>
      </c>
      <c r="B1307" s="605" t="s">
        <v>14850</v>
      </c>
      <c r="C1307" s="606" t="s">
        <v>12427</v>
      </c>
      <c r="D1307" s="607">
        <v>607.79999999999995</v>
      </c>
      <c r="E1307" s="607">
        <v>28.76</v>
      </c>
      <c r="F1307" s="607">
        <v>636.55999999999995</v>
      </c>
      <c r="G1307" s="584">
        <v>15</v>
      </c>
    </row>
    <row r="1308" spans="1:7" ht="15" x14ac:dyDescent="0.2">
      <c r="A1308" s="583" t="s">
        <v>14851</v>
      </c>
      <c r="B1308" s="605" t="s">
        <v>14852</v>
      </c>
      <c r="C1308" s="606" t="s">
        <v>12427</v>
      </c>
      <c r="D1308" s="607">
        <v>380.79</v>
      </c>
      <c r="E1308" s="607">
        <v>28.76</v>
      </c>
      <c r="F1308" s="607">
        <v>409.55</v>
      </c>
      <c r="G1308" s="584">
        <v>15</v>
      </c>
    </row>
    <row r="1309" spans="1:7" ht="15" x14ac:dyDescent="0.2">
      <c r="A1309" s="583" t="s">
        <v>14853</v>
      </c>
      <c r="B1309" s="605" t="s">
        <v>14854</v>
      </c>
      <c r="C1309" s="606" t="s">
        <v>12427</v>
      </c>
      <c r="D1309" s="607">
        <v>808.12</v>
      </c>
      <c r="E1309" s="607">
        <v>28.76</v>
      </c>
      <c r="F1309" s="607">
        <v>836.88</v>
      </c>
      <c r="G1309" s="584">
        <v>15</v>
      </c>
    </row>
    <row r="1310" spans="1:7" ht="30" x14ac:dyDescent="0.2">
      <c r="A1310" s="583" t="s">
        <v>14855</v>
      </c>
      <c r="B1310" s="605" t="s">
        <v>14856</v>
      </c>
      <c r="C1310" s="606" t="s">
        <v>12427</v>
      </c>
      <c r="D1310" s="607">
        <v>291.92</v>
      </c>
      <c r="E1310" s="607"/>
      <c r="F1310" s="607">
        <v>291.92</v>
      </c>
      <c r="G1310" s="584">
        <v>15</v>
      </c>
    </row>
    <row r="1311" spans="1:7" ht="45" x14ac:dyDescent="0.2">
      <c r="A1311" s="583" t="s">
        <v>14857</v>
      </c>
      <c r="B1311" s="605" t="s">
        <v>14858</v>
      </c>
      <c r="C1311" s="606" t="s">
        <v>12427</v>
      </c>
      <c r="D1311" s="607">
        <v>872.44</v>
      </c>
      <c r="E1311" s="607">
        <v>27.62</v>
      </c>
      <c r="F1311" s="607">
        <v>900.06</v>
      </c>
      <c r="G1311" s="584">
        <v>15</v>
      </c>
    </row>
    <row r="1312" spans="1:7" ht="45" x14ac:dyDescent="0.2">
      <c r="A1312" s="583" t="s">
        <v>14859</v>
      </c>
      <c r="B1312" s="605" t="s">
        <v>14860</v>
      </c>
      <c r="C1312" s="606" t="s">
        <v>12427</v>
      </c>
      <c r="D1312" s="607">
        <v>647.13</v>
      </c>
      <c r="E1312" s="607">
        <v>27.62</v>
      </c>
      <c r="F1312" s="607">
        <v>674.75</v>
      </c>
      <c r="G1312" s="584">
        <v>15</v>
      </c>
    </row>
    <row r="1313" spans="1:7" ht="30" x14ac:dyDescent="0.2">
      <c r="A1313" s="583" t="s">
        <v>14861</v>
      </c>
      <c r="B1313" s="605" t="s">
        <v>14862</v>
      </c>
      <c r="C1313" s="606" t="s">
        <v>12427</v>
      </c>
      <c r="D1313" s="607">
        <v>2136.7800000000002</v>
      </c>
      <c r="E1313" s="607">
        <v>73.09</v>
      </c>
      <c r="F1313" s="607">
        <v>2209.87</v>
      </c>
      <c r="G1313" s="584">
        <v>15</v>
      </c>
    </row>
    <row r="1314" spans="1:7" ht="15" x14ac:dyDescent="0.2">
      <c r="A1314" s="583" t="s">
        <v>14863</v>
      </c>
      <c r="B1314" s="605" t="s">
        <v>14864</v>
      </c>
      <c r="C1314" s="606" t="s">
        <v>12427</v>
      </c>
      <c r="D1314" s="607">
        <v>998.26</v>
      </c>
      <c r="E1314" s="607">
        <v>86.19</v>
      </c>
      <c r="F1314" s="607">
        <v>1084.45</v>
      </c>
      <c r="G1314" s="584">
        <v>15</v>
      </c>
    </row>
    <row r="1315" spans="1:7" ht="15" x14ac:dyDescent="0.25">
      <c r="A1315" s="583" t="s">
        <v>14865</v>
      </c>
      <c r="B1315" s="605" t="s">
        <v>14866</v>
      </c>
      <c r="C1315" s="606"/>
      <c r="D1315" s="607"/>
      <c r="E1315" s="607"/>
      <c r="F1315" s="607"/>
      <c r="G1315" s="582"/>
    </row>
    <row r="1316" spans="1:7" ht="15" x14ac:dyDescent="0.2">
      <c r="A1316" s="583" t="s">
        <v>14867</v>
      </c>
      <c r="B1316" s="605" t="s">
        <v>14868</v>
      </c>
      <c r="C1316" s="606" t="s">
        <v>12427</v>
      </c>
      <c r="D1316" s="607">
        <v>967.73</v>
      </c>
      <c r="E1316" s="607">
        <v>86.19</v>
      </c>
      <c r="F1316" s="607">
        <v>1053.92</v>
      </c>
      <c r="G1316" s="584">
        <v>15</v>
      </c>
    </row>
    <row r="1317" spans="1:7" ht="15" x14ac:dyDescent="0.2">
      <c r="A1317" s="583" t="s">
        <v>14869</v>
      </c>
      <c r="B1317" s="605" t="s">
        <v>14870</v>
      </c>
      <c r="C1317" s="606" t="s">
        <v>12427</v>
      </c>
      <c r="D1317" s="607">
        <v>861.84</v>
      </c>
      <c r="E1317" s="607">
        <v>86.19</v>
      </c>
      <c r="F1317" s="607">
        <v>948.03</v>
      </c>
      <c r="G1317" s="584">
        <v>15</v>
      </c>
    </row>
    <row r="1318" spans="1:7" ht="30" x14ac:dyDescent="0.2">
      <c r="A1318" s="583" t="s">
        <v>14871</v>
      </c>
      <c r="B1318" s="605" t="s">
        <v>14872</v>
      </c>
      <c r="C1318" s="606" t="s">
        <v>12375</v>
      </c>
      <c r="D1318" s="607">
        <v>1404.69</v>
      </c>
      <c r="E1318" s="607">
        <v>151.94</v>
      </c>
      <c r="F1318" s="607">
        <v>1556.63</v>
      </c>
      <c r="G1318" s="584">
        <v>15</v>
      </c>
    </row>
    <row r="1319" spans="1:7" ht="30" x14ac:dyDescent="0.2">
      <c r="A1319" s="583" t="s">
        <v>14873</v>
      </c>
      <c r="B1319" s="605" t="s">
        <v>14874</v>
      </c>
      <c r="C1319" s="606" t="s">
        <v>12375</v>
      </c>
      <c r="D1319" s="607">
        <v>1513.37</v>
      </c>
      <c r="E1319" s="607">
        <v>151.94</v>
      </c>
      <c r="F1319" s="607">
        <v>1665.31</v>
      </c>
      <c r="G1319" s="584">
        <v>15</v>
      </c>
    </row>
    <row r="1320" spans="1:7" ht="30" x14ac:dyDescent="0.2">
      <c r="A1320" s="583" t="s">
        <v>14875</v>
      </c>
      <c r="B1320" s="605" t="s">
        <v>14876</v>
      </c>
      <c r="C1320" s="606" t="s">
        <v>12427</v>
      </c>
      <c r="D1320" s="607">
        <v>1144.56</v>
      </c>
      <c r="E1320" s="607">
        <v>86.19</v>
      </c>
      <c r="F1320" s="607">
        <v>1230.75</v>
      </c>
      <c r="G1320" s="584">
        <v>15</v>
      </c>
    </row>
    <row r="1321" spans="1:7" ht="30" x14ac:dyDescent="0.2">
      <c r="A1321" s="583" t="s">
        <v>14877</v>
      </c>
      <c r="B1321" s="605" t="s">
        <v>14878</v>
      </c>
      <c r="C1321" s="606" t="s">
        <v>12375</v>
      </c>
      <c r="D1321" s="607">
        <v>2460.1799999999998</v>
      </c>
      <c r="E1321" s="607">
        <v>151.94</v>
      </c>
      <c r="F1321" s="607">
        <v>2612.12</v>
      </c>
      <c r="G1321" s="584">
        <v>15</v>
      </c>
    </row>
    <row r="1322" spans="1:7" ht="30" x14ac:dyDescent="0.2">
      <c r="A1322" s="583" t="s">
        <v>14879</v>
      </c>
      <c r="B1322" s="605" t="s">
        <v>14880</v>
      </c>
      <c r="C1322" s="606" t="s">
        <v>12375</v>
      </c>
      <c r="D1322" s="607">
        <v>2454.31</v>
      </c>
      <c r="E1322" s="607">
        <v>151.94</v>
      </c>
      <c r="F1322" s="607">
        <v>2606.25</v>
      </c>
      <c r="G1322" s="584">
        <v>15</v>
      </c>
    </row>
    <row r="1323" spans="1:7" ht="15" x14ac:dyDescent="0.2">
      <c r="A1323" s="583" t="s">
        <v>14881</v>
      </c>
      <c r="B1323" s="605" t="s">
        <v>14882</v>
      </c>
      <c r="C1323" s="606" t="s">
        <v>12427</v>
      </c>
      <c r="D1323" s="607">
        <v>943.23</v>
      </c>
      <c r="E1323" s="607">
        <v>86.19</v>
      </c>
      <c r="F1323" s="607">
        <v>1029.42</v>
      </c>
      <c r="G1323" s="584">
        <v>15</v>
      </c>
    </row>
    <row r="1324" spans="1:7" ht="15" x14ac:dyDescent="0.2">
      <c r="A1324" s="583" t="s">
        <v>14883</v>
      </c>
      <c r="B1324" s="605" t="s">
        <v>14884</v>
      </c>
      <c r="C1324" s="606" t="s">
        <v>12427</v>
      </c>
      <c r="D1324" s="607">
        <v>314.37</v>
      </c>
      <c r="E1324" s="607">
        <v>86.19</v>
      </c>
      <c r="F1324" s="607">
        <v>400.56</v>
      </c>
      <c r="G1324" s="584">
        <v>15</v>
      </c>
    </row>
    <row r="1325" spans="1:7" ht="15" x14ac:dyDescent="0.2">
      <c r="A1325" s="583" t="s">
        <v>14885</v>
      </c>
      <c r="B1325" s="605" t="s">
        <v>20395</v>
      </c>
      <c r="C1325" s="606" t="s">
        <v>12427</v>
      </c>
      <c r="D1325" s="607">
        <v>1554.01</v>
      </c>
      <c r="E1325" s="607">
        <v>86.19</v>
      </c>
      <c r="F1325" s="607">
        <v>1640.2</v>
      </c>
      <c r="G1325" s="584">
        <v>15</v>
      </c>
    </row>
    <row r="1326" spans="1:7" ht="30" x14ac:dyDescent="0.2">
      <c r="A1326" s="583" t="s">
        <v>14886</v>
      </c>
      <c r="B1326" s="605" t="s">
        <v>14887</v>
      </c>
      <c r="C1326" s="606" t="s">
        <v>12427</v>
      </c>
      <c r="D1326" s="607">
        <v>981.2</v>
      </c>
      <c r="E1326" s="607">
        <v>65.75</v>
      </c>
      <c r="F1326" s="607">
        <v>1046.95</v>
      </c>
      <c r="G1326" s="584">
        <v>15</v>
      </c>
    </row>
    <row r="1327" spans="1:7" ht="30" x14ac:dyDescent="0.2">
      <c r="A1327" s="583" t="s">
        <v>14888</v>
      </c>
      <c r="B1327" s="605" t="s">
        <v>14889</v>
      </c>
      <c r="C1327" s="606" t="s">
        <v>12427</v>
      </c>
      <c r="D1327" s="607">
        <v>783.69</v>
      </c>
      <c r="E1327" s="607">
        <v>86.19</v>
      </c>
      <c r="F1327" s="607">
        <v>869.88</v>
      </c>
      <c r="G1327" s="584">
        <v>15</v>
      </c>
    </row>
    <row r="1328" spans="1:7" ht="30" x14ac:dyDescent="0.2">
      <c r="A1328" s="583" t="s">
        <v>14890</v>
      </c>
      <c r="B1328" s="605" t="s">
        <v>14891</v>
      </c>
      <c r="C1328" s="606" t="s">
        <v>12427</v>
      </c>
      <c r="D1328" s="607">
        <v>699.93</v>
      </c>
      <c r="E1328" s="607">
        <v>86.19</v>
      </c>
      <c r="F1328" s="607">
        <v>786.12</v>
      </c>
      <c r="G1328" s="584">
        <v>15</v>
      </c>
    </row>
    <row r="1329" spans="1:7" ht="15" x14ac:dyDescent="0.2">
      <c r="A1329" s="583" t="s">
        <v>14892</v>
      </c>
      <c r="B1329" s="605" t="s">
        <v>14893</v>
      </c>
      <c r="C1329" s="606" t="s">
        <v>12427</v>
      </c>
      <c r="D1329" s="607">
        <v>1266.74</v>
      </c>
      <c r="E1329" s="607">
        <v>86.19</v>
      </c>
      <c r="F1329" s="607">
        <v>1352.93</v>
      </c>
      <c r="G1329" s="584">
        <v>15</v>
      </c>
    </row>
    <row r="1330" spans="1:7" ht="15" x14ac:dyDescent="0.2">
      <c r="A1330" s="583" t="s">
        <v>14894</v>
      </c>
      <c r="B1330" s="605" t="s">
        <v>14895</v>
      </c>
      <c r="C1330" s="606" t="s">
        <v>12427</v>
      </c>
      <c r="D1330" s="607">
        <v>1376.8</v>
      </c>
      <c r="E1330" s="607">
        <v>86.19</v>
      </c>
      <c r="F1330" s="607">
        <v>1462.99</v>
      </c>
      <c r="G1330" s="584">
        <v>15</v>
      </c>
    </row>
    <row r="1331" spans="1:7" ht="30" x14ac:dyDescent="0.2">
      <c r="A1331" s="583" t="s">
        <v>14896</v>
      </c>
      <c r="B1331" s="605" t="s">
        <v>14897</v>
      </c>
      <c r="C1331" s="606" t="s">
        <v>12427</v>
      </c>
      <c r="D1331" s="607">
        <v>819.8</v>
      </c>
      <c r="E1331" s="607">
        <v>86.19</v>
      </c>
      <c r="F1331" s="607">
        <v>905.99</v>
      </c>
      <c r="G1331" s="584">
        <v>15</v>
      </c>
    </row>
    <row r="1332" spans="1:7" ht="15" x14ac:dyDescent="0.2">
      <c r="A1332" s="583" t="s">
        <v>14898</v>
      </c>
      <c r="B1332" s="605" t="s">
        <v>14899</v>
      </c>
      <c r="C1332" s="606" t="s">
        <v>12427</v>
      </c>
      <c r="D1332" s="607">
        <v>1466.99</v>
      </c>
      <c r="E1332" s="607">
        <v>57.27</v>
      </c>
      <c r="F1332" s="607">
        <v>1524.26</v>
      </c>
      <c r="G1332" s="584">
        <v>15</v>
      </c>
    </row>
    <row r="1333" spans="1:7" ht="15" x14ac:dyDescent="0.2">
      <c r="A1333" s="583" t="s">
        <v>14900</v>
      </c>
      <c r="B1333" s="605" t="s">
        <v>14901</v>
      </c>
      <c r="C1333" s="606" t="s">
        <v>12427</v>
      </c>
      <c r="D1333" s="607">
        <v>1257.82</v>
      </c>
      <c r="E1333" s="607">
        <v>65.75</v>
      </c>
      <c r="F1333" s="607">
        <v>1323.57</v>
      </c>
      <c r="G1333" s="584">
        <v>15</v>
      </c>
    </row>
    <row r="1334" spans="1:7" ht="30" x14ac:dyDescent="0.2">
      <c r="A1334" s="583" t="s">
        <v>14902</v>
      </c>
      <c r="B1334" s="605" t="s">
        <v>14903</v>
      </c>
      <c r="C1334" s="606" t="s">
        <v>12427</v>
      </c>
      <c r="D1334" s="607">
        <v>1952.94</v>
      </c>
      <c r="E1334" s="607">
        <v>57.27</v>
      </c>
      <c r="F1334" s="607">
        <v>2010.21</v>
      </c>
      <c r="G1334" s="584">
        <v>15</v>
      </c>
    </row>
    <row r="1335" spans="1:7" ht="30" x14ac:dyDescent="0.2">
      <c r="A1335" s="583" t="s">
        <v>14904</v>
      </c>
      <c r="B1335" s="605" t="s">
        <v>14905</v>
      </c>
      <c r="C1335" s="606" t="s">
        <v>12427</v>
      </c>
      <c r="D1335" s="607">
        <v>1385.28</v>
      </c>
      <c r="E1335" s="607">
        <v>57.27</v>
      </c>
      <c r="F1335" s="607">
        <v>1442.55</v>
      </c>
      <c r="G1335" s="584">
        <v>15</v>
      </c>
    </row>
    <row r="1336" spans="1:7" ht="15" x14ac:dyDescent="0.2">
      <c r="A1336" s="583" t="s">
        <v>14906</v>
      </c>
      <c r="B1336" s="605" t="s">
        <v>14907</v>
      </c>
      <c r="C1336" s="606" t="s">
        <v>12427</v>
      </c>
      <c r="D1336" s="607">
        <v>1709.27</v>
      </c>
      <c r="E1336" s="607">
        <v>28.76</v>
      </c>
      <c r="F1336" s="607">
        <v>1738.03</v>
      </c>
      <c r="G1336" s="584">
        <v>15</v>
      </c>
    </row>
    <row r="1337" spans="1:7" ht="15" x14ac:dyDescent="0.2">
      <c r="A1337" s="583" t="s">
        <v>14908</v>
      </c>
      <c r="B1337" s="605" t="s">
        <v>14909</v>
      </c>
      <c r="C1337" s="606" t="s">
        <v>12427</v>
      </c>
      <c r="D1337" s="607">
        <v>294.05</v>
      </c>
      <c r="E1337" s="607">
        <v>45.31</v>
      </c>
      <c r="F1337" s="607">
        <v>339.36</v>
      </c>
      <c r="G1337" s="584">
        <v>15</v>
      </c>
    </row>
    <row r="1338" spans="1:7" ht="30" x14ac:dyDescent="0.2">
      <c r="A1338" s="583" t="s">
        <v>14910</v>
      </c>
      <c r="B1338" s="605" t="s">
        <v>14911</v>
      </c>
      <c r="C1338" s="606" t="s">
        <v>12427</v>
      </c>
      <c r="D1338" s="607">
        <v>824.54</v>
      </c>
      <c r="E1338" s="607">
        <v>86.19</v>
      </c>
      <c r="F1338" s="607">
        <v>910.73</v>
      </c>
      <c r="G1338" s="584">
        <v>15</v>
      </c>
    </row>
    <row r="1339" spans="1:7" ht="30" x14ac:dyDescent="0.2">
      <c r="A1339" s="583" t="s">
        <v>14912</v>
      </c>
      <c r="B1339" s="605" t="s">
        <v>14913</v>
      </c>
      <c r="C1339" s="606" t="s">
        <v>12427</v>
      </c>
      <c r="D1339" s="607">
        <v>1191.73</v>
      </c>
      <c r="E1339" s="607">
        <v>136.80000000000001</v>
      </c>
      <c r="F1339" s="607">
        <v>1328.53</v>
      </c>
      <c r="G1339" s="584">
        <v>15</v>
      </c>
    </row>
    <row r="1340" spans="1:7" ht="30" x14ac:dyDescent="0.2">
      <c r="A1340" s="583" t="s">
        <v>14914</v>
      </c>
      <c r="B1340" s="605" t="s">
        <v>14915</v>
      </c>
      <c r="C1340" s="606" t="s">
        <v>12427</v>
      </c>
      <c r="D1340" s="607">
        <v>6775.37</v>
      </c>
      <c r="E1340" s="607">
        <v>168.83</v>
      </c>
      <c r="F1340" s="607">
        <v>6944.2</v>
      </c>
      <c r="G1340" s="584">
        <v>15</v>
      </c>
    </row>
    <row r="1341" spans="1:7" ht="30" x14ac:dyDescent="0.2">
      <c r="A1341" s="583" t="s">
        <v>14916</v>
      </c>
      <c r="B1341" s="605" t="s">
        <v>14917</v>
      </c>
      <c r="C1341" s="606" t="s">
        <v>12427</v>
      </c>
      <c r="D1341" s="607">
        <v>1052.71</v>
      </c>
      <c r="E1341" s="607">
        <v>57.27</v>
      </c>
      <c r="F1341" s="607">
        <v>1109.98</v>
      </c>
      <c r="G1341" s="584">
        <v>15</v>
      </c>
    </row>
    <row r="1342" spans="1:7" ht="30" x14ac:dyDescent="0.2">
      <c r="A1342" s="583" t="s">
        <v>14918</v>
      </c>
      <c r="B1342" s="605" t="s">
        <v>14919</v>
      </c>
      <c r="C1342" s="606" t="s">
        <v>12427</v>
      </c>
      <c r="D1342" s="607">
        <v>1719.05</v>
      </c>
      <c r="E1342" s="607">
        <v>65.45</v>
      </c>
      <c r="F1342" s="607">
        <v>1784.5</v>
      </c>
      <c r="G1342" s="584">
        <v>15</v>
      </c>
    </row>
    <row r="1343" spans="1:7" ht="30" x14ac:dyDescent="0.2">
      <c r="A1343" s="583" t="s">
        <v>14920</v>
      </c>
      <c r="B1343" s="605" t="s">
        <v>14921</v>
      </c>
      <c r="C1343" s="606" t="s">
        <v>12427</v>
      </c>
      <c r="D1343" s="607">
        <v>1408.58</v>
      </c>
      <c r="E1343" s="607">
        <v>86.19</v>
      </c>
      <c r="F1343" s="607">
        <v>1494.77</v>
      </c>
      <c r="G1343" s="584">
        <v>15</v>
      </c>
    </row>
    <row r="1344" spans="1:7" ht="15" x14ac:dyDescent="0.25">
      <c r="A1344" s="583" t="s">
        <v>14922</v>
      </c>
      <c r="B1344" s="605" t="s">
        <v>14923</v>
      </c>
      <c r="C1344" s="606"/>
      <c r="D1344" s="607"/>
      <c r="E1344" s="607"/>
      <c r="F1344" s="607"/>
      <c r="G1344" s="582"/>
    </row>
    <row r="1345" spans="1:7" ht="30" x14ac:dyDescent="0.2">
      <c r="A1345" s="583" t="s">
        <v>14924</v>
      </c>
      <c r="B1345" s="605" t="s">
        <v>14925</v>
      </c>
      <c r="C1345" s="606" t="s">
        <v>12483</v>
      </c>
      <c r="D1345" s="607">
        <v>801.66</v>
      </c>
      <c r="E1345" s="607">
        <v>45.31</v>
      </c>
      <c r="F1345" s="607">
        <v>846.97</v>
      </c>
      <c r="G1345" s="584">
        <v>15</v>
      </c>
    </row>
    <row r="1346" spans="1:7" ht="15" x14ac:dyDescent="0.2">
      <c r="A1346" s="583" t="s">
        <v>14926</v>
      </c>
      <c r="B1346" s="605" t="s">
        <v>20292</v>
      </c>
      <c r="C1346" s="606" t="s">
        <v>12483</v>
      </c>
      <c r="D1346" s="607">
        <v>830.25</v>
      </c>
      <c r="E1346" s="607">
        <v>18.13</v>
      </c>
      <c r="F1346" s="607">
        <v>848.38</v>
      </c>
      <c r="G1346" s="584">
        <v>15</v>
      </c>
    </row>
    <row r="1347" spans="1:7" ht="15" x14ac:dyDescent="0.2">
      <c r="A1347" s="583" t="s">
        <v>14927</v>
      </c>
      <c r="B1347" s="605" t="s">
        <v>20293</v>
      </c>
      <c r="C1347" s="606" t="s">
        <v>12483</v>
      </c>
      <c r="D1347" s="607">
        <v>1348.99</v>
      </c>
      <c r="E1347" s="607">
        <v>45.31</v>
      </c>
      <c r="F1347" s="607">
        <v>1394.3</v>
      </c>
      <c r="G1347" s="584">
        <v>15</v>
      </c>
    </row>
    <row r="1348" spans="1:7" ht="15" x14ac:dyDescent="0.2">
      <c r="A1348" s="583" t="s">
        <v>14928</v>
      </c>
      <c r="B1348" s="605" t="s">
        <v>14929</v>
      </c>
      <c r="C1348" s="606" t="s">
        <v>12427</v>
      </c>
      <c r="D1348" s="607">
        <v>1461.19</v>
      </c>
      <c r="E1348" s="607">
        <v>90.62</v>
      </c>
      <c r="F1348" s="607">
        <v>1551.81</v>
      </c>
      <c r="G1348" s="584">
        <v>15</v>
      </c>
    </row>
    <row r="1349" spans="1:7" ht="30" x14ac:dyDescent="0.2">
      <c r="A1349" s="583" t="s">
        <v>14930</v>
      </c>
      <c r="B1349" s="605" t="s">
        <v>14931</v>
      </c>
      <c r="C1349" s="606" t="s">
        <v>12427</v>
      </c>
      <c r="D1349" s="607">
        <v>992.19</v>
      </c>
      <c r="E1349" s="607">
        <v>14.96</v>
      </c>
      <c r="F1349" s="607">
        <v>1007.15</v>
      </c>
      <c r="G1349" s="584">
        <v>15</v>
      </c>
    </row>
    <row r="1350" spans="1:7" ht="30" x14ac:dyDescent="0.2">
      <c r="A1350" s="583" t="s">
        <v>14932</v>
      </c>
      <c r="B1350" s="605" t="s">
        <v>20396</v>
      </c>
      <c r="C1350" s="606" t="s">
        <v>12427</v>
      </c>
      <c r="D1350" s="607">
        <v>398.94</v>
      </c>
      <c r="E1350" s="607">
        <v>197.2</v>
      </c>
      <c r="F1350" s="607">
        <v>596.14</v>
      </c>
      <c r="G1350" s="584">
        <v>15</v>
      </c>
    </row>
    <row r="1351" spans="1:7" ht="30" x14ac:dyDescent="0.2">
      <c r="A1351" s="583" t="s">
        <v>14933</v>
      </c>
      <c r="B1351" s="605" t="s">
        <v>14934</v>
      </c>
      <c r="C1351" s="606" t="s">
        <v>12427</v>
      </c>
      <c r="D1351" s="607">
        <v>991.82</v>
      </c>
      <c r="E1351" s="607">
        <v>28.76</v>
      </c>
      <c r="F1351" s="607">
        <v>1020.58</v>
      </c>
      <c r="G1351" s="584">
        <v>15</v>
      </c>
    </row>
    <row r="1352" spans="1:7" ht="30" x14ac:dyDescent="0.2">
      <c r="A1352" s="583" t="s">
        <v>14935</v>
      </c>
      <c r="B1352" s="605" t="s">
        <v>14936</v>
      </c>
      <c r="C1352" s="606" t="s">
        <v>12427</v>
      </c>
      <c r="D1352" s="607">
        <v>777.99</v>
      </c>
      <c r="E1352" s="607">
        <v>57.27</v>
      </c>
      <c r="F1352" s="607">
        <v>835.26</v>
      </c>
      <c r="G1352" s="584">
        <v>15</v>
      </c>
    </row>
    <row r="1353" spans="1:7" ht="15" x14ac:dyDescent="0.2">
      <c r="A1353" s="583" t="s">
        <v>14937</v>
      </c>
      <c r="B1353" s="605" t="s">
        <v>14938</v>
      </c>
      <c r="C1353" s="606" t="s">
        <v>12483</v>
      </c>
      <c r="D1353" s="607">
        <v>215.84</v>
      </c>
      <c r="E1353" s="607">
        <v>22.66</v>
      </c>
      <c r="F1353" s="607">
        <v>238.5</v>
      </c>
      <c r="G1353" s="584">
        <v>15</v>
      </c>
    </row>
    <row r="1354" spans="1:7" ht="15" x14ac:dyDescent="0.2">
      <c r="A1354" s="583" t="s">
        <v>14939</v>
      </c>
      <c r="B1354" s="605" t="s">
        <v>14940</v>
      </c>
      <c r="C1354" s="606" t="s">
        <v>12483</v>
      </c>
      <c r="D1354" s="607">
        <v>256.11</v>
      </c>
      <c r="E1354" s="607">
        <v>22.66</v>
      </c>
      <c r="F1354" s="607">
        <v>278.77</v>
      </c>
      <c r="G1354" s="584">
        <v>15</v>
      </c>
    </row>
    <row r="1355" spans="1:7" ht="30" x14ac:dyDescent="0.2">
      <c r="A1355" s="583" t="s">
        <v>14941</v>
      </c>
      <c r="B1355" s="605" t="s">
        <v>14942</v>
      </c>
      <c r="C1355" s="606" t="s">
        <v>12427</v>
      </c>
      <c r="D1355" s="607">
        <v>1341.78</v>
      </c>
      <c r="E1355" s="607">
        <v>65.75</v>
      </c>
      <c r="F1355" s="607">
        <v>1407.53</v>
      </c>
      <c r="G1355" s="584">
        <v>15</v>
      </c>
    </row>
    <row r="1356" spans="1:7" ht="30" x14ac:dyDescent="0.2">
      <c r="A1356" s="583" t="s">
        <v>14943</v>
      </c>
      <c r="B1356" s="605" t="s">
        <v>14944</v>
      </c>
      <c r="C1356" s="606" t="s">
        <v>12427</v>
      </c>
      <c r="D1356" s="607">
        <v>1081.74</v>
      </c>
      <c r="E1356" s="607">
        <v>28.76</v>
      </c>
      <c r="F1356" s="607">
        <v>1110.5</v>
      </c>
      <c r="G1356" s="584">
        <v>15</v>
      </c>
    </row>
    <row r="1357" spans="1:7" ht="30" x14ac:dyDescent="0.2">
      <c r="A1357" s="583" t="s">
        <v>14945</v>
      </c>
      <c r="B1357" s="605" t="s">
        <v>21394</v>
      </c>
      <c r="C1357" s="606" t="s">
        <v>12427</v>
      </c>
      <c r="D1357" s="607">
        <v>935.16</v>
      </c>
      <c r="E1357" s="607">
        <v>57.27</v>
      </c>
      <c r="F1357" s="607">
        <v>992.43</v>
      </c>
      <c r="G1357" s="584">
        <v>15</v>
      </c>
    </row>
    <row r="1358" spans="1:7" ht="30" x14ac:dyDescent="0.2">
      <c r="A1358" s="583" t="s">
        <v>14946</v>
      </c>
      <c r="B1358" s="605" t="s">
        <v>21395</v>
      </c>
      <c r="C1358" s="606" t="s">
        <v>12427</v>
      </c>
      <c r="D1358" s="607">
        <v>680.47</v>
      </c>
      <c r="E1358" s="607">
        <v>18.13</v>
      </c>
      <c r="F1358" s="607">
        <v>698.6</v>
      </c>
      <c r="G1358" s="584">
        <v>15</v>
      </c>
    </row>
    <row r="1359" spans="1:7" ht="45" x14ac:dyDescent="0.2">
      <c r="A1359" s="583" t="s">
        <v>14947</v>
      </c>
      <c r="B1359" s="605" t="s">
        <v>14948</v>
      </c>
      <c r="C1359" s="606" t="s">
        <v>12427</v>
      </c>
      <c r="D1359" s="607">
        <v>682.96</v>
      </c>
      <c r="E1359" s="607"/>
      <c r="F1359" s="607">
        <v>682.96</v>
      </c>
      <c r="G1359" s="584">
        <v>15</v>
      </c>
    </row>
    <row r="1360" spans="1:7" ht="15" x14ac:dyDescent="0.25">
      <c r="A1360" s="583" t="s">
        <v>14949</v>
      </c>
      <c r="B1360" s="605" t="s">
        <v>14950</v>
      </c>
      <c r="C1360" s="606"/>
      <c r="D1360" s="607"/>
      <c r="E1360" s="607"/>
      <c r="F1360" s="607"/>
      <c r="G1360" s="582"/>
    </row>
    <row r="1361" spans="1:7" ht="30" x14ac:dyDescent="0.2">
      <c r="A1361" s="583" t="s">
        <v>14951</v>
      </c>
      <c r="B1361" s="605" t="s">
        <v>14952</v>
      </c>
      <c r="C1361" s="606" t="s">
        <v>12427</v>
      </c>
      <c r="D1361" s="607">
        <v>3213.87</v>
      </c>
      <c r="E1361" s="607">
        <v>63.64</v>
      </c>
      <c r="F1361" s="607">
        <v>3277.51</v>
      </c>
      <c r="G1361" s="584">
        <v>15</v>
      </c>
    </row>
    <row r="1362" spans="1:7" ht="30" x14ac:dyDescent="0.2">
      <c r="A1362" s="583" t="s">
        <v>14953</v>
      </c>
      <c r="B1362" s="605" t="s">
        <v>14954</v>
      </c>
      <c r="C1362" s="606" t="s">
        <v>12427</v>
      </c>
      <c r="D1362" s="607">
        <v>1892.09</v>
      </c>
      <c r="E1362" s="607">
        <v>63.64</v>
      </c>
      <c r="F1362" s="607">
        <v>1955.73</v>
      </c>
      <c r="G1362" s="584">
        <v>15</v>
      </c>
    </row>
    <row r="1363" spans="1:7" ht="30" x14ac:dyDescent="0.2">
      <c r="A1363" s="583" t="s">
        <v>14955</v>
      </c>
      <c r="B1363" s="605" t="s">
        <v>14956</v>
      </c>
      <c r="C1363" s="606" t="s">
        <v>12427</v>
      </c>
      <c r="D1363" s="607">
        <v>2029.4</v>
      </c>
      <c r="E1363" s="607">
        <v>63.64</v>
      </c>
      <c r="F1363" s="607">
        <v>2093.04</v>
      </c>
      <c r="G1363" s="584">
        <v>15</v>
      </c>
    </row>
    <row r="1364" spans="1:7" ht="30" x14ac:dyDescent="0.2">
      <c r="A1364" s="583" t="s">
        <v>14957</v>
      </c>
      <c r="B1364" s="605" t="s">
        <v>14958</v>
      </c>
      <c r="C1364" s="606" t="s">
        <v>12427</v>
      </c>
      <c r="D1364" s="607">
        <v>3074.11</v>
      </c>
      <c r="E1364" s="607">
        <v>63.64</v>
      </c>
      <c r="F1364" s="607">
        <v>3137.75</v>
      </c>
      <c r="G1364" s="584">
        <v>15</v>
      </c>
    </row>
    <row r="1365" spans="1:7" ht="30" x14ac:dyDescent="0.2">
      <c r="A1365" s="583" t="s">
        <v>14959</v>
      </c>
      <c r="B1365" s="605" t="s">
        <v>14960</v>
      </c>
      <c r="C1365" s="606" t="s">
        <v>12427</v>
      </c>
      <c r="D1365" s="607">
        <v>2478.12</v>
      </c>
      <c r="E1365" s="607">
        <v>116.53</v>
      </c>
      <c r="F1365" s="607">
        <v>2594.65</v>
      </c>
      <c r="G1365" s="584">
        <v>15</v>
      </c>
    </row>
    <row r="1366" spans="1:7" ht="30" x14ac:dyDescent="0.2">
      <c r="A1366" s="583" t="s">
        <v>14961</v>
      </c>
      <c r="B1366" s="605" t="s">
        <v>14962</v>
      </c>
      <c r="C1366" s="606" t="s">
        <v>12427</v>
      </c>
      <c r="D1366" s="607">
        <v>3733.78</v>
      </c>
      <c r="E1366" s="607">
        <v>116.53</v>
      </c>
      <c r="F1366" s="607">
        <v>3850.31</v>
      </c>
      <c r="G1366" s="584">
        <v>15</v>
      </c>
    </row>
    <row r="1367" spans="1:7" ht="45" x14ac:dyDescent="0.2">
      <c r="A1367" s="583" t="s">
        <v>14963</v>
      </c>
      <c r="B1367" s="605" t="s">
        <v>14964</v>
      </c>
      <c r="C1367" s="606" t="s">
        <v>12427</v>
      </c>
      <c r="D1367" s="607">
        <v>2986.35</v>
      </c>
      <c r="E1367" s="607">
        <v>116.53</v>
      </c>
      <c r="F1367" s="607">
        <v>3102.88</v>
      </c>
      <c r="G1367" s="584">
        <v>15</v>
      </c>
    </row>
    <row r="1368" spans="1:7" ht="45" x14ac:dyDescent="0.2">
      <c r="A1368" s="583" t="s">
        <v>14965</v>
      </c>
      <c r="B1368" s="605" t="s">
        <v>14966</v>
      </c>
      <c r="C1368" s="606" t="s">
        <v>12427</v>
      </c>
      <c r="D1368" s="607">
        <v>3779.68</v>
      </c>
      <c r="E1368" s="607">
        <v>116.53</v>
      </c>
      <c r="F1368" s="607">
        <v>3896.21</v>
      </c>
      <c r="G1368" s="584">
        <v>15</v>
      </c>
    </row>
    <row r="1369" spans="1:7" ht="30" x14ac:dyDescent="0.2">
      <c r="A1369" s="583" t="s">
        <v>14967</v>
      </c>
      <c r="B1369" s="605" t="s">
        <v>14968</v>
      </c>
      <c r="C1369" s="606" t="s">
        <v>12427</v>
      </c>
      <c r="D1369" s="607">
        <v>2454.5700000000002</v>
      </c>
      <c r="E1369" s="607">
        <v>63.64</v>
      </c>
      <c r="F1369" s="607">
        <v>2518.21</v>
      </c>
      <c r="G1369" s="584">
        <v>15</v>
      </c>
    </row>
    <row r="1370" spans="1:7" ht="30" x14ac:dyDescent="0.2">
      <c r="A1370" s="583" t="s">
        <v>14969</v>
      </c>
      <c r="B1370" s="605" t="s">
        <v>14970</v>
      </c>
      <c r="C1370" s="606" t="s">
        <v>12427</v>
      </c>
      <c r="D1370" s="607">
        <v>2477.1799999999998</v>
      </c>
      <c r="E1370" s="607">
        <v>63.64</v>
      </c>
      <c r="F1370" s="607">
        <v>2540.8200000000002</v>
      </c>
      <c r="G1370" s="584">
        <v>15</v>
      </c>
    </row>
    <row r="1371" spans="1:7" ht="30" x14ac:dyDescent="0.2">
      <c r="A1371" s="583" t="s">
        <v>14971</v>
      </c>
      <c r="B1371" s="605" t="s">
        <v>14972</v>
      </c>
      <c r="C1371" s="606" t="s">
        <v>12427</v>
      </c>
      <c r="D1371" s="607">
        <v>3675.88</v>
      </c>
      <c r="E1371" s="607">
        <v>63.64</v>
      </c>
      <c r="F1371" s="607">
        <v>3739.52</v>
      </c>
      <c r="G1371" s="584">
        <v>15</v>
      </c>
    </row>
    <row r="1372" spans="1:7" ht="30" x14ac:dyDescent="0.2">
      <c r="A1372" s="583" t="s">
        <v>14973</v>
      </c>
      <c r="B1372" s="605" t="s">
        <v>14974</v>
      </c>
      <c r="C1372" s="606" t="s">
        <v>12427</v>
      </c>
      <c r="D1372" s="607">
        <v>3057.5</v>
      </c>
      <c r="E1372" s="607">
        <v>116.53</v>
      </c>
      <c r="F1372" s="607">
        <v>3174.03</v>
      </c>
      <c r="G1372" s="584">
        <v>15</v>
      </c>
    </row>
    <row r="1373" spans="1:7" ht="30" x14ac:dyDescent="0.2">
      <c r="A1373" s="583" t="s">
        <v>14975</v>
      </c>
      <c r="B1373" s="605" t="s">
        <v>14976</v>
      </c>
      <c r="C1373" s="606" t="s">
        <v>12427</v>
      </c>
      <c r="D1373" s="607">
        <v>4327.47</v>
      </c>
      <c r="E1373" s="607">
        <v>116.53</v>
      </c>
      <c r="F1373" s="607">
        <v>4444</v>
      </c>
      <c r="G1373" s="584">
        <v>15</v>
      </c>
    </row>
    <row r="1374" spans="1:7" ht="45" x14ac:dyDescent="0.2">
      <c r="A1374" s="583" t="s">
        <v>14977</v>
      </c>
      <c r="B1374" s="605" t="s">
        <v>14978</v>
      </c>
      <c r="C1374" s="606" t="s">
        <v>12427</v>
      </c>
      <c r="D1374" s="607">
        <v>3312.32</v>
      </c>
      <c r="E1374" s="607">
        <v>116.53</v>
      </c>
      <c r="F1374" s="607">
        <v>3428.85</v>
      </c>
      <c r="G1374" s="584">
        <v>15</v>
      </c>
    </row>
    <row r="1375" spans="1:7" ht="45" x14ac:dyDescent="0.2">
      <c r="A1375" s="583" t="s">
        <v>14979</v>
      </c>
      <c r="B1375" s="605" t="s">
        <v>14980</v>
      </c>
      <c r="C1375" s="606" t="s">
        <v>12427</v>
      </c>
      <c r="D1375" s="607">
        <v>4363.55</v>
      </c>
      <c r="E1375" s="607">
        <v>116.53</v>
      </c>
      <c r="F1375" s="607">
        <v>4480.08</v>
      </c>
      <c r="G1375" s="584">
        <v>15</v>
      </c>
    </row>
    <row r="1376" spans="1:7" ht="45" x14ac:dyDescent="0.2">
      <c r="A1376" s="583" t="s">
        <v>14981</v>
      </c>
      <c r="B1376" s="605" t="s">
        <v>14982</v>
      </c>
      <c r="C1376" s="606" t="s">
        <v>12427</v>
      </c>
      <c r="D1376" s="607">
        <v>4428.6899999999996</v>
      </c>
      <c r="E1376" s="607">
        <v>116.53</v>
      </c>
      <c r="F1376" s="607">
        <v>4545.22</v>
      </c>
      <c r="G1376" s="584">
        <v>15</v>
      </c>
    </row>
    <row r="1377" spans="1:7" ht="45" x14ac:dyDescent="0.2">
      <c r="A1377" s="583" t="s">
        <v>14983</v>
      </c>
      <c r="B1377" s="605" t="s">
        <v>14984</v>
      </c>
      <c r="C1377" s="606" t="s">
        <v>12427</v>
      </c>
      <c r="D1377" s="607">
        <v>4250.1499999999996</v>
      </c>
      <c r="E1377" s="607">
        <v>63.64</v>
      </c>
      <c r="F1377" s="607">
        <v>4313.79</v>
      </c>
      <c r="G1377" s="584">
        <v>15</v>
      </c>
    </row>
    <row r="1378" spans="1:7" ht="30" x14ac:dyDescent="0.2">
      <c r="A1378" s="583" t="s">
        <v>14985</v>
      </c>
      <c r="B1378" s="605" t="s">
        <v>14986</v>
      </c>
      <c r="C1378" s="606" t="s">
        <v>12427</v>
      </c>
      <c r="D1378" s="607">
        <v>2691.27</v>
      </c>
      <c r="E1378" s="607">
        <v>63.64</v>
      </c>
      <c r="F1378" s="607">
        <v>2754.91</v>
      </c>
      <c r="G1378" s="584">
        <v>15</v>
      </c>
    </row>
    <row r="1379" spans="1:7" ht="45" x14ac:dyDescent="0.2">
      <c r="A1379" s="583" t="s">
        <v>14987</v>
      </c>
      <c r="B1379" s="605" t="s">
        <v>14988</v>
      </c>
      <c r="C1379" s="606" t="s">
        <v>12427</v>
      </c>
      <c r="D1379" s="607">
        <v>4564.43</v>
      </c>
      <c r="E1379" s="607">
        <v>63.64</v>
      </c>
      <c r="F1379" s="607">
        <v>4628.07</v>
      </c>
      <c r="G1379" s="584">
        <v>15</v>
      </c>
    </row>
    <row r="1380" spans="1:7" ht="45" x14ac:dyDescent="0.2">
      <c r="A1380" s="583" t="s">
        <v>14989</v>
      </c>
      <c r="B1380" s="605" t="s">
        <v>14990</v>
      </c>
      <c r="C1380" s="606" t="s">
        <v>12427</v>
      </c>
      <c r="D1380" s="607">
        <v>3936.12</v>
      </c>
      <c r="E1380" s="607">
        <v>255.3</v>
      </c>
      <c r="F1380" s="607">
        <v>4191.42</v>
      </c>
      <c r="G1380" s="584">
        <v>15</v>
      </c>
    </row>
    <row r="1381" spans="1:7" ht="30" x14ac:dyDescent="0.2">
      <c r="A1381" s="583" t="s">
        <v>14991</v>
      </c>
      <c r="B1381" s="605" t="s">
        <v>14992</v>
      </c>
      <c r="C1381" s="606" t="s">
        <v>12427</v>
      </c>
      <c r="D1381" s="607">
        <v>3537.32</v>
      </c>
      <c r="E1381" s="607">
        <v>63.64</v>
      </c>
      <c r="F1381" s="607">
        <v>3600.96</v>
      </c>
      <c r="G1381" s="584">
        <v>15</v>
      </c>
    </row>
    <row r="1382" spans="1:7" ht="30" x14ac:dyDescent="0.2">
      <c r="A1382" s="583" t="s">
        <v>14993</v>
      </c>
      <c r="B1382" s="605" t="s">
        <v>14994</v>
      </c>
      <c r="C1382" s="606" t="s">
        <v>12427</v>
      </c>
      <c r="D1382" s="607">
        <v>1735.2</v>
      </c>
      <c r="E1382" s="607">
        <v>63.64</v>
      </c>
      <c r="F1382" s="607">
        <v>1798.84</v>
      </c>
      <c r="G1382" s="584">
        <v>15</v>
      </c>
    </row>
    <row r="1383" spans="1:7" ht="30" x14ac:dyDescent="0.2">
      <c r="A1383" s="583" t="s">
        <v>14995</v>
      </c>
      <c r="B1383" s="605" t="s">
        <v>14996</v>
      </c>
      <c r="C1383" s="606" t="s">
        <v>12427</v>
      </c>
      <c r="D1383" s="607">
        <v>2815.67</v>
      </c>
      <c r="E1383" s="607">
        <v>63.64</v>
      </c>
      <c r="F1383" s="607">
        <v>2879.31</v>
      </c>
      <c r="G1383" s="584">
        <v>15</v>
      </c>
    </row>
    <row r="1384" spans="1:7" ht="30" x14ac:dyDescent="0.2">
      <c r="A1384" s="583" t="s">
        <v>14997</v>
      </c>
      <c r="B1384" s="605" t="s">
        <v>14998</v>
      </c>
      <c r="C1384" s="606" t="s">
        <v>12427</v>
      </c>
      <c r="D1384" s="607">
        <v>2306.8000000000002</v>
      </c>
      <c r="E1384" s="607">
        <v>63.64</v>
      </c>
      <c r="F1384" s="607">
        <v>2370.44</v>
      </c>
      <c r="G1384" s="584">
        <v>15</v>
      </c>
    </row>
    <row r="1385" spans="1:7" ht="15" x14ac:dyDescent="0.25">
      <c r="A1385" s="583" t="s">
        <v>14999</v>
      </c>
      <c r="B1385" s="605" t="s">
        <v>15000</v>
      </c>
      <c r="C1385" s="606"/>
      <c r="D1385" s="607"/>
      <c r="E1385" s="607"/>
      <c r="F1385" s="607"/>
      <c r="G1385" s="582"/>
    </row>
    <row r="1386" spans="1:7" ht="30" x14ac:dyDescent="0.2">
      <c r="A1386" s="583" t="s">
        <v>15001</v>
      </c>
      <c r="B1386" s="605" t="s">
        <v>15002</v>
      </c>
      <c r="C1386" s="606" t="s">
        <v>12483</v>
      </c>
      <c r="D1386" s="607">
        <v>912.86</v>
      </c>
      <c r="E1386" s="607">
        <v>52.89</v>
      </c>
      <c r="F1386" s="607">
        <v>965.75</v>
      </c>
      <c r="G1386" s="584">
        <v>15</v>
      </c>
    </row>
    <row r="1387" spans="1:7" ht="15" x14ac:dyDescent="0.25">
      <c r="A1387" s="583" t="s">
        <v>15003</v>
      </c>
      <c r="B1387" s="605" t="s">
        <v>15004</v>
      </c>
      <c r="C1387" s="606"/>
      <c r="D1387" s="607"/>
      <c r="E1387" s="607"/>
      <c r="F1387" s="607"/>
      <c r="G1387" s="582"/>
    </row>
    <row r="1388" spans="1:7" ht="30" x14ac:dyDescent="0.2">
      <c r="A1388" s="583" t="s">
        <v>15005</v>
      </c>
      <c r="B1388" s="605" t="s">
        <v>15006</v>
      </c>
      <c r="C1388" s="606" t="s">
        <v>12427</v>
      </c>
      <c r="D1388" s="607">
        <v>679.74</v>
      </c>
      <c r="E1388" s="607">
        <v>45.31</v>
      </c>
      <c r="F1388" s="607">
        <v>725.05</v>
      </c>
      <c r="G1388" s="584">
        <v>15</v>
      </c>
    </row>
    <row r="1389" spans="1:7" ht="30" x14ac:dyDescent="0.2">
      <c r="A1389" s="583" t="s">
        <v>15007</v>
      </c>
      <c r="B1389" s="605" t="s">
        <v>15008</v>
      </c>
      <c r="C1389" s="606" t="s">
        <v>12427</v>
      </c>
      <c r="D1389" s="607">
        <v>962.74</v>
      </c>
      <c r="E1389" s="607">
        <v>127.12</v>
      </c>
      <c r="F1389" s="607">
        <v>1089.8599999999999</v>
      </c>
      <c r="G1389" s="584">
        <v>15</v>
      </c>
    </row>
    <row r="1390" spans="1:7" ht="15" x14ac:dyDescent="0.25">
      <c r="A1390" s="583" t="s">
        <v>15009</v>
      </c>
      <c r="B1390" s="605" t="s">
        <v>15010</v>
      </c>
      <c r="C1390" s="606"/>
      <c r="D1390" s="607"/>
      <c r="E1390" s="607"/>
      <c r="F1390" s="607"/>
      <c r="G1390" s="582"/>
    </row>
    <row r="1391" spans="1:7" ht="30" x14ac:dyDescent="0.2">
      <c r="A1391" s="583" t="s">
        <v>15011</v>
      </c>
      <c r="B1391" s="605" t="s">
        <v>15012</v>
      </c>
      <c r="C1391" s="606" t="s">
        <v>12483</v>
      </c>
      <c r="D1391" s="607">
        <v>684.76</v>
      </c>
      <c r="E1391" s="607">
        <v>54.37</v>
      </c>
      <c r="F1391" s="607">
        <v>739.13</v>
      </c>
      <c r="G1391" s="584">
        <v>15</v>
      </c>
    </row>
    <row r="1392" spans="1:7" ht="30" x14ac:dyDescent="0.2">
      <c r="A1392" s="583" t="s">
        <v>15013</v>
      </c>
      <c r="B1392" s="605" t="s">
        <v>15014</v>
      </c>
      <c r="C1392" s="606" t="s">
        <v>12483</v>
      </c>
      <c r="D1392" s="607">
        <v>571.14</v>
      </c>
      <c r="E1392" s="607">
        <v>22.66</v>
      </c>
      <c r="F1392" s="607">
        <v>593.79999999999995</v>
      </c>
      <c r="G1392" s="584">
        <v>15</v>
      </c>
    </row>
    <row r="1393" spans="1:7" ht="30" x14ac:dyDescent="0.2">
      <c r="A1393" s="583" t="s">
        <v>15015</v>
      </c>
      <c r="B1393" s="605" t="s">
        <v>15016</v>
      </c>
      <c r="C1393" s="606" t="s">
        <v>12483</v>
      </c>
      <c r="D1393" s="607">
        <v>592.75</v>
      </c>
      <c r="E1393" s="607">
        <v>45.31</v>
      </c>
      <c r="F1393" s="607">
        <v>638.05999999999995</v>
      </c>
      <c r="G1393" s="584">
        <v>15</v>
      </c>
    </row>
    <row r="1394" spans="1:7" ht="15" x14ac:dyDescent="0.25">
      <c r="A1394" s="583" t="s">
        <v>15017</v>
      </c>
      <c r="B1394" s="605" t="s">
        <v>15018</v>
      </c>
      <c r="C1394" s="606"/>
      <c r="D1394" s="607"/>
      <c r="E1394" s="607"/>
      <c r="F1394" s="607"/>
      <c r="G1394" s="582"/>
    </row>
    <row r="1395" spans="1:7" ht="15" x14ac:dyDescent="0.2">
      <c r="A1395" s="583" t="s">
        <v>15019</v>
      </c>
      <c r="B1395" s="605" t="s">
        <v>15020</v>
      </c>
      <c r="C1395" s="606" t="s">
        <v>12427</v>
      </c>
      <c r="D1395" s="607"/>
      <c r="E1395" s="607">
        <v>45.31</v>
      </c>
      <c r="F1395" s="607">
        <v>45.31</v>
      </c>
      <c r="G1395" s="584">
        <v>15</v>
      </c>
    </row>
    <row r="1396" spans="1:7" ht="15" x14ac:dyDescent="0.2">
      <c r="A1396" s="583" t="s">
        <v>15021</v>
      </c>
      <c r="B1396" s="605" t="s">
        <v>15022</v>
      </c>
      <c r="C1396" s="606" t="s">
        <v>12483</v>
      </c>
      <c r="D1396" s="607">
        <v>2.0499999999999998</v>
      </c>
      <c r="E1396" s="607">
        <v>11.78</v>
      </c>
      <c r="F1396" s="607">
        <v>13.83</v>
      </c>
      <c r="G1396" s="584">
        <v>15</v>
      </c>
    </row>
    <row r="1397" spans="1:7" ht="15" x14ac:dyDescent="0.2">
      <c r="A1397" s="583" t="s">
        <v>15023</v>
      </c>
      <c r="B1397" s="605" t="s">
        <v>15024</v>
      </c>
      <c r="C1397" s="606" t="s">
        <v>12483</v>
      </c>
      <c r="D1397" s="607"/>
      <c r="E1397" s="607">
        <v>27.18</v>
      </c>
      <c r="F1397" s="607">
        <v>27.18</v>
      </c>
      <c r="G1397" s="584">
        <v>15</v>
      </c>
    </row>
    <row r="1398" spans="1:7" ht="15" x14ac:dyDescent="0.2">
      <c r="A1398" s="583" t="s">
        <v>15025</v>
      </c>
      <c r="B1398" s="605" t="s">
        <v>15026</v>
      </c>
      <c r="C1398" s="606" t="s">
        <v>12483</v>
      </c>
      <c r="D1398" s="607">
        <v>23.94</v>
      </c>
      <c r="E1398" s="607">
        <v>28.31</v>
      </c>
      <c r="F1398" s="607">
        <v>52.25</v>
      </c>
      <c r="G1398" s="584">
        <v>15</v>
      </c>
    </row>
    <row r="1399" spans="1:7" ht="15" x14ac:dyDescent="0.2">
      <c r="A1399" s="583" t="s">
        <v>15027</v>
      </c>
      <c r="B1399" s="605" t="s">
        <v>15028</v>
      </c>
      <c r="C1399" s="606" t="s">
        <v>12676</v>
      </c>
      <c r="D1399" s="607">
        <v>3992.52</v>
      </c>
      <c r="E1399" s="607">
        <v>105.78</v>
      </c>
      <c r="F1399" s="607">
        <v>4098.3</v>
      </c>
      <c r="G1399" s="584">
        <v>15</v>
      </c>
    </row>
    <row r="1400" spans="1:7" ht="15" x14ac:dyDescent="0.2">
      <c r="A1400" s="583" t="s">
        <v>15029</v>
      </c>
      <c r="B1400" s="605" t="s">
        <v>15030</v>
      </c>
      <c r="C1400" s="606" t="s">
        <v>12483</v>
      </c>
      <c r="D1400" s="607">
        <v>229.67</v>
      </c>
      <c r="E1400" s="607">
        <v>11.78</v>
      </c>
      <c r="F1400" s="607">
        <v>241.45</v>
      </c>
      <c r="G1400" s="584">
        <v>15</v>
      </c>
    </row>
    <row r="1401" spans="1:7" ht="30" x14ac:dyDescent="0.2">
      <c r="A1401" s="583" t="s">
        <v>15031</v>
      </c>
      <c r="B1401" s="605" t="s">
        <v>15032</v>
      </c>
      <c r="C1401" s="606" t="s">
        <v>12483</v>
      </c>
      <c r="D1401" s="607">
        <v>327.11</v>
      </c>
      <c r="E1401" s="607">
        <v>11.78</v>
      </c>
      <c r="F1401" s="607">
        <v>338.89</v>
      </c>
      <c r="G1401" s="584">
        <v>15</v>
      </c>
    </row>
    <row r="1402" spans="1:7" ht="15" x14ac:dyDescent="0.2">
      <c r="A1402" s="583" t="s">
        <v>15033</v>
      </c>
      <c r="B1402" s="605" t="s">
        <v>15034</v>
      </c>
      <c r="C1402" s="606" t="s">
        <v>12427</v>
      </c>
      <c r="D1402" s="607">
        <v>230.46</v>
      </c>
      <c r="E1402" s="607">
        <v>54.37</v>
      </c>
      <c r="F1402" s="607">
        <v>284.83</v>
      </c>
      <c r="G1402" s="584">
        <v>15</v>
      </c>
    </row>
    <row r="1403" spans="1:7" ht="15" x14ac:dyDescent="0.2">
      <c r="A1403" s="583" t="s">
        <v>15035</v>
      </c>
      <c r="B1403" s="605" t="s">
        <v>15036</v>
      </c>
      <c r="C1403" s="606" t="s">
        <v>12427</v>
      </c>
      <c r="D1403" s="607">
        <v>106.06</v>
      </c>
      <c r="E1403" s="607">
        <v>9.86</v>
      </c>
      <c r="F1403" s="607">
        <v>115.92</v>
      </c>
      <c r="G1403" s="584">
        <v>15</v>
      </c>
    </row>
    <row r="1404" spans="1:7" ht="30" x14ac:dyDescent="0.2">
      <c r="A1404" s="583" t="s">
        <v>15037</v>
      </c>
      <c r="B1404" s="605" t="s">
        <v>15038</v>
      </c>
      <c r="C1404" s="606" t="s">
        <v>12427</v>
      </c>
      <c r="D1404" s="607">
        <v>37.020000000000003</v>
      </c>
      <c r="E1404" s="607">
        <v>9.86</v>
      </c>
      <c r="F1404" s="607">
        <v>46.88</v>
      </c>
      <c r="G1404" s="584">
        <v>15</v>
      </c>
    </row>
    <row r="1405" spans="1:7" ht="30" x14ac:dyDescent="0.2">
      <c r="A1405" s="583" t="s">
        <v>15039</v>
      </c>
      <c r="B1405" s="605" t="s">
        <v>15040</v>
      </c>
      <c r="C1405" s="606" t="s">
        <v>12427</v>
      </c>
      <c r="D1405" s="607">
        <v>569.55999999999995</v>
      </c>
      <c r="E1405" s="607">
        <v>97.05</v>
      </c>
      <c r="F1405" s="607">
        <v>666.61</v>
      </c>
      <c r="G1405" s="584">
        <v>15</v>
      </c>
    </row>
    <row r="1406" spans="1:7" ht="30" x14ac:dyDescent="0.2">
      <c r="A1406" s="583" t="s">
        <v>15041</v>
      </c>
      <c r="B1406" s="605" t="s">
        <v>15042</v>
      </c>
      <c r="C1406" s="606" t="s">
        <v>12427</v>
      </c>
      <c r="D1406" s="607">
        <v>867.83</v>
      </c>
      <c r="E1406" s="607">
        <v>97.05</v>
      </c>
      <c r="F1406" s="607">
        <v>964.88</v>
      </c>
      <c r="G1406" s="584">
        <v>15</v>
      </c>
    </row>
    <row r="1407" spans="1:7" ht="15" x14ac:dyDescent="0.25">
      <c r="A1407" s="583" t="s">
        <v>15043</v>
      </c>
      <c r="B1407" s="605" t="s">
        <v>15044</v>
      </c>
      <c r="C1407" s="606"/>
      <c r="D1407" s="607"/>
      <c r="E1407" s="607"/>
      <c r="F1407" s="607"/>
      <c r="G1407" s="582"/>
    </row>
    <row r="1408" spans="1:7" ht="15" x14ac:dyDescent="0.25">
      <c r="A1408" s="583" t="s">
        <v>15045</v>
      </c>
      <c r="B1408" s="605" t="s">
        <v>15046</v>
      </c>
      <c r="C1408" s="606"/>
      <c r="D1408" s="607"/>
      <c r="E1408" s="607"/>
      <c r="F1408" s="607"/>
      <c r="G1408" s="582"/>
    </row>
    <row r="1409" spans="1:7" ht="15" x14ac:dyDescent="0.2">
      <c r="A1409" s="583" t="s">
        <v>15047</v>
      </c>
      <c r="B1409" s="605" t="s">
        <v>15048</v>
      </c>
      <c r="C1409" s="606" t="s">
        <v>12427</v>
      </c>
      <c r="D1409" s="607">
        <v>867.35</v>
      </c>
      <c r="E1409" s="607">
        <v>67.97</v>
      </c>
      <c r="F1409" s="607">
        <v>935.32</v>
      </c>
      <c r="G1409" s="584">
        <v>15</v>
      </c>
    </row>
    <row r="1410" spans="1:7" ht="15" x14ac:dyDescent="0.2">
      <c r="A1410" s="583" t="s">
        <v>15049</v>
      </c>
      <c r="B1410" s="605" t="s">
        <v>15050</v>
      </c>
      <c r="C1410" s="606" t="s">
        <v>12427</v>
      </c>
      <c r="D1410" s="607">
        <v>368.73</v>
      </c>
      <c r="E1410" s="607">
        <v>67.97</v>
      </c>
      <c r="F1410" s="607">
        <v>436.7</v>
      </c>
      <c r="G1410" s="584">
        <v>15</v>
      </c>
    </row>
    <row r="1411" spans="1:7" ht="15" x14ac:dyDescent="0.2">
      <c r="A1411" s="583" t="s">
        <v>15051</v>
      </c>
      <c r="B1411" s="605" t="s">
        <v>15052</v>
      </c>
      <c r="C1411" s="606" t="s">
        <v>12427</v>
      </c>
      <c r="D1411" s="607">
        <v>1232.19</v>
      </c>
      <c r="E1411" s="607">
        <v>67.97</v>
      </c>
      <c r="F1411" s="607">
        <v>1300.1600000000001</v>
      </c>
      <c r="G1411" s="584">
        <v>15</v>
      </c>
    </row>
    <row r="1412" spans="1:7" ht="15" x14ac:dyDescent="0.2">
      <c r="A1412" s="583" t="s">
        <v>15053</v>
      </c>
      <c r="B1412" s="605" t="s">
        <v>15054</v>
      </c>
      <c r="C1412" s="606" t="s">
        <v>12427</v>
      </c>
      <c r="D1412" s="607">
        <v>442.32</v>
      </c>
      <c r="E1412" s="607">
        <v>67.97</v>
      </c>
      <c r="F1412" s="607">
        <v>510.29</v>
      </c>
      <c r="G1412" s="584">
        <v>15</v>
      </c>
    </row>
    <row r="1413" spans="1:7" ht="15" x14ac:dyDescent="0.2">
      <c r="A1413" s="583" t="s">
        <v>15055</v>
      </c>
      <c r="B1413" s="605" t="s">
        <v>15056</v>
      </c>
      <c r="C1413" s="606" t="s">
        <v>12427</v>
      </c>
      <c r="D1413" s="607">
        <v>945.95</v>
      </c>
      <c r="E1413" s="607">
        <v>67.97</v>
      </c>
      <c r="F1413" s="607">
        <v>1013.92</v>
      </c>
      <c r="G1413" s="584">
        <v>15</v>
      </c>
    </row>
    <row r="1414" spans="1:7" ht="15" x14ac:dyDescent="0.2">
      <c r="A1414" s="583" t="s">
        <v>15057</v>
      </c>
      <c r="B1414" s="605" t="s">
        <v>15058</v>
      </c>
      <c r="C1414" s="606" t="s">
        <v>12427</v>
      </c>
      <c r="D1414" s="607">
        <v>257.45999999999998</v>
      </c>
      <c r="E1414" s="607">
        <v>67.97</v>
      </c>
      <c r="F1414" s="607">
        <v>325.43</v>
      </c>
      <c r="G1414" s="584">
        <v>15</v>
      </c>
    </row>
    <row r="1415" spans="1:7" ht="15" x14ac:dyDescent="0.2">
      <c r="A1415" s="583" t="s">
        <v>15059</v>
      </c>
      <c r="B1415" s="605" t="s">
        <v>15060</v>
      </c>
      <c r="C1415" s="606" t="s">
        <v>12427</v>
      </c>
      <c r="D1415" s="607">
        <v>813.02</v>
      </c>
      <c r="E1415" s="607">
        <v>67.97</v>
      </c>
      <c r="F1415" s="607">
        <v>880.99</v>
      </c>
      <c r="G1415" s="584">
        <v>15</v>
      </c>
    </row>
    <row r="1416" spans="1:7" ht="15" x14ac:dyDescent="0.2">
      <c r="A1416" s="583" t="s">
        <v>15061</v>
      </c>
      <c r="B1416" s="605" t="s">
        <v>15062</v>
      </c>
      <c r="C1416" s="606" t="s">
        <v>12427</v>
      </c>
      <c r="D1416" s="607">
        <v>369.28</v>
      </c>
      <c r="E1416" s="607">
        <v>67.97</v>
      </c>
      <c r="F1416" s="607">
        <v>437.25</v>
      </c>
      <c r="G1416" s="584">
        <v>15</v>
      </c>
    </row>
    <row r="1417" spans="1:7" ht="15" x14ac:dyDescent="0.2">
      <c r="A1417" s="583" t="s">
        <v>15063</v>
      </c>
      <c r="B1417" s="605" t="s">
        <v>15064</v>
      </c>
      <c r="C1417" s="606" t="s">
        <v>12427</v>
      </c>
      <c r="D1417" s="607">
        <v>1306.57</v>
      </c>
      <c r="E1417" s="607">
        <v>67.97</v>
      </c>
      <c r="F1417" s="607">
        <v>1374.54</v>
      </c>
      <c r="G1417" s="584">
        <v>15</v>
      </c>
    </row>
    <row r="1418" spans="1:7" ht="15" x14ac:dyDescent="0.2">
      <c r="A1418" s="583" t="s">
        <v>15065</v>
      </c>
      <c r="B1418" s="605" t="s">
        <v>15066</v>
      </c>
      <c r="C1418" s="606" t="s">
        <v>12427</v>
      </c>
      <c r="D1418" s="607">
        <v>1205.98</v>
      </c>
      <c r="E1418" s="607">
        <v>67.97</v>
      </c>
      <c r="F1418" s="607">
        <v>1273.95</v>
      </c>
      <c r="G1418" s="584">
        <v>15</v>
      </c>
    </row>
    <row r="1419" spans="1:7" ht="30" x14ac:dyDescent="0.2">
      <c r="A1419" s="583" t="s">
        <v>15067</v>
      </c>
      <c r="B1419" s="605" t="s">
        <v>15068</v>
      </c>
      <c r="C1419" s="606" t="s">
        <v>12427</v>
      </c>
      <c r="D1419" s="607">
        <v>502.42</v>
      </c>
      <c r="E1419" s="607"/>
      <c r="F1419" s="607">
        <v>502.42</v>
      </c>
      <c r="G1419" s="584">
        <v>15</v>
      </c>
    </row>
    <row r="1420" spans="1:7" ht="15" x14ac:dyDescent="0.2">
      <c r="A1420" s="583" t="s">
        <v>15069</v>
      </c>
      <c r="B1420" s="605" t="s">
        <v>15070</v>
      </c>
      <c r="C1420" s="606" t="s">
        <v>12427</v>
      </c>
      <c r="D1420" s="607">
        <v>869.99</v>
      </c>
      <c r="E1420" s="607">
        <v>52.23</v>
      </c>
      <c r="F1420" s="607">
        <v>922.22</v>
      </c>
      <c r="G1420" s="584">
        <v>15</v>
      </c>
    </row>
    <row r="1421" spans="1:7" ht="15" x14ac:dyDescent="0.2">
      <c r="A1421" s="583" t="s">
        <v>15071</v>
      </c>
      <c r="B1421" s="605" t="s">
        <v>15072</v>
      </c>
      <c r="C1421" s="606" t="s">
        <v>12427</v>
      </c>
      <c r="D1421" s="607">
        <v>1361.32</v>
      </c>
      <c r="E1421" s="607">
        <v>67.97</v>
      </c>
      <c r="F1421" s="607">
        <v>1429.29</v>
      </c>
      <c r="G1421" s="584">
        <v>15</v>
      </c>
    </row>
    <row r="1422" spans="1:7" ht="15" x14ac:dyDescent="0.2">
      <c r="A1422" s="583" t="s">
        <v>15073</v>
      </c>
      <c r="B1422" s="605" t="s">
        <v>15074</v>
      </c>
      <c r="C1422" s="606" t="s">
        <v>12427</v>
      </c>
      <c r="D1422" s="607">
        <v>1022.35</v>
      </c>
      <c r="E1422" s="607">
        <v>67.97</v>
      </c>
      <c r="F1422" s="607">
        <v>1090.32</v>
      </c>
      <c r="G1422" s="584">
        <v>15</v>
      </c>
    </row>
    <row r="1423" spans="1:7" ht="15" x14ac:dyDescent="0.2">
      <c r="A1423" s="583" t="s">
        <v>15075</v>
      </c>
      <c r="B1423" s="605" t="s">
        <v>15076</v>
      </c>
      <c r="C1423" s="606" t="s">
        <v>12427</v>
      </c>
      <c r="D1423" s="607">
        <v>684.66</v>
      </c>
      <c r="E1423" s="607">
        <v>67.97</v>
      </c>
      <c r="F1423" s="607">
        <v>752.63</v>
      </c>
      <c r="G1423" s="584">
        <v>15</v>
      </c>
    </row>
    <row r="1424" spans="1:7" ht="15" x14ac:dyDescent="0.2">
      <c r="A1424" s="583" t="s">
        <v>15077</v>
      </c>
      <c r="B1424" s="605" t="s">
        <v>15078</v>
      </c>
      <c r="C1424" s="606" t="s">
        <v>12427</v>
      </c>
      <c r="D1424" s="607">
        <v>592.61</v>
      </c>
      <c r="E1424" s="607">
        <v>52.23</v>
      </c>
      <c r="F1424" s="607">
        <v>644.84</v>
      </c>
      <c r="G1424" s="584">
        <v>15</v>
      </c>
    </row>
    <row r="1425" spans="1:7" ht="15" x14ac:dyDescent="0.2">
      <c r="A1425" s="583" t="s">
        <v>15079</v>
      </c>
      <c r="B1425" s="605" t="s">
        <v>15080</v>
      </c>
      <c r="C1425" s="606" t="s">
        <v>12427</v>
      </c>
      <c r="D1425" s="607">
        <v>1004.92</v>
      </c>
      <c r="E1425" s="607">
        <v>52.23</v>
      </c>
      <c r="F1425" s="607">
        <v>1057.1500000000001</v>
      </c>
      <c r="G1425" s="584">
        <v>15</v>
      </c>
    </row>
    <row r="1426" spans="1:7" ht="15" x14ac:dyDescent="0.2">
      <c r="A1426" s="583" t="s">
        <v>15081</v>
      </c>
      <c r="B1426" s="605" t="s">
        <v>15082</v>
      </c>
      <c r="C1426" s="606" t="s">
        <v>12427</v>
      </c>
      <c r="D1426" s="607">
        <v>929.42</v>
      </c>
      <c r="E1426" s="607">
        <v>39.18</v>
      </c>
      <c r="F1426" s="607">
        <v>968.6</v>
      </c>
      <c r="G1426" s="584">
        <v>15</v>
      </c>
    </row>
    <row r="1427" spans="1:7" ht="15" x14ac:dyDescent="0.2">
      <c r="A1427" s="583" t="s">
        <v>15083</v>
      </c>
      <c r="B1427" s="605" t="s">
        <v>15084</v>
      </c>
      <c r="C1427" s="606" t="s">
        <v>12427</v>
      </c>
      <c r="D1427" s="607">
        <v>986.06</v>
      </c>
      <c r="E1427" s="607">
        <v>39.18</v>
      </c>
      <c r="F1427" s="607">
        <v>1025.24</v>
      </c>
      <c r="G1427" s="584">
        <v>15</v>
      </c>
    </row>
    <row r="1428" spans="1:7" ht="15" x14ac:dyDescent="0.2">
      <c r="A1428" s="583" t="s">
        <v>15085</v>
      </c>
      <c r="B1428" s="605" t="s">
        <v>15086</v>
      </c>
      <c r="C1428" s="606" t="s">
        <v>12427</v>
      </c>
      <c r="D1428" s="607">
        <v>1374.81</v>
      </c>
      <c r="E1428" s="607">
        <v>39.18</v>
      </c>
      <c r="F1428" s="607">
        <v>1413.99</v>
      </c>
      <c r="G1428" s="584">
        <v>15</v>
      </c>
    </row>
    <row r="1429" spans="1:7" ht="15" x14ac:dyDescent="0.2">
      <c r="A1429" s="583" t="s">
        <v>15087</v>
      </c>
      <c r="B1429" s="605" t="s">
        <v>15088</v>
      </c>
      <c r="C1429" s="606" t="s">
        <v>12427</v>
      </c>
      <c r="D1429" s="607">
        <v>853.76</v>
      </c>
      <c r="E1429" s="607"/>
      <c r="F1429" s="607">
        <v>853.76</v>
      </c>
      <c r="G1429" s="584">
        <v>15</v>
      </c>
    </row>
    <row r="1430" spans="1:7" ht="30" x14ac:dyDescent="0.2">
      <c r="A1430" s="583" t="s">
        <v>15089</v>
      </c>
      <c r="B1430" s="605" t="s">
        <v>15090</v>
      </c>
      <c r="C1430" s="606" t="s">
        <v>12427</v>
      </c>
      <c r="D1430" s="607">
        <v>1442.27</v>
      </c>
      <c r="E1430" s="607"/>
      <c r="F1430" s="607">
        <v>1442.27</v>
      </c>
      <c r="G1430" s="584">
        <v>15</v>
      </c>
    </row>
    <row r="1431" spans="1:7" ht="30" x14ac:dyDescent="0.2">
      <c r="A1431" s="583" t="s">
        <v>15091</v>
      </c>
      <c r="B1431" s="605" t="s">
        <v>15092</v>
      </c>
      <c r="C1431" s="606" t="s">
        <v>12427</v>
      </c>
      <c r="D1431" s="607">
        <v>933.95</v>
      </c>
      <c r="E1431" s="607"/>
      <c r="F1431" s="607">
        <v>933.95</v>
      </c>
      <c r="G1431" s="584">
        <v>15</v>
      </c>
    </row>
    <row r="1432" spans="1:7" ht="30" x14ac:dyDescent="0.2">
      <c r="A1432" s="583" t="s">
        <v>15093</v>
      </c>
      <c r="B1432" s="605" t="s">
        <v>15094</v>
      </c>
      <c r="C1432" s="606" t="s">
        <v>12427</v>
      </c>
      <c r="D1432" s="607">
        <v>923.67</v>
      </c>
      <c r="E1432" s="607"/>
      <c r="F1432" s="607">
        <v>923.67</v>
      </c>
      <c r="G1432" s="584">
        <v>15</v>
      </c>
    </row>
    <row r="1433" spans="1:7" ht="30" x14ac:dyDescent="0.2">
      <c r="A1433" s="583" t="s">
        <v>15095</v>
      </c>
      <c r="B1433" s="605" t="s">
        <v>15096</v>
      </c>
      <c r="C1433" s="606" t="s">
        <v>12427</v>
      </c>
      <c r="D1433" s="607">
        <v>1014.81</v>
      </c>
      <c r="E1433" s="607">
        <v>67.97</v>
      </c>
      <c r="F1433" s="607">
        <v>1082.78</v>
      </c>
      <c r="G1433" s="584">
        <v>15</v>
      </c>
    </row>
    <row r="1434" spans="1:7" ht="30" x14ac:dyDescent="0.2">
      <c r="A1434" s="583" t="s">
        <v>15097</v>
      </c>
      <c r="B1434" s="605" t="s">
        <v>15098</v>
      </c>
      <c r="C1434" s="606" t="s">
        <v>12427</v>
      </c>
      <c r="D1434" s="607">
        <v>1139.8</v>
      </c>
      <c r="E1434" s="607">
        <v>67.97</v>
      </c>
      <c r="F1434" s="607">
        <v>1207.77</v>
      </c>
      <c r="G1434" s="584">
        <v>15</v>
      </c>
    </row>
    <row r="1435" spans="1:7" ht="30" x14ac:dyDescent="0.2">
      <c r="A1435" s="583" t="s">
        <v>15099</v>
      </c>
      <c r="B1435" s="605" t="s">
        <v>15100</v>
      </c>
      <c r="C1435" s="606" t="s">
        <v>12427</v>
      </c>
      <c r="D1435" s="607">
        <v>1210.76</v>
      </c>
      <c r="E1435" s="607">
        <v>67.97</v>
      </c>
      <c r="F1435" s="607">
        <v>1278.73</v>
      </c>
      <c r="G1435" s="584">
        <v>15</v>
      </c>
    </row>
    <row r="1436" spans="1:7" ht="30" x14ac:dyDescent="0.2">
      <c r="A1436" s="583" t="s">
        <v>15101</v>
      </c>
      <c r="B1436" s="605" t="s">
        <v>15102</v>
      </c>
      <c r="C1436" s="606" t="s">
        <v>12427</v>
      </c>
      <c r="D1436" s="607">
        <v>1153.19</v>
      </c>
      <c r="E1436" s="607">
        <v>67.97</v>
      </c>
      <c r="F1436" s="607">
        <v>1221.1600000000001</v>
      </c>
      <c r="G1436" s="584">
        <v>15</v>
      </c>
    </row>
    <row r="1437" spans="1:7" ht="15" x14ac:dyDescent="0.25">
      <c r="A1437" s="583" t="s">
        <v>15103</v>
      </c>
      <c r="B1437" s="605" t="s">
        <v>15104</v>
      </c>
      <c r="C1437" s="606"/>
      <c r="D1437" s="607"/>
      <c r="E1437" s="607"/>
      <c r="F1437" s="607"/>
      <c r="G1437" s="582"/>
    </row>
    <row r="1438" spans="1:7" ht="30" x14ac:dyDescent="0.2">
      <c r="A1438" s="583" t="s">
        <v>20163</v>
      </c>
      <c r="B1438" s="605" t="s">
        <v>20164</v>
      </c>
      <c r="C1438" s="606" t="s">
        <v>12427</v>
      </c>
      <c r="D1438" s="607">
        <v>410.74</v>
      </c>
      <c r="E1438" s="607">
        <v>135.93</v>
      </c>
      <c r="F1438" s="607">
        <v>546.66999999999996</v>
      </c>
      <c r="G1438" s="584">
        <v>15</v>
      </c>
    </row>
    <row r="1439" spans="1:7" ht="15" x14ac:dyDescent="0.2">
      <c r="A1439" s="583" t="s">
        <v>15105</v>
      </c>
      <c r="B1439" s="605" t="s">
        <v>15106</v>
      </c>
      <c r="C1439" s="606" t="s">
        <v>12427</v>
      </c>
      <c r="D1439" s="607">
        <v>935.31</v>
      </c>
      <c r="E1439" s="607">
        <v>135.93</v>
      </c>
      <c r="F1439" s="607">
        <v>1071.24</v>
      </c>
      <c r="G1439" s="584">
        <v>15</v>
      </c>
    </row>
    <row r="1440" spans="1:7" ht="15" x14ac:dyDescent="0.2">
      <c r="A1440" s="583" t="s">
        <v>15107</v>
      </c>
      <c r="B1440" s="605" t="s">
        <v>15108</v>
      </c>
      <c r="C1440" s="606" t="s">
        <v>12427</v>
      </c>
      <c r="D1440" s="607">
        <v>1035.28</v>
      </c>
      <c r="E1440" s="607">
        <v>135.93</v>
      </c>
      <c r="F1440" s="607">
        <v>1171.21</v>
      </c>
      <c r="G1440" s="584">
        <v>15</v>
      </c>
    </row>
    <row r="1441" spans="1:7" ht="15" x14ac:dyDescent="0.2">
      <c r="A1441" s="583" t="s">
        <v>15109</v>
      </c>
      <c r="B1441" s="605" t="s">
        <v>15110</v>
      </c>
      <c r="C1441" s="606" t="s">
        <v>12427</v>
      </c>
      <c r="D1441" s="607">
        <v>1113.56</v>
      </c>
      <c r="E1441" s="607">
        <v>67.97</v>
      </c>
      <c r="F1441" s="607">
        <v>1181.53</v>
      </c>
      <c r="G1441" s="584">
        <v>15</v>
      </c>
    </row>
    <row r="1442" spans="1:7" ht="15" x14ac:dyDescent="0.2">
      <c r="A1442" s="583" t="s">
        <v>15111</v>
      </c>
      <c r="B1442" s="605" t="s">
        <v>15112</v>
      </c>
      <c r="C1442" s="606" t="s">
        <v>12427</v>
      </c>
      <c r="D1442" s="607">
        <v>382.84</v>
      </c>
      <c r="E1442" s="607">
        <v>135.93</v>
      </c>
      <c r="F1442" s="607">
        <v>518.77</v>
      </c>
      <c r="G1442" s="584">
        <v>15</v>
      </c>
    </row>
    <row r="1443" spans="1:7" ht="30" x14ac:dyDescent="0.2">
      <c r="A1443" s="583" t="s">
        <v>15113</v>
      </c>
      <c r="B1443" s="605" t="s">
        <v>20371</v>
      </c>
      <c r="C1443" s="606" t="s">
        <v>12427</v>
      </c>
      <c r="D1443" s="607">
        <v>742.66</v>
      </c>
      <c r="E1443" s="607">
        <v>135.93</v>
      </c>
      <c r="F1443" s="607">
        <v>878.59</v>
      </c>
      <c r="G1443" s="584">
        <v>15</v>
      </c>
    </row>
    <row r="1444" spans="1:7" ht="15" x14ac:dyDescent="0.2">
      <c r="A1444" s="583" t="s">
        <v>15114</v>
      </c>
      <c r="B1444" s="605" t="s">
        <v>20372</v>
      </c>
      <c r="C1444" s="606" t="s">
        <v>12427</v>
      </c>
      <c r="D1444" s="607">
        <v>532.16999999999996</v>
      </c>
      <c r="E1444" s="607">
        <v>135.93</v>
      </c>
      <c r="F1444" s="607">
        <v>668.1</v>
      </c>
      <c r="G1444" s="584">
        <v>15</v>
      </c>
    </row>
    <row r="1445" spans="1:7" ht="15" x14ac:dyDescent="0.2">
      <c r="A1445" s="583" t="s">
        <v>15115</v>
      </c>
      <c r="B1445" s="605" t="s">
        <v>15116</v>
      </c>
      <c r="C1445" s="606" t="s">
        <v>12427</v>
      </c>
      <c r="D1445" s="607">
        <v>1070.81</v>
      </c>
      <c r="E1445" s="607">
        <v>135.93</v>
      </c>
      <c r="F1445" s="607">
        <v>1206.74</v>
      </c>
      <c r="G1445" s="584">
        <v>15</v>
      </c>
    </row>
    <row r="1446" spans="1:7" ht="15" x14ac:dyDescent="0.2">
      <c r="A1446" s="583" t="s">
        <v>15117</v>
      </c>
      <c r="B1446" s="605" t="s">
        <v>15118</v>
      </c>
      <c r="C1446" s="606" t="s">
        <v>12427</v>
      </c>
      <c r="D1446" s="607">
        <v>559.58000000000004</v>
      </c>
      <c r="E1446" s="607">
        <v>135.93</v>
      </c>
      <c r="F1446" s="607">
        <v>695.51</v>
      </c>
      <c r="G1446" s="584">
        <v>15</v>
      </c>
    </row>
    <row r="1447" spans="1:7" ht="15" x14ac:dyDescent="0.2">
      <c r="A1447" s="583" t="s">
        <v>15119</v>
      </c>
      <c r="B1447" s="605" t="s">
        <v>15120</v>
      </c>
      <c r="C1447" s="606" t="s">
        <v>12427</v>
      </c>
      <c r="D1447" s="607">
        <v>710.5</v>
      </c>
      <c r="E1447" s="607">
        <v>135.93</v>
      </c>
      <c r="F1447" s="607">
        <v>846.43</v>
      </c>
      <c r="G1447" s="584">
        <v>15</v>
      </c>
    </row>
    <row r="1448" spans="1:7" ht="30" x14ac:dyDescent="0.2">
      <c r="A1448" s="583" t="s">
        <v>15121</v>
      </c>
      <c r="B1448" s="605" t="s">
        <v>15122</v>
      </c>
      <c r="C1448" s="606" t="s">
        <v>12427</v>
      </c>
      <c r="D1448" s="607">
        <v>1008.39</v>
      </c>
      <c r="E1448" s="607">
        <v>67.97</v>
      </c>
      <c r="F1448" s="607">
        <v>1076.3599999999999</v>
      </c>
      <c r="G1448" s="584">
        <v>15</v>
      </c>
    </row>
    <row r="1449" spans="1:7" ht="30" x14ac:dyDescent="0.2">
      <c r="A1449" s="583" t="s">
        <v>15123</v>
      </c>
      <c r="B1449" s="605" t="s">
        <v>15124</v>
      </c>
      <c r="C1449" s="606" t="s">
        <v>12427</v>
      </c>
      <c r="D1449" s="607">
        <v>951.28</v>
      </c>
      <c r="E1449" s="607">
        <v>67.97</v>
      </c>
      <c r="F1449" s="607">
        <v>1019.25</v>
      </c>
      <c r="G1449" s="584">
        <v>15</v>
      </c>
    </row>
    <row r="1450" spans="1:7" ht="30" x14ac:dyDescent="0.2">
      <c r="A1450" s="583" t="s">
        <v>15125</v>
      </c>
      <c r="B1450" s="605" t="s">
        <v>15126</v>
      </c>
      <c r="C1450" s="606" t="s">
        <v>12427</v>
      </c>
      <c r="D1450" s="607">
        <v>923.62</v>
      </c>
      <c r="E1450" s="607">
        <v>67.97</v>
      </c>
      <c r="F1450" s="607">
        <v>991.59</v>
      </c>
      <c r="G1450" s="584">
        <v>15</v>
      </c>
    </row>
    <row r="1451" spans="1:7" ht="30" x14ac:dyDescent="0.2">
      <c r="A1451" s="583" t="s">
        <v>15127</v>
      </c>
      <c r="B1451" s="605" t="s">
        <v>15128</v>
      </c>
      <c r="C1451" s="606" t="s">
        <v>12427</v>
      </c>
      <c r="D1451" s="607">
        <v>1332.05</v>
      </c>
      <c r="E1451" s="607">
        <v>67.97</v>
      </c>
      <c r="F1451" s="607">
        <v>1400.02</v>
      </c>
      <c r="G1451" s="584">
        <v>15</v>
      </c>
    </row>
    <row r="1452" spans="1:7" ht="30" x14ac:dyDescent="0.2">
      <c r="A1452" s="583" t="s">
        <v>15129</v>
      </c>
      <c r="B1452" s="605" t="s">
        <v>15130</v>
      </c>
      <c r="C1452" s="606" t="s">
        <v>12427</v>
      </c>
      <c r="D1452" s="607">
        <v>1410.47</v>
      </c>
      <c r="E1452" s="607">
        <v>135.93</v>
      </c>
      <c r="F1452" s="607">
        <v>1546.4</v>
      </c>
      <c r="G1452" s="584">
        <v>15</v>
      </c>
    </row>
    <row r="1453" spans="1:7" ht="15" x14ac:dyDescent="0.2">
      <c r="A1453" s="583" t="s">
        <v>15131</v>
      </c>
      <c r="B1453" s="605" t="s">
        <v>15132</v>
      </c>
      <c r="C1453" s="606" t="s">
        <v>12427</v>
      </c>
      <c r="D1453" s="607">
        <v>1343.52</v>
      </c>
      <c r="E1453" s="607">
        <v>135.93</v>
      </c>
      <c r="F1453" s="607">
        <v>1479.45</v>
      </c>
      <c r="G1453" s="584">
        <v>15</v>
      </c>
    </row>
    <row r="1454" spans="1:7" ht="15" x14ac:dyDescent="0.25">
      <c r="A1454" s="583" t="s">
        <v>15133</v>
      </c>
      <c r="B1454" s="605" t="s">
        <v>15134</v>
      </c>
      <c r="C1454" s="606"/>
      <c r="D1454" s="607"/>
      <c r="E1454" s="607"/>
      <c r="F1454" s="607"/>
      <c r="G1454" s="582"/>
    </row>
    <row r="1455" spans="1:7" ht="30" x14ac:dyDescent="0.2">
      <c r="A1455" s="583" t="s">
        <v>15135</v>
      </c>
      <c r="B1455" s="605" t="s">
        <v>15136</v>
      </c>
      <c r="C1455" s="606" t="s">
        <v>12427</v>
      </c>
      <c r="D1455" s="607">
        <v>210.71</v>
      </c>
      <c r="E1455" s="607">
        <v>15.09</v>
      </c>
      <c r="F1455" s="607">
        <v>225.8</v>
      </c>
      <c r="G1455" s="584">
        <v>15</v>
      </c>
    </row>
    <row r="1456" spans="1:7" ht="15" x14ac:dyDescent="0.25">
      <c r="A1456" s="583" t="s">
        <v>15137</v>
      </c>
      <c r="B1456" s="605" t="s">
        <v>15138</v>
      </c>
      <c r="C1456" s="606"/>
      <c r="D1456" s="607"/>
      <c r="E1456" s="607"/>
      <c r="F1456" s="607"/>
      <c r="G1456" s="582"/>
    </row>
    <row r="1457" spans="1:7" ht="15" x14ac:dyDescent="0.25">
      <c r="A1457" s="583" t="s">
        <v>15139</v>
      </c>
      <c r="B1457" s="605" t="s">
        <v>15140</v>
      </c>
      <c r="C1457" s="606"/>
      <c r="D1457" s="607"/>
      <c r="E1457" s="607"/>
      <c r="F1457" s="607"/>
      <c r="G1457" s="582"/>
    </row>
    <row r="1458" spans="1:7" ht="15" x14ac:dyDescent="0.2">
      <c r="A1458" s="583" t="s">
        <v>15141</v>
      </c>
      <c r="B1458" s="605" t="s">
        <v>15142</v>
      </c>
      <c r="C1458" s="606" t="s">
        <v>12427</v>
      </c>
      <c r="D1458" s="607">
        <v>121.09</v>
      </c>
      <c r="E1458" s="607">
        <v>21.71</v>
      </c>
      <c r="F1458" s="607">
        <v>142.80000000000001</v>
      </c>
      <c r="G1458" s="584">
        <v>15</v>
      </c>
    </row>
    <row r="1459" spans="1:7" ht="15" x14ac:dyDescent="0.2">
      <c r="A1459" s="583" t="s">
        <v>15143</v>
      </c>
      <c r="B1459" s="605" t="s">
        <v>15144</v>
      </c>
      <c r="C1459" s="606" t="s">
        <v>12427</v>
      </c>
      <c r="D1459" s="607">
        <v>144.59</v>
      </c>
      <c r="E1459" s="607">
        <v>21.71</v>
      </c>
      <c r="F1459" s="607">
        <v>166.3</v>
      </c>
      <c r="G1459" s="584">
        <v>15</v>
      </c>
    </row>
    <row r="1460" spans="1:7" ht="15" x14ac:dyDescent="0.2">
      <c r="A1460" s="583" t="s">
        <v>15145</v>
      </c>
      <c r="B1460" s="605" t="s">
        <v>15146</v>
      </c>
      <c r="C1460" s="606" t="s">
        <v>12427</v>
      </c>
      <c r="D1460" s="607">
        <v>153.13</v>
      </c>
      <c r="E1460" s="607">
        <v>21.71</v>
      </c>
      <c r="F1460" s="607">
        <v>174.84</v>
      </c>
      <c r="G1460" s="584">
        <v>15</v>
      </c>
    </row>
    <row r="1461" spans="1:7" ht="15" x14ac:dyDescent="0.2">
      <c r="A1461" s="583" t="s">
        <v>15147</v>
      </c>
      <c r="B1461" s="605" t="s">
        <v>15148</v>
      </c>
      <c r="C1461" s="606" t="s">
        <v>12427</v>
      </c>
      <c r="D1461" s="607">
        <v>178.71</v>
      </c>
      <c r="E1461" s="607">
        <v>28.4</v>
      </c>
      <c r="F1461" s="607">
        <v>207.11</v>
      </c>
      <c r="G1461" s="584">
        <v>15</v>
      </c>
    </row>
    <row r="1462" spans="1:7" ht="15" x14ac:dyDescent="0.2">
      <c r="A1462" s="583" t="s">
        <v>15149</v>
      </c>
      <c r="B1462" s="605" t="s">
        <v>15150</v>
      </c>
      <c r="C1462" s="606" t="s">
        <v>12427</v>
      </c>
      <c r="D1462" s="607">
        <v>418.35</v>
      </c>
      <c r="E1462" s="607">
        <v>28.4</v>
      </c>
      <c r="F1462" s="607">
        <v>446.75</v>
      </c>
      <c r="G1462" s="584">
        <v>15</v>
      </c>
    </row>
    <row r="1463" spans="1:7" ht="15" x14ac:dyDescent="0.2">
      <c r="A1463" s="583" t="s">
        <v>20075</v>
      </c>
      <c r="B1463" s="605" t="s">
        <v>20076</v>
      </c>
      <c r="C1463" s="606" t="s">
        <v>12427</v>
      </c>
      <c r="D1463" s="607">
        <v>456.29</v>
      </c>
      <c r="E1463" s="607">
        <v>32.57</v>
      </c>
      <c r="F1463" s="607">
        <v>488.86</v>
      </c>
      <c r="G1463" s="584">
        <v>15</v>
      </c>
    </row>
    <row r="1464" spans="1:7" ht="15" x14ac:dyDescent="0.2">
      <c r="A1464" s="583" t="s">
        <v>15151</v>
      </c>
      <c r="B1464" s="605" t="s">
        <v>15152</v>
      </c>
      <c r="C1464" s="606" t="s">
        <v>12427</v>
      </c>
      <c r="D1464" s="607">
        <v>533.75</v>
      </c>
      <c r="E1464" s="607">
        <v>34.270000000000003</v>
      </c>
      <c r="F1464" s="607">
        <v>568.02</v>
      </c>
      <c r="G1464" s="584">
        <v>15</v>
      </c>
    </row>
    <row r="1465" spans="1:7" ht="15" x14ac:dyDescent="0.2">
      <c r="A1465" s="583" t="s">
        <v>15153</v>
      </c>
      <c r="B1465" s="605" t="s">
        <v>15154</v>
      </c>
      <c r="C1465" s="606" t="s">
        <v>12427</v>
      </c>
      <c r="D1465" s="607">
        <v>452.15</v>
      </c>
      <c r="E1465" s="607">
        <v>28.4</v>
      </c>
      <c r="F1465" s="607">
        <v>480.55</v>
      </c>
      <c r="G1465" s="584">
        <v>15</v>
      </c>
    </row>
    <row r="1466" spans="1:7" ht="15" x14ac:dyDescent="0.2">
      <c r="A1466" s="583" t="s">
        <v>15155</v>
      </c>
      <c r="B1466" s="605" t="s">
        <v>15156</v>
      </c>
      <c r="C1466" s="606" t="s">
        <v>12427</v>
      </c>
      <c r="D1466" s="607">
        <v>217.33</v>
      </c>
      <c r="E1466" s="607">
        <v>28.4</v>
      </c>
      <c r="F1466" s="607">
        <v>245.73</v>
      </c>
      <c r="G1466" s="584">
        <v>15</v>
      </c>
    </row>
    <row r="1467" spans="1:7" ht="15" x14ac:dyDescent="0.2">
      <c r="A1467" s="583" t="s">
        <v>15157</v>
      </c>
      <c r="B1467" s="605" t="s">
        <v>15158</v>
      </c>
      <c r="C1467" s="606" t="s">
        <v>12427</v>
      </c>
      <c r="D1467" s="607">
        <v>246.66</v>
      </c>
      <c r="E1467" s="607">
        <v>32.57</v>
      </c>
      <c r="F1467" s="607">
        <v>279.23</v>
      </c>
      <c r="G1467" s="584">
        <v>15</v>
      </c>
    </row>
    <row r="1468" spans="1:7" ht="15" x14ac:dyDescent="0.2">
      <c r="A1468" s="583" t="s">
        <v>15159</v>
      </c>
      <c r="B1468" s="605" t="s">
        <v>15160</v>
      </c>
      <c r="C1468" s="606" t="s">
        <v>12427</v>
      </c>
      <c r="D1468" s="607">
        <v>376.47</v>
      </c>
      <c r="E1468" s="607">
        <v>34.270000000000003</v>
      </c>
      <c r="F1468" s="607">
        <v>410.74</v>
      </c>
      <c r="G1468" s="584">
        <v>15</v>
      </c>
    </row>
    <row r="1469" spans="1:7" ht="15" x14ac:dyDescent="0.2">
      <c r="A1469" s="583" t="s">
        <v>15161</v>
      </c>
      <c r="B1469" s="605" t="s">
        <v>15162</v>
      </c>
      <c r="C1469" s="606" t="s">
        <v>12427</v>
      </c>
      <c r="D1469" s="607">
        <v>235.3</v>
      </c>
      <c r="E1469" s="607">
        <v>21.71</v>
      </c>
      <c r="F1469" s="607">
        <v>257.01</v>
      </c>
      <c r="G1469" s="584">
        <v>15</v>
      </c>
    </row>
    <row r="1470" spans="1:7" ht="30" x14ac:dyDescent="0.2">
      <c r="A1470" s="583" t="s">
        <v>15163</v>
      </c>
      <c r="B1470" s="605" t="s">
        <v>15164</v>
      </c>
      <c r="C1470" s="606" t="s">
        <v>12427</v>
      </c>
      <c r="D1470" s="607">
        <v>4221.6499999999996</v>
      </c>
      <c r="E1470" s="607"/>
      <c r="F1470" s="607">
        <v>4221.6499999999996</v>
      </c>
      <c r="G1470" s="584">
        <v>15</v>
      </c>
    </row>
    <row r="1471" spans="1:7" ht="30" x14ac:dyDescent="0.2">
      <c r="A1471" s="583" t="s">
        <v>15165</v>
      </c>
      <c r="B1471" s="605" t="s">
        <v>15166</v>
      </c>
      <c r="C1471" s="606" t="s">
        <v>12427</v>
      </c>
      <c r="D1471" s="607">
        <v>6089.66</v>
      </c>
      <c r="E1471" s="607">
        <v>85.5</v>
      </c>
      <c r="F1471" s="607">
        <v>6175.16</v>
      </c>
      <c r="G1471" s="584">
        <v>15</v>
      </c>
    </row>
    <row r="1472" spans="1:7" ht="15" x14ac:dyDescent="0.2">
      <c r="A1472" s="583" t="s">
        <v>15167</v>
      </c>
      <c r="B1472" s="605" t="s">
        <v>20294</v>
      </c>
      <c r="C1472" s="606" t="s">
        <v>12427</v>
      </c>
      <c r="D1472" s="607">
        <v>223.05</v>
      </c>
      <c r="E1472" s="607">
        <v>28.4</v>
      </c>
      <c r="F1472" s="607">
        <v>251.45</v>
      </c>
      <c r="G1472" s="584">
        <v>15</v>
      </c>
    </row>
    <row r="1473" spans="1:7" ht="15" x14ac:dyDescent="0.25">
      <c r="A1473" s="583" t="s">
        <v>15168</v>
      </c>
      <c r="B1473" s="605" t="s">
        <v>15169</v>
      </c>
      <c r="C1473" s="606"/>
      <c r="D1473" s="607"/>
      <c r="E1473" s="607"/>
      <c r="F1473" s="607"/>
      <c r="G1473" s="582"/>
    </row>
    <row r="1474" spans="1:7" ht="15" x14ac:dyDescent="0.2">
      <c r="A1474" s="583" t="s">
        <v>15170</v>
      </c>
      <c r="B1474" s="605" t="s">
        <v>15171</v>
      </c>
      <c r="C1474" s="606" t="s">
        <v>12427</v>
      </c>
      <c r="D1474" s="607">
        <v>214.81</v>
      </c>
      <c r="E1474" s="607">
        <v>28.4</v>
      </c>
      <c r="F1474" s="607">
        <v>243.21</v>
      </c>
      <c r="G1474" s="584">
        <v>15</v>
      </c>
    </row>
    <row r="1475" spans="1:7" ht="15" x14ac:dyDescent="0.2">
      <c r="A1475" s="583" t="s">
        <v>15172</v>
      </c>
      <c r="B1475" s="605" t="s">
        <v>15173</v>
      </c>
      <c r="C1475" s="606" t="s">
        <v>12427</v>
      </c>
      <c r="D1475" s="607">
        <v>227.68</v>
      </c>
      <c r="E1475" s="607">
        <v>32.57</v>
      </c>
      <c r="F1475" s="607">
        <v>260.25</v>
      </c>
      <c r="G1475" s="584">
        <v>15</v>
      </c>
    </row>
    <row r="1476" spans="1:7" ht="15" x14ac:dyDescent="0.2">
      <c r="A1476" s="583" t="s">
        <v>15174</v>
      </c>
      <c r="B1476" s="605" t="s">
        <v>15175</v>
      </c>
      <c r="C1476" s="606" t="s">
        <v>12427</v>
      </c>
      <c r="D1476" s="607">
        <v>246.42</v>
      </c>
      <c r="E1476" s="607">
        <v>34.270000000000003</v>
      </c>
      <c r="F1476" s="607">
        <v>280.69</v>
      </c>
      <c r="G1476" s="584">
        <v>15</v>
      </c>
    </row>
    <row r="1477" spans="1:7" ht="15" x14ac:dyDescent="0.2">
      <c r="A1477" s="583" t="s">
        <v>15176</v>
      </c>
      <c r="B1477" s="605" t="s">
        <v>15177</v>
      </c>
      <c r="C1477" s="606" t="s">
        <v>12427</v>
      </c>
      <c r="D1477" s="607">
        <v>270.20999999999998</v>
      </c>
      <c r="E1477" s="607">
        <v>28.39</v>
      </c>
      <c r="F1477" s="607">
        <v>298.60000000000002</v>
      </c>
      <c r="G1477" s="584">
        <v>15</v>
      </c>
    </row>
    <row r="1478" spans="1:7" ht="15" x14ac:dyDescent="0.2">
      <c r="A1478" s="583" t="s">
        <v>15178</v>
      </c>
      <c r="B1478" s="605" t="s">
        <v>15179</v>
      </c>
      <c r="C1478" s="606" t="s">
        <v>12427</v>
      </c>
      <c r="D1478" s="607">
        <v>347.08</v>
      </c>
      <c r="E1478" s="607">
        <v>32.57</v>
      </c>
      <c r="F1478" s="607">
        <v>379.65</v>
      </c>
      <c r="G1478" s="584">
        <v>15</v>
      </c>
    </row>
    <row r="1479" spans="1:7" ht="15" x14ac:dyDescent="0.2">
      <c r="A1479" s="583" t="s">
        <v>15180</v>
      </c>
      <c r="B1479" s="605" t="s">
        <v>15181</v>
      </c>
      <c r="C1479" s="606" t="s">
        <v>12427</v>
      </c>
      <c r="D1479" s="607">
        <v>488.17</v>
      </c>
      <c r="E1479" s="607">
        <v>34.270000000000003</v>
      </c>
      <c r="F1479" s="607">
        <v>522.44000000000005</v>
      </c>
      <c r="G1479" s="584">
        <v>15</v>
      </c>
    </row>
    <row r="1480" spans="1:7" ht="15" x14ac:dyDescent="0.2">
      <c r="A1480" s="583" t="s">
        <v>15182</v>
      </c>
      <c r="B1480" s="605" t="s">
        <v>15183</v>
      </c>
      <c r="C1480" s="606" t="s">
        <v>12427</v>
      </c>
      <c r="D1480" s="607">
        <v>474.88</v>
      </c>
      <c r="E1480" s="607">
        <v>32.57</v>
      </c>
      <c r="F1480" s="607">
        <v>507.45</v>
      </c>
      <c r="G1480" s="584">
        <v>15</v>
      </c>
    </row>
    <row r="1481" spans="1:7" ht="15" x14ac:dyDescent="0.2">
      <c r="A1481" s="583" t="s">
        <v>15184</v>
      </c>
      <c r="B1481" s="605" t="s">
        <v>15185</v>
      </c>
      <c r="C1481" s="606" t="s">
        <v>12427</v>
      </c>
      <c r="D1481" s="607">
        <v>585.62</v>
      </c>
      <c r="E1481" s="607">
        <v>34.270000000000003</v>
      </c>
      <c r="F1481" s="607">
        <v>619.89</v>
      </c>
      <c r="G1481" s="584">
        <v>15</v>
      </c>
    </row>
    <row r="1482" spans="1:7" ht="15" x14ac:dyDescent="0.25">
      <c r="A1482" s="583" t="s">
        <v>15186</v>
      </c>
      <c r="B1482" s="605" t="s">
        <v>15187</v>
      </c>
      <c r="C1482" s="606"/>
      <c r="D1482" s="607"/>
      <c r="E1482" s="607"/>
      <c r="F1482" s="607"/>
      <c r="G1482" s="582"/>
    </row>
    <row r="1483" spans="1:7" ht="15" x14ac:dyDescent="0.2">
      <c r="A1483" s="583" t="s">
        <v>15188</v>
      </c>
      <c r="B1483" s="605" t="s">
        <v>15189</v>
      </c>
      <c r="C1483" s="606" t="s">
        <v>12427</v>
      </c>
      <c r="D1483" s="607">
        <v>339.92</v>
      </c>
      <c r="E1483" s="607">
        <v>32.57</v>
      </c>
      <c r="F1483" s="607">
        <v>372.49</v>
      </c>
      <c r="G1483" s="584">
        <v>15</v>
      </c>
    </row>
    <row r="1484" spans="1:7" ht="15" x14ac:dyDescent="0.2">
      <c r="A1484" s="583" t="s">
        <v>15190</v>
      </c>
      <c r="B1484" s="605" t="s">
        <v>15191</v>
      </c>
      <c r="C1484" s="606" t="s">
        <v>12427</v>
      </c>
      <c r="D1484" s="607">
        <v>1041.5999999999999</v>
      </c>
      <c r="E1484" s="607">
        <v>43.43</v>
      </c>
      <c r="F1484" s="607">
        <v>1085.03</v>
      </c>
      <c r="G1484" s="584">
        <v>15</v>
      </c>
    </row>
    <row r="1485" spans="1:7" ht="15" x14ac:dyDescent="0.25">
      <c r="A1485" s="583" t="s">
        <v>15192</v>
      </c>
      <c r="B1485" s="605" t="s">
        <v>15193</v>
      </c>
      <c r="C1485" s="606"/>
      <c r="D1485" s="607"/>
      <c r="E1485" s="607"/>
      <c r="F1485" s="607"/>
      <c r="G1485" s="582"/>
    </row>
    <row r="1486" spans="1:7" ht="15" x14ac:dyDescent="0.2">
      <c r="A1486" s="583" t="s">
        <v>15194</v>
      </c>
      <c r="B1486" s="605" t="s">
        <v>15195</v>
      </c>
      <c r="C1486" s="606" t="s">
        <v>12427</v>
      </c>
      <c r="D1486" s="607">
        <v>531.64</v>
      </c>
      <c r="E1486" s="607"/>
      <c r="F1486" s="607">
        <v>531.64</v>
      </c>
      <c r="G1486" s="584">
        <v>15</v>
      </c>
    </row>
    <row r="1487" spans="1:7" ht="15" x14ac:dyDescent="0.2">
      <c r="A1487" s="583" t="s">
        <v>15196</v>
      </c>
      <c r="B1487" s="605" t="s">
        <v>15197</v>
      </c>
      <c r="C1487" s="606" t="s">
        <v>12427</v>
      </c>
      <c r="D1487" s="607">
        <v>944.55</v>
      </c>
      <c r="E1487" s="607">
        <v>22.66</v>
      </c>
      <c r="F1487" s="607">
        <v>967.21</v>
      </c>
      <c r="G1487" s="584">
        <v>15</v>
      </c>
    </row>
    <row r="1488" spans="1:7" ht="15" x14ac:dyDescent="0.25">
      <c r="A1488" s="583" t="s">
        <v>15198</v>
      </c>
      <c r="B1488" s="605" t="s">
        <v>15199</v>
      </c>
      <c r="C1488" s="606"/>
      <c r="D1488" s="607"/>
      <c r="E1488" s="607"/>
      <c r="F1488" s="607"/>
      <c r="G1488" s="582"/>
    </row>
    <row r="1489" spans="1:7" ht="15" x14ac:dyDescent="0.2">
      <c r="A1489" s="583" t="s">
        <v>15200</v>
      </c>
      <c r="B1489" s="605" t="s">
        <v>15201</v>
      </c>
      <c r="C1489" s="606" t="s">
        <v>12483</v>
      </c>
      <c r="D1489" s="607">
        <v>2.9</v>
      </c>
      <c r="E1489" s="607">
        <v>4.47</v>
      </c>
      <c r="F1489" s="607">
        <v>7.37</v>
      </c>
      <c r="G1489" s="584">
        <v>15</v>
      </c>
    </row>
    <row r="1490" spans="1:7" ht="30" x14ac:dyDescent="0.2">
      <c r="A1490" s="583" t="s">
        <v>15202</v>
      </c>
      <c r="B1490" s="605" t="s">
        <v>15203</v>
      </c>
      <c r="C1490" s="606" t="s">
        <v>12427</v>
      </c>
      <c r="D1490" s="607">
        <v>14.52</v>
      </c>
      <c r="E1490" s="607">
        <v>59.6</v>
      </c>
      <c r="F1490" s="607">
        <v>74.12</v>
      </c>
      <c r="G1490" s="584">
        <v>15</v>
      </c>
    </row>
    <row r="1491" spans="1:7" ht="15" x14ac:dyDescent="0.25">
      <c r="A1491" s="583" t="s">
        <v>15204</v>
      </c>
      <c r="B1491" s="605" t="s">
        <v>15205</v>
      </c>
      <c r="C1491" s="606"/>
      <c r="D1491" s="607"/>
      <c r="E1491" s="607"/>
      <c r="F1491" s="607"/>
      <c r="G1491" s="582"/>
    </row>
    <row r="1492" spans="1:7" ht="15" x14ac:dyDescent="0.25">
      <c r="A1492" s="583" t="s">
        <v>15206</v>
      </c>
      <c r="B1492" s="605" t="s">
        <v>15207</v>
      </c>
      <c r="C1492" s="606"/>
      <c r="D1492" s="607"/>
      <c r="E1492" s="607"/>
      <c r="F1492" s="607"/>
      <c r="G1492" s="582"/>
    </row>
    <row r="1493" spans="1:7" ht="15" x14ac:dyDescent="0.2">
      <c r="A1493" s="583" t="s">
        <v>15208</v>
      </c>
      <c r="B1493" s="605" t="s">
        <v>20165</v>
      </c>
      <c r="C1493" s="606" t="s">
        <v>12427</v>
      </c>
      <c r="D1493" s="607">
        <v>383.35</v>
      </c>
      <c r="E1493" s="607">
        <v>104.2</v>
      </c>
      <c r="F1493" s="607">
        <v>487.55</v>
      </c>
      <c r="G1493" s="584">
        <v>15</v>
      </c>
    </row>
    <row r="1494" spans="1:7" ht="15" x14ac:dyDescent="0.2">
      <c r="A1494" s="583" t="s">
        <v>15209</v>
      </c>
      <c r="B1494" s="605" t="s">
        <v>15210</v>
      </c>
      <c r="C1494" s="606" t="s">
        <v>12427</v>
      </c>
      <c r="D1494" s="607">
        <v>385.07</v>
      </c>
      <c r="E1494" s="607">
        <v>104.2</v>
      </c>
      <c r="F1494" s="607">
        <v>489.27</v>
      </c>
      <c r="G1494" s="584">
        <v>15</v>
      </c>
    </row>
    <row r="1495" spans="1:7" ht="15" x14ac:dyDescent="0.2">
      <c r="A1495" s="583" t="s">
        <v>15211</v>
      </c>
      <c r="B1495" s="605" t="s">
        <v>15212</v>
      </c>
      <c r="C1495" s="606" t="s">
        <v>12427</v>
      </c>
      <c r="D1495" s="607">
        <v>602.33000000000004</v>
      </c>
      <c r="E1495" s="607">
        <v>104.2</v>
      </c>
      <c r="F1495" s="607">
        <v>706.53</v>
      </c>
      <c r="G1495" s="584">
        <v>15</v>
      </c>
    </row>
    <row r="1496" spans="1:7" ht="15" x14ac:dyDescent="0.2">
      <c r="A1496" s="583" t="s">
        <v>15213</v>
      </c>
      <c r="B1496" s="605" t="s">
        <v>15214</v>
      </c>
      <c r="C1496" s="606" t="s">
        <v>12427</v>
      </c>
      <c r="D1496" s="607">
        <v>61.29</v>
      </c>
      <c r="E1496" s="607">
        <v>104.2</v>
      </c>
      <c r="F1496" s="607">
        <v>165.49</v>
      </c>
      <c r="G1496" s="584">
        <v>15</v>
      </c>
    </row>
    <row r="1497" spans="1:7" ht="15" x14ac:dyDescent="0.25">
      <c r="A1497" s="583" t="s">
        <v>15215</v>
      </c>
      <c r="B1497" s="605" t="s">
        <v>15216</v>
      </c>
      <c r="C1497" s="606"/>
      <c r="D1497" s="607"/>
      <c r="E1497" s="607"/>
      <c r="F1497" s="607"/>
      <c r="G1497" s="582"/>
    </row>
    <row r="1498" spans="1:7" ht="15" x14ac:dyDescent="0.2">
      <c r="A1498" s="583" t="s">
        <v>15217</v>
      </c>
      <c r="B1498" s="605" t="s">
        <v>15218</v>
      </c>
      <c r="C1498" s="606" t="s">
        <v>12427</v>
      </c>
      <c r="D1498" s="607">
        <v>116.97</v>
      </c>
      <c r="E1498" s="607">
        <v>59.6</v>
      </c>
      <c r="F1498" s="607">
        <v>176.57</v>
      </c>
      <c r="G1498" s="584">
        <v>15</v>
      </c>
    </row>
    <row r="1499" spans="1:7" ht="15" x14ac:dyDescent="0.25">
      <c r="A1499" s="583" t="s">
        <v>15219</v>
      </c>
      <c r="B1499" s="605" t="s">
        <v>15220</v>
      </c>
      <c r="C1499" s="606"/>
      <c r="D1499" s="607"/>
      <c r="E1499" s="607"/>
      <c r="F1499" s="607"/>
      <c r="G1499" s="582"/>
    </row>
    <row r="1500" spans="1:7" ht="15" x14ac:dyDescent="0.2">
      <c r="A1500" s="583" t="s">
        <v>15221</v>
      </c>
      <c r="B1500" s="605" t="s">
        <v>15222</v>
      </c>
      <c r="C1500" s="606" t="s">
        <v>12427</v>
      </c>
      <c r="D1500" s="607">
        <v>2511.81</v>
      </c>
      <c r="E1500" s="607">
        <v>102.9</v>
      </c>
      <c r="F1500" s="607">
        <v>2614.71</v>
      </c>
      <c r="G1500" s="584">
        <v>15</v>
      </c>
    </row>
    <row r="1501" spans="1:7" ht="30" x14ac:dyDescent="0.2">
      <c r="A1501" s="583" t="s">
        <v>15223</v>
      </c>
      <c r="B1501" s="605" t="s">
        <v>20593</v>
      </c>
      <c r="C1501" s="606" t="s">
        <v>12483</v>
      </c>
      <c r="D1501" s="607">
        <v>254.12</v>
      </c>
      <c r="E1501" s="607">
        <v>83.61</v>
      </c>
      <c r="F1501" s="607">
        <v>337.73</v>
      </c>
      <c r="G1501" s="584">
        <v>15</v>
      </c>
    </row>
    <row r="1502" spans="1:7" ht="30" x14ac:dyDescent="0.2">
      <c r="A1502" s="583" t="s">
        <v>15224</v>
      </c>
      <c r="B1502" s="605" t="s">
        <v>15225</v>
      </c>
      <c r="C1502" s="606" t="s">
        <v>12483</v>
      </c>
      <c r="D1502" s="607">
        <v>118.82</v>
      </c>
      <c r="E1502" s="607">
        <v>27.18</v>
      </c>
      <c r="F1502" s="607">
        <v>146</v>
      </c>
      <c r="G1502" s="584">
        <v>15</v>
      </c>
    </row>
    <row r="1503" spans="1:7" ht="30" x14ac:dyDescent="0.2">
      <c r="A1503" s="583" t="s">
        <v>15226</v>
      </c>
      <c r="B1503" s="605" t="s">
        <v>15227</v>
      </c>
      <c r="C1503" s="606" t="s">
        <v>12483</v>
      </c>
      <c r="D1503" s="607">
        <v>61.26</v>
      </c>
      <c r="E1503" s="607">
        <v>12.44</v>
      </c>
      <c r="F1503" s="607">
        <v>73.7</v>
      </c>
      <c r="G1503" s="584">
        <v>15</v>
      </c>
    </row>
    <row r="1504" spans="1:7" ht="15" x14ac:dyDescent="0.2">
      <c r="A1504" s="583" t="s">
        <v>15228</v>
      </c>
      <c r="B1504" s="605" t="s">
        <v>15229</v>
      </c>
      <c r="C1504" s="606" t="s">
        <v>12483</v>
      </c>
      <c r="D1504" s="607">
        <v>77.25</v>
      </c>
      <c r="E1504" s="607">
        <v>6.8</v>
      </c>
      <c r="F1504" s="607">
        <v>84.05</v>
      </c>
      <c r="G1504" s="584">
        <v>15</v>
      </c>
    </row>
    <row r="1505" spans="1:7" ht="30" x14ac:dyDescent="0.2">
      <c r="A1505" s="583" t="s">
        <v>15230</v>
      </c>
      <c r="B1505" s="605" t="s">
        <v>15231</v>
      </c>
      <c r="C1505" s="606" t="s">
        <v>12483</v>
      </c>
      <c r="D1505" s="607">
        <v>92.39</v>
      </c>
      <c r="E1505" s="607">
        <v>74.099999999999994</v>
      </c>
      <c r="F1505" s="607">
        <v>166.49</v>
      </c>
      <c r="G1505" s="584">
        <v>15</v>
      </c>
    </row>
    <row r="1506" spans="1:7" ht="30" x14ac:dyDescent="0.2">
      <c r="A1506" s="583" t="s">
        <v>15232</v>
      </c>
      <c r="B1506" s="605" t="s">
        <v>15233</v>
      </c>
      <c r="C1506" s="606" t="s">
        <v>12483</v>
      </c>
      <c r="D1506" s="607">
        <v>117.16</v>
      </c>
      <c r="E1506" s="607">
        <v>37.85</v>
      </c>
      <c r="F1506" s="607">
        <v>155.01</v>
      </c>
      <c r="G1506" s="584">
        <v>15</v>
      </c>
    </row>
    <row r="1507" spans="1:7" ht="15" x14ac:dyDescent="0.25">
      <c r="A1507" s="583" t="s">
        <v>15234</v>
      </c>
      <c r="B1507" s="605" t="s">
        <v>15235</v>
      </c>
      <c r="C1507" s="606"/>
      <c r="D1507" s="607"/>
      <c r="E1507" s="607"/>
      <c r="F1507" s="607"/>
      <c r="G1507" s="582"/>
    </row>
    <row r="1508" spans="1:7" ht="15" x14ac:dyDescent="0.25">
      <c r="A1508" s="583" t="s">
        <v>15236</v>
      </c>
      <c r="B1508" s="605" t="s">
        <v>15237</v>
      </c>
      <c r="C1508" s="606"/>
      <c r="D1508" s="607"/>
      <c r="E1508" s="607"/>
      <c r="F1508" s="607"/>
      <c r="G1508" s="582"/>
    </row>
    <row r="1509" spans="1:7" ht="30" x14ac:dyDescent="0.2">
      <c r="A1509" s="583" t="s">
        <v>15238</v>
      </c>
      <c r="B1509" s="605" t="s">
        <v>15239</v>
      </c>
      <c r="C1509" s="606" t="s">
        <v>12676</v>
      </c>
      <c r="D1509" s="607">
        <v>461.68</v>
      </c>
      <c r="E1509" s="607">
        <v>67.97</v>
      </c>
      <c r="F1509" s="607">
        <v>529.65</v>
      </c>
      <c r="G1509" s="584">
        <v>15</v>
      </c>
    </row>
    <row r="1510" spans="1:7" ht="30" x14ac:dyDescent="0.2">
      <c r="A1510" s="583" t="s">
        <v>15240</v>
      </c>
      <c r="B1510" s="605" t="s">
        <v>15241</v>
      </c>
      <c r="C1510" s="606" t="s">
        <v>12676</v>
      </c>
      <c r="D1510" s="607">
        <v>859.3</v>
      </c>
      <c r="E1510" s="607">
        <v>90.62</v>
      </c>
      <c r="F1510" s="607">
        <v>949.92</v>
      </c>
      <c r="G1510" s="584">
        <v>15</v>
      </c>
    </row>
    <row r="1511" spans="1:7" ht="30" x14ac:dyDescent="0.2">
      <c r="A1511" s="583" t="s">
        <v>15242</v>
      </c>
      <c r="B1511" s="605" t="s">
        <v>15243</v>
      </c>
      <c r="C1511" s="606" t="s">
        <v>12676</v>
      </c>
      <c r="D1511" s="607">
        <v>352.12</v>
      </c>
      <c r="E1511" s="607">
        <v>67.97</v>
      </c>
      <c r="F1511" s="607">
        <v>420.09</v>
      </c>
      <c r="G1511" s="584">
        <v>15</v>
      </c>
    </row>
    <row r="1512" spans="1:7" ht="30" x14ac:dyDescent="0.2">
      <c r="A1512" s="583" t="s">
        <v>15244</v>
      </c>
      <c r="B1512" s="605" t="s">
        <v>15245</v>
      </c>
      <c r="C1512" s="606" t="s">
        <v>12676</v>
      </c>
      <c r="D1512" s="607">
        <v>692.32</v>
      </c>
      <c r="E1512" s="607">
        <v>90.62</v>
      </c>
      <c r="F1512" s="607">
        <v>782.94</v>
      </c>
      <c r="G1512" s="584">
        <v>15</v>
      </c>
    </row>
    <row r="1513" spans="1:7" ht="15" x14ac:dyDescent="0.2">
      <c r="A1513" s="583" t="s">
        <v>15246</v>
      </c>
      <c r="B1513" s="605" t="s">
        <v>15247</v>
      </c>
      <c r="C1513" s="606" t="s">
        <v>12676</v>
      </c>
      <c r="D1513" s="607">
        <v>276.73</v>
      </c>
      <c r="E1513" s="607">
        <v>67.97</v>
      </c>
      <c r="F1513" s="607">
        <v>344.7</v>
      </c>
      <c r="G1513" s="584">
        <v>15</v>
      </c>
    </row>
    <row r="1514" spans="1:7" ht="15" x14ac:dyDescent="0.2">
      <c r="A1514" s="583" t="s">
        <v>15248</v>
      </c>
      <c r="B1514" s="605" t="s">
        <v>15249</v>
      </c>
      <c r="C1514" s="606" t="s">
        <v>12676</v>
      </c>
      <c r="D1514" s="607">
        <v>320.19</v>
      </c>
      <c r="E1514" s="607"/>
      <c r="F1514" s="607">
        <v>320.19</v>
      </c>
      <c r="G1514" s="584">
        <v>15</v>
      </c>
    </row>
    <row r="1515" spans="1:7" ht="15" x14ac:dyDescent="0.2">
      <c r="A1515" s="583" t="s">
        <v>15250</v>
      </c>
      <c r="B1515" s="605" t="s">
        <v>15251</v>
      </c>
      <c r="C1515" s="606" t="s">
        <v>12676</v>
      </c>
      <c r="D1515" s="607">
        <v>418.75</v>
      </c>
      <c r="E1515" s="607"/>
      <c r="F1515" s="607">
        <v>418.75</v>
      </c>
      <c r="G1515" s="584">
        <v>15</v>
      </c>
    </row>
    <row r="1516" spans="1:7" ht="30" x14ac:dyDescent="0.2">
      <c r="A1516" s="583" t="s">
        <v>15252</v>
      </c>
      <c r="B1516" s="605" t="s">
        <v>15253</v>
      </c>
      <c r="C1516" s="606" t="s">
        <v>12375</v>
      </c>
      <c r="D1516" s="607">
        <v>315.3</v>
      </c>
      <c r="E1516" s="607">
        <v>75.36</v>
      </c>
      <c r="F1516" s="607">
        <v>390.66</v>
      </c>
      <c r="G1516" s="584">
        <v>15</v>
      </c>
    </row>
    <row r="1517" spans="1:7" ht="30" x14ac:dyDescent="0.2">
      <c r="A1517" s="583" t="s">
        <v>15254</v>
      </c>
      <c r="B1517" s="605" t="s">
        <v>15255</v>
      </c>
      <c r="C1517" s="606" t="s">
        <v>12676</v>
      </c>
      <c r="D1517" s="607">
        <v>484.08</v>
      </c>
      <c r="E1517" s="607">
        <v>75.36</v>
      </c>
      <c r="F1517" s="607">
        <v>559.44000000000005</v>
      </c>
      <c r="G1517" s="584">
        <v>15</v>
      </c>
    </row>
    <row r="1518" spans="1:7" ht="15" x14ac:dyDescent="0.2">
      <c r="A1518" s="583" t="s">
        <v>15256</v>
      </c>
      <c r="B1518" s="605" t="s">
        <v>15257</v>
      </c>
      <c r="C1518" s="606" t="s">
        <v>12375</v>
      </c>
      <c r="D1518" s="607">
        <v>320.48</v>
      </c>
      <c r="E1518" s="607">
        <v>21.16</v>
      </c>
      <c r="F1518" s="607">
        <v>341.64</v>
      </c>
      <c r="G1518" s="584">
        <v>15</v>
      </c>
    </row>
    <row r="1519" spans="1:7" ht="15" x14ac:dyDescent="0.2">
      <c r="A1519" s="583" t="s">
        <v>15258</v>
      </c>
      <c r="B1519" s="605" t="s">
        <v>15259</v>
      </c>
      <c r="C1519" s="606" t="s">
        <v>12375</v>
      </c>
      <c r="D1519" s="607">
        <v>341.19</v>
      </c>
      <c r="E1519" s="607">
        <v>21.16</v>
      </c>
      <c r="F1519" s="607">
        <v>362.35</v>
      </c>
      <c r="G1519" s="584">
        <v>15</v>
      </c>
    </row>
    <row r="1520" spans="1:7" ht="15" x14ac:dyDescent="0.2">
      <c r="A1520" s="583" t="s">
        <v>15260</v>
      </c>
      <c r="B1520" s="605" t="s">
        <v>15261</v>
      </c>
      <c r="C1520" s="606" t="s">
        <v>12375</v>
      </c>
      <c r="D1520" s="607">
        <v>3527.53</v>
      </c>
      <c r="E1520" s="607">
        <v>52.89</v>
      </c>
      <c r="F1520" s="607">
        <v>3580.42</v>
      </c>
      <c r="G1520" s="584">
        <v>15</v>
      </c>
    </row>
    <row r="1521" spans="1:7" ht="15" x14ac:dyDescent="0.2">
      <c r="A1521" s="583" t="s">
        <v>15262</v>
      </c>
      <c r="B1521" s="605" t="s">
        <v>15263</v>
      </c>
      <c r="C1521" s="606" t="s">
        <v>12375</v>
      </c>
      <c r="D1521" s="607">
        <v>483.19</v>
      </c>
      <c r="E1521" s="607">
        <v>39.67</v>
      </c>
      <c r="F1521" s="607">
        <v>522.86</v>
      </c>
      <c r="G1521" s="584">
        <v>15</v>
      </c>
    </row>
    <row r="1522" spans="1:7" ht="15" x14ac:dyDescent="0.2">
      <c r="A1522" s="583" t="s">
        <v>15264</v>
      </c>
      <c r="B1522" s="605" t="s">
        <v>15265</v>
      </c>
      <c r="C1522" s="606" t="s">
        <v>12375</v>
      </c>
      <c r="D1522" s="607">
        <v>29.96</v>
      </c>
      <c r="E1522" s="607">
        <v>13.59</v>
      </c>
      <c r="F1522" s="607">
        <v>43.55</v>
      </c>
      <c r="G1522" s="584">
        <v>15</v>
      </c>
    </row>
    <row r="1523" spans="1:7" ht="30" x14ac:dyDescent="0.2">
      <c r="A1523" s="583" t="s">
        <v>15266</v>
      </c>
      <c r="B1523" s="605" t="s">
        <v>15267</v>
      </c>
      <c r="C1523" s="606" t="s">
        <v>12375</v>
      </c>
      <c r="D1523" s="607">
        <v>1021.82</v>
      </c>
      <c r="E1523" s="607">
        <v>52.89</v>
      </c>
      <c r="F1523" s="607">
        <v>1074.71</v>
      </c>
      <c r="G1523" s="584">
        <v>15</v>
      </c>
    </row>
    <row r="1524" spans="1:7" ht="30" x14ac:dyDescent="0.2">
      <c r="A1524" s="583" t="s">
        <v>15268</v>
      </c>
      <c r="B1524" s="605" t="s">
        <v>15269</v>
      </c>
      <c r="C1524" s="606" t="s">
        <v>12375</v>
      </c>
      <c r="D1524" s="607">
        <v>1056.18</v>
      </c>
      <c r="E1524" s="607">
        <v>105.78</v>
      </c>
      <c r="F1524" s="607">
        <v>1161.96</v>
      </c>
      <c r="G1524" s="584">
        <v>15</v>
      </c>
    </row>
    <row r="1525" spans="1:7" ht="30" x14ac:dyDescent="0.2">
      <c r="A1525" s="583" t="s">
        <v>15270</v>
      </c>
      <c r="B1525" s="605" t="s">
        <v>15271</v>
      </c>
      <c r="C1525" s="606" t="s">
        <v>12375</v>
      </c>
      <c r="D1525" s="607">
        <v>237.2</v>
      </c>
      <c r="E1525" s="607">
        <v>67.97</v>
      </c>
      <c r="F1525" s="607">
        <v>305.17</v>
      </c>
      <c r="G1525" s="584">
        <v>15</v>
      </c>
    </row>
    <row r="1526" spans="1:7" ht="15" x14ac:dyDescent="0.25">
      <c r="A1526" s="583" t="s">
        <v>15272</v>
      </c>
      <c r="B1526" s="605" t="s">
        <v>15273</v>
      </c>
      <c r="C1526" s="606"/>
      <c r="D1526" s="607"/>
      <c r="E1526" s="607"/>
      <c r="F1526" s="607"/>
      <c r="G1526" s="582"/>
    </row>
    <row r="1527" spans="1:7" ht="15" x14ac:dyDescent="0.2">
      <c r="A1527" s="583" t="s">
        <v>15274</v>
      </c>
      <c r="B1527" s="605" t="s">
        <v>15275</v>
      </c>
      <c r="C1527" s="606" t="s">
        <v>12375</v>
      </c>
      <c r="D1527" s="607">
        <v>19.48</v>
      </c>
      <c r="E1527" s="607"/>
      <c r="F1527" s="607">
        <v>19.48</v>
      </c>
      <c r="G1527" s="584">
        <v>15</v>
      </c>
    </row>
    <row r="1528" spans="1:7" ht="15" x14ac:dyDescent="0.2">
      <c r="A1528" s="583" t="s">
        <v>15276</v>
      </c>
      <c r="B1528" s="605" t="s">
        <v>15277</v>
      </c>
      <c r="C1528" s="606" t="s">
        <v>12375</v>
      </c>
      <c r="D1528" s="607">
        <v>32.090000000000003</v>
      </c>
      <c r="E1528" s="607"/>
      <c r="F1528" s="607">
        <v>32.090000000000003</v>
      </c>
      <c r="G1528" s="584">
        <v>15</v>
      </c>
    </row>
    <row r="1529" spans="1:7" ht="15" x14ac:dyDescent="0.2">
      <c r="A1529" s="583" t="s">
        <v>15278</v>
      </c>
      <c r="B1529" s="605" t="s">
        <v>15279</v>
      </c>
      <c r="C1529" s="606" t="s">
        <v>12375</v>
      </c>
      <c r="D1529" s="607">
        <v>48.79</v>
      </c>
      <c r="E1529" s="607"/>
      <c r="F1529" s="607">
        <v>48.79</v>
      </c>
      <c r="G1529" s="584">
        <v>15</v>
      </c>
    </row>
    <row r="1530" spans="1:7" ht="30" x14ac:dyDescent="0.2">
      <c r="A1530" s="583" t="s">
        <v>15280</v>
      </c>
      <c r="B1530" s="605" t="s">
        <v>15281</v>
      </c>
      <c r="C1530" s="606" t="s">
        <v>12375</v>
      </c>
      <c r="D1530" s="607">
        <v>198.68</v>
      </c>
      <c r="E1530" s="607"/>
      <c r="F1530" s="607">
        <v>198.68</v>
      </c>
      <c r="G1530" s="584">
        <v>15</v>
      </c>
    </row>
    <row r="1531" spans="1:7" ht="15" x14ac:dyDescent="0.2">
      <c r="A1531" s="583" t="s">
        <v>15282</v>
      </c>
      <c r="B1531" s="605" t="s">
        <v>15283</v>
      </c>
      <c r="C1531" s="606" t="s">
        <v>12375</v>
      </c>
      <c r="D1531" s="607">
        <v>73.900000000000006</v>
      </c>
      <c r="E1531" s="607"/>
      <c r="F1531" s="607">
        <v>73.900000000000006</v>
      </c>
      <c r="G1531" s="584">
        <v>15</v>
      </c>
    </row>
    <row r="1532" spans="1:7" ht="15" x14ac:dyDescent="0.25">
      <c r="A1532" s="583" t="s">
        <v>15284</v>
      </c>
      <c r="B1532" s="605" t="s">
        <v>15285</v>
      </c>
      <c r="C1532" s="606"/>
      <c r="D1532" s="607"/>
      <c r="E1532" s="607"/>
      <c r="F1532" s="607"/>
      <c r="G1532" s="582"/>
    </row>
    <row r="1533" spans="1:7" ht="15" x14ac:dyDescent="0.2">
      <c r="A1533" s="583" t="s">
        <v>15286</v>
      </c>
      <c r="B1533" s="605" t="s">
        <v>15287</v>
      </c>
      <c r="C1533" s="606" t="s">
        <v>12375</v>
      </c>
      <c r="D1533" s="607"/>
      <c r="E1533" s="607">
        <v>67.97</v>
      </c>
      <c r="F1533" s="607">
        <v>67.97</v>
      </c>
      <c r="G1533" s="584">
        <v>15</v>
      </c>
    </row>
    <row r="1534" spans="1:7" ht="15" x14ac:dyDescent="0.2">
      <c r="A1534" s="583" t="s">
        <v>15288</v>
      </c>
      <c r="B1534" s="605" t="s">
        <v>15289</v>
      </c>
      <c r="C1534" s="606" t="s">
        <v>12375</v>
      </c>
      <c r="D1534" s="607">
        <v>1106.1099999999999</v>
      </c>
      <c r="E1534" s="607">
        <v>52.89</v>
      </c>
      <c r="F1534" s="607">
        <v>1159</v>
      </c>
      <c r="G1534" s="584">
        <v>15</v>
      </c>
    </row>
    <row r="1535" spans="1:7" ht="15" x14ac:dyDescent="0.2">
      <c r="A1535" s="583" t="s">
        <v>15290</v>
      </c>
      <c r="B1535" s="605" t="s">
        <v>15291</v>
      </c>
      <c r="C1535" s="606" t="s">
        <v>12375</v>
      </c>
      <c r="D1535" s="607"/>
      <c r="E1535" s="607">
        <v>58.45</v>
      </c>
      <c r="F1535" s="607">
        <v>58.45</v>
      </c>
      <c r="G1535" s="584">
        <v>15</v>
      </c>
    </row>
    <row r="1536" spans="1:7" ht="30" x14ac:dyDescent="0.2">
      <c r="A1536" s="583" t="s">
        <v>15292</v>
      </c>
      <c r="B1536" s="605" t="s">
        <v>15293</v>
      </c>
      <c r="C1536" s="606" t="s">
        <v>12676</v>
      </c>
      <c r="D1536" s="607">
        <v>896.85</v>
      </c>
      <c r="E1536" s="607">
        <v>68.760000000000005</v>
      </c>
      <c r="F1536" s="607">
        <v>965.61</v>
      </c>
      <c r="G1536" s="584">
        <v>15</v>
      </c>
    </row>
    <row r="1537" spans="1:7" ht="15" x14ac:dyDescent="0.2">
      <c r="A1537" s="583" t="s">
        <v>15294</v>
      </c>
      <c r="B1537" s="605" t="s">
        <v>15295</v>
      </c>
      <c r="C1537" s="606" t="s">
        <v>12375</v>
      </c>
      <c r="D1537" s="607"/>
      <c r="E1537" s="607">
        <v>7.7</v>
      </c>
      <c r="F1537" s="607">
        <v>7.7</v>
      </c>
      <c r="G1537" s="584">
        <v>15</v>
      </c>
    </row>
    <row r="1538" spans="1:7" ht="15" x14ac:dyDescent="0.2">
      <c r="A1538" s="583" t="s">
        <v>15296</v>
      </c>
      <c r="B1538" s="605" t="s">
        <v>15297</v>
      </c>
      <c r="C1538" s="606" t="s">
        <v>12676</v>
      </c>
      <c r="D1538" s="607">
        <v>671.36</v>
      </c>
      <c r="E1538" s="607">
        <v>135.93</v>
      </c>
      <c r="F1538" s="607">
        <v>807.29</v>
      </c>
      <c r="G1538" s="584">
        <v>15</v>
      </c>
    </row>
    <row r="1539" spans="1:7" ht="15" x14ac:dyDescent="0.2">
      <c r="A1539" s="583" t="s">
        <v>15298</v>
      </c>
      <c r="B1539" s="605" t="s">
        <v>15299</v>
      </c>
      <c r="C1539" s="606" t="s">
        <v>12375</v>
      </c>
      <c r="D1539" s="607">
        <v>177.6</v>
      </c>
      <c r="E1539" s="607">
        <v>25.67</v>
      </c>
      <c r="F1539" s="607">
        <v>203.27</v>
      </c>
      <c r="G1539" s="584">
        <v>15</v>
      </c>
    </row>
    <row r="1540" spans="1:7" ht="30" x14ac:dyDescent="0.2">
      <c r="A1540" s="583" t="s">
        <v>15300</v>
      </c>
      <c r="B1540" s="605" t="s">
        <v>15301</v>
      </c>
      <c r="C1540" s="606" t="s">
        <v>12676</v>
      </c>
      <c r="D1540" s="607">
        <v>4372.6099999999997</v>
      </c>
      <c r="E1540" s="607">
        <v>158.66999999999999</v>
      </c>
      <c r="F1540" s="607">
        <v>4531.28</v>
      </c>
      <c r="G1540" s="584">
        <v>15</v>
      </c>
    </row>
    <row r="1541" spans="1:7" ht="15" x14ac:dyDescent="0.2">
      <c r="A1541" s="583" t="s">
        <v>15302</v>
      </c>
      <c r="B1541" s="605" t="s">
        <v>15303</v>
      </c>
      <c r="C1541" s="606" t="s">
        <v>12375</v>
      </c>
      <c r="D1541" s="607">
        <v>425.63</v>
      </c>
      <c r="E1541" s="607">
        <v>52.89</v>
      </c>
      <c r="F1541" s="607">
        <v>478.52</v>
      </c>
      <c r="G1541" s="584">
        <v>15</v>
      </c>
    </row>
    <row r="1542" spans="1:7" ht="30" x14ac:dyDescent="0.2">
      <c r="A1542" s="583" t="s">
        <v>15304</v>
      </c>
      <c r="B1542" s="605" t="s">
        <v>15305</v>
      </c>
      <c r="C1542" s="606" t="s">
        <v>12375</v>
      </c>
      <c r="D1542" s="607">
        <v>205.53</v>
      </c>
      <c r="E1542" s="607">
        <v>39.67</v>
      </c>
      <c r="F1542" s="607">
        <v>245.2</v>
      </c>
      <c r="G1542" s="584">
        <v>15</v>
      </c>
    </row>
    <row r="1543" spans="1:7" ht="15" x14ac:dyDescent="0.2">
      <c r="A1543" s="583" t="s">
        <v>15306</v>
      </c>
      <c r="B1543" s="605" t="s">
        <v>15307</v>
      </c>
      <c r="C1543" s="606" t="s">
        <v>12375</v>
      </c>
      <c r="D1543" s="607">
        <v>105.08</v>
      </c>
      <c r="E1543" s="607">
        <v>8.99</v>
      </c>
      <c r="F1543" s="607">
        <v>114.07</v>
      </c>
      <c r="G1543" s="584">
        <v>15</v>
      </c>
    </row>
    <row r="1544" spans="1:7" ht="15" x14ac:dyDescent="0.2">
      <c r="A1544" s="583" t="s">
        <v>15308</v>
      </c>
      <c r="B1544" s="605" t="s">
        <v>15309</v>
      </c>
      <c r="C1544" s="606" t="s">
        <v>12375</v>
      </c>
      <c r="D1544" s="607">
        <v>71.55</v>
      </c>
      <c r="E1544" s="607">
        <v>8.99</v>
      </c>
      <c r="F1544" s="607">
        <v>80.540000000000006</v>
      </c>
      <c r="G1544" s="584">
        <v>15</v>
      </c>
    </row>
    <row r="1545" spans="1:7" ht="15" x14ac:dyDescent="0.2">
      <c r="A1545" s="583" t="s">
        <v>15310</v>
      </c>
      <c r="B1545" s="605" t="s">
        <v>15311</v>
      </c>
      <c r="C1545" s="606" t="s">
        <v>12375</v>
      </c>
      <c r="D1545" s="607">
        <v>174.52</v>
      </c>
      <c r="E1545" s="607">
        <v>8.99</v>
      </c>
      <c r="F1545" s="607">
        <v>183.51</v>
      </c>
      <c r="G1545" s="584">
        <v>15</v>
      </c>
    </row>
    <row r="1546" spans="1:7" ht="15" x14ac:dyDescent="0.2">
      <c r="A1546" s="583" t="s">
        <v>15312</v>
      </c>
      <c r="B1546" s="605" t="s">
        <v>15313</v>
      </c>
      <c r="C1546" s="606" t="s">
        <v>12676</v>
      </c>
      <c r="D1546" s="607">
        <v>28.22</v>
      </c>
      <c r="E1546" s="607">
        <v>7.7</v>
      </c>
      <c r="F1546" s="607">
        <v>35.92</v>
      </c>
      <c r="G1546" s="584">
        <v>15</v>
      </c>
    </row>
    <row r="1547" spans="1:7" ht="30" x14ac:dyDescent="0.2">
      <c r="A1547" s="583" t="s">
        <v>15314</v>
      </c>
      <c r="B1547" s="605" t="s">
        <v>15315</v>
      </c>
      <c r="C1547" s="606" t="s">
        <v>12375</v>
      </c>
      <c r="D1547" s="607">
        <v>42.93</v>
      </c>
      <c r="E1547" s="607">
        <v>7.7</v>
      </c>
      <c r="F1547" s="607">
        <v>50.63</v>
      </c>
      <c r="G1547" s="584">
        <v>15</v>
      </c>
    </row>
    <row r="1548" spans="1:7" ht="30" x14ac:dyDescent="0.2">
      <c r="A1548" s="583" t="s">
        <v>15316</v>
      </c>
      <c r="B1548" s="605" t="s">
        <v>15317</v>
      </c>
      <c r="C1548" s="606" t="s">
        <v>12375</v>
      </c>
      <c r="D1548" s="607">
        <v>98.06</v>
      </c>
      <c r="E1548" s="607">
        <v>7.7</v>
      </c>
      <c r="F1548" s="607">
        <v>105.76</v>
      </c>
      <c r="G1548" s="584">
        <v>15</v>
      </c>
    </row>
    <row r="1549" spans="1:7" ht="15" x14ac:dyDescent="0.2">
      <c r="A1549" s="583" t="s">
        <v>15318</v>
      </c>
      <c r="B1549" s="605" t="s">
        <v>15319</v>
      </c>
      <c r="C1549" s="606" t="s">
        <v>12676</v>
      </c>
      <c r="D1549" s="607">
        <v>228.1</v>
      </c>
      <c r="E1549" s="607">
        <v>16.309999999999999</v>
      </c>
      <c r="F1549" s="607">
        <v>244.41</v>
      </c>
      <c r="G1549" s="584">
        <v>15</v>
      </c>
    </row>
    <row r="1550" spans="1:7" ht="15" x14ac:dyDescent="0.2">
      <c r="A1550" s="583" t="s">
        <v>15320</v>
      </c>
      <c r="B1550" s="605" t="s">
        <v>15321</v>
      </c>
      <c r="C1550" s="606" t="s">
        <v>12375</v>
      </c>
      <c r="D1550" s="607">
        <v>72.69</v>
      </c>
      <c r="E1550" s="607">
        <v>8.99</v>
      </c>
      <c r="F1550" s="607">
        <v>81.680000000000007</v>
      </c>
      <c r="G1550" s="584">
        <v>15</v>
      </c>
    </row>
    <row r="1551" spans="1:7" ht="15" x14ac:dyDescent="0.2">
      <c r="A1551" s="583" t="s">
        <v>15322</v>
      </c>
      <c r="B1551" s="605" t="s">
        <v>15323</v>
      </c>
      <c r="C1551" s="606" t="s">
        <v>12375</v>
      </c>
      <c r="D1551" s="607">
        <v>89.42</v>
      </c>
      <c r="E1551" s="607">
        <v>8.99</v>
      </c>
      <c r="F1551" s="607">
        <v>98.41</v>
      </c>
      <c r="G1551" s="584">
        <v>15</v>
      </c>
    </row>
    <row r="1552" spans="1:7" ht="15" x14ac:dyDescent="0.2">
      <c r="A1552" s="583" t="s">
        <v>15324</v>
      </c>
      <c r="B1552" s="605" t="s">
        <v>15325</v>
      </c>
      <c r="C1552" s="606" t="s">
        <v>12375</v>
      </c>
      <c r="D1552" s="607">
        <v>190.87</v>
      </c>
      <c r="E1552" s="607">
        <v>6.49</v>
      </c>
      <c r="F1552" s="607">
        <v>197.36</v>
      </c>
      <c r="G1552" s="584">
        <v>15</v>
      </c>
    </row>
    <row r="1553" spans="1:7" ht="30" x14ac:dyDescent="0.2">
      <c r="A1553" s="583" t="s">
        <v>15326</v>
      </c>
      <c r="B1553" s="605" t="s">
        <v>15327</v>
      </c>
      <c r="C1553" s="606" t="s">
        <v>12375</v>
      </c>
      <c r="D1553" s="607">
        <v>217.04</v>
      </c>
      <c r="E1553" s="607">
        <v>8.99</v>
      </c>
      <c r="F1553" s="607">
        <v>226.03</v>
      </c>
      <c r="G1553" s="584">
        <v>15</v>
      </c>
    </row>
    <row r="1554" spans="1:7" ht="30" x14ac:dyDescent="0.2">
      <c r="A1554" s="583" t="s">
        <v>15328</v>
      </c>
      <c r="B1554" s="605" t="s">
        <v>15329</v>
      </c>
      <c r="C1554" s="606" t="s">
        <v>12375</v>
      </c>
      <c r="D1554" s="607">
        <v>507.65</v>
      </c>
      <c r="E1554" s="607">
        <v>79.34</v>
      </c>
      <c r="F1554" s="607">
        <v>586.99</v>
      </c>
      <c r="G1554" s="584">
        <v>15</v>
      </c>
    </row>
    <row r="1555" spans="1:7" ht="15" x14ac:dyDescent="0.2">
      <c r="A1555" s="583" t="s">
        <v>15330</v>
      </c>
      <c r="B1555" s="605" t="s">
        <v>15331</v>
      </c>
      <c r="C1555" s="606" t="s">
        <v>12375</v>
      </c>
      <c r="D1555" s="607">
        <v>166.31</v>
      </c>
      <c r="E1555" s="607">
        <v>79.34</v>
      </c>
      <c r="F1555" s="607">
        <v>245.65</v>
      </c>
      <c r="G1555" s="584">
        <v>15</v>
      </c>
    </row>
    <row r="1556" spans="1:7" ht="15" x14ac:dyDescent="0.2">
      <c r="A1556" s="583" t="s">
        <v>15332</v>
      </c>
      <c r="B1556" s="605" t="s">
        <v>15333</v>
      </c>
      <c r="C1556" s="606" t="s">
        <v>12375</v>
      </c>
      <c r="D1556" s="607">
        <v>21.65</v>
      </c>
      <c r="E1556" s="607">
        <v>51.34</v>
      </c>
      <c r="F1556" s="607">
        <v>72.989999999999995</v>
      </c>
      <c r="G1556" s="584">
        <v>15</v>
      </c>
    </row>
    <row r="1557" spans="1:7" ht="15" x14ac:dyDescent="0.2">
      <c r="A1557" s="583" t="s">
        <v>15334</v>
      </c>
      <c r="B1557" s="605" t="s">
        <v>15335</v>
      </c>
      <c r="C1557" s="606" t="s">
        <v>12375</v>
      </c>
      <c r="D1557" s="607">
        <v>48.9</v>
      </c>
      <c r="E1557" s="607">
        <v>8.99</v>
      </c>
      <c r="F1557" s="607">
        <v>57.89</v>
      </c>
      <c r="G1557" s="584">
        <v>15</v>
      </c>
    </row>
    <row r="1558" spans="1:7" ht="30" x14ac:dyDescent="0.2">
      <c r="A1558" s="583" t="s">
        <v>15336</v>
      </c>
      <c r="B1558" s="605" t="s">
        <v>15337</v>
      </c>
      <c r="C1558" s="606" t="s">
        <v>12375</v>
      </c>
      <c r="D1558" s="607">
        <v>13714.26</v>
      </c>
      <c r="E1558" s="607"/>
      <c r="F1558" s="607">
        <v>13714.26</v>
      </c>
      <c r="G1558" s="584">
        <v>15</v>
      </c>
    </row>
    <row r="1559" spans="1:7" ht="30" x14ac:dyDescent="0.2">
      <c r="A1559" s="583" t="s">
        <v>15338</v>
      </c>
      <c r="B1559" s="605" t="s">
        <v>15339</v>
      </c>
      <c r="C1559" s="606" t="s">
        <v>12375</v>
      </c>
      <c r="D1559" s="607">
        <v>15819.49</v>
      </c>
      <c r="E1559" s="607"/>
      <c r="F1559" s="607">
        <v>15819.49</v>
      </c>
      <c r="G1559" s="584">
        <v>15</v>
      </c>
    </row>
    <row r="1560" spans="1:7" ht="30" x14ac:dyDescent="0.2">
      <c r="A1560" s="583" t="s">
        <v>15340</v>
      </c>
      <c r="B1560" s="605" t="s">
        <v>15341</v>
      </c>
      <c r="C1560" s="606" t="s">
        <v>12676</v>
      </c>
      <c r="D1560" s="607">
        <v>472.59</v>
      </c>
      <c r="E1560" s="607">
        <v>105.78</v>
      </c>
      <c r="F1560" s="607">
        <v>578.37</v>
      </c>
      <c r="G1560" s="584">
        <v>15</v>
      </c>
    </row>
    <row r="1561" spans="1:7" ht="30" x14ac:dyDescent="0.2">
      <c r="A1561" s="583" t="s">
        <v>15342</v>
      </c>
      <c r="B1561" s="605" t="s">
        <v>15343</v>
      </c>
      <c r="C1561" s="606" t="s">
        <v>12676</v>
      </c>
      <c r="D1561" s="607">
        <v>1196.93</v>
      </c>
      <c r="E1561" s="607">
        <v>211.56</v>
      </c>
      <c r="F1561" s="607">
        <v>1408.49</v>
      </c>
      <c r="G1561" s="584">
        <v>15</v>
      </c>
    </row>
    <row r="1562" spans="1:7" ht="45" x14ac:dyDescent="0.2">
      <c r="A1562" s="583" t="s">
        <v>15344</v>
      </c>
      <c r="B1562" s="605" t="s">
        <v>15345</v>
      </c>
      <c r="C1562" s="606" t="s">
        <v>12676</v>
      </c>
      <c r="D1562" s="607">
        <v>1233.4100000000001</v>
      </c>
      <c r="E1562" s="607">
        <v>211.56</v>
      </c>
      <c r="F1562" s="607">
        <v>1444.97</v>
      </c>
      <c r="G1562" s="584">
        <v>15</v>
      </c>
    </row>
    <row r="1563" spans="1:7" ht="45" x14ac:dyDescent="0.2">
      <c r="A1563" s="583" t="s">
        <v>15346</v>
      </c>
      <c r="B1563" s="605" t="s">
        <v>15347</v>
      </c>
      <c r="C1563" s="606" t="s">
        <v>12676</v>
      </c>
      <c r="D1563" s="607">
        <v>1323.94</v>
      </c>
      <c r="E1563" s="607">
        <v>211.56</v>
      </c>
      <c r="F1563" s="607">
        <v>1535.5</v>
      </c>
      <c r="G1563" s="584">
        <v>15</v>
      </c>
    </row>
    <row r="1564" spans="1:7" ht="30" x14ac:dyDescent="0.2">
      <c r="A1564" s="583" t="s">
        <v>15348</v>
      </c>
      <c r="B1564" s="605" t="s">
        <v>21396</v>
      </c>
      <c r="C1564" s="606" t="s">
        <v>12483</v>
      </c>
      <c r="D1564" s="607">
        <v>33.5</v>
      </c>
      <c r="E1564" s="607">
        <v>12.44</v>
      </c>
      <c r="F1564" s="607">
        <v>45.94</v>
      </c>
      <c r="G1564" s="584">
        <v>15</v>
      </c>
    </row>
    <row r="1565" spans="1:7" ht="15" x14ac:dyDescent="0.25">
      <c r="A1565" s="583" t="s">
        <v>15349</v>
      </c>
      <c r="B1565" s="605" t="s">
        <v>15350</v>
      </c>
      <c r="C1565" s="606"/>
      <c r="D1565" s="607"/>
      <c r="E1565" s="607"/>
      <c r="F1565" s="607"/>
      <c r="G1565" s="582"/>
    </row>
    <row r="1566" spans="1:7" ht="15" x14ac:dyDescent="0.25">
      <c r="A1566" s="583" t="s">
        <v>15351</v>
      </c>
      <c r="B1566" s="605" t="s">
        <v>15352</v>
      </c>
      <c r="C1566" s="606"/>
      <c r="D1566" s="607"/>
      <c r="E1566" s="607"/>
      <c r="F1566" s="607"/>
      <c r="G1566" s="582"/>
    </row>
    <row r="1567" spans="1:7" ht="15" x14ac:dyDescent="0.2">
      <c r="A1567" s="583" t="s">
        <v>15353</v>
      </c>
      <c r="B1567" s="605" t="s">
        <v>15354</v>
      </c>
      <c r="C1567" s="606" t="s">
        <v>12483</v>
      </c>
      <c r="D1567" s="607">
        <v>6.5</v>
      </c>
      <c r="E1567" s="607">
        <v>16.079999999999998</v>
      </c>
      <c r="F1567" s="607">
        <v>22.58</v>
      </c>
      <c r="G1567" s="584">
        <v>15</v>
      </c>
    </row>
    <row r="1568" spans="1:7" ht="15" x14ac:dyDescent="0.2">
      <c r="A1568" s="583" t="s">
        <v>15355</v>
      </c>
      <c r="B1568" s="605" t="s">
        <v>15356</v>
      </c>
      <c r="C1568" s="606" t="s">
        <v>12929</v>
      </c>
      <c r="D1568" s="607">
        <v>36.770000000000003</v>
      </c>
      <c r="E1568" s="607">
        <v>71.930000000000007</v>
      </c>
      <c r="F1568" s="607">
        <v>108.7</v>
      </c>
      <c r="G1568" s="584">
        <v>15</v>
      </c>
    </row>
    <row r="1569" spans="1:7" ht="15" x14ac:dyDescent="0.2">
      <c r="A1569" s="583" t="s">
        <v>15357</v>
      </c>
      <c r="B1569" s="605" t="s">
        <v>15358</v>
      </c>
      <c r="C1569" s="606" t="s">
        <v>12483</v>
      </c>
      <c r="D1569" s="607">
        <v>8.7799999999999994</v>
      </c>
      <c r="E1569" s="607">
        <v>16.079999999999998</v>
      </c>
      <c r="F1569" s="607">
        <v>24.86</v>
      </c>
      <c r="G1569" s="584">
        <v>15</v>
      </c>
    </row>
    <row r="1570" spans="1:7" ht="15" x14ac:dyDescent="0.2">
      <c r="A1570" s="583" t="s">
        <v>15359</v>
      </c>
      <c r="B1570" s="605" t="s">
        <v>15360</v>
      </c>
      <c r="C1570" s="606" t="s">
        <v>12929</v>
      </c>
      <c r="D1570" s="607">
        <v>14.4</v>
      </c>
      <c r="E1570" s="607">
        <v>16.079999999999998</v>
      </c>
      <c r="F1570" s="607">
        <v>30.48</v>
      </c>
      <c r="G1570" s="584">
        <v>15</v>
      </c>
    </row>
    <row r="1571" spans="1:7" ht="15" x14ac:dyDescent="0.2">
      <c r="A1571" s="583" t="s">
        <v>15361</v>
      </c>
      <c r="B1571" s="605" t="s">
        <v>15362</v>
      </c>
      <c r="C1571" s="606" t="s">
        <v>12929</v>
      </c>
      <c r="D1571" s="607">
        <v>9.59</v>
      </c>
      <c r="E1571" s="607">
        <v>16.079999999999998</v>
      </c>
      <c r="F1571" s="607">
        <v>25.67</v>
      </c>
      <c r="G1571" s="584">
        <v>15</v>
      </c>
    </row>
    <row r="1572" spans="1:7" ht="15" x14ac:dyDescent="0.25">
      <c r="A1572" s="583" t="s">
        <v>15363</v>
      </c>
      <c r="B1572" s="605" t="s">
        <v>15364</v>
      </c>
      <c r="C1572" s="606"/>
      <c r="D1572" s="607"/>
      <c r="E1572" s="607"/>
      <c r="F1572" s="607"/>
      <c r="G1572" s="582"/>
    </row>
    <row r="1573" spans="1:7" ht="30" x14ac:dyDescent="0.2">
      <c r="A1573" s="583" t="s">
        <v>15365</v>
      </c>
      <c r="B1573" s="605" t="s">
        <v>15366</v>
      </c>
      <c r="C1573" s="606" t="s">
        <v>12483</v>
      </c>
      <c r="D1573" s="607">
        <v>9.02</v>
      </c>
      <c r="E1573" s="607">
        <v>13.59</v>
      </c>
      <c r="F1573" s="607">
        <v>22.61</v>
      </c>
      <c r="G1573" s="584">
        <v>15</v>
      </c>
    </row>
    <row r="1574" spans="1:7" ht="30" x14ac:dyDescent="0.2">
      <c r="A1574" s="583" t="s">
        <v>15367</v>
      </c>
      <c r="B1574" s="605" t="s">
        <v>15368</v>
      </c>
      <c r="C1574" s="606" t="s">
        <v>12483</v>
      </c>
      <c r="D1574" s="607">
        <v>11.96</v>
      </c>
      <c r="E1574" s="607">
        <v>13.59</v>
      </c>
      <c r="F1574" s="607">
        <v>25.55</v>
      </c>
      <c r="G1574" s="584">
        <v>15</v>
      </c>
    </row>
    <row r="1575" spans="1:7" ht="15" x14ac:dyDescent="0.2">
      <c r="A1575" s="583" t="s">
        <v>15369</v>
      </c>
      <c r="B1575" s="605" t="s">
        <v>15370</v>
      </c>
      <c r="C1575" s="606" t="s">
        <v>12483</v>
      </c>
      <c r="D1575" s="607">
        <v>10.210000000000001</v>
      </c>
      <c r="E1575" s="607">
        <v>13.59</v>
      </c>
      <c r="F1575" s="607">
        <v>23.8</v>
      </c>
      <c r="G1575" s="584">
        <v>15</v>
      </c>
    </row>
    <row r="1576" spans="1:7" ht="30" x14ac:dyDescent="0.2">
      <c r="A1576" s="583" t="s">
        <v>15371</v>
      </c>
      <c r="B1576" s="605" t="s">
        <v>15372</v>
      </c>
      <c r="C1576" s="606" t="s">
        <v>12483</v>
      </c>
      <c r="D1576" s="607">
        <v>16.22</v>
      </c>
      <c r="E1576" s="607">
        <v>13.59</v>
      </c>
      <c r="F1576" s="607">
        <v>29.81</v>
      </c>
      <c r="G1576" s="584">
        <v>15</v>
      </c>
    </row>
    <row r="1577" spans="1:7" ht="15" x14ac:dyDescent="0.25">
      <c r="A1577" s="583" t="s">
        <v>15373</v>
      </c>
      <c r="B1577" s="605" t="s">
        <v>15374</v>
      </c>
      <c r="C1577" s="606"/>
      <c r="D1577" s="607"/>
      <c r="E1577" s="607"/>
      <c r="F1577" s="607"/>
      <c r="G1577" s="582"/>
    </row>
    <row r="1578" spans="1:7" ht="15" x14ac:dyDescent="0.2">
      <c r="A1578" s="583" t="s">
        <v>15375</v>
      </c>
      <c r="B1578" s="605" t="s">
        <v>15376</v>
      </c>
      <c r="C1578" s="606" t="s">
        <v>12929</v>
      </c>
      <c r="D1578" s="607">
        <v>55.73</v>
      </c>
      <c r="E1578" s="607">
        <v>16.47</v>
      </c>
      <c r="F1578" s="607">
        <v>72.2</v>
      </c>
      <c r="G1578" s="584">
        <v>15</v>
      </c>
    </row>
    <row r="1579" spans="1:7" ht="15" x14ac:dyDescent="0.25">
      <c r="A1579" s="583" t="s">
        <v>15377</v>
      </c>
      <c r="B1579" s="605" t="s">
        <v>15378</v>
      </c>
      <c r="C1579" s="606"/>
      <c r="D1579" s="607"/>
      <c r="E1579" s="607"/>
      <c r="F1579" s="607"/>
      <c r="G1579" s="582"/>
    </row>
    <row r="1580" spans="1:7" ht="15" x14ac:dyDescent="0.25">
      <c r="A1580" s="583" t="s">
        <v>15379</v>
      </c>
      <c r="B1580" s="605" t="s">
        <v>15380</v>
      </c>
      <c r="C1580" s="606"/>
      <c r="D1580" s="607"/>
      <c r="E1580" s="607"/>
      <c r="F1580" s="607"/>
      <c r="G1580" s="582"/>
    </row>
    <row r="1581" spans="1:7" ht="30" x14ac:dyDescent="0.2">
      <c r="A1581" s="583" t="s">
        <v>15381</v>
      </c>
      <c r="B1581" s="605" t="s">
        <v>15382</v>
      </c>
      <c r="C1581" s="606" t="s">
        <v>12483</v>
      </c>
      <c r="D1581" s="607">
        <v>208.85</v>
      </c>
      <c r="E1581" s="607">
        <v>13.59</v>
      </c>
      <c r="F1581" s="607">
        <v>222.44</v>
      </c>
      <c r="G1581" s="584">
        <v>15</v>
      </c>
    </row>
    <row r="1582" spans="1:7" ht="30" x14ac:dyDescent="0.2">
      <c r="A1582" s="583" t="s">
        <v>15383</v>
      </c>
      <c r="B1582" s="605" t="s">
        <v>15384</v>
      </c>
      <c r="C1582" s="606" t="s">
        <v>12375</v>
      </c>
      <c r="D1582" s="607">
        <v>133.26</v>
      </c>
      <c r="E1582" s="607">
        <v>13.59</v>
      </c>
      <c r="F1582" s="607">
        <v>146.85</v>
      </c>
      <c r="G1582" s="584">
        <v>15</v>
      </c>
    </row>
    <row r="1583" spans="1:7" ht="30" x14ac:dyDescent="0.2">
      <c r="A1583" s="583" t="s">
        <v>15385</v>
      </c>
      <c r="B1583" s="605" t="s">
        <v>15386</v>
      </c>
      <c r="C1583" s="606" t="s">
        <v>12375</v>
      </c>
      <c r="D1583" s="607">
        <v>174.04</v>
      </c>
      <c r="E1583" s="607">
        <v>13.59</v>
      </c>
      <c r="F1583" s="607">
        <v>187.63</v>
      </c>
      <c r="G1583" s="584">
        <v>15</v>
      </c>
    </row>
    <row r="1584" spans="1:7" ht="30" x14ac:dyDescent="0.2">
      <c r="A1584" s="583" t="s">
        <v>15387</v>
      </c>
      <c r="B1584" s="605" t="s">
        <v>15388</v>
      </c>
      <c r="C1584" s="606" t="s">
        <v>12375</v>
      </c>
      <c r="D1584" s="607">
        <v>347.49</v>
      </c>
      <c r="E1584" s="607">
        <v>13.59</v>
      </c>
      <c r="F1584" s="607">
        <v>361.08</v>
      </c>
      <c r="G1584" s="584">
        <v>15</v>
      </c>
    </row>
    <row r="1585" spans="1:7" ht="45" x14ac:dyDescent="0.2">
      <c r="A1585" s="583" t="s">
        <v>15389</v>
      </c>
      <c r="B1585" s="605" t="s">
        <v>15390</v>
      </c>
      <c r="C1585" s="606" t="s">
        <v>12375</v>
      </c>
      <c r="D1585" s="607">
        <v>167.81</v>
      </c>
      <c r="E1585" s="607">
        <v>13.59</v>
      </c>
      <c r="F1585" s="607">
        <v>181.4</v>
      </c>
      <c r="G1585" s="584">
        <v>15</v>
      </c>
    </row>
    <row r="1586" spans="1:7" ht="45" x14ac:dyDescent="0.2">
      <c r="A1586" s="583" t="s">
        <v>15391</v>
      </c>
      <c r="B1586" s="605" t="s">
        <v>15392</v>
      </c>
      <c r="C1586" s="606" t="s">
        <v>12375</v>
      </c>
      <c r="D1586" s="607">
        <v>145.46</v>
      </c>
      <c r="E1586" s="607">
        <v>13.59</v>
      </c>
      <c r="F1586" s="607">
        <v>159.05000000000001</v>
      </c>
      <c r="G1586" s="584">
        <v>15</v>
      </c>
    </row>
    <row r="1587" spans="1:7" ht="45" x14ac:dyDescent="0.2">
      <c r="A1587" s="583" t="s">
        <v>15393</v>
      </c>
      <c r="B1587" s="605" t="s">
        <v>15394</v>
      </c>
      <c r="C1587" s="606" t="s">
        <v>12375</v>
      </c>
      <c r="D1587" s="607">
        <v>323</v>
      </c>
      <c r="E1587" s="607">
        <v>13.59</v>
      </c>
      <c r="F1587" s="607">
        <v>336.59</v>
      </c>
      <c r="G1587" s="584">
        <v>15</v>
      </c>
    </row>
    <row r="1588" spans="1:7" ht="30" x14ac:dyDescent="0.2">
      <c r="A1588" s="583" t="s">
        <v>15395</v>
      </c>
      <c r="B1588" s="605" t="s">
        <v>15396</v>
      </c>
      <c r="C1588" s="606" t="s">
        <v>12375</v>
      </c>
      <c r="D1588" s="607">
        <v>243.69</v>
      </c>
      <c r="E1588" s="607">
        <v>13.59</v>
      </c>
      <c r="F1588" s="607">
        <v>257.27999999999997</v>
      </c>
      <c r="G1588" s="584">
        <v>15</v>
      </c>
    </row>
    <row r="1589" spans="1:7" ht="30" x14ac:dyDescent="0.2">
      <c r="A1589" s="583" t="s">
        <v>15397</v>
      </c>
      <c r="B1589" s="605" t="s">
        <v>15398</v>
      </c>
      <c r="C1589" s="606" t="s">
        <v>12375</v>
      </c>
      <c r="D1589" s="607">
        <v>149.94999999999999</v>
      </c>
      <c r="E1589" s="607">
        <v>13.59</v>
      </c>
      <c r="F1589" s="607">
        <v>163.54</v>
      </c>
      <c r="G1589" s="584">
        <v>15</v>
      </c>
    </row>
    <row r="1590" spans="1:7" ht="30" x14ac:dyDescent="0.2">
      <c r="A1590" s="583" t="s">
        <v>15399</v>
      </c>
      <c r="B1590" s="605" t="s">
        <v>15400</v>
      </c>
      <c r="C1590" s="606" t="s">
        <v>12375</v>
      </c>
      <c r="D1590" s="607">
        <v>401.99</v>
      </c>
      <c r="E1590" s="607">
        <v>22.66</v>
      </c>
      <c r="F1590" s="607">
        <v>424.65</v>
      </c>
      <c r="G1590" s="584">
        <v>15</v>
      </c>
    </row>
    <row r="1591" spans="1:7" ht="15" x14ac:dyDescent="0.25">
      <c r="A1591" s="583" t="s">
        <v>15401</v>
      </c>
      <c r="B1591" s="605" t="s">
        <v>15402</v>
      </c>
      <c r="C1591" s="606"/>
      <c r="D1591" s="607"/>
      <c r="E1591" s="607"/>
      <c r="F1591" s="607"/>
      <c r="G1591" s="582"/>
    </row>
    <row r="1592" spans="1:7" ht="45" x14ac:dyDescent="0.2">
      <c r="A1592" s="583" t="s">
        <v>15403</v>
      </c>
      <c r="B1592" s="605" t="s">
        <v>15404</v>
      </c>
      <c r="C1592" s="606" t="s">
        <v>12375</v>
      </c>
      <c r="D1592" s="607">
        <v>2872.81</v>
      </c>
      <c r="E1592" s="607">
        <v>70.680000000000007</v>
      </c>
      <c r="F1592" s="607">
        <v>2943.49</v>
      </c>
      <c r="G1592" s="584">
        <v>15</v>
      </c>
    </row>
    <row r="1593" spans="1:7" ht="45" x14ac:dyDescent="0.2">
      <c r="A1593" s="583" t="s">
        <v>15405</v>
      </c>
      <c r="B1593" s="605" t="s">
        <v>15406</v>
      </c>
      <c r="C1593" s="606" t="s">
        <v>12375</v>
      </c>
      <c r="D1593" s="607">
        <v>3852.32</v>
      </c>
      <c r="E1593" s="607">
        <v>70.680000000000007</v>
      </c>
      <c r="F1593" s="607">
        <v>3923</v>
      </c>
      <c r="G1593" s="584">
        <v>15</v>
      </c>
    </row>
    <row r="1594" spans="1:7" ht="15" x14ac:dyDescent="0.25">
      <c r="A1594" s="583" t="s">
        <v>15407</v>
      </c>
      <c r="B1594" s="605" t="s">
        <v>15408</v>
      </c>
      <c r="C1594" s="606"/>
      <c r="D1594" s="607"/>
      <c r="E1594" s="607"/>
      <c r="F1594" s="607"/>
      <c r="G1594" s="582"/>
    </row>
    <row r="1595" spans="1:7" ht="45" x14ac:dyDescent="0.2">
      <c r="A1595" s="583" t="s">
        <v>15409</v>
      </c>
      <c r="B1595" s="605" t="s">
        <v>20373</v>
      </c>
      <c r="C1595" s="606" t="s">
        <v>12427</v>
      </c>
      <c r="D1595" s="607">
        <v>414.03</v>
      </c>
      <c r="E1595" s="607">
        <v>24.91</v>
      </c>
      <c r="F1595" s="607">
        <v>438.94</v>
      </c>
      <c r="G1595" s="584">
        <v>15</v>
      </c>
    </row>
    <row r="1596" spans="1:7" ht="30" x14ac:dyDescent="0.2">
      <c r="A1596" s="583" t="s">
        <v>15410</v>
      </c>
      <c r="B1596" s="605" t="s">
        <v>20374</v>
      </c>
      <c r="C1596" s="606" t="s">
        <v>12427</v>
      </c>
      <c r="D1596" s="607">
        <v>196.41</v>
      </c>
      <c r="E1596" s="607">
        <v>10.42</v>
      </c>
      <c r="F1596" s="607">
        <v>206.83</v>
      </c>
      <c r="G1596" s="584">
        <v>15</v>
      </c>
    </row>
    <row r="1597" spans="1:7" ht="30" x14ac:dyDescent="0.2">
      <c r="A1597" s="583" t="s">
        <v>15411</v>
      </c>
      <c r="B1597" s="605" t="s">
        <v>20077</v>
      </c>
      <c r="C1597" s="606" t="s">
        <v>12427</v>
      </c>
      <c r="D1597" s="607">
        <v>107.82</v>
      </c>
      <c r="E1597" s="607">
        <v>29.23</v>
      </c>
      <c r="F1597" s="607">
        <v>137.05000000000001</v>
      </c>
      <c r="G1597" s="584">
        <v>15</v>
      </c>
    </row>
    <row r="1598" spans="1:7" ht="30" x14ac:dyDescent="0.2">
      <c r="A1598" s="583" t="s">
        <v>20375</v>
      </c>
      <c r="B1598" s="605" t="s">
        <v>20376</v>
      </c>
      <c r="C1598" s="606" t="s">
        <v>12427</v>
      </c>
      <c r="D1598" s="607">
        <v>150.25</v>
      </c>
      <c r="E1598" s="607">
        <v>29.23</v>
      </c>
      <c r="F1598" s="607">
        <v>179.48</v>
      </c>
      <c r="G1598" s="584">
        <v>15</v>
      </c>
    </row>
    <row r="1599" spans="1:7" ht="30" x14ac:dyDescent="0.2">
      <c r="A1599" s="583" t="s">
        <v>15412</v>
      </c>
      <c r="B1599" s="605" t="s">
        <v>15413</v>
      </c>
      <c r="C1599" s="606" t="s">
        <v>12375</v>
      </c>
      <c r="D1599" s="607">
        <v>4.68</v>
      </c>
      <c r="E1599" s="607">
        <v>1.59</v>
      </c>
      <c r="F1599" s="607">
        <v>6.27</v>
      </c>
      <c r="G1599" s="584">
        <v>15</v>
      </c>
    </row>
    <row r="1600" spans="1:7" ht="30" x14ac:dyDescent="0.2">
      <c r="A1600" s="583" t="s">
        <v>15414</v>
      </c>
      <c r="B1600" s="605" t="s">
        <v>15415</v>
      </c>
      <c r="C1600" s="606" t="s">
        <v>12483</v>
      </c>
      <c r="D1600" s="607">
        <v>594</v>
      </c>
      <c r="E1600" s="607"/>
      <c r="F1600" s="607">
        <v>594</v>
      </c>
      <c r="G1600" s="584">
        <v>15</v>
      </c>
    </row>
    <row r="1601" spans="1:7" ht="30" x14ac:dyDescent="0.2">
      <c r="A1601" s="583" t="s">
        <v>15416</v>
      </c>
      <c r="B1601" s="605" t="s">
        <v>20078</v>
      </c>
      <c r="C1601" s="606" t="s">
        <v>12427</v>
      </c>
      <c r="D1601" s="607">
        <v>6.47</v>
      </c>
      <c r="E1601" s="607">
        <v>10.31</v>
      </c>
      <c r="F1601" s="607">
        <v>16.78</v>
      </c>
      <c r="G1601" s="584">
        <v>15</v>
      </c>
    </row>
    <row r="1602" spans="1:7" ht="30" x14ac:dyDescent="0.2">
      <c r="A1602" s="583" t="s">
        <v>15417</v>
      </c>
      <c r="B1602" s="605" t="s">
        <v>15418</v>
      </c>
      <c r="C1602" s="606" t="s">
        <v>12375</v>
      </c>
      <c r="D1602" s="607">
        <v>0.63</v>
      </c>
      <c r="E1602" s="607">
        <v>16.579999999999998</v>
      </c>
      <c r="F1602" s="607">
        <v>17.21</v>
      </c>
      <c r="G1602" s="584">
        <v>15</v>
      </c>
    </row>
    <row r="1603" spans="1:7" ht="30" x14ac:dyDescent="0.2">
      <c r="A1603" s="583" t="s">
        <v>15419</v>
      </c>
      <c r="B1603" s="605" t="s">
        <v>20377</v>
      </c>
      <c r="C1603" s="606" t="s">
        <v>12427</v>
      </c>
      <c r="D1603" s="607">
        <v>129.5</v>
      </c>
      <c r="E1603" s="607">
        <v>16.14</v>
      </c>
      <c r="F1603" s="607">
        <v>145.63999999999999</v>
      </c>
      <c r="G1603" s="584">
        <v>15</v>
      </c>
    </row>
    <row r="1604" spans="1:7" ht="15" x14ac:dyDescent="0.25">
      <c r="A1604" s="583" t="s">
        <v>15420</v>
      </c>
      <c r="B1604" s="605" t="s">
        <v>15421</v>
      </c>
      <c r="C1604" s="606"/>
      <c r="D1604" s="607"/>
      <c r="E1604" s="607"/>
      <c r="F1604" s="607"/>
      <c r="G1604" s="582"/>
    </row>
    <row r="1605" spans="1:7" ht="30" x14ac:dyDescent="0.2">
      <c r="A1605" s="583" t="s">
        <v>15422</v>
      </c>
      <c r="B1605" s="605" t="s">
        <v>15423</v>
      </c>
      <c r="C1605" s="606" t="s">
        <v>12375</v>
      </c>
      <c r="D1605" s="607">
        <v>10.72</v>
      </c>
      <c r="E1605" s="607">
        <v>1.59</v>
      </c>
      <c r="F1605" s="607">
        <v>12.31</v>
      </c>
      <c r="G1605" s="584">
        <v>15</v>
      </c>
    </row>
    <row r="1606" spans="1:7" ht="15" x14ac:dyDescent="0.2">
      <c r="A1606" s="583" t="s">
        <v>15424</v>
      </c>
      <c r="B1606" s="605" t="s">
        <v>15425</v>
      </c>
      <c r="C1606" s="606" t="s">
        <v>12375</v>
      </c>
      <c r="D1606" s="607">
        <v>10.95</v>
      </c>
      <c r="E1606" s="607">
        <v>1.59</v>
      </c>
      <c r="F1606" s="607">
        <v>12.54</v>
      </c>
      <c r="G1606" s="584">
        <v>15</v>
      </c>
    </row>
    <row r="1607" spans="1:7" ht="30" x14ac:dyDescent="0.2">
      <c r="A1607" s="583" t="s">
        <v>15426</v>
      </c>
      <c r="B1607" s="605" t="s">
        <v>15427</v>
      </c>
      <c r="C1607" s="606" t="s">
        <v>12483</v>
      </c>
      <c r="D1607" s="607">
        <v>44.29</v>
      </c>
      <c r="E1607" s="607">
        <v>25.12</v>
      </c>
      <c r="F1607" s="607">
        <v>69.41</v>
      </c>
      <c r="G1607" s="584">
        <v>15</v>
      </c>
    </row>
    <row r="1608" spans="1:7" ht="30" x14ac:dyDescent="0.2">
      <c r="A1608" s="583" t="s">
        <v>15428</v>
      </c>
      <c r="B1608" s="605" t="s">
        <v>15429</v>
      </c>
      <c r="C1608" s="606" t="s">
        <v>12676</v>
      </c>
      <c r="D1608" s="607">
        <v>298.56</v>
      </c>
      <c r="E1608" s="607">
        <v>25.12</v>
      </c>
      <c r="F1608" s="607">
        <v>323.68</v>
      </c>
      <c r="G1608" s="584">
        <v>15</v>
      </c>
    </row>
    <row r="1609" spans="1:7" ht="45" x14ac:dyDescent="0.2">
      <c r="A1609" s="583" t="s">
        <v>15430</v>
      </c>
      <c r="B1609" s="605" t="s">
        <v>15431</v>
      </c>
      <c r="C1609" s="606" t="s">
        <v>12676</v>
      </c>
      <c r="D1609" s="607">
        <v>673.06</v>
      </c>
      <c r="E1609" s="607">
        <v>25.12</v>
      </c>
      <c r="F1609" s="607">
        <v>698.18</v>
      </c>
      <c r="G1609" s="584">
        <v>15</v>
      </c>
    </row>
    <row r="1610" spans="1:7" ht="30" x14ac:dyDescent="0.2">
      <c r="A1610" s="583" t="s">
        <v>15432</v>
      </c>
      <c r="B1610" s="605" t="s">
        <v>15433</v>
      </c>
      <c r="C1610" s="606" t="s">
        <v>12375</v>
      </c>
      <c r="D1610" s="607">
        <v>32.4</v>
      </c>
      <c r="E1610" s="607">
        <v>4.09</v>
      </c>
      <c r="F1610" s="607">
        <v>36.49</v>
      </c>
      <c r="G1610" s="584">
        <v>15</v>
      </c>
    </row>
    <row r="1611" spans="1:7" ht="30" x14ac:dyDescent="0.2">
      <c r="A1611" s="583" t="s">
        <v>15434</v>
      </c>
      <c r="B1611" s="605" t="s">
        <v>15435</v>
      </c>
      <c r="C1611" s="606" t="s">
        <v>12375</v>
      </c>
      <c r="D1611" s="607">
        <v>855.19</v>
      </c>
      <c r="E1611" s="607">
        <v>5.1100000000000003</v>
      </c>
      <c r="F1611" s="607">
        <v>860.3</v>
      </c>
      <c r="G1611" s="584">
        <v>15</v>
      </c>
    </row>
    <row r="1612" spans="1:7" ht="15" x14ac:dyDescent="0.2">
      <c r="A1612" s="583" t="s">
        <v>15436</v>
      </c>
      <c r="B1612" s="605" t="s">
        <v>15437</v>
      </c>
      <c r="C1612" s="606" t="s">
        <v>12375</v>
      </c>
      <c r="D1612" s="607">
        <v>148.33000000000001</v>
      </c>
      <c r="E1612" s="607">
        <v>87.92</v>
      </c>
      <c r="F1612" s="607">
        <v>236.25</v>
      </c>
      <c r="G1612" s="584">
        <v>15</v>
      </c>
    </row>
    <row r="1613" spans="1:7" ht="30" x14ac:dyDescent="0.2">
      <c r="A1613" s="583" t="s">
        <v>15438</v>
      </c>
      <c r="B1613" s="605" t="s">
        <v>15439</v>
      </c>
      <c r="C1613" s="606" t="s">
        <v>12375</v>
      </c>
      <c r="D1613" s="607">
        <v>311.18</v>
      </c>
      <c r="E1613" s="607">
        <v>200.96</v>
      </c>
      <c r="F1613" s="607">
        <v>512.14</v>
      </c>
      <c r="G1613" s="584">
        <v>15</v>
      </c>
    </row>
    <row r="1614" spans="1:7" ht="30" x14ac:dyDescent="0.2">
      <c r="A1614" s="583" t="s">
        <v>15440</v>
      </c>
      <c r="B1614" s="605" t="s">
        <v>15441</v>
      </c>
      <c r="C1614" s="606" t="s">
        <v>12375</v>
      </c>
      <c r="D1614" s="607">
        <v>212.24</v>
      </c>
      <c r="E1614" s="607">
        <v>22.66</v>
      </c>
      <c r="F1614" s="607">
        <v>234.9</v>
      </c>
      <c r="G1614" s="584">
        <v>15</v>
      </c>
    </row>
    <row r="1615" spans="1:7" ht="30" x14ac:dyDescent="0.2">
      <c r="A1615" s="583" t="s">
        <v>15442</v>
      </c>
      <c r="B1615" s="605" t="s">
        <v>15443</v>
      </c>
      <c r="C1615" s="606" t="s">
        <v>12375</v>
      </c>
      <c r="D1615" s="607">
        <v>27.95</v>
      </c>
      <c r="E1615" s="607">
        <v>4.09</v>
      </c>
      <c r="F1615" s="607">
        <v>32.04</v>
      </c>
      <c r="G1615" s="584">
        <v>15</v>
      </c>
    </row>
    <row r="1616" spans="1:7" ht="15" x14ac:dyDescent="0.25">
      <c r="A1616" s="583" t="s">
        <v>15444</v>
      </c>
      <c r="B1616" s="605" t="s">
        <v>15445</v>
      </c>
      <c r="C1616" s="606"/>
      <c r="D1616" s="607"/>
      <c r="E1616" s="607"/>
      <c r="F1616" s="607"/>
      <c r="G1616" s="582"/>
    </row>
    <row r="1617" spans="1:7" ht="30" x14ac:dyDescent="0.2">
      <c r="A1617" s="583" t="s">
        <v>15446</v>
      </c>
      <c r="B1617" s="605" t="s">
        <v>15447</v>
      </c>
      <c r="C1617" s="606" t="s">
        <v>12375</v>
      </c>
      <c r="D1617" s="607">
        <v>966.85</v>
      </c>
      <c r="E1617" s="607">
        <v>5.1100000000000003</v>
      </c>
      <c r="F1617" s="607">
        <v>971.96</v>
      </c>
      <c r="G1617" s="584">
        <v>15</v>
      </c>
    </row>
    <row r="1618" spans="1:7" ht="30" x14ac:dyDescent="0.2">
      <c r="A1618" s="583" t="s">
        <v>15448</v>
      </c>
      <c r="B1618" s="605" t="s">
        <v>15449</v>
      </c>
      <c r="C1618" s="606" t="s">
        <v>12375</v>
      </c>
      <c r="D1618" s="607">
        <v>1701.39</v>
      </c>
      <c r="E1618" s="607">
        <v>70.680000000000007</v>
      </c>
      <c r="F1618" s="607">
        <v>1772.07</v>
      </c>
      <c r="G1618" s="584">
        <v>15</v>
      </c>
    </row>
    <row r="1619" spans="1:7" ht="30" x14ac:dyDescent="0.2">
      <c r="A1619" s="583" t="s">
        <v>15450</v>
      </c>
      <c r="B1619" s="605" t="s">
        <v>20166</v>
      </c>
      <c r="C1619" s="606" t="s">
        <v>12375</v>
      </c>
      <c r="D1619" s="607">
        <v>2516.42</v>
      </c>
      <c r="E1619" s="607">
        <v>368.54</v>
      </c>
      <c r="F1619" s="607">
        <v>2884.96</v>
      </c>
      <c r="G1619" s="584">
        <v>15</v>
      </c>
    </row>
    <row r="1620" spans="1:7" ht="30" x14ac:dyDescent="0.2">
      <c r="A1620" s="583" t="s">
        <v>15451</v>
      </c>
      <c r="B1620" s="605" t="s">
        <v>15452</v>
      </c>
      <c r="C1620" s="606" t="s">
        <v>12375</v>
      </c>
      <c r="D1620" s="607">
        <v>1061.8900000000001</v>
      </c>
      <c r="E1620" s="607">
        <v>60.46</v>
      </c>
      <c r="F1620" s="607">
        <v>1122.3499999999999</v>
      </c>
      <c r="G1620" s="584">
        <v>15</v>
      </c>
    </row>
    <row r="1621" spans="1:7" ht="15" x14ac:dyDescent="0.25">
      <c r="A1621" s="583" t="s">
        <v>15453</v>
      </c>
      <c r="B1621" s="605" t="s">
        <v>15454</v>
      </c>
      <c r="C1621" s="606"/>
      <c r="D1621" s="607"/>
      <c r="E1621" s="607"/>
      <c r="F1621" s="607"/>
      <c r="G1621" s="582"/>
    </row>
    <row r="1622" spans="1:7" ht="45" x14ac:dyDescent="0.2">
      <c r="A1622" s="583" t="s">
        <v>15455</v>
      </c>
      <c r="B1622" s="605" t="s">
        <v>21397</v>
      </c>
      <c r="C1622" s="606" t="s">
        <v>12676</v>
      </c>
      <c r="D1622" s="607">
        <v>27850.73</v>
      </c>
      <c r="E1622" s="607"/>
      <c r="F1622" s="607">
        <v>27850.73</v>
      </c>
      <c r="G1622" s="584">
        <v>15</v>
      </c>
    </row>
    <row r="1623" spans="1:7" ht="45" x14ac:dyDescent="0.2">
      <c r="A1623" s="583" t="s">
        <v>15456</v>
      </c>
      <c r="B1623" s="605" t="s">
        <v>21398</v>
      </c>
      <c r="C1623" s="606" t="s">
        <v>12676</v>
      </c>
      <c r="D1623" s="607">
        <v>28161.32</v>
      </c>
      <c r="E1623" s="607"/>
      <c r="F1623" s="607">
        <v>28161.32</v>
      </c>
      <c r="G1623" s="584">
        <v>15</v>
      </c>
    </row>
    <row r="1624" spans="1:7" ht="30" x14ac:dyDescent="0.2">
      <c r="A1624" s="583" t="s">
        <v>21399</v>
      </c>
      <c r="B1624" s="605" t="s">
        <v>21400</v>
      </c>
      <c r="C1624" s="606" t="s">
        <v>12676</v>
      </c>
      <c r="D1624" s="607">
        <v>82176.59</v>
      </c>
      <c r="E1624" s="607"/>
      <c r="F1624" s="607">
        <v>82176.59</v>
      </c>
      <c r="G1624" s="584">
        <v>15</v>
      </c>
    </row>
    <row r="1625" spans="1:7" ht="15" x14ac:dyDescent="0.25">
      <c r="A1625" s="583" t="s">
        <v>15457</v>
      </c>
      <c r="B1625" s="605" t="s">
        <v>15458</v>
      </c>
      <c r="C1625" s="606"/>
      <c r="D1625" s="607"/>
      <c r="E1625" s="607"/>
      <c r="F1625" s="607"/>
      <c r="G1625" s="582"/>
    </row>
    <row r="1626" spans="1:7" ht="15" x14ac:dyDescent="0.25">
      <c r="A1626" s="583" t="s">
        <v>15459</v>
      </c>
      <c r="B1626" s="605" t="s">
        <v>15460</v>
      </c>
      <c r="C1626" s="606"/>
      <c r="D1626" s="607"/>
      <c r="E1626" s="607"/>
      <c r="F1626" s="607"/>
      <c r="G1626" s="582"/>
    </row>
    <row r="1627" spans="1:7" ht="15" x14ac:dyDescent="0.2">
      <c r="A1627" s="583" t="s">
        <v>15461</v>
      </c>
      <c r="B1627" s="605" t="s">
        <v>15462</v>
      </c>
      <c r="C1627" s="606" t="s">
        <v>12427</v>
      </c>
      <c r="D1627" s="607">
        <v>18.04</v>
      </c>
      <c r="E1627" s="607">
        <v>4.09</v>
      </c>
      <c r="F1627" s="607">
        <v>22.13</v>
      </c>
      <c r="G1627" s="584">
        <v>15</v>
      </c>
    </row>
    <row r="1628" spans="1:7" ht="15" x14ac:dyDescent="0.2">
      <c r="A1628" s="583" t="s">
        <v>15463</v>
      </c>
      <c r="B1628" s="605" t="s">
        <v>15464</v>
      </c>
      <c r="C1628" s="606" t="s">
        <v>12427</v>
      </c>
      <c r="D1628" s="607">
        <v>30.27</v>
      </c>
      <c r="E1628" s="607">
        <v>4.09</v>
      </c>
      <c r="F1628" s="607">
        <v>34.36</v>
      </c>
      <c r="G1628" s="584">
        <v>15</v>
      </c>
    </row>
    <row r="1629" spans="1:7" ht="15" x14ac:dyDescent="0.2">
      <c r="A1629" s="583" t="s">
        <v>15465</v>
      </c>
      <c r="B1629" s="605" t="s">
        <v>15466</v>
      </c>
      <c r="C1629" s="606" t="s">
        <v>12508</v>
      </c>
      <c r="D1629" s="607">
        <v>696.5</v>
      </c>
      <c r="E1629" s="607">
        <v>57.23</v>
      </c>
      <c r="F1629" s="607">
        <v>753.73</v>
      </c>
      <c r="G1629" s="584">
        <v>15</v>
      </c>
    </row>
    <row r="1630" spans="1:7" ht="30" x14ac:dyDescent="0.2">
      <c r="A1630" s="583" t="s">
        <v>15467</v>
      </c>
      <c r="B1630" s="605" t="s">
        <v>15468</v>
      </c>
      <c r="C1630" s="606" t="s">
        <v>12427</v>
      </c>
      <c r="D1630" s="607">
        <v>181.59</v>
      </c>
      <c r="E1630" s="607">
        <v>7.52</v>
      </c>
      <c r="F1630" s="607">
        <v>189.11</v>
      </c>
      <c r="G1630" s="584">
        <v>15</v>
      </c>
    </row>
    <row r="1631" spans="1:7" ht="45" x14ac:dyDescent="0.2">
      <c r="A1631" s="583" t="s">
        <v>15469</v>
      </c>
      <c r="B1631" s="605" t="s">
        <v>15470</v>
      </c>
      <c r="C1631" s="606" t="s">
        <v>12427</v>
      </c>
      <c r="D1631" s="607">
        <v>20.32</v>
      </c>
      <c r="E1631" s="607">
        <v>11.1</v>
      </c>
      <c r="F1631" s="607">
        <v>31.42</v>
      </c>
      <c r="G1631" s="584">
        <v>15</v>
      </c>
    </row>
    <row r="1632" spans="1:7" ht="30" x14ac:dyDescent="0.2">
      <c r="A1632" s="583" t="s">
        <v>15471</v>
      </c>
      <c r="B1632" s="605" t="s">
        <v>20378</v>
      </c>
      <c r="C1632" s="606" t="s">
        <v>12427</v>
      </c>
      <c r="D1632" s="607">
        <v>79.989999999999995</v>
      </c>
      <c r="E1632" s="607"/>
      <c r="F1632" s="607">
        <v>79.989999999999995</v>
      </c>
      <c r="G1632" s="584">
        <v>15</v>
      </c>
    </row>
    <row r="1633" spans="1:7" ht="15" x14ac:dyDescent="0.2">
      <c r="A1633" s="583" t="s">
        <v>20379</v>
      </c>
      <c r="B1633" s="605" t="s">
        <v>20380</v>
      </c>
      <c r="C1633" s="606" t="s">
        <v>12427</v>
      </c>
      <c r="D1633" s="607">
        <v>19.75</v>
      </c>
      <c r="E1633" s="607">
        <v>35.17</v>
      </c>
      <c r="F1633" s="607">
        <v>54.92</v>
      </c>
      <c r="G1633" s="584">
        <v>15</v>
      </c>
    </row>
    <row r="1634" spans="1:7" ht="30" x14ac:dyDescent="0.2">
      <c r="A1634" s="583" t="s">
        <v>15472</v>
      </c>
      <c r="B1634" s="605" t="s">
        <v>15473</v>
      </c>
      <c r="C1634" s="606" t="s">
        <v>12427</v>
      </c>
      <c r="D1634" s="607">
        <v>1397.54</v>
      </c>
      <c r="E1634" s="607"/>
      <c r="F1634" s="607">
        <v>1397.54</v>
      </c>
      <c r="G1634" s="584">
        <v>15</v>
      </c>
    </row>
    <row r="1635" spans="1:7" ht="30" x14ac:dyDescent="0.2">
      <c r="A1635" s="583" t="s">
        <v>15474</v>
      </c>
      <c r="B1635" s="605" t="s">
        <v>15475</v>
      </c>
      <c r="C1635" s="606" t="s">
        <v>12427</v>
      </c>
      <c r="D1635" s="607">
        <v>72.09</v>
      </c>
      <c r="E1635" s="607">
        <v>30.14</v>
      </c>
      <c r="F1635" s="607">
        <v>102.23</v>
      </c>
      <c r="G1635" s="584">
        <v>15</v>
      </c>
    </row>
    <row r="1636" spans="1:7" ht="45" x14ac:dyDescent="0.2">
      <c r="A1636" s="583" t="s">
        <v>15476</v>
      </c>
      <c r="B1636" s="605" t="s">
        <v>15477</v>
      </c>
      <c r="C1636" s="606" t="s">
        <v>12427</v>
      </c>
      <c r="D1636" s="607">
        <v>704.91</v>
      </c>
      <c r="E1636" s="607"/>
      <c r="F1636" s="607">
        <v>704.91</v>
      </c>
      <c r="G1636" s="584">
        <v>15</v>
      </c>
    </row>
    <row r="1637" spans="1:7" ht="15" x14ac:dyDescent="0.25">
      <c r="A1637" s="583" t="s">
        <v>15478</v>
      </c>
      <c r="B1637" s="605" t="s">
        <v>15479</v>
      </c>
      <c r="C1637" s="606"/>
      <c r="D1637" s="607"/>
      <c r="E1637" s="607"/>
      <c r="F1637" s="607"/>
      <c r="G1637" s="582"/>
    </row>
    <row r="1638" spans="1:7" ht="15" x14ac:dyDescent="0.2">
      <c r="A1638" s="583" t="s">
        <v>15480</v>
      </c>
      <c r="B1638" s="605" t="s">
        <v>15481</v>
      </c>
      <c r="C1638" s="606" t="s">
        <v>12483</v>
      </c>
      <c r="D1638" s="607">
        <v>1.44</v>
      </c>
      <c r="E1638" s="607">
        <v>7.45</v>
      </c>
      <c r="F1638" s="607">
        <v>8.89</v>
      </c>
      <c r="G1638" s="584">
        <v>15</v>
      </c>
    </row>
    <row r="1639" spans="1:7" ht="15" x14ac:dyDescent="0.2">
      <c r="A1639" s="583" t="s">
        <v>15482</v>
      </c>
      <c r="B1639" s="605" t="s">
        <v>15483</v>
      </c>
      <c r="C1639" s="606" t="s">
        <v>12483</v>
      </c>
      <c r="D1639" s="607">
        <v>64.91</v>
      </c>
      <c r="E1639" s="607">
        <v>7.45</v>
      </c>
      <c r="F1639" s="607">
        <v>72.36</v>
      </c>
      <c r="G1639" s="584">
        <v>15</v>
      </c>
    </row>
    <row r="1640" spans="1:7" ht="30" x14ac:dyDescent="0.2">
      <c r="A1640" s="583" t="s">
        <v>15484</v>
      </c>
      <c r="B1640" s="605" t="s">
        <v>15485</v>
      </c>
      <c r="C1640" s="606" t="s">
        <v>12483</v>
      </c>
      <c r="D1640" s="607">
        <v>8.39</v>
      </c>
      <c r="E1640" s="607">
        <v>3.11</v>
      </c>
      <c r="F1640" s="607">
        <v>11.5</v>
      </c>
      <c r="G1640" s="584">
        <v>15</v>
      </c>
    </row>
    <row r="1641" spans="1:7" ht="15" x14ac:dyDescent="0.2">
      <c r="A1641" s="583" t="s">
        <v>15486</v>
      </c>
      <c r="B1641" s="605" t="s">
        <v>15487</v>
      </c>
      <c r="C1641" s="606" t="s">
        <v>15488</v>
      </c>
      <c r="D1641" s="607">
        <v>0.15</v>
      </c>
      <c r="E1641" s="607">
        <v>0.06</v>
      </c>
      <c r="F1641" s="607">
        <v>0.21</v>
      </c>
      <c r="G1641" s="584">
        <v>15</v>
      </c>
    </row>
    <row r="1642" spans="1:7" ht="15" x14ac:dyDescent="0.2">
      <c r="A1642" s="583" t="s">
        <v>15489</v>
      </c>
      <c r="B1642" s="605" t="s">
        <v>15490</v>
      </c>
      <c r="C1642" s="606" t="s">
        <v>12483</v>
      </c>
      <c r="D1642" s="607">
        <v>6.75</v>
      </c>
      <c r="E1642" s="607">
        <v>4.97</v>
      </c>
      <c r="F1642" s="607">
        <v>11.72</v>
      </c>
      <c r="G1642" s="584">
        <v>15</v>
      </c>
    </row>
    <row r="1643" spans="1:7" ht="15" x14ac:dyDescent="0.2">
      <c r="A1643" s="583" t="s">
        <v>15491</v>
      </c>
      <c r="B1643" s="605" t="s">
        <v>15492</v>
      </c>
      <c r="C1643" s="606" t="s">
        <v>15488</v>
      </c>
      <c r="D1643" s="607">
        <v>0.16</v>
      </c>
      <c r="E1643" s="607">
        <v>0.12</v>
      </c>
      <c r="F1643" s="607">
        <v>0.28000000000000003</v>
      </c>
      <c r="G1643" s="584">
        <v>15</v>
      </c>
    </row>
    <row r="1644" spans="1:7" ht="30" x14ac:dyDescent="0.2">
      <c r="A1644" s="583" t="s">
        <v>21401</v>
      </c>
      <c r="B1644" s="605" t="s">
        <v>21402</v>
      </c>
      <c r="C1644" s="606" t="s">
        <v>12483</v>
      </c>
      <c r="D1644" s="607">
        <v>9.1</v>
      </c>
      <c r="E1644" s="607">
        <v>0.09</v>
      </c>
      <c r="F1644" s="607">
        <v>9.19</v>
      </c>
      <c r="G1644" s="584">
        <v>15</v>
      </c>
    </row>
    <row r="1645" spans="1:7" ht="30" x14ac:dyDescent="0.2">
      <c r="A1645" s="583" t="s">
        <v>15493</v>
      </c>
      <c r="B1645" s="605" t="s">
        <v>15494</v>
      </c>
      <c r="C1645" s="606" t="s">
        <v>12483</v>
      </c>
      <c r="D1645" s="607">
        <v>243.96</v>
      </c>
      <c r="E1645" s="607">
        <v>4.53</v>
      </c>
      <c r="F1645" s="607">
        <v>248.49</v>
      </c>
      <c r="G1645" s="584">
        <v>15</v>
      </c>
    </row>
    <row r="1646" spans="1:7" ht="45" x14ac:dyDescent="0.2">
      <c r="A1646" s="583" t="s">
        <v>15495</v>
      </c>
      <c r="B1646" s="605" t="s">
        <v>15496</v>
      </c>
      <c r="C1646" s="606" t="s">
        <v>12483</v>
      </c>
      <c r="D1646" s="607">
        <v>289.67</v>
      </c>
      <c r="E1646" s="607">
        <v>4.53</v>
      </c>
      <c r="F1646" s="607">
        <v>294.2</v>
      </c>
      <c r="G1646" s="584">
        <v>15</v>
      </c>
    </row>
    <row r="1647" spans="1:7" ht="45" x14ac:dyDescent="0.2">
      <c r="A1647" s="583" t="s">
        <v>15497</v>
      </c>
      <c r="B1647" s="605" t="s">
        <v>15498</v>
      </c>
      <c r="C1647" s="606" t="s">
        <v>12483</v>
      </c>
      <c r="D1647" s="607">
        <v>114.26</v>
      </c>
      <c r="E1647" s="607">
        <v>4.53</v>
      </c>
      <c r="F1647" s="607">
        <v>118.79</v>
      </c>
      <c r="G1647" s="584">
        <v>15</v>
      </c>
    </row>
    <row r="1648" spans="1:7" ht="45" x14ac:dyDescent="0.2">
      <c r="A1648" s="583" t="s">
        <v>15499</v>
      </c>
      <c r="B1648" s="605" t="s">
        <v>15500</v>
      </c>
      <c r="C1648" s="606" t="s">
        <v>12483</v>
      </c>
      <c r="D1648" s="607">
        <v>108</v>
      </c>
      <c r="E1648" s="607">
        <v>4.53</v>
      </c>
      <c r="F1648" s="607">
        <v>112.53</v>
      </c>
      <c r="G1648" s="584">
        <v>15</v>
      </c>
    </row>
    <row r="1649" spans="1:7" ht="15" x14ac:dyDescent="0.25">
      <c r="A1649" s="583" t="s">
        <v>15501</v>
      </c>
      <c r="B1649" s="605" t="s">
        <v>15502</v>
      </c>
      <c r="C1649" s="606"/>
      <c r="D1649" s="607"/>
      <c r="E1649" s="607"/>
      <c r="F1649" s="607"/>
      <c r="G1649" s="582"/>
    </row>
    <row r="1650" spans="1:7" ht="30" x14ac:dyDescent="0.2">
      <c r="A1650" s="583" t="s">
        <v>15503</v>
      </c>
      <c r="B1650" s="605" t="s">
        <v>15504</v>
      </c>
      <c r="C1650" s="606" t="s">
        <v>12427</v>
      </c>
      <c r="D1650" s="607">
        <v>7.62</v>
      </c>
      <c r="E1650" s="607">
        <v>3.07</v>
      </c>
      <c r="F1650" s="607">
        <v>10.69</v>
      </c>
      <c r="G1650" s="584">
        <v>15</v>
      </c>
    </row>
    <row r="1651" spans="1:7" ht="30" x14ac:dyDescent="0.2">
      <c r="A1651" s="583" t="s">
        <v>15505</v>
      </c>
      <c r="B1651" s="605" t="s">
        <v>15506</v>
      </c>
      <c r="C1651" s="606" t="s">
        <v>12427</v>
      </c>
      <c r="D1651" s="607">
        <v>24.6</v>
      </c>
      <c r="E1651" s="607">
        <v>3.07</v>
      </c>
      <c r="F1651" s="607">
        <v>27.67</v>
      </c>
      <c r="G1651" s="584">
        <v>15</v>
      </c>
    </row>
    <row r="1652" spans="1:7" ht="30" x14ac:dyDescent="0.2">
      <c r="A1652" s="583" t="s">
        <v>15507</v>
      </c>
      <c r="B1652" s="605" t="s">
        <v>15508</v>
      </c>
      <c r="C1652" s="606" t="s">
        <v>12483</v>
      </c>
      <c r="D1652" s="607">
        <v>45.36</v>
      </c>
      <c r="E1652" s="607">
        <v>21.05</v>
      </c>
      <c r="F1652" s="607">
        <v>66.41</v>
      </c>
      <c r="G1652" s="584">
        <v>15</v>
      </c>
    </row>
    <row r="1653" spans="1:7" ht="30" x14ac:dyDescent="0.2">
      <c r="A1653" s="583" t="s">
        <v>15509</v>
      </c>
      <c r="B1653" s="605" t="s">
        <v>15510</v>
      </c>
      <c r="C1653" s="606" t="s">
        <v>12483</v>
      </c>
      <c r="D1653" s="607">
        <v>92.42</v>
      </c>
      <c r="E1653" s="607">
        <v>21.05</v>
      </c>
      <c r="F1653" s="607">
        <v>113.47</v>
      </c>
      <c r="G1653" s="584">
        <v>15</v>
      </c>
    </row>
    <row r="1654" spans="1:7" ht="30" x14ac:dyDescent="0.2">
      <c r="A1654" s="583" t="s">
        <v>15511</v>
      </c>
      <c r="B1654" s="605" t="s">
        <v>15512</v>
      </c>
      <c r="C1654" s="606" t="s">
        <v>12483</v>
      </c>
      <c r="D1654" s="607">
        <v>131.19</v>
      </c>
      <c r="E1654" s="607"/>
      <c r="F1654" s="607">
        <v>131.19</v>
      </c>
      <c r="G1654" s="584">
        <v>15</v>
      </c>
    </row>
    <row r="1655" spans="1:7" ht="30" x14ac:dyDescent="0.2">
      <c r="A1655" s="583" t="s">
        <v>15513</v>
      </c>
      <c r="B1655" s="605" t="s">
        <v>15514</v>
      </c>
      <c r="C1655" s="606" t="s">
        <v>12483</v>
      </c>
      <c r="D1655" s="607">
        <v>399.7</v>
      </c>
      <c r="E1655" s="607"/>
      <c r="F1655" s="607">
        <v>399.7</v>
      </c>
      <c r="G1655" s="584">
        <v>15</v>
      </c>
    </row>
    <row r="1656" spans="1:7" ht="30" x14ac:dyDescent="0.2">
      <c r="A1656" s="583" t="s">
        <v>15515</v>
      </c>
      <c r="B1656" s="605" t="s">
        <v>15516</v>
      </c>
      <c r="C1656" s="606" t="s">
        <v>12483</v>
      </c>
      <c r="D1656" s="607">
        <v>901.93</v>
      </c>
      <c r="E1656" s="607">
        <v>10.220000000000001</v>
      </c>
      <c r="F1656" s="607">
        <v>912.15</v>
      </c>
      <c r="G1656" s="584">
        <v>15</v>
      </c>
    </row>
    <row r="1657" spans="1:7" ht="30" x14ac:dyDescent="0.2">
      <c r="A1657" s="583" t="s">
        <v>15517</v>
      </c>
      <c r="B1657" s="605" t="s">
        <v>15518</v>
      </c>
      <c r="C1657" s="606" t="s">
        <v>12483</v>
      </c>
      <c r="D1657" s="607">
        <v>1215.8399999999999</v>
      </c>
      <c r="E1657" s="607">
        <v>10.220000000000001</v>
      </c>
      <c r="F1657" s="607">
        <v>1226.06</v>
      </c>
      <c r="G1657" s="584">
        <v>15</v>
      </c>
    </row>
    <row r="1658" spans="1:7" ht="15" x14ac:dyDescent="0.2">
      <c r="A1658" s="583" t="s">
        <v>15519</v>
      </c>
      <c r="B1658" s="605" t="s">
        <v>15520</v>
      </c>
      <c r="C1658" s="606" t="s">
        <v>12483</v>
      </c>
      <c r="D1658" s="607">
        <v>173.94</v>
      </c>
      <c r="E1658" s="607"/>
      <c r="F1658" s="607">
        <v>173.94</v>
      </c>
      <c r="G1658" s="584">
        <v>15</v>
      </c>
    </row>
    <row r="1659" spans="1:7" ht="15" x14ac:dyDescent="0.25">
      <c r="A1659" s="583" t="s">
        <v>15521</v>
      </c>
      <c r="B1659" s="605" t="s">
        <v>15522</v>
      </c>
      <c r="C1659" s="606"/>
      <c r="D1659" s="607"/>
      <c r="E1659" s="607"/>
      <c r="F1659" s="607"/>
      <c r="G1659" s="582"/>
    </row>
    <row r="1660" spans="1:7" ht="15" x14ac:dyDescent="0.2">
      <c r="A1660" s="583" t="s">
        <v>15523</v>
      </c>
      <c r="B1660" s="605" t="s">
        <v>15524</v>
      </c>
      <c r="C1660" s="606" t="s">
        <v>12929</v>
      </c>
      <c r="D1660" s="607">
        <v>9.4700000000000006</v>
      </c>
      <c r="E1660" s="607">
        <v>13.59</v>
      </c>
      <c r="F1660" s="607">
        <v>23.06</v>
      </c>
      <c r="G1660" s="584">
        <v>15</v>
      </c>
    </row>
    <row r="1661" spans="1:7" ht="15" x14ac:dyDescent="0.2">
      <c r="A1661" s="583" t="s">
        <v>15525</v>
      </c>
      <c r="B1661" s="605" t="s">
        <v>15526</v>
      </c>
      <c r="C1661" s="606" t="s">
        <v>15527</v>
      </c>
      <c r="D1661" s="607">
        <v>203.26</v>
      </c>
      <c r="E1661" s="607">
        <v>9.06</v>
      </c>
      <c r="F1661" s="607">
        <v>212.32</v>
      </c>
      <c r="G1661" s="584">
        <v>15</v>
      </c>
    </row>
    <row r="1662" spans="1:7" ht="15" x14ac:dyDescent="0.25">
      <c r="A1662" s="583" t="s">
        <v>15528</v>
      </c>
      <c r="B1662" s="605" t="s">
        <v>15529</v>
      </c>
      <c r="C1662" s="606"/>
      <c r="D1662" s="607"/>
      <c r="E1662" s="607"/>
      <c r="F1662" s="607"/>
      <c r="G1662" s="582"/>
    </row>
    <row r="1663" spans="1:7" ht="30" x14ac:dyDescent="0.2">
      <c r="A1663" s="583" t="s">
        <v>15530</v>
      </c>
      <c r="B1663" s="605" t="s">
        <v>15531</v>
      </c>
      <c r="C1663" s="606" t="s">
        <v>12483</v>
      </c>
      <c r="D1663" s="607">
        <v>4.72</v>
      </c>
      <c r="E1663" s="607">
        <v>2.76</v>
      </c>
      <c r="F1663" s="607">
        <v>7.48</v>
      </c>
      <c r="G1663" s="584">
        <v>15</v>
      </c>
    </row>
    <row r="1664" spans="1:7" ht="30" x14ac:dyDescent="0.2">
      <c r="A1664" s="583" t="s">
        <v>15532</v>
      </c>
      <c r="B1664" s="605" t="s">
        <v>15533</v>
      </c>
      <c r="C1664" s="606" t="s">
        <v>12483</v>
      </c>
      <c r="D1664" s="607">
        <v>9.4499999999999993</v>
      </c>
      <c r="E1664" s="607">
        <v>5.52</v>
      </c>
      <c r="F1664" s="607">
        <v>14.97</v>
      </c>
      <c r="G1664" s="584">
        <v>15</v>
      </c>
    </row>
    <row r="1665" spans="1:7" ht="30" x14ac:dyDescent="0.2">
      <c r="A1665" s="583" t="s">
        <v>15534</v>
      </c>
      <c r="B1665" s="605" t="s">
        <v>15535</v>
      </c>
      <c r="C1665" s="606" t="s">
        <v>12483</v>
      </c>
      <c r="D1665" s="607">
        <v>14.19</v>
      </c>
      <c r="E1665" s="607">
        <v>8.2799999999999994</v>
      </c>
      <c r="F1665" s="607">
        <v>22.47</v>
      </c>
      <c r="G1665" s="584">
        <v>15</v>
      </c>
    </row>
    <row r="1666" spans="1:7" ht="30" x14ac:dyDescent="0.2">
      <c r="A1666" s="583" t="s">
        <v>15536</v>
      </c>
      <c r="B1666" s="605" t="s">
        <v>15537</v>
      </c>
      <c r="C1666" s="606" t="s">
        <v>12483</v>
      </c>
      <c r="D1666" s="607">
        <v>18.93</v>
      </c>
      <c r="E1666" s="607">
        <v>11.04</v>
      </c>
      <c r="F1666" s="607">
        <v>29.97</v>
      </c>
      <c r="G1666" s="584">
        <v>15</v>
      </c>
    </row>
    <row r="1667" spans="1:7" ht="30" x14ac:dyDescent="0.2">
      <c r="A1667" s="583" t="s">
        <v>15538</v>
      </c>
      <c r="B1667" s="605" t="s">
        <v>15539</v>
      </c>
      <c r="C1667" s="606" t="s">
        <v>12483</v>
      </c>
      <c r="D1667" s="607">
        <v>28.41</v>
      </c>
      <c r="E1667" s="607">
        <v>16.57</v>
      </c>
      <c r="F1667" s="607">
        <v>44.98</v>
      </c>
      <c r="G1667" s="584">
        <v>15</v>
      </c>
    </row>
    <row r="1668" spans="1:7" ht="30" x14ac:dyDescent="0.2">
      <c r="A1668" s="583" t="s">
        <v>15540</v>
      </c>
      <c r="B1668" s="605" t="s">
        <v>15541</v>
      </c>
      <c r="C1668" s="606" t="s">
        <v>12483</v>
      </c>
      <c r="D1668" s="607">
        <v>29.21</v>
      </c>
      <c r="E1668" s="607">
        <v>1.7</v>
      </c>
      <c r="F1668" s="607">
        <v>30.91</v>
      </c>
      <c r="G1668" s="584">
        <v>15</v>
      </c>
    </row>
    <row r="1669" spans="1:7" ht="30" x14ac:dyDescent="0.2">
      <c r="A1669" s="583" t="s">
        <v>15542</v>
      </c>
      <c r="B1669" s="605" t="s">
        <v>15543</v>
      </c>
      <c r="C1669" s="606" t="s">
        <v>12483</v>
      </c>
      <c r="D1669" s="607">
        <v>51.93</v>
      </c>
      <c r="E1669" s="607">
        <v>2.39</v>
      </c>
      <c r="F1669" s="607">
        <v>54.32</v>
      </c>
      <c r="G1669" s="584">
        <v>15</v>
      </c>
    </row>
    <row r="1670" spans="1:7" ht="30" x14ac:dyDescent="0.2">
      <c r="A1670" s="583" t="s">
        <v>15544</v>
      </c>
      <c r="B1670" s="605" t="s">
        <v>15545</v>
      </c>
      <c r="C1670" s="606" t="s">
        <v>12483</v>
      </c>
      <c r="D1670" s="607">
        <v>73.819999999999993</v>
      </c>
      <c r="E1670" s="607">
        <v>3.07</v>
      </c>
      <c r="F1670" s="607">
        <v>76.89</v>
      </c>
      <c r="G1670" s="584">
        <v>15</v>
      </c>
    </row>
    <row r="1671" spans="1:7" ht="15" x14ac:dyDescent="0.25">
      <c r="A1671" s="583" t="s">
        <v>15546</v>
      </c>
      <c r="B1671" s="605" t="s">
        <v>15547</v>
      </c>
      <c r="C1671" s="606"/>
      <c r="D1671" s="607"/>
      <c r="E1671" s="607"/>
      <c r="F1671" s="607"/>
      <c r="G1671" s="582"/>
    </row>
    <row r="1672" spans="1:7" ht="15" x14ac:dyDescent="0.2">
      <c r="A1672" s="583" t="s">
        <v>15548</v>
      </c>
      <c r="B1672" s="605" t="s">
        <v>15549</v>
      </c>
      <c r="C1672" s="606" t="s">
        <v>12427</v>
      </c>
      <c r="D1672" s="607">
        <v>33.76</v>
      </c>
      <c r="E1672" s="607">
        <v>11.55</v>
      </c>
      <c r="F1672" s="607">
        <v>45.31</v>
      </c>
      <c r="G1672" s="584">
        <v>15</v>
      </c>
    </row>
    <row r="1673" spans="1:7" ht="30" x14ac:dyDescent="0.2">
      <c r="A1673" s="583" t="s">
        <v>15550</v>
      </c>
      <c r="B1673" s="605" t="s">
        <v>15551</v>
      </c>
      <c r="C1673" s="606" t="s">
        <v>12483</v>
      </c>
      <c r="D1673" s="607">
        <v>1.83</v>
      </c>
      <c r="E1673" s="607">
        <v>11.55</v>
      </c>
      <c r="F1673" s="607">
        <v>13.38</v>
      </c>
      <c r="G1673" s="584">
        <v>15</v>
      </c>
    </row>
    <row r="1674" spans="1:7" ht="30" x14ac:dyDescent="0.2">
      <c r="A1674" s="583" t="s">
        <v>15552</v>
      </c>
      <c r="B1674" s="605" t="s">
        <v>15553</v>
      </c>
      <c r="C1674" s="606" t="s">
        <v>12483</v>
      </c>
      <c r="D1674" s="607">
        <v>2.64</v>
      </c>
      <c r="E1674" s="607">
        <v>11.55</v>
      </c>
      <c r="F1674" s="607">
        <v>14.19</v>
      </c>
      <c r="G1674" s="584">
        <v>15</v>
      </c>
    </row>
    <row r="1675" spans="1:7" ht="30" x14ac:dyDescent="0.2">
      <c r="A1675" s="583" t="s">
        <v>15554</v>
      </c>
      <c r="B1675" s="605" t="s">
        <v>15555</v>
      </c>
      <c r="C1675" s="606" t="s">
        <v>12483</v>
      </c>
      <c r="D1675" s="607">
        <v>3.15</v>
      </c>
      <c r="E1675" s="607">
        <v>11.55</v>
      </c>
      <c r="F1675" s="607">
        <v>14.7</v>
      </c>
      <c r="G1675" s="584">
        <v>15</v>
      </c>
    </row>
    <row r="1676" spans="1:7" ht="30" x14ac:dyDescent="0.2">
      <c r="A1676" s="583" t="s">
        <v>15556</v>
      </c>
      <c r="B1676" s="605" t="s">
        <v>15557</v>
      </c>
      <c r="C1676" s="606" t="s">
        <v>12483</v>
      </c>
      <c r="D1676" s="607">
        <v>4.12</v>
      </c>
      <c r="E1676" s="607">
        <v>11.55</v>
      </c>
      <c r="F1676" s="607">
        <v>15.67</v>
      </c>
      <c r="G1676" s="584">
        <v>15</v>
      </c>
    </row>
    <row r="1677" spans="1:7" ht="30" x14ac:dyDescent="0.2">
      <c r="A1677" s="583" t="s">
        <v>15558</v>
      </c>
      <c r="B1677" s="605" t="s">
        <v>15559</v>
      </c>
      <c r="C1677" s="606" t="s">
        <v>12483</v>
      </c>
      <c r="D1677" s="607">
        <v>5.0199999999999996</v>
      </c>
      <c r="E1677" s="607">
        <v>11.55</v>
      </c>
      <c r="F1677" s="607">
        <v>16.57</v>
      </c>
      <c r="G1677" s="584">
        <v>15</v>
      </c>
    </row>
    <row r="1678" spans="1:7" ht="30" x14ac:dyDescent="0.2">
      <c r="A1678" s="583" t="s">
        <v>15560</v>
      </c>
      <c r="B1678" s="605" t="s">
        <v>15561</v>
      </c>
      <c r="C1678" s="606" t="s">
        <v>12483</v>
      </c>
      <c r="D1678" s="607">
        <v>9.77</v>
      </c>
      <c r="E1678" s="607">
        <v>11.55</v>
      </c>
      <c r="F1678" s="607">
        <v>21.32</v>
      </c>
      <c r="G1678" s="584">
        <v>15</v>
      </c>
    </row>
    <row r="1679" spans="1:7" ht="30" x14ac:dyDescent="0.2">
      <c r="A1679" s="583" t="s">
        <v>15562</v>
      </c>
      <c r="B1679" s="605" t="s">
        <v>15563</v>
      </c>
      <c r="C1679" s="606" t="s">
        <v>12483</v>
      </c>
      <c r="D1679" s="607">
        <v>7.13</v>
      </c>
      <c r="E1679" s="607">
        <v>11.55</v>
      </c>
      <c r="F1679" s="607">
        <v>18.68</v>
      </c>
      <c r="G1679" s="584">
        <v>15</v>
      </c>
    </row>
    <row r="1680" spans="1:7" ht="30" x14ac:dyDescent="0.2">
      <c r="A1680" s="583" t="s">
        <v>15564</v>
      </c>
      <c r="B1680" s="605" t="s">
        <v>15565</v>
      </c>
      <c r="C1680" s="606" t="s">
        <v>12483</v>
      </c>
      <c r="D1680" s="607">
        <v>8.02</v>
      </c>
      <c r="E1680" s="607">
        <v>11.55</v>
      </c>
      <c r="F1680" s="607">
        <v>19.57</v>
      </c>
      <c r="G1680" s="584">
        <v>15</v>
      </c>
    </row>
    <row r="1681" spans="1:7" ht="30" x14ac:dyDescent="0.2">
      <c r="A1681" s="583" t="s">
        <v>15566</v>
      </c>
      <c r="B1681" s="605" t="s">
        <v>15567</v>
      </c>
      <c r="C1681" s="606" t="s">
        <v>12483</v>
      </c>
      <c r="D1681" s="607">
        <v>8.52</v>
      </c>
      <c r="E1681" s="607">
        <v>11.55</v>
      </c>
      <c r="F1681" s="607">
        <v>20.07</v>
      </c>
      <c r="G1681" s="584">
        <v>15</v>
      </c>
    </row>
    <row r="1682" spans="1:7" ht="30" x14ac:dyDescent="0.2">
      <c r="A1682" s="583" t="s">
        <v>15568</v>
      </c>
      <c r="B1682" s="605" t="s">
        <v>15569</v>
      </c>
      <c r="C1682" s="606" t="s">
        <v>12483</v>
      </c>
      <c r="D1682" s="607">
        <v>9.83</v>
      </c>
      <c r="E1682" s="607">
        <v>11.55</v>
      </c>
      <c r="F1682" s="607">
        <v>21.38</v>
      </c>
      <c r="G1682" s="584">
        <v>15</v>
      </c>
    </row>
    <row r="1683" spans="1:7" ht="30" x14ac:dyDescent="0.2">
      <c r="A1683" s="583" t="s">
        <v>15570</v>
      </c>
      <c r="B1683" s="605" t="s">
        <v>15571</v>
      </c>
      <c r="C1683" s="606" t="s">
        <v>12483</v>
      </c>
      <c r="D1683" s="607">
        <v>20.54</v>
      </c>
      <c r="E1683" s="607">
        <v>11.55</v>
      </c>
      <c r="F1683" s="607">
        <v>32.090000000000003</v>
      </c>
      <c r="G1683" s="584">
        <v>15</v>
      </c>
    </row>
    <row r="1684" spans="1:7" ht="30" x14ac:dyDescent="0.2">
      <c r="A1684" s="583" t="s">
        <v>15572</v>
      </c>
      <c r="B1684" s="605" t="s">
        <v>15573</v>
      </c>
      <c r="C1684" s="606" t="s">
        <v>12483</v>
      </c>
      <c r="D1684" s="607">
        <v>24.57</v>
      </c>
      <c r="E1684" s="607">
        <v>11.55</v>
      </c>
      <c r="F1684" s="607">
        <v>36.119999999999997</v>
      </c>
      <c r="G1684" s="584">
        <v>15</v>
      </c>
    </row>
    <row r="1685" spans="1:7" ht="30" x14ac:dyDescent="0.2">
      <c r="A1685" s="583" t="s">
        <v>15574</v>
      </c>
      <c r="B1685" s="605" t="s">
        <v>15575</v>
      </c>
      <c r="C1685" s="606" t="s">
        <v>12483</v>
      </c>
      <c r="D1685" s="607">
        <v>26.12</v>
      </c>
      <c r="E1685" s="607">
        <v>11.55</v>
      </c>
      <c r="F1685" s="607">
        <v>37.67</v>
      </c>
      <c r="G1685" s="584">
        <v>15</v>
      </c>
    </row>
    <row r="1686" spans="1:7" ht="30" x14ac:dyDescent="0.2">
      <c r="A1686" s="583" t="s">
        <v>15576</v>
      </c>
      <c r="B1686" s="605" t="s">
        <v>15577</v>
      </c>
      <c r="C1686" s="606" t="s">
        <v>12483</v>
      </c>
      <c r="D1686" s="607">
        <v>33.31</v>
      </c>
      <c r="E1686" s="607">
        <v>11.55</v>
      </c>
      <c r="F1686" s="607">
        <v>44.86</v>
      </c>
      <c r="G1686" s="584">
        <v>15</v>
      </c>
    </row>
    <row r="1687" spans="1:7" ht="30" x14ac:dyDescent="0.2">
      <c r="A1687" s="583" t="s">
        <v>15578</v>
      </c>
      <c r="B1687" s="605" t="s">
        <v>15579</v>
      </c>
      <c r="C1687" s="606" t="s">
        <v>12483</v>
      </c>
      <c r="D1687" s="607">
        <v>34.11</v>
      </c>
      <c r="E1687" s="607">
        <v>11.55</v>
      </c>
      <c r="F1687" s="607">
        <v>45.66</v>
      </c>
      <c r="G1687" s="584">
        <v>15</v>
      </c>
    </row>
    <row r="1688" spans="1:7" ht="30" x14ac:dyDescent="0.2">
      <c r="A1688" s="583" t="s">
        <v>15580</v>
      </c>
      <c r="B1688" s="605" t="s">
        <v>15581</v>
      </c>
      <c r="C1688" s="606" t="s">
        <v>12483</v>
      </c>
      <c r="D1688" s="607">
        <v>43.98</v>
      </c>
      <c r="E1688" s="607">
        <v>11.55</v>
      </c>
      <c r="F1688" s="607">
        <v>55.53</v>
      </c>
      <c r="G1688" s="584">
        <v>15</v>
      </c>
    </row>
    <row r="1689" spans="1:7" ht="30" x14ac:dyDescent="0.2">
      <c r="A1689" s="583" t="s">
        <v>15582</v>
      </c>
      <c r="B1689" s="605" t="s">
        <v>15583</v>
      </c>
      <c r="C1689" s="606" t="s">
        <v>12483</v>
      </c>
      <c r="D1689" s="607">
        <v>57.66</v>
      </c>
      <c r="E1689" s="607">
        <v>11.55</v>
      </c>
      <c r="F1689" s="607">
        <v>69.209999999999994</v>
      </c>
      <c r="G1689" s="584">
        <v>15</v>
      </c>
    </row>
    <row r="1690" spans="1:7" ht="30" x14ac:dyDescent="0.2">
      <c r="A1690" s="583" t="s">
        <v>15584</v>
      </c>
      <c r="B1690" s="605" t="s">
        <v>15585</v>
      </c>
      <c r="C1690" s="606" t="s">
        <v>12483</v>
      </c>
      <c r="D1690" s="607">
        <v>59.98</v>
      </c>
      <c r="E1690" s="607">
        <v>11.55</v>
      </c>
      <c r="F1690" s="607">
        <v>71.53</v>
      </c>
      <c r="G1690" s="584">
        <v>15</v>
      </c>
    </row>
    <row r="1691" spans="1:7" ht="30" x14ac:dyDescent="0.2">
      <c r="A1691" s="583" t="s">
        <v>15586</v>
      </c>
      <c r="B1691" s="605" t="s">
        <v>15587</v>
      </c>
      <c r="C1691" s="606" t="s">
        <v>12483</v>
      </c>
      <c r="D1691" s="607">
        <v>105.14</v>
      </c>
      <c r="E1691" s="607">
        <v>11.55</v>
      </c>
      <c r="F1691" s="607">
        <v>116.69</v>
      </c>
      <c r="G1691" s="584">
        <v>15</v>
      </c>
    </row>
    <row r="1692" spans="1:7" ht="30" x14ac:dyDescent="0.2">
      <c r="A1692" s="583" t="s">
        <v>15588</v>
      </c>
      <c r="B1692" s="605" t="s">
        <v>15589</v>
      </c>
      <c r="C1692" s="606" t="s">
        <v>12483</v>
      </c>
      <c r="D1692" s="607">
        <v>118.64</v>
      </c>
      <c r="E1692" s="607">
        <v>11.55</v>
      </c>
      <c r="F1692" s="607">
        <v>130.19</v>
      </c>
      <c r="G1692" s="584">
        <v>15</v>
      </c>
    </row>
    <row r="1693" spans="1:7" ht="30" x14ac:dyDescent="0.2">
      <c r="A1693" s="583" t="s">
        <v>15590</v>
      </c>
      <c r="B1693" s="605" t="s">
        <v>15591</v>
      </c>
      <c r="C1693" s="606" t="s">
        <v>12483</v>
      </c>
      <c r="D1693" s="607">
        <v>149.74</v>
      </c>
      <c r="E1693" s="607">
        <v>11.55</v>
      </c>
      <c r="F1693" s="607">
        <v>161.29</v>
      </c>
      <c r="G1693" s="584">
        <v>15</v>
      </c>
    </row>
    <row r="1694" spans="1:7" ht="30" x14ac:dyDescent="0.2">
      <c r="A1694" s="583" t="s">
        <v>15592</v>
      </c>
      <c r="B1694" s="605" t="s">
        <v>15593</v>
      </c>
      <c r="C1694" s="606" t="s">
        <v>12427</v>
      </c>
      <c r="D1694" s="607">
        <v>192.14</v>
      </c>
      <c r="E1694" s="607">
        <v>21.2</v>
      </c>
      <c r="F1694" s="607">
        <v>213.34</v>
      </c>
      <c r="G1694" s="584">
        <v>15</v>
      </c>
    </row>
    <row r="1695" spans="1:7" ht="30" x14ac:dyDescent="0.2">
      <c r="A1695" s="583" t="s">
        <v>15594</v>
      </c>
      <c r="B1695" s="605" t="s">
        <v>15595</v>
      </c>
      <c r="C1695" s="606" t="s">
        <v>12483</v>
      </c>
      <c r="D1695" s="607">
        <v>16.8</v>
      </c>
      <c r="E1695" s="607">
        <v>11.55</v>
      </c>
      <c r="F1695" s="607">
        <v>28.35</v>
      </c>
      <c r="G1695" s="584">
        <v>15</v>
      </c>
    </row>
    <row r="1696" spans="1:7" ht="30" x14ac:dyDescent="0.2">
      <c r="A1696" s="583" t="s">
        <v>15596</v>
      </c>
      <c r="B1696" s="605" t="s">
        <v>15597</v>
      </c>
      <c r="C1696" s="606" t="s">
        <v>12483</v>
      </c>
      <c r="D1696" s="607">
        <v>18.61</v>
      </c>
      <c r="E1696" s="607">
        <v>11.55</v>
      </c>
      <c r="F1696" s="607">
        <v>30.16</v>
      </c>
      <c r="G1696" s="584">
        <v>15</v>
      </c>
    </row>
    <row r="1697" spans="1:7" ht="15" x14ac:dyDescent="0.25">
      <c r="A1697" s="583" t="s">
        <v>15598</v>
      </c>
      <c r="B1697" s="605" t="s">
        <v>15599</v>
      </c>
      <c r="C1697" s="606"/>
      <c r="D1697" s="607"/>
      <c r="E1697" s="607"/>
      <c r="F1697" s="607"/>
      <c r="G1697" s="582"/>
    </row>
    <row r="1698" spans="1:7" ht="30" x14ac:dyDescent="0.2">
      <c r="A1698" s="583" t="s">
        <v>15600</v>
      </c>
      <c r="B1698" s="605" t="s">
        <v>15601</v>
      </c>
      <c r="C1698" s="606" t="s">
        <v>12427</v>
      </c>
      <c r="D1698" s="607">
        <v>66.94</v>
      </c>
      <c r="E1698" s="607">
        <v>19.72</v>
      </c>
      <c r="F1698" s="607">
        <v>86.66</v>
      </c>
      <c r="G1698" s="584">
        <v>15</v>
      </c>
    </row>
    <row r="1699" spans="1:7" ht="30" x14ac:dyDescent="0.2">
      <c r="A1699" s="583" t="s">
        <v>15602</v>
      </c>
      <c r="B1699" s="605" t="s">
        <v>15603</v>
      </c>
      <c r="C1699" s="606" t="s">
        <v>12427</v>
      </c>
      <c r="D1699" s="607">
        <v>75.11</v>
      </c>
      <c r="E1699" s="607">
        <v>19.72</v>
      </c>
      <c r="F1699" s="607">
        <v>94.83</v>
      </c>
      <c r="G1699" s="584">
        <v>15</v>
      </c>
    </row>
    <row r="1700" spans="1:7" ht="30" x14ac:dyDescent="0.2">
      <c r="A1700" s="583" t="s">
        <v>15604</v>
      </c>
      <c r="B1700" s="605" t="s">
        <v>15605</v>
      </c>
      <c r="C1700" s="606" t="s">
        <v>12427</v>
      </c>
      <c r="D1700" s="607">
        <v>130.47</v>
      </c>
      <c r="E1700" s="607">
        <v>24.83</v>
      </c>
      <c r="F1700" s="607">
        <v>155.30000000000001</v>
      </c>
      <c r="G1700" s="584">
        <v>15</v>
      </c>
    </row>
    <row r="1701" spans="1:7" ht="45" x14ac:dyDescent="0.2">
      <c r="A1701" s="583" t="s">
        <v>15606</v>
      </c>
      <c r="B1701" s="605" t="s">
        <v>15607</v>
      </c>
      <c r="C1701" s="606" t="s">
        <v>12427</v>
      </c>
      <c r="D1701" s="607">
        <v>138.18</v>
      </c>
      <c r="E1701" s="607">
        <v>24.83</v>
      </c>
      <c r="F1701" s="607">
        <v>163.01</v>
      </c>
      <c r="G1701" s="584">
        <v>15</v>
      </c>
    </row>
    <row r="1702" spans="1:7" ht="30" x14ac:dyDescent="0.2">
      <c r="A1702" s="583" t="s">
        <v>15608</v>
      </c>
      <c r="B1702" s="605" t="s">
        <v>15609</v>
      </c>
      <c r="C1702" s="606" t="s">
        <v>12427</v>
      </c>
      <c r="D1702" s="607">
        <v>163.83000000000001</v>
      </c>
      <c r="E1702" s="607"/>
      <c r="F1702" s="607">
        <v>163.83000000000001</v>
      </c>
      <c r="G1702" s="584">
        <v>15</v>
      </c>
    </row>
    <row r="1703" spans="1:7" ht="15" x14ac:dyDescent="0.25">
      <c r="A1703" s="583" t="s">
        <v>15610</v>
      </c>
      <c r="B1703" s="605" t="s">
        <v>15611</v>
      </c>
      <c r="C1703" s="606"/>
      <c r="D1703" s="607"/>
      <c r="E1703" s="607"/>
      <c r="F1703" s="607"/>
      <c r="G1703" s="582"/>
    </row>
    <row r="1704" spans="1:7" ht="30" x14ac:dyDescent="0.2">
      <c r="A1704" s="583" t="s">
        <v>15612</v>
      </c>
      <c r="B1704" s="605" t="s">
        <v>15613</v>
      </c>
      <c r="C1704" s="606" t="s">
        <v>12427</v>
      </c>
      <c r="D1704" s="607">
        <v>10.43</v>
      </c>
      <c r="E1704" s="607">
        <v>8.18</v>
      </c>
      <c r="F1704" s="607">
        <v>18.61</v>
      </c>
      <c r="G1704" s="584">
        <v>15</v>
      </c>
    </row>
    <row r="1705" spans="1:7" ht="30" x14ac:dyDescent="0.2">
      <c r="A1705" s="583" t="s">
        <v>15614</v>
      </c>
      <c r="B1705" s="605" t="s">
        <v>15615</v>
      </c>
      <c r="C1705" s="606" t="s">
        <v>12427</v>
      </c>
      <c r="D1705" s="607">
        <v>7.3</v>
      </c>
      <c r="E1705" s="607">
        <v>8.18</v>
      </c>
      <c r="F1705" s="607">
        <v>15.48</v>
      </c>
      <c r="G1705" s="584">
        <v>15</v>
      </c>
    </row>
    <row r="1706" spans="1:7" ht="30" x14ac:dyDescent="0.2">
      <c r="A1706" s="583" t="s">
        <v>15616</v>
      </c>
      <c r="B1706" s="605" t="s">
        <v>15617</v>
      </c>
      <c r="C1706" s="606" t="s">
        <v>12427</v>
      </c>
      <c r="D1706" s="607">
        <v>49.43</v>
      </c>
      <c r="E1706" s="607">
        <v>8.18</v>
      </c>
      <c r="F1706" s="607">
        <v>57.61</v>
      </c>
      <c r="G1706" s="584">
        <v>15</v>
      </c>
    </row>
    <row r="1707" spans="1:7" ht="30" x14ac:dyDescent="0.2">
      <c r="A1707" s="583" t="s">
        <v>15618</v>
      </c>
      <c r="B1707" s="605" t="s">
        <v>15619</v>
      </c>
      <c r="C1707" s="606" t="s">
        <v>12427</v>
      </c>
      <c r="D1707" s="607">
        <v>76.36</v>
      </c>
      <c r="E1707" s="607">
        <v>22.66</v>
      </c>
      <c r="F1707" s="607">
        <v>99.02</v>
      </c>
      <c r="G1707" s="584">
        <v>15</v>
      </c>
    </row>
    <row r="1708" spans="1:7" ht="30" x14ac:dyDescent="0.2">
      <c r="A1708" s="583" t="s">
        <v>15620</v>
      </c>
      <c r="B1708" s="605" t="s">
        <v>15621</v>
      </c>
      <c r="C1708" s="606" t="s">
        <v>12427</v>
      </c>
      <c r="D1708" s="607">
        <v>42.48</v>
      </c>
      <c r="E1708" s="607">
        <v>8.18</v>
      </c>
      <c r="F1708" s="607">
        <v>50.66</v>
      </c>
      <c r="G1708" s="584">
        <v>15</v>
      </c>
    </row>
    <row r="1709" spans="1:7" ht="30" x14ac:dyDescent="0.2">
      <c r="A1709" s="583" t="s">
        <v>15622</v>
      </c>
      <c r="B1709" s="605" t="s">
        <v>15623</v>
      </c>
      <c r="C1709" s="606" t="s">
        <v>12427</v>
      </c>
      <c r="D1709" s="607">
        <v>66.63</v>
      </c>
      <c r="E1709" s="607">
        <v>22.66</v>
      </c>
      <c r="F1709" s="607">
        <v>89.29</v>
      </c>
      <c r="G1709" s="584">
        <v>15</v>
      </c>
    </row>
    <row r="1710" spans="1:7" ht="45" x14ac:dyDescent="0.2">
      <c r="A1710" s="583" t="s">
        <v>15624</v>
      </c>
      <c r="B1710" s="605" t="s">
        <v>15625</v>
      </c>
      <c r="C1710" s="606" t="s">
        <v>12427</v>
      </c>
      <c r="D1710" s="607">
        <v>47.21</v>
      </c>
      <c r="E1710" s="607">
        <v>26.75</v>
      </c>
      <c r="F1710" s="607">
        <v>73.959999999999994</v>
      </c>
      <c r="G1710" s="584">
        <v>15</v>
      </c>
    </row>
    <row r="1711" spans="1:7" ht="15" x14ac:dyDescent="0.25">
      <c r="A1711" s="583" t="s">
        <v>15626</v>
      </c>
      <c r="B1711" s="605" t="s">
        <v>15627</v>
      </c>
      <c r="C1711" s="606"/>
      <c r="D1711" s="607"/>
      <c r="E1711" s="607"/>
      <c r="F1711" s="607"/>
      <c r="G1711" s="582"/>
    </row>
    <row r="1712" spans="1:7" ht="30" x14ac:dyDescent="0.2">
      <c r="A1712" s="583" t="s">
        <v>15628</v>
      </c>
      <c r="B1712" s="605" t="s">
        <v>15629</v>
      </c>
      <c r="C1712" s="606" t="s">
        <v>12508</v>
      </c>
      <c r="D1712" s="607">
        <v>484.52</v>
      </c>
      <c r="E1712" s="607">
        <v>353.62</v>
      </c>
      <c r="F1712" s="607">
        <v>838.14</v>
      </c>
      <c r="G1712" s="584">
        <v>15</v>
      </c>
    </row>
    <row r="1713" spans="1:7" ht="30" x14ac:dyDescent="0.2">
      <c r="A1713" s="583" t="s">
        <v>15630</v>
      </c>
      <c r="B1713" s="605" t="s">
        <v>15631</v>
      </c>
      <c r="C1713" s="606" t="s">
        <v>12508</v>
      </c>
      <c r="D1713" s="607">
        <v>518.82000000000005</v>
      </c>
      <c r="E1713" s="607">
        <v>40.880000000000003</v>
      </c>
      <c r="F1713" s="607">
        <v>559.70000000000005</v>
      </c>
      <c r="G1713" s="584">
        <v>15</v>
      </c>
    </row>
    <row r="1714" spans="1:7" ht="30" x14ac:dyDescent="0.2">
      <c r="A1714" s="583" t="s">
        <v>15632</v>
      </c>
      <c r="B1714" s="605" t="s">
        <v>15633</v>
      </c>
      <c r="C1714" s="606" t="s">
        <v>12427</v>
      </c>
      <c r="D1714" s="607">
        <v>5.82</v>
      </c>
      <c r="E1714" s="607">
        <v>8.6199999999999992</v>
      </c>
      <c r="F1714" s="607">
        <v>14.44</v>
      </c>
      <c r="G1714" s="584">
        <v>15</v>
      </c>
    </row>
    <row r="1715" spans="1:7" ht="30" x14ac:dyDescent="0.2">
      <c r="A1715" s="583" t="s">
        <v>15634</v>
      </c>
      <c r="B1715" s="605" t="s">
        <v>15635</v>
      </c>
      <c r="C1715" s="606" t="s">
        <v>12427</v>
      </c>
      <c r="D1715" s="607">
        <v>18.8</v>
      </c>
      <c r="E1715" s="607">
        <v>17.23</v>
      </c>
      <c r="F1715" s="607">
        <v>36.03</v>
      </c>
      <c r="G1715" s="584">
        <v>15</v>
      </c>
    </row>
    <row r="1716" spans="1:7" ht="30" x14ac:dyDescent="0.2">
      <c r="A1716" s="583" t="s">
        <v>15636</v>
      </c>
      <c r="B1716" s="605" t="s">
        <v>15637</v>
      </c>
      <c r="C1716" s="606" t="s">
        <v>12427</v>
      </c>
      <c r="D1716" s="607">
        <v>58.87</v>
      </c>
      <c r="E1716" s="607">
        <v>8.6199999999999992</v>
      </c>
      <c r="F1716" s="607">
        <v>67.489999999999995</v>
      </c>
      <c r="G1716" s="584">
        <v>15</v>
      </c>
    </row>
    <row r="1717" spans="1:7" ht="15" x14ac:dyDescent="0.25">
      <c r="A1717" s="583" t="s">
        <v>15638</v>
      </c>
      <c r="B1717" s="605" t="s">
        <v>15639</v>
      </c>
      <c r="C1717" s="606"/>
      <c r="D1717" s="607"/>
      <c r="E1717" s="607"/>
      <c r="F1717" s="607"/>
      <c r="G1717" s="582"/>
    </row>
    <row r="1718" spans="1:7" ht="15" x14ac:dyDescent="0.2">
      <c r="A1718" s="583" t="s">
        <v>15640</v>
      </c>
      <c r="B1718" s="605" t="s">
        <v>15641</v>
      </c>
      <c r="C1718" s="606" t="s">
        <v>12508</v>
      </c>
      <c r="D1718" s="607"/>
      <c r="E1718" s="607">
        <v>81.760000000000005</v>
      </c>
      <c r="F1718" s="607">
        <v>81.760000000000005</v>
      </c>
      <c r="G1718" s="584">
        <v>15</v>
      </c>
    </row>
    <row r="1719" spans="1:7" ht="15" x14ac:dyDescent="0.2">
      <c r="A1719" s="583" t="s">
        <v>15642</v>
      </c>
      <c r="B1719" s="605" t="s">
        <v>15643</v>
      </c>
      <c r="C1719" s="606" t="s">
        <v>12427</v>
      </c>
      <c r="D1719" s="607">
        <v>4.99</v>
      </c>
      <c r="E1719" s="607">
        <v>4.09</v>
      </c>
      <c r="F1719" s="607">
        <v>9.08</v>
      </c>
      <c r="G1719" s="584">
        <v>15</v>
      </c>
    </row>
    <row r="1720" spans="1:7" ht="30" x14ac:dyDescent="0.2">
      <c r="A1720" s="583" t="s">
        <v>15644</v>
      </c>
      <c r="B1720" s="605" t="s">
        <v>15645</v>
      </c>
      <c r="C1720" s="606" t="s">
        <v>12427</v>
      </c>
      <c r="D1720" s="607">
        <v>6.2</v>
      </c>
      <c r="E1720" s="607">
        <v>4.09</v>
      </c>
      <c r="F1720" s="607">
        <v>10.29</v>
      </c>
      <c r="G1720" s="584">
        <v>15</v>
      </c>
    </row>
    <row r="1721" spans="1:7" ht="30" x14ac:dyDescent="0.2">
      <c r="A1721" s="583" t="s">
        <v>15646</v>
      </c>
      <c r="B1721" s="605" t="s">
        <v>15647</v>
      </c>
      <c r="C1721" s="606" t="s">
        <v>12427</v>
      </c>
      <c r="D1721" s="607">
        <v>13.84</v>
      </c>
      <c r="E1721" s="607">
        <v>4.09</v>
      </c>
      <c r="F1721" s="607">
        <v>17.93</v>
      </c>
      <c r="G1721" s="584">
        <v>15</v>
      </c>
    </row>
    <row r="1722" spans="1:7" ht="30" x14ac:dyDescent="0.2">
      <c r="A1722" s="583" t="s">
        <v>21403</v>
      </c>
      <c r="B1722" s="605" t="s">
        <v>21404</v>
      </c>
      <c r="C1722" s="606" t="s">
        <v>12427</v>
      </c>
      <c r="D1722" s="607">
        <v>1.45</v>
      </c>
      <c r="E1722" s="607">
        <v>0.28999999999999998</v>
      </c>
      <c r="F1722" s="607">
        <v>1.74</v>
      </c>
      <c r="G1722" s="584">
        <v>15</v>
      </c>
    </row>
    <row r="1723" spans="1:7" ht="15" x14ac:dyDescent="0.25">
      <c r="A1723" s="583" t="s">
        <v>15648</v>
      </c>
      <c r="B1723" s="605" t="s">
        <v>15649</v>
      </c>
      <c r="C1723" s="606"/>
      <c r="D1723" s="607"/>
      <c r="E1723" s="607"/>
      <c r="F1723" s="607"/>
      <c r="G1723" s="582"/>
    </row>
    <row r="1724" spans="1:7" ht="15" x14ac:dyDescent="0.25">
      <c r="A1724" s="583" t="s">
        <v>15650</v>
      </c>
      <c r="B1724" s="605" t="s">
        <v>15651</v>
      </c>
      <c r="C1724" s="606"/>
      <c r="D1724" s="607"/>
      <c r="E1724" s="607"/>
      <c r="F1724" s="607"/>
      <c r="G1724" s="582"/>
    </row>
    <row r="1725" spans="1:7" ht="15" x14ac:dyDescent="0.2">
      <c r="A1725" s="583" t="s">
        <v>15652</v>
      </c>
      <c r="B1725" s="605" t="s">
        <v>15653</v>
      </c>
      <c r="C1725" s="606" t="s">
        <v>12427</v>
      </c>
      <c r="D1725" s="607">
        <v>8.64</v>
      </c>
      <c r="E1725" s="607">
        <v>35.090000000000003</v>
      </c>
      <c r="F1725" s="607">
        <v>43.73</v>
      </c>
      <c r="G1725" s="584">
        <v>15</v>
      </c>
    </row>
    <row r="1726" spans="1:7" ht="15" x14ac:dyDescent="0.2">
      <c r="A1726" s="583" t="s">
        <v>15654</v>
      </c>
      <c r="B1726" s="605" t="s">
        <v>15655</v>
      </c>
      <c r="C1726" s="606" t="s">
        <v>12427</v>
      </c>
      <c r="D1726" s="607">
        <v>4.92</v>
      </c>
      <c r="E1726" s="607">
        <v>35.090000000000003</v>
      </c>
      <c r="F1726" s="607">
        <v>40.01</v>
      </c>
      <c r="G1726" s="584">
        <v>15</v>
      </c>
    </row>
    <row r="1727" spans="1:7" ht="15" x14ac:dyDescent="0.2">
      <c r="A1727" s="583" t="s">
        <v>15656</v>
      </c>
      <c r="B1727" s="605" t="s">
        <v>15657</v>
      </c>
      <c r="C1727" s="606" t="s">
        <v>12427</v>
      </c>
      <c r="D1727" s="607">
        <v>7.26</v>
      </c>
      <c r="E1727" s="607">
        <v>8.94</v>
      </c>
      <c r="F1727" s="607">
        <v>16.2</v>
      </c>
      <c r="G1727" s="584">
        <v>15</v>
      </c>
    </row>
    <row r="1728" spans="1:7" ht="15" x14ac:dyDescent="0.2">
      <c r="A1728" s="583" t="s">
        <v>15658</v>
      </c>
      <c r="B1728" s="605" t="s">
        <v>15659</v>
      </c>
      <c r="C1728" s="606" t="s">
        <v>12483</v>
      </c>
      <c r="D1728" s="607">
        <v>29.55</v>
      </c>
      <c r="E1728" s="607">
        <v>25.12</v>
      </c>
      <c r="F1728" s="607">
        <v>54.67</v>
      </c>
      <c r="G1728" s="584">
        <v>15</v>
      </c>
    </row>
    <row r="1729" spans="1:7" ht="30" x14ac:dyDescent="0.2">
      <c r="A1729" s="583" t="s">
        <v>15660</v>
      </c>
      <c r="B1729" s="605" t="s">
        <v>15661</v>
      </c>
      <c r="C1729" s="606" t="s">
        <v>12427</v>
      </c>
      <c r="D1729" s="607">
        <v>8.25</v>
      </c>
      <c r="E1729" s="607">
        <v>9.6</v>
      </c>
      <c r="F1729" s="607">
        <v>17.850000000000001</v>
      </c>
      <c r="G1729" s="584">
        <v>15</v>
      </c>
    </row>
    <row r="1730" spans="1:7" ht="15" x14ac:dyDescent="0.25">
      <c r="A1730" s="583" t="s">
        <v>15662</v>
      </c>
      <c r="B1730" s="605" t="s">
        <v>15663</v>
      </c>
      <c r="C1730" s="606"/>
      <c r="D1730" s="607"/>
      <c r="E1730" s="607"/>
      <c r="F1730" s="607"/>
      <c r="G1730" s="582"/>
    </row>
    <row r="1731" spans="1:7" ht="15" x14ac:dyDescent="0.2">
      <c r="A1731" s="583" t="s">
        <v>15664</v>
      </c>
      <c r="B1731" s="605" t="s">
        <v>15665</v>
      </c>
      <c r="C1731" s="606" t="s">
        <v>12427</v>
      </c>
      <c r="D1731" s="607">
        <v>3.04</v>
      </c>
      <c r="E1731" s="607">
        <v>12.09</v>
      </c>
      <c r="F1731" s="607">
        <v>15.13</v>
      </c>
      <c r="G1731" s="584">
        <v>15</v>
      </c>
    </row>
    <row r="1732" spans="1:7" ht="15" x14ac:dyDescent="0.2">
      <c r="A1732" s="583" t="s">
        <v>15666</v>
      </c>
      <c r="B1732" s="605" t="s">
        <v>15667</v>
      </c>
      <c r="C1732" s="606" t="s">
        <v>12427</v>
      </c>
      <c r="D1732" s="607">
        <v>5.68</v>
      </c>
      <c r="E1732" s="607">
        <v>12.09</v>
      </c>
      <c r="F1732" s="607">
        <v>17.77</v>
      </c>
      <c r="G1732" s="584">
        <v>15</v>
      </c>
    </row>
    <row r="1733" spans="1:7" ht="15" x14ac:dyDescent="0.25">
      <c r="A1733" s="583" t="s">
        <v>15668</v>
      </c>
      <c r="B1733" s="605" t="s">
        <v>15669</v>
      </c>
      <c r="C1733" s="606"/>
      <c r="D1733" s="607"/>
      <c r="E1733" s="607"/>
      <c r="F1733" s="607"/>
      <c r="G1733" s="582"/>
    </row>
    <row r="1734" spans="1:7" ht="15" x14ac:dyDescent="0.2">
      <c r="A1734" s="583" t="s">
        <v>15670</v>
      </c>
      <c r="B1734" s="605" t="s">
        <v>15671</v>
      </c>
      <c r="C1734" s="606" t="s">
        <v>12427</v>
      </c>
      <c r="D1734" s="607">
        <v>4.5599999999999996</v>
      </c>
      <c r="E1734" s="607">
        <v>26.61</v>
      </c>
      <c r="F1734" s="607">
        <v>31.17</v>
      </c>
      <c r="G1734" s="584">
        <v>15</v>
      </c>
    </row>
    <row r="1735" spans="1:7" ht="15" x14ac:dyDescent="0.2">
      <c r="A1735" s="583" t="s">
        <v>15672</v>
      </c>
      <c r="B1735" s="605" t="s">
        <v>15673</v>
      </c>
      <c r="C1735" s="606" t="s">
        <v>12427</v>
      </c>
      <c r="D1735" s="607">
        <v>9.17</v>
      </c>
      <c r="E1735" s="607">
        <v>22.61</v>
      </c>
      <c r="F1735" s="607">
        <v>31.78</v>
      </c>
      <c r="G1735" s="584">
        <v>15</v>
      </c>
    </row>
    <row r="1736" spans="1:7" ht="15" x14ac:dyDescent="0.2">
      <c r="A1736" s="583" t="s">
        <v>15674</v>
      </c>
      <c r="B1736" s="605" t="s">
        <v>15675</v>
      </c>
      <c r="C1736" s="606" t="s">
        <v>12427</v>
      </c>
      <c r="D1736" s="607">
        <v>18.87</v>
      </c>
      <c r="E1736" s="607">
        <v>12.56</v>
      </c>
      <c r="F1736" s="607">
        <v>31.43</v>
      </c>
      <c r="G1736" s="584">
        <v>15</v>
      </c>
    </row>
    <row r="1737" spans="1:7" ht="15" x14ac:dyDescent="0.2">
      <c r="A1737" s="583" t="s">
        <v>15676</v>
      </c>
      <c r="B1737" s="605" t="s">
        <v>15677</v>
      </c>
      <c r="C1737" s="606" t="s">
        <v>12427</v>
      </c>
      <c r="D1737" s="607">
        <v>18.21</v>
      </c>
      <c r="E1737" s="607">
        <v>21.59</v>
      </c>
      <c r="F1737" s="607">
        <v>39.799999999999997</v>
      </c>
      <c r="G1737" s="584">
        <v>15</v>
      </c>
    </row>
    <row r="1738" spans="1:7" ht="30" x14ac:dyDescent="0.2">
      <c r="A1738" s="583" t="s">
        <v>15678</v>
      </c>
      <c r="B1738" s="605" t="s">
        <v>21405</v>
      </c>
      <c r="C1738" s="606" t="s">
        <v>12427</v>
      </c>
      <c r="D1738" s="607">
        <v>16.239999999999998</v>
      </c>
      <c r="E1738" s="607">
        <v>16.010000000000002</v>
      </c>
      <c r="F1738" s="607">
        <v>32.25</v>
      </c>
      <c r="G1738" s="584">
        <v>15</v>
      </c>
    </row>
    <row r="1739" spans="1:7" ht="30" x14ac:dyDescent="0.2">
      <c r="A1739" s="583" t="s">
        <v>15679</v>
      </c>
      <c r="B1739" s="605" t="s">
        <v>21406</v>
      </c>
      <c r="C1739" s="606" t="s">
        <v>12427</v>
      </c>
      <c r="D1739" s="607">
        <v>40.479999999999997</v>
      </c>
      <c r="E1739" s="607">
        <v>16.010000000000002</v>
      </c>
      <c r="F1739" s="607">
        <v>56.49</v>
      </c>
      <c r="G1739" s="584">
        <v>15</v>
      </c>
    </row>
    <row r="1740" spans="1:7" ht="15" x14ac:dyDescent="0.2">
      <c r="A1740" s="583" t="s">
        <v>15680</v>
      </c>
      <c r="B1740" s="605" t="s">
        <v>15681</v>
      </c>
      <c r="C1740" s="606" t="s">
        <v>12427</v>
      </c>
      <c r="D1740" s="607">
        <v>31.22</v>
      </c>
      <c r="E1740" s="607">
        <v>21.59</v>
      </c>
      <c r="F1740" s="607">
        <v>52.81</v>
      </c>
      <c r="G1740" s="584">
        <v>15</v>
      </c>
    </row>
    <row r="1741" spans="1:7" ht="15" x14ac:dyDescent="0.25">
      <c r="A1741" s="583" t="s">
        <v>15682</v>
      </c>
      <c r="B1741" s="605" t="s">
        <v>15683</v>
      </c>
      <c r="C1741" s="606"/>
      <c r="D1741" s="607"/>
      <c r="E1741" s="607"/>
      <c r="F1741" s="607"/>
      <c r="G1741" s="582"/>
    </row>
    <row r="1742" spans="1:7" ht="15" x14ac:dyDescent="0.2">
      <c r="A1742" s="583" t="s">
        <v>15684</v>
      </c>
      <c r="B1742" s="605" t="s">
        <v>15685</v>
      </c>
      <c r="C1742" s="606" t="s">
        <v>12427</v>
      </c>
      <c r="D1742" s="607">
        <v>8.39</v>
      </c>
      <c r="E1742" s="607">
        <v>16.010000000000002</v>
      </c>
      <c r="F1742" s="607">
        <v>24.4</v>
      </c>
      <c r="G1742" s="584">
        <v>15</v>
      </c>
    </row>
    <row r="1743" spans="1:7" ht="15" x14ac:dyDescent="0.2">
      <c r="A1743" s="583" t="s">
        <v>15686</v>
      </c>
      <c r="B1743" s="605" t="s">
        <v>15687</v>
      </c>
      <c r="C1743" s="606" t="s">
        <v>12483</v>
      </c>
      <c r="D1743" s="607">
        <v>3.2</v>
      </c>
      <c r="E1743" s="607">
        <v>2.98</v>
      </c>
      <c r="F1743" s="607">
        <v>6.18</v>
      </c>
      <c r="G1743" s="584">
        <v>15</v>
      </c>
    </row>
    <row r="1744" spans="1:7" ht="15" x14ac:dyDescent="0.2">
      <c r="A1744" s="583" t="s">
        <v>15688</v>
      </c>
      <c r="B1744" s="605" t="s">
        <v>15689</v>
      </c>
      <c r="C1744" s="606" t="s">
        <v>12427</v>
      </c>
      <c r="D1744" s="607">
        <v>10.93</v>
      </c>
      <c r="E1744" s="607">
        <v>18.05</v>
      </c>
      <c r="F1744" s="607">
        <v>28.98</v>
      </c>
      <c r="G1744" s="584">
        <v>15</v>
      </c>
    </row>
    <row r="1745" spans="1:7" ht="15" x14ac:dyDescent="0.2">
      <c r="A1745" s="583" t="s">
        <v>15690</v>
      </c>
      <c r="B1745" s="605" t="s">
        <v>15691</v>
      </c>
      <c r="C1745" s="606" t="s">
        <v>12483</v>
      </c>
      <c r="D1745" s="607">
        <v>2.89</v>
      </c>
      <c r="E1745" s="607">
        <v>2.38</v>
      </c>
      <c r="F1745" s="607">
        <v>5.27</v>
      </c>
      <c r="G1745" s="584">
        <v>15</v>
      </c>
    </row>
    <row r="1746" spans="1:7" ht="15" x14ac:dyDescent="0.25">
      <c r="A1746" s="583" t="s">
        <v>15692</v>
      </c>
      <c r="B1746" s="605" t="s">
        <v>15693</v>
      </c>
      <c r="C1746" s="606"/>
      <c r="D1746" s="607"/>
      <c r="E1746" s="607"/>
      <c r="F1746" s="607"/>
      <c r="G1746" s="582"/>
    </row>
    <row r="1747" spans="1:7" ht="15" x14ac:dyDescent="0.2">
      <c r="A1747" s="583" t="s">
        <v>15694</v>
      </c>
      <c r="B1747" s="605" t="s">
        <v>15695</v>
      </c>
      <c r="C1747" s="606" t="s">
        <v>12427</v>
      </c>
      <c r="D1747" s="607">
        <v>4.6100000000000003</v>
      </c>
      <c r="E1747" s="607">
        <v>21.59</v>
      </c>
      <c r="F1747" s="607">
        <v>26.2</v>
      </c>
      <c r="G1747" s="584">
        <v>15</v>
      </c>
    </row>
    <row r="1748" spans="1:7" ht="15" x14ac:dyDescent="0.25">
      <c r="A1748" s="583" t="s">
        <v>15696</v>
      </c>
      <c r="B1748" s="605" t="s">
        <v>15697</v>
      </c>
      <c r="C1748" s="606"/>
      <c r="D1748" s="607"/>
      <c r="E1748" s="607"/>
      <c r="F1748" s="607"/>
      <c r="G1748" s="582"/>
    </row>
    <row r="1749" spans="1:7" ht="15" x14ac:dyDescent="0.2">
      <c r="A1749" s="583" t="s">
        <v>15698</v>
      </c>
      <c r="B1749" s="605" t="s">
        <v>15699</v>
      </c>
      <c r="C1749" s="606" t="s">
        <v>12929</v>
      </c>
      <c r="D1749" s="607">
        <v>4.45</v>
      </c>
      <c r="E1749" s="607"/>
      <c r="F1749" s="607">
        <v>4.45</v>
      </c>
      <c r="G1749" s="584">
        <v>15</v>
      </c>
    </row>
    <row r="1750" spans="1:7" ht="15" x14ac:dyDescent="0.2">
      <c r="A1750" s="583" t="s">
        <v>15700</v>
      </c>
      <c r="B1750" s="605" t="s">
        <v>15701</v>
      </c>
      <c r="C1750" s="606" t="s">
        <v>12929</v>
      </c>
      <c r="D1750" s="607">
        <v>4.5</v>
      </c>
      <c r="E1750" s="607"/>
      <c r="F1750" s="607">
        <v>4.5</v>
      </c>
      <c r="G1750" s="584">
        <v>15</v>
      </c>
    </row>
    <row r="1751" spans="1:7" ht="45" x14ac:dyDescent="0.2">
      <c r="A1751" s="583" t="s">
        <v>15702</v>
      </c>
      <c r="B1751" s="605" t="s">
        <v>15703</v>
      </c>
      <c r="C1751" s="606" t="s">
        <v>12427</v>
      </c>
      <c r="D1751" s="607">
        <v>182.76</v>
      </c>
      <c r="E1751" s="607">
        <v>199.51</v>
      </c>
      <c r="F1751" s="607">
        <v>382.27</v>
      </c>
      <c r="G1751" s="584">
        <v>15</v>
      </c>
    </row>
    <row r="1752" spans="1:7" ht="45" x14ac:dyDescent="0.2">
      <c r="A1752" s="583" t="s">
        <v>15704</v>
      </c>
      <c r="B1752" s="605" t="s">
        <v>15705</v>
      </c>
      <c r="C1752" s="606" t="s">
        <v>12427</v>
      </c>
      <c r="D1752" s="607">
        <v>676.18</v>
      </c>
      <c r="E1752" s="607">
        <v>231.31</v>
      </c>
      <c r="F1752" s="607">
        <v>907.49</v>
      </c>
      <c r="G1752" s="584">
        <v>15</v>
      </c>
    </row>
    <row r="1753" spans="1:7" ht="15" x14ac:dyDescent="0.25">
      <c r="A1753" s="583" t="s">
        <v>15706</v>
      </c>
      <c r="B1753" s="605" t="s">
        <v>15707</v>
      </c>
      <c r="C1753" s="606"/>
      <c r="D1753" s="607"/>
      <c r="E1753" s="607"/>
      <c r="F1753" s="607"/>
      <c r="G1753" s="582"/>
    </row>
    <row r="1754" spans="1:7" ht="15" x14ac:dyDescent="0.2">
      <c r="A1754" s="583" t="s">
        <v>15708</v>
      </c>
      <c r="B1754" s="605" t="s">
        <v>15709</v>
      </c>
      <c r="C1754" s="606" t="s">
        <v>12483</v>
      </c>
      <c r="D1754" s="607">
        <v>1.6</v>
      </c>
      <c r="E1754" s="607">
        <v>1.62</v>
      </c>
      <c r="F1754" s="607">
        <v>3.22</v>
      </c>
      <c r="G1754" s="584">
        <v>15</v>
      </c>
    </row>
    <row r="1755" spans="1:7" ht="15" x14ac:dyDescent="0.2">
      <c r="A1755" s="583" t="s">
        <v>15710</v>
      </c>
      <c r="B1755" s="605" t="s">
        <v>15711</v>
      </c>
      <c r="C1755" s="606" t="s">
        <v>12483</v>
      </c>
      <c r="D1755" s="607">
        <v>1.05</v>
      </c>
      <c r="E1755" s="607">
        <v>3.24</v>
      </c>
      <c r="F1755" s="607">
        <v>4.29</v>
      </c>
      <c r="G1755" s="584">
        <v>15</v>
      </c>
    </row>
    <row r="1756" spans="1:7" ht="30" x14ac:dyDescent="0.25">
      <c r="A1756" s="583" t="s">
        <v>15712</v>
      </c>
      <c r="B1756" s="605" t="s">
        <v>15713</v>
      </c>
      <c r="C1756" s="606"/>
      <c r="D1756" s="607"/>
      <c r="E1756" s="607"/>
      <c r="F1756" s="607"/>
      <c r="G1756" s="582"/>
    </row>
    <row r="1757" spans="1:7" ht="15" x14ac:dyDescent="0.2">
      <c r="A1757" s="583" t="s">
        <v>15714</v>
      </c>
      <c r="B1757" s="605" t="s">
        <v>15715</v>
      </c>
      <c r="C1757" s="606" t="s">
        <v>12427</v>
      </c>
      <c r="D1757" s="607">
        <v>7.96</v>
      </c>
      <c r="E1757" s="607">
        <v>21.59</v>
      </c>
      <c r="F1757" s="607">
        <v>29.55</v>
      </c>
      <c r="G1757" s="584">
        <v>15</v>
      </c>
    </row>
    <row r="1758" spans="1:7" ht="15" x14ac:dyDescent="0.2">
      <c r="A1758" s="583" t="s">
        <v>15716</v>
      </c>
      <c r="B1758" s="605" t="s">
        <v>15717</v>
      </c>
      <c r="C1758" s="606" t="s">
        <v>12427</v>
      </c>
      <c r="D1758" s="607">
        <v>13.55</v>
      </c>
      <c r="E1758" s="607">
        <v>21.59</v>
      </c>
      <c r="F1758" s="607">
        <v>35.14</v>
      </c>
      <c r="G1758" s="584">
        <v>15</v>
      </c>
    </row>
    <row r="1759" spans="1:7" ht="15" x14ac:dyDescent="0.2">
      <c r="A1759" s="583" t="s">
        <v>15718</v>
      </c>
      <c r="B1759" s="605" t="s">
        <v>15719</v>
      </c>
      <c r="C1759" s="606" t="s">
        <v>12427</v>
      </c>
      <c r="D1759" s="607">
        <v>14.67</v>
      </c>
      <c r="E1759" s="607">
        <v>21.59</v>
      </c>
      <c r="F1759" s="607">
        <v>36.26</v>
      </c>
      <c r="G1759" s="584">
        <v>15</v>
      </c>
    </row>
    <row r="1760" spans="1:7" ht="15" x14ac:dyDescent="0.2">
      <c r="A1760" s="583" t="s">
        <v>15720</v>
      </c>
      <c r="B1760" s="605" t="s">
        <v>15721</v>
      </c>
      <c r="C1760" s="606" t="s">
        <v>12427</v>
      </c>
      <c r="D1760" s="607">
        <v>11.97</v>
      </c>
      <c r="E1760" s="607">
        <v>21.59</v>
      </c>
      <c r="F1760" s="607">
        <v>33.56</v>
      </c>
      <c r="G1760" s="584">
        <v>15</v>
      </c>
    </row>
    <row r="1761" spans="1:7" ht="15" x14ac:dyDescent="0.2">
      <c r="A1761" s="583" t="s">
        <v>15722</v>
      </c>
      <c r="B1761" s="605" t="s">
        <v>15723</v>
      </c>
      <c r="C1761" s="606" t="s">
        <v>12427</v>
      </c>
      <c r="D1761" s="607">
        <v>94.38</v>
      </c>
      <c r="E1761" s="607">
        <v>45.22</v>
      </c>
      <c r="F1761" s="607">
        <v>139.6</v>
      </c>
      <c r="G1761" s="584">
        <v>15</v>
      </c>
    </row>
    <row r="1762" spans="1:7" ht="15" x14ac:dyDescent="0.2">
      <c r="A1762" s="583" t="s">
        <v>15724</v>
      </c>
      <c r="B1762" s="605" t="s">
        <v>15725</v>
      </c>
      <c r="C1762" s="606" t="s">
        <v>12427</v>
      </c>
      <c r="D1762" s="607">
        <v>19.32</v>
      </c>
      <c r="E1762" s="607">
        <v>21.59</v>
      </c>
      <c r="F1762" s="607">
        <v>40.909999999999997</v>
      </c>
      <c r="G1762" s="584">
        <v>15</v>
      </c>
    </row>
    <row r="1763" spans="1:7" ht="15" x14ac:dyDescent="0.2">
      <c r="A1763" s="583" t="s">
        <v>15726</v>
      </c>
      <c r="B1763" s="605" t="s">
        <v>15727</v>
      </c>
      <c r="C1763" s="606" t="s">
        <v>12427</v>
      </c>
      <c r="D1763" s="607">
        <v>12.15</v>
      </c>
      <c r="E1763" s="607">
        <v>30.14</v>
      </c>
      <c r="F1763" s="607">
        <v>42.29</v>
      </c>
      <c r="G1763" s="584">
        <v>15</v>
      </c>
    </row>
    <row r="1764" spans="1:7" ht="45" x14ac:dyDescent="0.2">
      <c r="A1764" s="583" t="s">
        <v>15728</v>
      </c>
      <c r="B1764" s="605" t="s">
        <v>15729</v>
      </c>
      <c r="C1764" s="606" t="s">
        <v>12427</v>
      </c>
      <c r="D1764" s="607">
        <v>258.02999999999997</v>
      </c>
      <c r="E1764" s="607"/>
      <c r="F1764" s="607">
        <v>258.02999999999997</v>
      </c>
      <c r="G1764" s="584">
        <v>15</v>
      </c>
    </row>
    <row r="1765" spans="1:7" ht="45" x14ac:dyDescent="0.2">
      <c r="A1765" s="583" t="s">
        <v>15730</v>
      </c>
      <c r="B1765" s="605" t="s">
        <v>15731</v>
      </c>
      <c r="C1765" s="606" t="s">
        <v>12427</v>
      </c>
      <c r="D1765" s="607">
        <v>511.6</v>
      </c>
      <c r="E1765" s="607"/>
      <c r="F1765" s="607">
        <v>511.6</v>
      </c>
      <c r="G1765" s="584">
        <v>15</v>
      </c>
    </row>
    <row r="1766" spans="1:7" ht="15" x14ac:dyDescent="0.25">
      <c r="A1766" s="583" t="s">
        <v>15732</v>
      </c>
      <c r="B1766" s="605" t="s">
        <v>15733</v>
      </c>
      <c r="C1766" s="606"/>
      <c r="D1766" s="607"/>
      <c r="E1766" s="607"/>
      <c r="F1766" s="607"/>
      <c r="G1766" s="582"/>
    </row>
    <row r="1767" spans="1:7" ht="15" x14ac:dyDescent="0.2">
      <c r="A1767" s="583" t="s">
        <v>15734</v>
      </c>
      <c r="B1767" s="605" t="s">
        <v>15735</v>
      </c>
      <c r="C1767" s="606" t="s">
        <v>12427</v>
      </c>
      <c r="D1767" s="607">
        <v>18.829999999999998</v>
      </c>
      <c r="E1767" s="607">
        <v>30.14</v>
      </c>
      <c r="F1767" s="607">
        <v>48.97</v>
      </c>
      <c r="G1767" s="584">
        <v>15</v>
      </c>
    </row>
    <row r="1768" spans="1:7" ht="15" x14ac:dyDescent="0.25">
      <c r="A1768" s="583" t="s">
        <v>15736</v>
      </c>
      <c r="B1768" s="605" t="s">
        <v>15737</v>
      </c>
      <c r="C1768" s="606"/>
      <c r="D1768" s="607"/>
      <c r="E1768" s="607"/>
      <c r="F1768" s="607"/>
      <c r="G1768" s="582"/>
    </row>
    <row r="1769" spans="1:7" ht="15" x14ac:dyDescent="0.2">
      <c r="A1769" s="583" t="s">
        <v>15738</v>
      </c>
      <c r="B1769" s="605" t="s">
        <v>15739</v>
      </c>
      <c r="C1769" s="606" t="s">
        <v>12427</v>
      </c>
      <c r="D1769" s="607">
        <v>19.27</v>
      </c>
      <c r="E1769" s="607">
        <v>30.14</v>
      </c>
      <c r="F1769" s="607">
        <v>49.41</v>
      </c>
      <c r="G1769" s="584">
        <v>15</v>
      </c>
    </row>
    <row r="1770" spans="1:7" ht="15" x14ac:dyDescent="0.25">
      <c r="A1770" s="583" t="s">
        <v>15740</v>
      </c>
      <c r="B1770" s="605" t="s">
        <v>15741</v>
      </c>
      <c r="C1770" s="606"/>
      <c r="D1770" s="607"/>
      <c r="E1770" s="607"/>
      <c r="F1770" s="607"/>
      <c r="G1770" s="582"/>
    </row>
    <row r="1771" spans="1:7" ht="15" x14ac:dyDescent="0.25">
      <c r="A1771" s="583" t="s">
        <v>15742</v>
      </c>
      <c r="B1771" s="605" t="s">
        <v>15743</v>
      </c>
      <c r="C1771" s="606"/>
      <c r="D1771" s="607"/>
      <c r="E1771" s="607"/>
      <c r="F1771" s="607"/>
      <c r="G1771" s="582"/>
    </row>
    <row r="1772" spans="1:7" ht="15" x14ac:dyDescent="0.2">
      <c r="A1772" s="583" t="s">
        <v>15744</v>
      </c>
      <c r="B1772" s="605" t="s">
        <v>15745</v>
      </c>
      <c r="C1772" s="606" t="s">
        <v>12508</v>
      </c>
      <c r="D1772" s="607">
        <v>184.22</v>
      </c>
      <c r="E1772" s="607">
        <v>51.1</v>
      </c>
      <c r="F1772" s="607">
        <v>235.32</v>
      </c>
      <c r="G1772" s="584">
        <v>15</v>
      </c>
    </row>
    <row r="1773" spans="1:7" ht="30" x14ac:dyDescent="0.2">
      <c r="A1773" s="583" t="s">
        <v>15746</v>
      </c>
      <c r="B1773" s="605" t="s">
        <v>15747</v>
      </c>
      <c r="C1773" s="606" t="s">
        <v>12427</v>
      </c>
      <c r="D1773" s="607"/>
      <c r="E1773" s="607">
        <v>2.04</v>
      </c>
      <c r="F1773" s="607">
        <v>2.04</v>
      </c>
      <c r="G1773" s="584">
        <v>15</v>
      </c>
    </row>
    <row r="1774" spans="1:7" ht="15" x14ac:dyDescent="0.25">
      <c r="A1774" s="583" t="s">
        <v>15748</v>
      </c>
      <c r="B1774" s="605" t="s">
        <v>15749</v>
      </c>
      <c r="C1774" s="606"/>
      <c r="D1774" s="607"/>
      <c r="E1774" s="607"/>
      <c r="F1774" s="607"/>
      <c r="G1774" s="582"/>
    </row>
    <row r="1775" spans="1:7" ht="15" x14ac:dyDescent="0.2">
      <c r="A1775" s="583" t="s">
        <v>15750</v>
      </c>
      <c r="B1775" s="605" t="s">
        <v>15751</v>
      </c>
      <c r="C1775" s="606" t="s">
        <v>12427</v>
      </c>
      <c r="D1775" s="607">
        <v>10.41</v>
      </c>
      <c r="E1775" s="607">
        <v>3.44</v>
      </c>
      <c r="F1775" s="607">
        <v>13.85</v>
      </c>
      <c r="G1775" s="584">
        <v>15</v>
      </c>
    </row>
    <row r="1776" spans="1:7" ht="15" x14ac:dyDescent="0.2">
      <c r="A1776" s="583" t="s">
        <v>15752</v>
      </c>
      <c r="B1776" s="605" t="s">
        <v>15753</v>
      </c>
      <c r="C1776" s="606" t="s">
        <v>12427</v>
      </c>
      <c r="D1776" s="607">
        <v>9.74</v>
      </c>
      <c r="E1776" s="607">
        <v>5.17</v>
      </c>
      <c r="F1776" s="607">
        <v>14.91</v>
      </c>
      <c r="G1776" s="584">
        <v>15</v>
      </c>
    </row>
    <row r="1777" spans="1:7" ht="15" x14ac:dyDescent="0.2">
      <c r="A1777" s="583" t="s">
        <v>15754</v>
      </c>
      <c r="B1777" s="605" t="s">
        <v>15755</v>
      </c>
      <c r="C1777" s="606" t="s">
        <v>12427</v>
      </c>
      <c r="D1777" s="607">
        <v>115.47</v>
      </c>
      <c r="E1777" s="607">
        <v>6.58</v>
      </c>
      <c r="F1777" s="607">
        <v>122.05</v>
      </c>
      <c r="G1777" s="584">
        <v>15</v>
      </c>
    </row>
    <row r="1778" spans="1:7" ht="15" x14ac:dyDescent="0.2">
      <c r="A1778" s="583" t="s">
        <v>15756</v>
      </c>
      <c r="B1778" s="605" t="s">
        <v>15757</v>
      </c>
      <c r="C1778" s="606" t="s">
        <v>12427</v>
      </c>
      <c r="D1778" s="607">
        <v>18.27</v>
      </c>
      <c r="E1778" s="607">
        <v>5.17</v>
      </c>
      <c r="F1778" s="607">
        <v>23.44</v>
      </c>
      <c r="G1778" s="584">
        <v>15</v>
      </c>
    </row>
    <row r="1779" spans="1:7" ht="15" x14ac:dyDescent="0.2">
      <c r="A1779" s="583" t="s">
        <v>15758</v>
      </c>
      <c r="B1779" s="605" t="s">
        <v>15759</v>
      </c>
      <c r="C1779" s="606" t="s">
        <v>12427</v>
      </c>
      <c r="D1779" s="607">
        <v>53.37</v>
      </c>
      <c r="E1779" s="607">
        <v>6.58</v>
      </c>
      <c r="F1779" s="607">
        <v>59.95</v>
      </c>
      <c r="G1779" s="584">
        <v>15</v>
      </c>
    </row>
    <row r="1780" spans="1:7" ht="15" x14ac:dyDescent="0.2">
      <c r="A1780" s="583" t="s">
        <v>15760</v>
      </c>
      <c r="B1780" s="605" t="s">
        <v>15761</v>
      </c>
      <c r="C1780" s="606" t="s">
        <v>12427</v>
      </c>
      <c r="D1780" s="607">
        <v>13.83</v>
      </c>
      <c r="E1780" s="607">
        <v>5.17</v>
      </c>
      <c r="F1780" s="607">
        <v>19</v>
      </c>
      <c r="G1780" s="584">
        <v>15</v>
      </c>
    </row>
    <row r="1781" spans="1:7" ht="15" x14ac:dyDescent="0.2">
      <c r="A1781" s="583" t="s">
        <v>15762</v>
      </c>
      <c r="B1781" s="605" t="s">
        <v>15763</v>
      </c>
      <c r="C1781" s="606" t="s">
        <v>12427</v>
      </c>
      <c r="D1781" s="607">
        <v>53.69</v>
      </c>
      <c r="E1781" s="607">
        <v>6.58</v>
      </c>
      <c r="F1781" s="607">
        <v>60.27</v>
      </c>
      <c r="G1781" s="584">
        <v>15</v>
      </c>
    </row>
    <row r="1782" spans="1:7" ht="15" x14ac:dyDescent="0.2">
      <c r="A1782" s="583" t="s">
        <v>15764</v>
      </c>
      <c r="B1782" s="605" t="s">
        <v>15765</v>
      </c>
      <c r="C1782" s="606" t="s">
        <v>12427</v>
      </c>
      <c r="D1782" s="607">
        <v>16.489999999999998</v>
      </c>
      <c r="E1782" s="607"/>
      <c r="F1782" s="607">
        <v>16.489999999999998</v>
      </c>
      <c r="G1782" s="584">
        <v>15</v>
      </c>
    </row>
    <row r="1783" spans="1:7" ht="15" x14ac:dyDescent="0.25">
      <c r="A1783" s="583" t="s">
        <v>15766</v>
      </c>
      <c r="B1783" s="605" t="s">
        <v>15767</v>
      </c>
      <c r="C1783" s="606"/>
      <c r="D1783" s="607"/>
      <c r="E1783" s="607"/>
      <c r="F1783" s="607"/>
      <c r="G1783" s="582"/>
    </row>
    <row r="1784" spans="1:7" ht="15" x14ac:dyDescent="0.2">
      <c r="A1784" s="583" t="s">
        <v>15768</v>
      </c>
      <c r="B1784" s="605" t="s">
        <v>15769</v>
      </c>
      <c r="C1784" s="606" t="s">
        <v>12375</v>
      </c>
      <c r="D1784" s="607">
        <v>55.65</v>
      </c>
      <c r="E1784" s="607">
        <v>3.78</v>
      </c>
      <c r="F1784" s="607">
        <v>59.43</v>
      </c>
      <c r="G1784" s="584">
        <v>15</v>
      </c>
    </row>
    <row r="1785" spans="1:7" ht="15" x14ac:dyDescent="0.2">
      <c r="A1785" s="583" t="s">
        <v>15770</v>
      </c>
      <c r="B1785" s="605" t="s">
        <v>15771</v>
      </c>
      <c r="C1785" s="606" t="s">
        <v>12375</v>
      </c>
      <c r="D1785" s="607">
        <v>41.32</v>
      </c>
      <c r="E1785" s="607">
        <v>3.78</v>
      </c>
      <c r="F1785" s="607">
        <v>45.1</v>
      </c>
      <c r="G1785" s="584">
        <v>15</v>
      </c>
    </row>
    <row r="1786" spans="1:7" ht="15" x14ac:dyDescent="0.2">
      <c r="A1786" s="583" t="s">
        <v>15772</v>
      </c>
      <c r="B1786" s="605" t="s">
        <v>15773</v>
      </c>
      <c r="C1786" s="606" t="s">
        <v>12375</v>
      </c>
      <c r="D1786" s="607">
        <v>51.63</v>
      </c>
      <c r="E1786" s="607">
        <v>3.78</v>
      </c>
      <c r="F1786" s="607">
        <v>55.41</v>
      </c>
      <c r="G1786" s="584">
        <v>15</v>
      </c>
    </row>
    <row r="1787" spans="1:7" ht="15" x14ac:dyDescent="0.2">
      <c r="A1787" s="583" t="s">
        <v>15774</v>
      </c>
      <c r="B1787" s="605" t="s">
        <v>15775</v>
      </c>
      <c r="C1787" s="606" t="s">
        <v>12375</v>
      </c>
      <c r="D1787" s="607">
        <v>59.48</v>
      </c>
      <c r="E1787" s="607">
        <v>3.78</v>
      </c>
      <c r="F1787" s="607">
        <v>63.26</v>
      </c>
      <c r="G1787" s="584">
        <v>15</v>
      </c>
    </row>
    <row r="1788" spans="1:7" ht="15" x14ac:dyDescent="0.25">
      <c r="A1788" s="583" t="s">
        <v>15776</v>
      </c>
      <c r="B1788" s="605" t="s">
        <v>15777</v>
      </c>
      <c r="C1788" s="606"/>
      <c r="D1788" s="607"/>
      <c r="E1788" s="607"/>
      <c r="F1788" s="607"/>
      <c r="G1788" s="582"/>
    </row>
    <row r="1789" spans="1:7" ht="15" x14ac:dyDescent="0.2">
      <c r="A1789" s="583" t="s">
        <v>15778</v>
      </c>
      <c r="B1789" s="605" t="s">
        <v>15779</v>
      </c>
      <c r="C1789" s="606" t="s">
        <v>12375</v>
      </c>
      <c r="D1789" s="607">
        <v>107</v>
      </c>
      <c r="E1789" s="607">
        <v>32.880000000000003</v>
      </c>
      <c r="F1789" s="607">
        <v>139.88</v>
      </c>
      <c r="G1789" s="584">
        <v>15</v>
      </c>
    </row>
    <row r="1790" spans="1:7" ht="15" x14ac:dyDescent="0.2">
      <c r="A1790" s="583" t="s">
        <v>15780</v>
      </c>
      <c r="B1790" s="605" t="s">
        <v>15781</v>
      </c>
      <c r="C1790" s="606" t="s">
        <v>12375</v>
      </c>
      <c r="D1790" s="607">
        <v>148.43</v>
      </c>
      <c r="E1790" s="607">
        <v>32.880000000000003</v>
      </c>
      <c r="F1790" s="607">
        <v>181.31</v>
      </c>
      <c r="G1790" s="584">
        <v>15</v>
      </c>
    </row>
    <row r="1791" spans="1:7" ht="15" x14ac:dyDescent="0.2">
      <c r="A1791" s="583" t="s">
        <v>15782</v>
      </c>
      <c r="B1791" s="605" t="s">
        <v>15783</v>
      </c>
      <c r="C1791" s="606" t="s">
        <v>12375</v>
      </c>
      <c r="D1791" s="607">
        <v>232.84</v>
      </c>
      <c r="E1791" s="607">
        <v>32.880000000000003</v>
      </c>
      <c r="F1791" s="607">
        <v>265.72000000000003</v>
      </c>
      <c r="G1791" s="584">
        <v>15</v>
      </c>
    </row>
    <row r="1792" spans="1:7" ht="15" x14ac:dyDescent="0.2">
      <c r="A1792" s="583" t="s">
        <v>15784</v>
      </c>
      <c r="B1792" s="605" t="s">
        <v>20167</v>
      </c>
      <c r="C1792" s="606" t="s">
        <v>12375</v>
      </c>
      <c r="D1792" s="607">
        <v>352.27</v>
      </c>
      <c r="E1792" s="607">
        <v>32.880000000000003</v>
      </c>
      <c r="F1792" s="607">
        <v>385.15</v>
      </c>
      <c r="G1792" s="584">
        <v>15</v>
      </c>
    </row>
    <row r="1793" spans="1:7" ht="15" x14ac:dyDescent="0.2">
      <c r="A1793" s="583" t="s">
        <v>15785</v>
      </c>
      <c r="B1793" s="605" t="s">
        <v>15786</v>
      </c>
      <c r="C1793" s="606" t="s">
        <v>12375</v>
      </c>
      <c r="D1793" s="607">
        <v>137.41999999999999</v>
      </c>
      <c r="E1793" s="607">
        <v>32.880000000000003</v>
      </c>
      <c r="F1793" s="607">
        <v>170.3</v>
      </c>
      <c r="G1793" s="584">
        <v>15</v>
      </c>
    </row>
    <row r="1794" spans="1:7" ht="15" x14ac:dyDescent="0.2">
      <c r="A1794" s="583" t="s">
        <v>15787</v>
      </c>
      <c r="B1794" s="605" t="s">
        <v>20168</v>
      </c>
      <c r="C1794" s="606" t="s">
        <v>12375</v>
      </c>
      <c r="D1794" s="607">
        <v>92.97</v>
      </c>
      <c r="E1794" s="607">
        <v>32.880000000000003</v>
      </c>
      <c r="F1794" s="607">
        <v>125.85</v>
      </c>
      <c r="G1794" s="584">
        <v>15</v>
      </c>
    </row>
    <row r="1795" spans="1:7" ht="15" x14ac:dyDescent="0.2">
      <c r="A1795" s="583" t="s">
        <v>15788</v>
      </c>
      <c r="B1795" s="605" t="s">
        <v>15789</v>
      </c>
      <c r="C1795" s="606" t="s">
        <v>12375</v>
      </c>
      <c r="D1795" s="607">
        <v>416.35</v>
      </c>
      <c r="E1795" s="607">
        <v>32.880000000000003</v>
      </c>
      <c r="F1795" s="607">
        <v>449.23</v>
      </c>
      <c r="G1795" s="584">
        <v>15</v>
      </c>
    </row>
    <row r="1796" spans="1:7" ht="15" x14ac:dyDescent="0.2">
      <c r="A1796" s="583" t="s">
        <v>15790</v>
      </c>
      <c r="B1796" s="605" t="s">
        <v>20381</v>
      </c>
      <c r="C1796" s="606" t="s">
        <v>12375</v>
      </c>
      <c r="D1796" s="607">
        <v>135.31</v>
      </c>
      <c r="E1796" s="607">
        <v>32.880000000000003</v>
      </c>
      <c r="F1796" s="607">
        <v>168.19</v>
      </c>
      <c r="G1796" s="584">
        <v>15</v>
      </c>
    </row>
    <row r="1797" spans="1:7" ht="15" x14ac:dyDescent="0.25">
      <c r="A1797" s="583" t="s">
        <v>15791</v>
      </c>
      <c r="B1797" s="605" t="s">
        <v>15792</v>
      </c>
      <c r="C1797" s="606"/>
      <c r="D1797" s="607"/>
      <c r="E1797" s="607"/>
      <c r="F1797" s="607"/>
      <c r="G1797" s="582"/>
    </row>
    <row r="1798" spans="1:7" ht="15" x14ac:dyDescent="0.2">
      <c r="A1798" s="583" t="s">
        <v>15793</v>
      </c>
      <c r="B1798" s="605" t="s">
        <v>15794</v>
      </c>
      <c r="C1798" s="606" t="s">
        <v>12483</v>
      </c>
      <c r="D1798" s="607">
        <v>29.15</v>
      </c>
      <c r="E1798" s="607">
        <v>32.880000000000003</v>
      </c>
      <c r="F1798" s="607">
        <v>62.03</v>
      </c>
      <c r="G1798" s="584">
        <v>15</v>
      </c>
    </row>
    <row r="1799" spans="1:7" ht="30" x14ac:dyDescent="0.2">
      <c r="A1799" s="583" t="s">
        <v>15795</v>
      </c>
      <c r="B1799" s="605" t="s">
        <v>15796</v>
      </c>
      <c r="C1799" s="606" t="s">
        <v>12483</v>
      </c>
      <c r="D1799" s="607">
        <v>39.32</v>
      </c>
      <c r="E1799" s="607">
        <v>32.880000000000003</v>
      </c>
      <c r="F1799" s="607">
        <v>72.2</v>
      </c>
      <c r="G1799" s="584">
        <v>15</v>
      </c>
    </row>
    <row r="1800" spans="1:7" ht="30" x14ac:dyDescent="0.2">
      <c r="A1800" s="583" t="s">
        <v>15797</v>
      </c>
      <c r="B1800" s="605" t="s">
        <v>15798</v>
      </c>
      <c r="C1800" s="606" t="s">
        <v>12483</v>
      </c>
      <c r="D1800" s="607">
        <v>43.77</v>
      </c>
      <c r="E1800" s="607">
        <v>32.880000000000003</v>
      </c>
      <c r="F1800" s="607">
        <v>76.650000000000006</v>
      </c>
      <c r="G1800" s="584">
        <v>15</v>
      </c>
    </row>
    <row r="1801" spans="1:7" ht="30" x14ac:dyDescent="0.2">
      <c r="A1801" s="583" t="s">
        <v>15799</v>
      </c>
      <c r="B1801" s="605" t="s">
        <v>15800</v>
      </c>
      <c r="C1801" s="606" t="s">
        <v>12483</v>
      </c>
      <c r="D1801" s="607">
        <v>158.12</v>
      </c>
      <c r="E1801" s="607">
        <v>52.68</v>
      </c>
      <c r="F1801" s="607">
        <v>210.8</v>
      </c>
      <c r="G1801" s="584">
        <v>15</v>
      </c>
    </row>
    <row r="1802" spans="1:7" ht="30" x14ac:dyDescent="0.2">
      <c r="A1802" s="583" t="s">
        <v>15801</v>
      </c>
      <c r="B1802" s="605" t="s">
        <v>15802</v>
      </c>
      <c r="C1802" s="606" t="s">
        <v>12427</v>
      </c>
      <c r="D1802" s="607">
        <v>238.41</v>
      </c>
      <c r="E1802" s="607"/>
      <c r="F1802" s="607">
        <v>238.41</v>
      </c>
      <c r="G1802" s="584">
        <v>15</v>
      </c>
    </row>
    <row r="1803" spans="1:7" ht="30" x14ac:dyDescent="0.2">
      <c r="A1803" s="583" t="s">
        <v>15803</v>
      </c>
      <c r="B1803" s="605" t="s">
        <v>15804</v>
      </c>
      <c r="C1803" s="606" t="s">
        <v>12427</v>
      </c>
      <c r="D1803" s="607">
        <v>248.96</v>
      </c>
      <c r="E1803" s="607"/>
      <c r="F1803" s="607">
        <v>248.96</v>
      </c>
      <c r="G1803" s="584">
        <v>15</v>
      </c>
    </row>
    <row r="1804" spans="1:7" ht="30" x14ac:dyDescent="0.2">
      <c r="A1804" s="583" t="s">
        <v>15805</v>
      </c>
      <c r="B1804" s="605" t="s">
        <v>15806</v>
      </c>
      <c r="C1804" s="606" t="s">
        <v>12427</v>
      </c>
      <c r="D1804" s="607">
        <v>220.89</v>
      </c>
      <c r="E1804" s="607"/>
      <c r="F1804" s="607">
        <v>220.89</v>
      </c>
      <c r="G1804" s="584">
        <v>15</v>
      </c>
    </row>
    <row r="1805" spans="1:7" ht="30" x14ac:dyDescent="0.2">
      <c r="A1805" s="583" t="s">
        <v>15807</v>
      </c>
      <c r="B1805" s="605" t="s">
        <v>15808</v>
      </c>
      <c r="C1805" s="606" t="s">
        <v>12483</v>
      </c>
      <c r="D1805" s="607">
        <v>46.11</v>
      </c>
      <c r="E1805" s="607"/>
      <c r="F1805" s="607">
        <v>46.11</v>
      </c>
      <c r="G1805" s="584">
        <v>15</v>
      </c>
    </row>
    <row r="1806" spans="1:7" ht="45" x14ac:dyDescent="0.2">
      <c r="A1806" s="583" t="s">
        <v>15809</v>
      </c>
      <c r="B1806" s="605" t="s">
        <v>15810</v>
      </c>
      <c r="C1806" s="606" t="s">
        <v>12427</v>
      </c>
      <c r="D1806" s="607">
        <v>330.25</v>
      </c>
      <c r="E1806" s="607"/>
      <c r="F1806" s="607">
        <v>330.25</v>
      </c>
      <c r="G1806" s="584">
        <v>15</v>
      </c>
    </row>
    <row r="1807" spans="1:7" ht="30" x14ac:dyDescent="0.2">
      <c r="A1807" s="583" t="s">
        <v>15811</v>
      </c>
      <c r="B1807" s="605" t="s">
        <v>15812</v>
      </c>
      <c r="C1807" s="606" t="s">
        <v>12427</v>
      </c>
      <c r="D1807" s="607">
        <v>397.36</v>
      </c>
      <c r="E1807" s="607">
        <v>67.760000000000005</v>
      </c>
      <c r="F1807" s="607">
        <v>465.12</v>
      </c>
      <c r="G1807" s="584">
        <v>15</v>
      </c>
    </row>
    <row r="1808" spans="1:7" ht="30" x14ac:dyDescent="0.2">
      <c r="A1808" s="583" t="s">
        <v>15813</v>
      </c>
      <c r="B1808" s="605" t="s">
        <v>15814</v>
      </c>
      <c r="C1808" s="606" t="s">
        <v>12427</v>
      </c>
      <c r="D1808" s="607">
        <v>238.03</v>
      </c>
      <c r="E1808" s="607"/>
      <c r="F1808" s="607">
        <v>238.03</v>
      </c>
      <c r="G1808" s="584">
        <v>15</v>
      </c>
    </row>
    <row r="1809" spans="1:7" ht="30" x14ac:dyDescent="0.2">
      <c r="A1809" s="583" t="s">
        <v>15815</v>
      </c>
      <c r="B1809" s="605" t="s">
        <v>15816</v>
      </c>
      <c r="C1809" s="606" t="s">
        <v>12427</v>
      </c>
      <c r="D1809" s="607">
        <v>1521.18</v>
      </c>
      <c r="E1809" s="607">
        <v>101.18</v>
      </c>
      <c r="F1809" s="607">
        <v>1622.36</v>
      </c>
      <c r="G1809" s="584">
        <v>15</v>
      </c>
    </row>
    <row r="1810" spans="1:7" ht="30" x14ac:dyDescent="0.2">
      <c r="A1810" s="583" t="s">
        <v>15817</v>
      </c>
      <c r="B1810" s="605" t="s">
        <v>15818</v>
      </c>
      <c r="C1810" s="606" t="s">
        <v>12427</v>
      </c>
      <c r="D1810" s="607">
        <v>1030.8900000000001</v>
      </c>
      <c r="E1810" s="607">
        <v>101.18</v>
      </c>
      <c r="F1810" s="607">
        <v>1132.07</v>
      </c>
      <c r="G1810" s="584">
        <v>15</v>
      </c>
    </row>
    <row r="1811" spans="1:7" ht="15" x14ac:dyDescent="0.2">
      <c r="A1811" s="583" t="s">
        <v>15819</v>
      </c>
      <c r="B1811" s="605" t="s">
        <v>15820</v>
      </c>
      <c r="C1811" s="606" t="s">
        <v>12427</v>
      </c>
      <c r="D1811" s="607">
        <v>549.91999999999996</v>
      </c>
      <c r="E1811" s="607">
        <v>39.659999999999997</v>
      </c>
      <c r="F1811" s="607">
        <v>589.58000000000004</v>
      </c>
      <c r="G1811" s="584">
        <v>15</v>
      </c>
    </row>
    <row r="1812" spans="1:7" ht="15" x14ac:dyDescent="0.2">
      <c r="A1812" s="583" t="s">
        <v>15821</v>
      </c>
      <c r="B1812" s="605" t="s">
        <v>15822</v>
      </c>
      <c r="C1812" s="606" t="s">
        <v>12427</v>
      </c>
      <c r="D1812" s="607">
        <v>777.74</v>
      </c>
      <c r="E1812" s="607">
        <v>34.51</v>
      </c>
      <c r="F1812" s="607">
        <v>812.25</v>
      </c>
      <c r="G1812" s="584">
        <v>15</v>
      </c>
    </row>
    <row r="1813" spans="1:7" ht="30" x14ac:dyDescent="0.2">
      <c r="A1813" s="583" t="s">
        <v>20382</v>
      </c>
      <c r="B1813" s="605" t="s">
        <v>20383</v>
      </c>
      <c r="C1813" s="606" t="s">
        <v>12375</v>
      </c>
      <c r="D1813" s="607">
        <v>578.41999999999996</v>
      </c>
      <c r="E1813" s="607">
        <v>135.62</v>
      </c>
      <c r="F1813" s="607">
        <v>714.04</v>
      </c>
      <c r="G1813" s="584">
        <v>15</v>
      </c>
    </row>
    <row r="1814" spans="1:7" ht="15" x14ac:dyDescent="0.2">
      <c r="A1814" s="583" t="s">
        <v>15823</v>
      </c>
      <c r="B1814" s="605" t="s">
        <v>15824</v>
      </c>
      <c r="C1814" s="606" t="s">
        <v>12427</v>
      </c>
      <c r="D1814" s="607">
        <v>1443.69</v>
      </c>
      <c r="E1814" s="607">
        <v>81.67</v>
      </c>
      <c r="F1814" s="607">
        <v>1525.36</v>
      </c>
      <c r="G1814" s="584">
        <v>15</v>
      </c>
    </row>
    <row r="1815" spans="1:7" ht="15" x14ac:dyDescent="0.2">
      <c r="A1815" s="583" t="s">
        <v>15825</v>
      </c>
      <c r="B1815" s="605" t="s">
        <v>15826</v>
      </c>
      <c r="C1815" s="606" t="s">
        <v>12427</v>
      </c>
      <c r="D1815" s="607">
        <v>97.95</v>
      </c>
      <c r="E1815" s="607">
        <v>99.58</v>
      </c>
      <c r="F1815" s="607">
        <v>197.53</v>
      </c>
      <c r="G1815" s="584">
        <v>15</v>
      </c>
    </row>
    <row r="1816" spans="1:7" ht="15" x14ac:dyDescent="0.2">
      <c r="A1816" s="583" t="s">
        <v>15827</v>
      </c>
      <c r="B1816" s="605" t="s">
        <v>15828</v>
      </c>
      <c r="C1816" s="606" t="s">
        <v>12483</v>
      </c>
      <c r="D1816" s="607">
        <v>199.86</v>
      </c>
      <c r="E1816" s="607">
        <v>53.11</v>
      </c>
      <c r="F1816" s="607">
        <v>252.97</v>
      </c>
      <c r="G1816" s="584">
        <v>15</v>
      </c>
    </row>
    <row r="1817" spans="1:7" ht="15" x14ac:dyDescent="0.25">
      <c r="A1817" s="583" t="s">
        <v>15829</v>
      </c>
      <c r="B1817" s="605" t="s">
        <v>15830</v>
      </c>
      <c r="C1817" s="606"/>
      <c r="D1817" s="607"/>
      <c r="E1817" s="607"/>
      <c r="F1817" s="607"/>
      <c r="G1817" s="582"/>
    </row>
    <row r="1818" spans="1:7" ht="30" x14ac:dyDescent="0.2">
      <c r="A1818" s="583" t="s">
        <v>15831</v>
      </c>
      <c r="B1818" s="605" t="s">
        <v>15832</v>
      </c>
      <c r="C1818" s="606" t="s">
        <v>12375</v>
      </c>
      <c r="D1818" s="607">
        <v>106.7</v>
      </c>
      <c r="E1818" s="607">
        <v>158.97999999999999</v>
      </c>
      <c r="F1818" s="607">
        <v>265.68</v>
      </c>
      <c r="G1818" s="584">
        <v>15</v>
      </c>
    </row>
    <row r="1819" spans="1:7" ht="30" x14ac:dyDescent="0.2">
      <c r="A1819" s="583" t="s">
        <v>15833</v>
      </c>
      <c r="B1819" s="605" t="s">
        <v>15834</v>
      </c>
      <c r="C1819" s="606" t="s">
        <v>12375</v>
      </c>
      <c r="D1819" s="607">
        <v>573.62</v>
      </c>
      <c r="E1819" s="607">
        <v>195.32</v>
      </c>
      <c r="F1819" s="607">
        <v>768.94</v>
      </c>
      <c r="G1819" s="584">
        <v>15</v>
      </c>
    </row>
    <row r="1820" spans="1:7" ht="30" x14ac:dyDescent="0.2">
      <c r="A1820" s="583" t="s">
        <v>15835</v>
      </c>
      <c r="B1820" s="605" t="s">
        <v>15836</v>
      </c>
      <c r="C1820" s="606" t="s">
        <v>12375</v>
      </c>
      <c r="D1820" s="607">
        <v>2322.64</v>
      </c>
      <c r="E1820" s="607">
        <v>354.3</v>
      </c>
      <c r="F1820" s="607">
        <v>2676.94</v>
      </c>
      <c r="G1820" s="584">
        <v>15</v>
      </c>
    </row>
    <row r="1821" spans="1:7" ht="30" x14ac:dyDescent="0.2">
      <c r="A1821" s="583" t="s">
        <v>15837</v>
      </c>
      <c r="B1821" s="605" t="s">
        <v>15838</v>
      </c>
      <c r="C1821" s="606" t="s">
        <v>12375</v>
      </c>
      <c r="D1821" s="607">
        <v>3014.32</v>
      </c>
      <c r="E1821" s="607">
        <v>962.96</v>
      </c>
      <c r="F1821" s="607">
        <v>3977.28</v>
      </c>
      <c r="G1821" s="584">
        <v>15</v>
      </c>
    </row>
    <row r="1822" spans="1:7" ht="30" x14ac:dyDescent="0.2">
      <c r="A1822" s="583" t="s">
        <v>15839</v>
      </c>
      <c r="B1822" s="605" t="s">
        <v>15840</v>
      </c>
      <c r="C1822" s="606" t="s">
        <v>12375</v>
      </c>
      <c r="D1822" s="607">
        <v>6194.88</v>
      </c>
      <c r="E1822" s="607">
        <v>1925.92</v>
      </c>
      <c r="F1822" s="607">
        <v>8120.8</v>
      </c>
      <c r="G1822" s="584">
        <v>15</v>
      </c>
    </row>
    <row r="1823" spans="1:7" ht="30" x14ac:dyDescent="0.2">
      <c r="A1823" s="583" t="s">
        <v>15841</v>
      </c>
      <c r="B1823" s="605" t="s">
        <v>15842</v>
      </c>
      <c r="C1823" s="606" t="s">
        <v>12375</v>
      </c>
      <c r="D1823" s="607">
        <v>9129.0400000000009</v>
      </c>
      <c r="E1823" s="607">
        <v>2234.8000000000002</v>
      </c>
      <c r="F1823" s="607">
        <v>11363.84</v>
      </c>
      <c r="G1823" s="584">
        <v>15</v>
      </c>
    </row>
    <row r="1824" spans="1:7" ht="15" x14ac:dyDescent="0.25">
      <c r="A1824" s="583" t="s">
        <v>15843</v>
      </c>
      <c r="B1824" s="605" t="s">
        <v>15844</v>
      </c>
      <c r="C1824" s="606"/>
      <c r="D1824" s="607"/>
      <c r="E1824" s="607"/>
      <c r="F1824" s="607"/>
      <c r="G1824" s="582"/>
    </row>
    <row r="1825" spans="1:7" ht="30" x14ac:dyDescent="0.2">
      <c r="A1825" s="583" t="s">
        <v>15845</v>
      </c>
      <c r="B1825" s="605" t="s">
        <v>15846</v>
      </c>
      <c r="C1825" s="606" t="s">
        <v>12427</v>
      </c>
      <c r="D1825" s="607">
        <v>8.6999999999999993</v>
      </c>
      <c r="E1825" s="607">
        <v>7.94</v>
      </c>
      <c r="F1825" s="607">
        <v>16.64</v>
      </c>
      <c r="G1825" s="584">
        <v>15</v>
      </c>
    </row>
    <row r="1826" spans="1:7" ht="30" x14ac:dyDescent="0.2">
      <c r="A1826" s="583" t="s">
        <v>15847</v>
      </c>
      <c r="B1826" s="605" t="s">
        <v>15848</v>
      </c>
      <c r="C1826" s="606" t="s">
        <v>12427</v>
      </c>
      <c r="D1826" s="607">
        <v>68.400000000000006</v>
      </c>
      <c r="E1826" s="607">
        <v>11</v>
      </c>
      <c r="F1826" s="607">
        <v>79.400000000000006</v>
      </c>
      <c r="G1826" s="584">
        <v>15</v>
      </c>
    </row>
    <row r="1827" spans="1:7" ht="30" x14ac:dyDescent="0.2">
      <c r="A1827" s="583" t="s">
        <v>15849</v>
      </c>
      <c r="B1827" s="605" t="s">
        <v>15850</v>
      </c>
      <c r="C1827" s="606" t="s">
        <v>12483</v>
      </c>
      <c r="D1827" s="607">
        <v>10.55</v>
      </c>
      <c r="E1827" s="607"/>
      <c r="F1827" s="607">
        <v>10.55</v>
      </c>
      <c r="G1827" s="584">
        <v>15</v>
      </c>
    </row>
    <row r="1828" spans="1:7" ht="15" x14ac:dyDescent="0.2">
      <c r="A1828" s="583" t="s">
        <v>15851</v>
      </c>
      <c r="B1828" s="605" t="s">
        <v>15852</v>
      </c>
      <c r="C1828" s="606" t="s">
        <v>12427</v>
      </c>
      <c r="D1828" s="607">
        <v>1.51</v>
      </c>
      <c r="E1828" s="607">
        <v>16.670000000000002</v>
      </c>
      <c r="F1828" s="607">
        <v>18.18</v>
      </c>
      <c r="G1828" s="584">
        <v>15</v>
      </c>
    </row>
    <row r="1829" spans="1:7" ht="15" x14ac:dyDescent="0.2">
      <c r="A1829" s="583" t="s">
        <v>15853</v>
      </c>
      <c r="B1829" s="605" t="s">
        <v>15854</v>
      </c>
      <c r="C1829" s="606" t="s">
        <v>12427</v>
      </c>
      <c r="D1829" s="607">
        <v>1.6</v>
      </c>
      <c r="E1829" s="607">
        <v>22.34</v>
      </c>
      <c r="F1829" s="607">
        <v>23.94</v>
      </c>
      <c r="G1829" s="584">
        <v>15</v>
      </c>
    </row>
    <row r="1830" spans="1:7" ht="45" x14ac:dyDescent="0.2">
      <c r="A1830" s="583" t="s">
        <v>21407</v>
      </c>
      <c r="B1830" s="605" t="s">
        <v>21408</v>
      </c>
      <c r="C1830" s="606" t="s">
        <v>12375</v>
      </c>
      <c r="D1830" s="607">
        <v>553.55999999999995</v>
      </c>
      <c r="E1830" s="607">
        <v>39.94</v>
      </c>
      <c r="F1830" s="607">
        <v>593.5</v>
      </c>
      <c r="G1830" s="584">
        <v>15</v>
      </c>
    </row>
    <row r="1831" spans="1:7" ht="15" x14ac:dyDescent="0.2">
      <c r="A1831" s="583" t="s">
        <v>15855</v>
      </c>
      <c r="B1831" s="605" t="s">
        <v>15856</v>
      </c>
      <c r="C1831" s="606" t="s">
        <v>12427</v>
      </c>
      <c r="D1831" s="607">
        <v>1525.79</v>
      </c>
      <c r="E1831" s="607">
        <v>22.66</v>
      </c>
      <c r="F1831" s="607">
        <v>1548.45</v>
      </c>
      <c r="G1831" s="584">
        <v>15</v>
      </c>
    </row>
    <row r="1832" spans="1:7" ht="15" x14ac:dyDescent="0.25">
      <c r="A1832" s="583" t="s">
        <v>15857</v>
      </c>
      <c r="B1832" s="605" t="s">
        <v>15858</v>
      </c>
      <c r="C1832" s="606"/>
      <c r="D1832" s="607"/>
      <c r="E1832" s="607"/>
      <c r="F1832" s="607"/>
      <c r="G1832" s="582"/>
    </row>
    <row r="1833" spans="1:7" ht="15" x14ac:dyDescent="0.25">
      <c r="A1833" s="583" t="s">
        <v>15859</v>
      </c>
      <c r="B1833" s="605" t="s">
        <v>15860</v>
      </c>
      <c r="C1833" s="606"/>
      <c r="D1833" s="607"/>
      <c r="E1833" s="607"/>
      <c r="F1833" s="607"/>
      <c r="G1833" s="582"/>
    </row>
    <row r="1834" spans="1:7" ht="15" x14ac:dyDescent="0.2">
      <c r="A1834" s="583" t="s">
        <v>15861</v>
      </c>
      <c r="B1834" s="605" t="s">
        <v>15862</v>
      </c>
      <c r="C1834" s="606" t="s">
        <v>12427</v>
      </c>
      <c r="D1834" s="607">
        <v>39.270000000000003</v>
      </c>
      <c r="E1834" s="607">
        <v>6.8</v>
      </c>
      <c r="F1834" s="607">
        <v>46.07</v>
      </c>
      <c r="G1834" s="584">
        <v>15</v>
      </c>
    </row>
    <row r="1835" spans="1:7" ht="15" x14ac:dyDescent="0.2">
      <c r="A1835" s="583" t="s">
        <v>15863</v>
      </c>
      <c r="B1835" s="605" t="s">
        <v>15864</v>
      </c>
      <c r="C1835" s="606" t="s">
        <v>12676</v>
      </c>
      <c r="D1835" s="607">
        <v>2179.4299999999998</v>
      </c>
      <c r="E1835" s="607">
        <v>163.11000000000001</v>
      </c>
      <c r="F1835" s="607">
        <v>2342.54</v>
      </c>
      <c r="G1835" s="584">
        <v>15</v>
      </c>
    </row>
    <row r="1836" spans="1:7" ht="15" x14ac:dyDescent="0.2">
      <c r="A1836" s="583" t="s">
        <v>15865</v>
      </c>
      <c r="B1836" s="605" t="s">
        <v>15866</v>
      </c>
      <c r="C1836" s="606" t="s">
        <v>12676</v>
      </c>
      <c r="D1836" s="607">
        <v>1765.63</v>
      </c>
      <c r="E1836" s="607">
        <v>163.11000000000001</v>
      </c>
      <c r="F1836" s="607">
        <v>1928.74</v>
      </c>
      <c r="G1836" s="584">
        <v>15</v>
      </c>
    </row>
    <row r="1837" spans="1:7" ht="30" x14ac:dyDescent="0.2">
      <c r="A1837" s="583" t="s">
        <v>15867</v>
      </c>
      <c r="B1837" s="605" t="s">
        <v>15868</v>
      </c>
      <c r="C1837" s="606" t="s">
        <v>12427</v>
      </c>
      <c r="D1837" s="607">
        <v>182.01</v>
      </c>
      <c r="E1837" s="607">
        <v>33.56</v>
      </c>
      <c r="F1837" s="607">
        <v>215.57</v>
      </c>
      <c r="G1837" s="584">
        <v>15</v>
      </c>
    </row>
    <row r="1838" spans="1:7" ht="15" x14ac:dyDescent="0.25">
      <c r="A1838" s="583" t="s">
        <v>15869</v>
      </c>
      <c r="B1838" s="605" t="s">
        <v>15870</v>
      </c>
      <c r="C1838" s="606"/>
      <c r="D1838" s="607"/>
      <c r="E1838" s="607"/>
      <c r="F1838" s="607"/>
      <c r="G1838" s="582"/>
    </row>
    <row r="1839" spans="1:7" ht="30" x14ac:dyDescent="0.2">
      <c r="A1839" s="583" t="s">
        <v>15871</v>
      </c>
      <c r="B1839" s="605" t="s">
        <v>15872</v>
      </c>
      <c r="C1839" s="606" t="s">
        <v>12375</v>
      </c>
      <c r="D1839" s="607">
        <v>4699.9799999999996</v>
      </c>
      <c r="E1839" s="607">
        <v>95.98</v>
      </c>
      <c r="F1839" s="607">
        <v>4795.96</v>
      </c>
      <c r="G1839" s="584">
        <v>15</v>
      </c>
    </row>
    <row r="1840" spans="1:7" ht="15" x14ac:dyDescent="0.25">
      <c r="A1840" s="583" t="s">
        <v>15873</v>
      </c>
      <c r="B1840" s="605" t="s">
        <v>15874</v>
      </c>
      <c r="C1840" s="606"/>
      <c r="D1840" s="607"/>
      <c r="E1840" s="607"/>
      <c r="F1840" s="607"/>
      <c r="G1840" s="582"/>
    </row>
    <row r="1841" spans="1:7" ht="15" x14ac:dyDescent="0.2">
      <c r="A1841" s="583" t="s">
        <v>15875</v>
      </c>
      <c r="B1841" s="605" t="s">
        <v>15876</v>
      </c>
      <c r="C1841" s="606" t="s">
        <v>12483</v>
      </c>
      <c r="D1841" s="607">
        <v>122.74</v>
      </c>
      <c r="E1841" s="607">
        <v>98.38</v>
      </c>
      <c r="F1841" s="607">
        <v>221.12</v>
      </c>
      <c r="G1841" s="584">
        <v>15</v>
      </c>
    </row>
    <row r="1842" spans="1:7" ht="15" x14ac:dyDescent="0.2">
      <c r="A1842" s="583" t="s">
        <v>15877</v>
      </c>
      <c r="B1842" s="605" t="s">
        <v>15878</v>
      </c>
      <c r="C1842" s="606" t="s">
        <v>12375</v>
      </c>
      <c r="D1842" s="607">
        <v>553.41999999999996</v>
      </c>
      <c r="E1842" s="607">
        <v>21.9</v>
      </c>
      <c r="F1842" s="607">
        <v>575.32000000000005</v>
      </c>
      <c r="G1842" s="584">
        <v>15</v>
      </c>
    </row>
    <row r="1843" spans="1:7" ht="15" x14ac:dyDescent="0.2">
      <c r="A1843" s="583" t="s">
        <v>15879</v>
      </c>
      <c r="B1843" s="605" t="s">
        <v>15880</v>
      </c>
      <c r="C1843" s="606" t="s">
        <v>12427</v>
      </c>
      <c r="D1843" s="607">
        <v>172.2</v>
      </c>
      <c r="E1843" s="607">
        <v>61.32</v>
      </c>
      <c r="F1843" s="607">
        <v>233.52</v>
      </c>
      <c r="G1843" s="584">
        <v>15</v>
      </c>
    </row>
    <row r="1844" spans="1:7" ht="30" x14ac:dyDescent="0.2">
      <c r="A1844" s="583" t="s">
        <v>15881</v>
      </c>
      <c r="B1844" s="605" t="s">
        <v>15882</v>
      </c>
      <c r="C1844" s="606" t="s">
        <v>12375</v>
      </c>
      <c r="D1844" s="607">
        <v>615.77</v>
      </c>
      <c r="E1844" s="607">
        <v>30.8</v>
      </c>
      <c r="F1844" s="607">
        <v>646.57000000000005</v>
      </c>
      <c r="G1844" s="584">
        <v>15</v>
      </c>
    </row>
    <row r="1845" spans="1:7" ht="30" x14ac:dyDescent="0.2">
      <c r="A1845" s="583" t="s">
        <v>15883</v>
      </c>
      <c r="B1845" s="605" t="s">
        <v>15884</v>
      </c>
      <c r="C1845" s="606" t="s">
        <v>12375</v>
      </c>
      <c r="D1845" s="607">
        <v>876.02</v>
      </c>
      <c r="E1845" s="607">
        <v>46.19</v>
      </c>
      <c r="F1845" s="607">
        <v>922.21</v>
      </c>
      <c r="G1845" s="584">
        <v>15</v>
      </c>
    </row>
    <row r="1846" spans="1:7" ht="15" x14ac:dyDescent="0.25">
      <c r="A1846" s="583" t="s">
        <v>15885</v>
      </c>
      <c r="B1846" s="605" t="s">
        <v>15886</v>
      </c>
      <c r="C1846" s="606"/>
      <c r="D1846" s="607"/>
      <c r="E1846" s="607"/>
      <c r="F1846" s="607"/>
      <c r="G1846" s="582"/>
    </row>
    <row r="1847" spans="1:7" ht="15" x14ac:dyDescent="0.2">
      <c r="A1847" s="583" t="s">
        <v>15887</v>
      </c>
      <c r="B1847" s="605" t="s">
        <v>15888</v>
      </c>
      <c r="C1847" s="606" t="s">
        <v>12676</v>
      </c>
      <c r="D1847" s="607">
        <v>5706.39</v>
      </c>
      <c r="E1847" s="607">
        <v>217.49</v>
      </c>
      <c r="F1847" s="607">
        <v>5923.88</v>
      </c>
      <c r="G1847" s="584">
        <v>15</v>
      </c>
    </row>
    <row r="1848" spans="1:7" ht="15" x14ac:dyDescent="0.2">
      <c r="A1848" s="583" t="s">
        <v>15889</v>
      </c>
      <c r="B1848" s="605" t="s">
        <v>15890</v>
      </c>
      <c r="C1848" s="606" t="s">
        <v>12676</v>
      </c>
      <c r="D1848" s="607">
        <v>2997.79</v>
      </c>
      <c r="E1848" s="607">
        <v>217.49</v>
      </c>
      <c r="F1848" s="607">
        <v>3215.28</v>
      </c>
      <c r="G1848" s="584">
        <v>15</v>
      </c>
    </row>
    <row r="1849" spans="1:7" ht="15" x14ac:dyDescent="0.2">
      <c r="A1849" s="583" t="s">
        <v>15891</v>
      </c>
      <c r="B1849" s="605" t="s">
        <v>15892</v>
      </c>
      <c r="C1849" s="606" t="s">
        <v>12676</v>
      </c>
      <c r="D1849" s="607">
        <v>1788.24</v>
      </c>
      <c r="E1849" s="607">
        <v>217.49</v>
      </c>
      <c r="F1849" s="607">
        <v>2005.73</v>
      </c>
      <c r="G1849" s="584">
        <v>15</v>
      </c>
    </row>
    <row r="1850" spans="1:7" ht="15" x14ac:dyDescent="0.2">
      <c r="A1850" s="583" t="s">
        <v>15893</v>
      </c>
      <c r="B1850" s="605" t="s">
        <v>15894</v>
      </c>
      <c r="C1850" s="606" t="s">
        <v>12676</v>
      </c>
      <c r="D1850" s="607">
        <v>3866.98</v>
      </c>
      <c r="E1850" s="607">
        <v>217.49</v>
      </c>
      <c r="F1850" s="607">
        <v>4084.47</v>
      </c>
      <c r="G1850" s="584">
        <v>15</v>
      </c>
    </row>
    <row r="1851" spans="1:7" ht="15" x14ac:dyDescent="0.25">
      <c r="A1851" s="583" t="s">
        <v>15895</v>
      </c>
      <c r="B1851" s="605" t="s">
        <v>15896</v>
      </c>
      <c r="C1851" s="606"/>
      <c r="D1851" s="607"/>
      <c r="E1851" s="607"/>
      <c r="F1851" s="607"/>
      <c r="G1851" s="582"/>
    </row>
    <row r="1852" spans="1:7" ht="15" x14ac:dyDescent="0.2">
      <c r="A1852" s="583" t="s">
        <v>15897</v>
      </c>
      <c r="B1852" s="605" t="s">
        <v>15898</v>
      </c>
      <c r="C1852" s="606" t="s">
        <v>12676</v>
      </c>
      <c r="D1852" s="607">
        <v>6196.64</v>
      </c>
      <c r="E1852" s="607">
        <v>345.72</v>
      </c>
      <c r="F1852" s="607">
        <v>6542.36</v>
      </c>
      <c r="G1852" s="584">
        <v>15</v>
      </c>
    </row>
    <row r="1853" spans="1:7" ht="15" x14ac:dyDescent="0.2">
      <c r="A1853" s="583" t="s">
        <v>15899</v>
      </c>
      <c r="B1853" s="605" t="s">
        <v>15900</v>
      </c>
      <c r="C1853" s="606" t="s">
        <v>12676</v>
      </c>
      <c r="D1853" s="607">
        <v>8467.59</v>
      </c>
      <c r="E1853" s="607">
        <v>345.72</v>
      </c>
      <c r="F1853" s="607">
        <v>8813.31</v>
      </c>
      <c r="G1853" s="584">
        <v>15</v>
      </c>
    </row>
    <row r="1854" spans="1:7" ht="15" x14ac:dyDescent="0.2">
      <c r="A1854" s="583" t="s">
        <v>15901</v>
      </c>
      <c r="B1854" s="605" t="s">
        <v>15902</v>
      </c>
      <c r="C1854" s="606" t="s">
        <v>12375</v>
      </c>
      <c r="D1854" s="607">
        <v>2809.84</v>
      </c>
      <c r="E1854" s="607">
        <v>51.05</v>
      </c>
      <c r="F1854" s="607">
        <v>2860.89</v>
      </c>
      <c r="G1854" s="584">
        <v>15</v>
      </c>
    </row>
    <row r="1855" spans="1:7" ht="15" x14ac:dyDescent="0.2">
      <c r="A1855" s="583" t="s">
        <v>15903</v>
      </c>
      <c r="B1855" s="605" t="s">
        <v>15904</v>
      </c>
      <c r="C1855" s="606" t="s">
        <v>12375</v>
      </c>
      <c r="D1855" s="607">
        <v>2052.89</v>
      </c>
      <c r="E1855" s="607">
        <v>51.05</v>
      </c>
      <c r="F1855" s="607">
        <v>2103.94</v>
      </c>
      <c r="G1855" s="584">
        <v>15</v>
      </c>
    </row>
    <row r="1856" spans="1:7" ht="15" x14ac:dyDescent="0.25">
      <c r="A1856" s="583" t="s">
        <v>15905</v>
      </c>
      <c r="B1856" s="605" t="s">
        <v>15906</v>
      </c>
      <c r="C1856" s="606"/>
      <c r="D1856" s="607"/>
      <c r="E1856" s="607"/>
      <c r="F1856" s="607"/>
      <c r="G1856" s="582"/>
    </row>
    <row r="1857" spans="1:7" ht="15" x14ac:dyDescent="0.2">
      <c r="A1857" s="583" t="s">
        <v>15907</v>
      </c>
      <c r="B1857" s="605" t="s">
        <v>15908</v>
      </c>
      <c r="C1857" s="606" t="s">
        <v>12427</v>
      </c>
      <c r="D1857" s="607">
        <v>13.32</v>
      </c>
      <c r="E1857" s="607"/>
      <c r="F1857" s="607">
        <v>13.32</v>
      </c>
      <c r="G1857" s="584">
        <v>15</v>
      </c>
    </row>
    <row r="1858" spans="1:7" ht="30" x14ac:dyDescent="0.2">
      <c r="A1858" s="583" t="s">
        <v>15909</v>
      </c>
      <c r="B1858" s="605" t="s">
        <v>15910</v>
      </c>
      <c r="C1858" s="606" t="s">
        <v>12375</v>
      </c>
      <c r="D1858" s="607">
        <v>1235.07</v>
      </c>
      <c r="E1858" s="607">
        <v>33.979999999999997</v>
      </c>
      <c r="F1858" s="607">
        <v>1269.05</v>
      </c>
      <c r="G1858" s="584">
        <v>15</v>
      </c>
    </row>
    <row r="1859" spans="1:7" ht="15" x14ac:dyDescent="0.25">
      <c r="A1859" s="583" t="s">
        <v>15911</v>
      </c>
      <c r="B1859" s="605" t="s">
        <v>15912</v>
      </c>
      <c r="C1859" s="606"/>
      <c r="D1859" s="607"/>
      <c r="E1859" s="607"/>
      <c r="F1859" s="607"/>
      <c r="G1859" s="582"/>
    </row>
    <row r="1860" spans="1:7" ht="15" x14ac:dyDescent="0.25">
      <c r="A1860" s="583" t="s">
        <v>15913</v>
      </c>
      <c r="B1860" s="605" t="s">
        <v>15914</v>
      </c>
      <c r="C1860" s="606"/>
      <c r="D1860" s="607"/>
      <c r="E1860" s="607"/>
      <c r="F1860" s="607"/>
      <c r="G1860" s="582"/>
    </row>
    <row r="1861" spans="1:7" ht="15" x14ac:dyDescent="0.2">
      <c r="A1861" s="583" t="s">
        <v>15915</v>
      </c>
      <c r="B1861" s="605" t="s">
        <v>15916</v>
      </c>
      <c r="C1861" s="606" t="s">
        <v>12676</v>
      </c>
      <c r="D1861" s="607">
        <v>160305.66</v>
      </c>
      <c r="E1861" s="607">
        <v>265.99</v>
      </c>
      <c r="F1861" s="607">
        <v>160571.65</v>
      </c>
      <c r="G1861" s="584">
        <v>15</v>
      </c>
    </row>
    <row r="1862" spans="1:7" ht="15" x14ac:dyDescent="0.2">
      <c r="A1862" s="583" t="s">
        <v>15917</v>
      </c>
      <c r="B1862" s="605" t="s">
        <v>15918</v>
      </c>
      <c r="C1862" s="606" t="s">
        <v>12676</v>
      </c>
      <c r="D1862" s="607">
        <v>136088.1</v>
      </c>
      <c r="E1862" s="607">
        <v>265.99</v>
      </c>
      <c r="F1862" s="607">
        <v>136354.09</v>
      </c>
      <c r="G1862" s="584">
        <v>15</v>
      </c>
    </row>
    <row r="1863" spans="1:7" ht="15" x14ac:dyDescent="0.25">
      <c r="A1863" s="583" t="s">
        <v>15919</v>
      </c>
      <c r="B1863" s="605" t="s">
        <v>15920</v>
      </c>
      <c r="C1863" s="606"/>
      <c r="D1863" s="607"/>
      <c r="E1863" s="607"/>
      <c r="F1863" s="607"/>
      <c r="G1863" s="582"/>
    </row>
    <row r="1864" spans="1:7" ht="30" x14ac:dyDescent="0.2">
      <c r="A1864" s="583" t="s">
        <v>15921</v>
      </c>
      <c r="B1864" s="605" t="s">
        <v>15922</v>
      </c>
      <c r="C1864" s="606" t="s">
        <v>12375</v>
      </c>
      <c r="D1864" s="607">
        <v>137.44999999999999</v>
      </c>
      <c r="E1864" s="607">
        <v>173.88</v>
      </c>
      <c r="F1864" s="607">
        <v>311.33</v>
      </c>
      <c r="G1864" s="584">
        <v>15</v>
      </c>
    </row>
    <row r="1865" spans="1:7" ht="30" x14ac:dyDescent="0.2">
      <c r="A1865" s="583" t="s">
        <v>15923</v>
      </c>
      <c r="B1865" s="605" t="s">
        <v>15924</v>
      </c>
      <c r="C1865" s="606" t="s">
        <v>12375</v>
      </c>
      <c r="D1865" s="607">
        <v>238.26</v>
      </c>
      <c r="E1865" s="607">
        <v>173.88</v>
      </c>
      <c r="F1865" s="607">
        <v>412.14</v>
      </c>
      <c r="G1865" s="584">
        <v>15</v>
      </c>
    </row>
    <row r="1866" spans="1:7" ht="30" x14ac:dyDescent="0.2">
      <c r="A1866" s="583" t="s">
        <v>15925</v>
      </c>
      <c r="B1866" s="605" t="s">
        <v>15926</v>
      </c>
      <c r="C1866" s="606" t="s">
        <v>12375</v>
      </c>
      <c r="D1866" s="607">
        <v>1158.6199999999999</v>
      </c>
      <c r="E1866" s="607">
        <v>200.96</v>
      </c>
      <c r="F1866" s="607">
        <v>1359.58</v>
      </c>
      <c r="G1866" s="584">
        <v>15</v>
      </c>
    </row>
    <row r="1867" spans="1:7" ht="30" x14ac:dyDescent="0.2">
      <c r="A1867" s="583" t="s">
        <v>15927</v>
      </c>
      <c r="B1867" s="605" t="s">
        <v>15928</v>
      </c>
      <c r="C1867" s="606" t="s">
        <v>12375</v>
      </c>
      <c r="D1867" s="607">
        <v>2683.2</v>
      </c>
      <c r="E1867" s="607">
        <v>200.96</v>
      </c>
      <c r="F1867" s="607">
        <v>2884.16</v>
      </c>
      <c r="G1867" s="584">
        <v>15</v>
      </c>
    </row>
    <row r="1868" spans="1:7" ht="30" x14ac:dyDescent="0.2">
      <c r="A1868" s="583" t="s">
        <v>15929</v>
      </c>
      <c r="B1868" s="605" t="s">
        <v>15930</v>
      </c>
      <c r="C1868" s="606" t="s">
        <v>12375</v>
      </c>
      <c r="D1868" s="607">
        <v>1875.84</v>
      </c>
      <c r="E1868" s="607">
        <v>200.96</v>
      </c>
      <c r="F1868" s="607">
        <v>2076.8000000000002</v>
      </c>
      <c r="G1868" s="584">
        <v>15</v>
      </c>
    </row>
    <row r="1869" spans="1:7" ht="30" x14ac:dyDescent="0.2">
      <c r="A1869" s="583" t="s">
        <v>15931</v>
      </c>
      <c r="B1869" s="605" t="s">
        <v>15932</v>
      </c>
      <c r="C1869" s="606" t="s">
        <v>12375</v>
      </c>
      <c r="D1869" s="607">
        <v>606</v>
      </c>
      <c r="E1869" s="607">
        <v>150.72</v>
      </c>
      <c r="F1869" s="607">
        <v>756.72</v>
      </c>
      <c r="G1869" s="584">
        <v>15</v>
      </c>
    </row>
    <row r="1870" spans="1:7" ht="30" x14ac:dyDescent="0.2">
      <c r="A1870" s="583" t="s">
        <v>15933</v>
      </c>
      <c r="B1870" s="605" t="s">
        <v>15934</v>
      </c>
      <c r="C1870" s="606" t="s">
        <v>12375</v>
      </c>
      <c r="D1870" s="607">
        <v>1704.1</v>
      </c>
      <c r="E1870" s="607">
        <v>209.22</v>
      </c>
      <c r="F1870" s="607">
        <v>1913.32</v>
      </c>
      <c r="G1870" s="584">
        <v>15</v>
      </c>
    </row>
    <row r="1871" spans="1:7" ht="30" x14ac:dyDescent="0.2">
      <c r="A1871" s="583" t="s">
        <v>15935</v>
      </c>
      <c r="B1871" s="605" t="s">
        <v>15936</v>
      </c>
      <c r="C1871" s="606" t="s">
        <v>12375</v>
      </c>
      <c r="D1871" s="607">
        <v>1093.29</v>
      </c>
      <c r="E1871" s="607">
        <v>200.96</v>
      </c>
      <c r="F1871" s="607">
        <v>1294.25</v>
      </c>
      <c r="G1871" s="584">
        <v>15</v>
      </c>
    </row>
    <row r="1872" spans="1:7" ht="30" x14ac:dyDescent="0.2">
      <c r="A1872" s="583" t="s">
        <v>15937</v>
      </c>
      <c r="B1872" s="605" t="s">
        <v>15938</v>
      </c>
      <c r="C1872" s="606" t="s">
        <v>12375</v>
      </c>
      <c r="D1872" s="607">
        <v>126.74</v>
      </c>
      <c r="E1872" s="607">
        <v>100.48</v>
      </c>
      <c r="F1872" s="607">
        <v>227.22</v>
      </c>
      <c r="G1872" s="584">
        <v>15</v>
      </c>
    </row>
    <row r="1873" spans="1:7" ht="30" x14ac:dyDescent="0.2">
      <c r="A1873" s="583" t="s">
        <v>15939</v>
      </c>
      <c r="B1873" s="605" t="s">
        <v>15940</v>
      </c>
      <c r="C1873" s="606" t="s">
        <v>12375</v>
      </c>
      <c r="D1873" s="607">
        <v>196.9</v>
      </c>
      <c r="E1873" s="607">
        <v>173.88</v>
      </c>
      <c r="F1873" s="607">
        <v>370.78</v>
      </c>
      <c r="G1873" s="584">
        <v>15</v>
      </c>
    </row>
    <row r="1874" spans="1:7" ht="15" x14ac:dyDescent="0.2">
      <c r="A1874" s="583" t="s">
        <v>15941</v>
      </c>
      <c r="B1874" s="605" t="s">
        <v>15942</v>
      </c>
      <c r="C1874" s="606" t="s">
        <v>12375</v>
      </c>
      <c r="D1874" s="607">
        <v>745.33</v>
      </c>
      <c r="E1874" s="607">
        <v>200.96</v>
      </c>
      <c r="F1874" s="607">
        <v>946.29</v>
      </c>
      <c r="G1874" s="584">
        <v>15</v>
      </c>
    </row>
    <row r="1875" spans="1:7" ht="15" x14ac:dyDescent="0.25">
      <c r="A1875" s="583" t="s">
        <v>15943</v>
      </c>
      <c r="B1875" s="605" t="s">
        <v>15944</v>
      </c>
      <c r="C1875" s="606"/>
      <c r="D1875" s="607"/>
      <c r="E1875" s="607"/>
      <c r="F1875" s="607"/>
      <c r="G1875" s="582"/>
    </row>
    <row r="1876" spans="1:7" ht="15" x14ac:dyDescent="0.2">
      <c r="A1876" s="583" t="s">
        <v>15945</v>
      </c>
      <c r="B1876" s="605" t="s">
        <v>15946</v>
      </c>
      <c r="C1876" s="606" t="s">
        <v>12375</v>
      </c>
      <c r="D1876" s="607">
        <v>35.49</v>
      </c>
      <c r="E1876" s="607">
        <v>15.07</v>
      </c>
      <c r="F1876" s="607">
        <v>50.56</v>
      </c>
      <c r="G1876" s="584">
        <v>15</v>
      </c>
    </row>
    <row r="1877" spans="1:7" ht="15" x14ac:dyDescent="0.2">
      <c r="A1877" s="583" t="s">
        <v>15947</v>
      </c>
      <c r="B1877" s="605" t="s">
        <v>15948</v>
      </c>
      <c r="C1877" s="606" t="s">
        <v>12375</v>
      </c>
      <c r="D1877" s="607">
        <v>52.85</v>
      </c>
      <c r="E1877" s="607">
        <v>15.07</v>
      </c>
      <c r="F1877" s="607">
        <v>67.92</v>
      </c>
      <c r="G1877" s="584">
        <v>15</v>
      </c>
    </row>
    <row r="1878" spans="1:7" ht="15" x14ac:dyDescent="0.2">
      <c r="A1878" s="583" t="s">
        <v>15949</v>
      </c>
      <c r="B1878" s="605" t="s">
        <v>15950</v>
      </c>
      <c r="C1878" s="606" t="s">
        <v>12375</v>
      </c>
      <c r="D1878" s="607">
        <v>90.4</v>
      </c>
      <c r="E1878" s="607">
        <v>15.07</v>
      </c>
      <c r="F1878" s="607">
        <v>105.47</v>
      </c>
      <c r="G1878" s="584">
        <v>15</v>
      </c>
    </row>
    <row r="1879" spans="1:7" ht="15" x14ac:dyDescent="0.2">
      <c r="A1879" s="583" t="s">
        <v>15951</v>
      </c>
      <c r="B1879" s="605" t="s">
        <v>15952</v>
      </c>
      <c r="C1879" s="606" t="s">
        <v>12375</v>
      </c>
      <c r="D1879" s="607">
        <v>122.77</v>
      </c>
      <c r="E1879" s="607">
        <v>15.07</v>
      </c>
      <c r="F1879" s="607">
        <v>137.84</v>
      </c>
      <c r="G1879" s="584">
        <v>15</v>
      </c>
    </row>
    <row r="1880" spans="1:7" ht="15" x14ac:dyDescent="0.25">
      <c r="A1880" s="583" t="s">
        <v>15953</v>
      </c>
      <c r="B1880" s="605" t="s">
        <v>15954</v>
      </c>
      <c r="C1880" s="606"/>
      <c r="D1880" s="607"/>
      <c r="E1880" s="607"/>
      <c r="F1880" s="607"/>
      <c r="G1880" s="582"/>
    </row>
    <row r="1881" spans="1:7" ht="15" x14ac:dyDescent="0.2">
      <c r="A1881" s="583" t="s">
        <v>15955</v>
      </c>
      <c r="B1881" s="605" t="s">
        <v>15956</v>
      </c>
      <c r="C1881" s="606" t="s">
        <v>12375</v>
      </c>
      <c r="D1881" s="607">
        <v>45.84</v>
      </c>
      <c r="E1881" s="607">
        <v>10.050000000000001</v>
      </c>
      <c r="F1881" s="607">
        <v>55.89</v>
      </c>
      <c r="G1881" s="584">
        <v>15</v>
      </c>
    </row>
    <row r="1882" spans="1:7" ht="15" x14ac:dyDescent="0.2">
      <c r="A1882" s="583" t="s">
        <v>15957</v>
      </c>
      <c r="B1882" s="605" t="s">
        <v>15958</v>
      </c>
      <c r="C1882" s="606" t="s">
        <v>12375</v>
      </c>
      <c r="D1882" s="607">
        <v>90.26</v>
      </c>
      <c r="E1882" s="607">
        <v>10.050000000000001</v>
      </c>
      <c r="F1882" s="607">
        <v>100.31</v>
      </c>
      <c r="G1882" s="584">
        <v>15</v>
      </c>
    </row>
    <row r="1883" spans="1:7" ht="15" x14ac:dyDescent="0.2">
      <c r="A1883" s="583" t="s">
        <v>15959</v>
      </c>
      <c r="B1883" s="605" t="s">
        <v>15960</v>
      </c>
      <c r="C1883" s="606" t="s">
        <v>12375</v>
      </c>
      <c r="D1883" s="607">
        <v>80.510000000000005</v>
      </c>
      <c r="E1883" s="607">
        <v>37.68</v>
      </c>
      <c r="F1883" s="607">
        <v>118.19</v>
      </c>
      <c r="G1883" s="584">
        <v>15</v>
      </c>
    </row>
    <row r="1884" spans="1:7" ht="15" x14ac:dyDescent="0.2">
      <c r="A1884" s="583" t="s">
        <v>15961</v>
      </c>
      <c r="B1884" s="605" t="s">
        <v>15962</v>
      </c>
      <c r="C1884" s="606" t="s">
        <v>12375</v>
      </c>
      <c r="D1884" s="607">
        <v>154.82</v>
      </c>
      <c r="E1884" s="607">
        <v>10.050000000000001</v>
      </c>
      <c r="F1884" s="607">
        <v>164.87</v>
      </c>
      <c r="G1884" s="584">
        <v>15</v>
      </c>
    </row>
    <row r="1885" spans="1:7" ht="15" x14ac:dyDescent="0.2">
      <c r="A1885" s="583" t="s">
        <v>15963</v>
      </c>
      <c r="B1885" s="605" t="s">
        <v>15964</v>
      </c>
      <c r="C1885" s="606" t="s">
        <v>12375</v>
      </c>
      <c r="D1885" s="607">
        <v>210.25</v>
      </c>
      <c r="E1885" s="607">
        <v>10.050000000000001</v>
      </c>
      <c r="F1885" s="607">
        <v>220.3</v>
      </c>
      <c r="G1885" s="584">
        <v>15</v>
      </c>
    </row>
    <row r="1886" spans="1:7" ht="15" x14ac:dyDescent="0.25">
      <c r="A1886" s="583" t="s">
        <v>15965</v>
      </c>
      <c r="B1886" s="605" t="s">
        <v>15966</v>
      </c>
      <c r="C1886" s="606"/>
      <c r="D1886" s="607"/>
      <c r="E1886" s="607"/>
      <c r="F1886" s="607"/>
      <c r="G1886" s="582"/>
    </row>
    <row r="1887" spans="1:7" ht="30" x14ac:dyDescent="0.2">
      <c r="A1887" s="583" t="s">
        <v>15967</v>
      </c>
      <c r="B1887" s="605" t="s">
        <v>15968</v>
      </c>
      <c r="C1887" s="606" t="s">
        <v>12676</v>
      </c>
      <c r="D1887" s="607">
        <v>526.51</v>
      </c>
      <c r="E1887" s="607">
        <v>25.12</v>
      </c>
      <c r="F1887" s="607">
        <v>551.63</v>
      </c>
      <c r="G1887" s="584">
        <v>15</v>
      </c>
    </row>
    <row r="1888" spans="1:7" ht="30" x14ac:dyDescent="0.2">
      <c r="A1888" s="583" t="s">
        <v>15969</v>
      </c>
      <c r="B1888" s="605" t="s">
        <v>15970</v>
      </c>
      <c r="C1888" s="606" t="s">
        <v>12676</v>
      </c>
      <c r="D1888" s="607">
        <v>446.04</v>
      </c>
      <c r="E1888" s="607">
        <v>25.12</v>
      </c>
      <c r="F1888" s="607">
        <v>471.16</v>
      </c>
      <c r="G1888" s="584">
        <v>15</v>
      </c>
    </row>
    <row r="1889" spans="1:7" ht="15" x14ac:dyDescent="0.25">
      <c r="A1889" s="583" t="s">
        <v>15971</v>
      </c>
      <c r="B1889" s="605" t="s">
        <v>15972</v>
      </c>
      <c r="C1889" s="606"/>
      <c r="D1889" s="607"/>
      <c r="E1889" s="607"/>
      <c r="F1889" s="607"/>
      <c r="G1889" s="582"/>
    </row>
    <row r="1890" spans="1:7" ht="30" x14ac:dyDescent="0.2">
      <c r="A1890" s="583" t="s">
        <v>15973</v>
      </c>
      <c r="B1890" s="605" t="s">
        <v>15974</v>
      </c>
      <c r="C1890" s="606" t="s">
        <v>12375</v>
      </c>
      <c r="D1890" s="607">
        <v>246.51</v>
      </c>
      <c r="E1890" s="607">
        <v>23.57</v>
      </c>
      <c r="F1890" s="607">
        <v>270.08</v>
      </c>
      <c r="G1890" s="584">
        <v>15</v>
      </c>
    </row>
    <row r="1891" spans="1:7" ht="30" x14ac:dyDescent="0.2">
      <c r="A1891" s="583" t="s">
        <v>15975</v>
      </c>
      <c r="B1891" s="605" t="s">
        <v>15976</v>
      </c>
      <c r="C1891" s="606" t="s">
        <v>12375</v>
      </c>
      <c r="D1891" s="607">
        <v>217.19</v>
      </c>
      <c r="E1891" s="607">
        <v>23.57</v>
      </c>
      <c r="F1891" s="607">
        <v>240.76</v>
      </c>
      <c r="G1891" s="584">
        <v>15</v>
      </c>
    </row>
    <row r="1892" spans="1:7" ht="30" x14ac:dyDescent="0.2">
      <c r="A1892" s="583" t="s">
        <v>15977</v>
      </c>
      <c r="B1892" s="605" t="s">
        <v>15978</v>
      </c>
      <c r="C1892" s="606" t="s">
        <v>12375</v>
      </c>
      <c r="D1892" s="607">
        <v>252.64</v>
      </c>
      <c r="E1892" s="607">
        <v>23.57</v>
      </c>
      <c r="F1892" s="607">
        <v>276.20999999999998</v>
      </c>
      <c r="G1892" s="584">
        <v>15</v>
      </c>
    </row>
    <row r="1893" spans="1:7" ht="30" x14ac:dyDescent="0.2">
      <c r="A1893" s="583" t="s">
        <v>15979</v>
      </c>
      <c r="B1893" s="605" t="s">
        <v>15980</v>
      </c>
      <c r="C1893" s="606" t="s">
        <v>12375</v>
      </c>
      <c r="D1893" s="607">
        <v>217.23</v>
      </c>
      <c r="E1893" s="607">
        <v>23.57</v>
      </c>
      <c r="F1893" s="607">
        <v>240.8</v>
      </c>
      <c r="G1893" s="584">
        <v>15</v>
      </c>
    </row>
    <row r="1894" spans="1:7" ht="15" x14ac:dyDescent="0.25">
      <c r="A1894" s="583" t="s">
        <v>15981</v>
      </c>
      <c r="B1894" s="605" t="s">
        <v>15982</v>
      </c>
      <c r="C1894" s="606"/>
      <c r="D1894" s="607"/>
      <c r="E1894" s="607"/>
      <c r="F1894" s="607"/>
      <c r="G1894" s="582"/>
    </row>
    <row r="1895" spans="1:7" ht="30" x14ac:dyDescent="0.2">
      <c r="A1895" s="583" t="s">
        <v>15983</v>
      </c>
      <c r="B1895" s="605" t="s">
        <v>15984</v>
      </c>
      <c r="C1895" s="606" t="s">
        <v>12375</v>
      </c>
      <c r="D1895" s="607">
        <v>208932.47</v>
      </c>
      <c r="E1895" s="607">
        <v>1933.84</v>
      </c>
      <c r="F1895" s="607">
        <v>210866.31</v>
      </c>
      <c r="G1895" s="584">
        <v>15</v>
      </c>
    </row>
    <row r="1896" spans="1:7" ht="30" x14ac:dyDescent="0.2">
      <c r="A1896" s="583" t="s">
        <v>15985</v>
      </c>
      <c r="B1896" s="605" t="s">
        <v>15986</v>
      </c>
      <c r="C1896" s="606" t="s">
        <v>12375</v>
      </c>
      <c r="D1896" s="607">
        <v>236344.09</v>
      </c>
      <c r="E1896" s="607">
        <v>1933.84</v>
      </c>
      <c r="F1896" s="607">
        <v>238277.93</v>
      </c>
      <c r="G1896" s="584">
        <v>15</v>
      </c>
    </row>
    <row r="1897" spans="1:7" ht="30" x14ac:dyDescent="0.2">
      <c r="A1897" s="583" t="s">
        <v>15987</v>
      </c>
      <c r="B1897" s="605" t="s">
        <v>15988</v>
      </c>
      <c r="C1897" s="606" t="s">
        <v>12375</v>
      </c>
      <c r="D1897" s="607">
        <v>104026.06</v>
      </c>
      <c r="E1897" s="607">
        <v>1933.84</v>
      </c>
      <c r="F1897" s="607">
        <v>105959.9</v>
      </c>
      <c r="G1897" s="584">
        <v>15</v>
      </c>
    </row>
    <row r="1898" spans="1:7" ht="30" x14ac:dyDescent="0.2">
      <c r="A1898" s="583" t="s">
        <v>15989</v>
      </c>
      <c r="B1898" s="605" t="s">
        <v>15990</v>
      </c>
      <c r="C1898" s="606" t="s">
        <v>12375</v>
      </c>
      <c r="D1898" s="607">
        <v>122412.5</v>
      </c>
      <c r="E1898" s="607">
        <v>1933.84</v>
      </c>
      <c r="F1898" s="607">
        <v>124346.34</v>
      </c>
      <c r="G1898" s="584">
        <v>15</v>
      </c>
    </row>
    <row r="1899" spans="1:7" ht="30" x14ac:dyDescent="0.2">
      <c r="A1899" s="583" t="s">
        <v>15991</v>
      </c>
      <c r="B1899" s="605" t="s">
        <v>15992</v>
      </c>
      <c r="C1899" s="606" t="s">
        <v>12375</v>
      </c>
      <c r="D1899" s="607">
        <v>97275.09</v>
      </c>
      <c r="E1899" s="607">
        <v>1031.95</v>
      </c>
      <c r="F1899" s="607">
        <v>98307.04</v>
      </c>
      <c r="G1899" s="584">
        <v>15</v>
      </c>
    </row>
    <row r="1900" spans="1:7" ht="30" x14ac:dyDescent="0.2">
      <c r="A1900" s="583" t="s">
        <v>15993</v>
      </c>
      <c r="B1900" s="605" t="s">
        <v>15994</v>
      </c>
      <c r="C1900" s="606" t="s">
        <v>12375</v>
      </c>
      <c r="D1900" s="607">
        <v>148281.94</v>
      </c>
      <c r="E1900" s="607">
        <v>1933.84</v>
      </c>
      <c r="F1900" s="607">
        <v>150215.78</v>
      </c>
      <c r="G1900" s="584">
        <v>15</v>
      </c>
    </row>
    <row r="1901" spans="1:7" ht="30" x14ac:dyDescent="0.2">
      <c r="A1901" s="583" t="s">
        <v>15995</v>
      </c>
      <c r="B1901" s="605" t="s">
        <v>15996</v>
      </c>
      <c r="C1901" s="606" t="s">
        <v>12375</v>
      </c>
      <c r="D1901" s="607">
        <v>486239.34</v>
      </c>
      <c r="E1901" s="607">
        <v>2140.23</v>
      </c>
      <c r="F1901" s="607">
        <v>488379.57</v>
      </c>
      <c r="G1901" s="584">
        <v>15</v>
      </c>
    </row>
    <row r="1902" spans="1:7" ht="30" x14ac:dyDescent="0.2">
      <c r="A1902" s="583" t="s">
        <v>15997</v>
      </c>
      <c r="B1902" s="605" t="s">
        <v>15998</v>
      </c>
      <c r="C1902" s="606" t="s">
        <v>12375</v>
      </c>
      <c r="D1902" s="607">
        <v>150540.10999999999</v>
      </c>
      <c r="E1902" s="607">
        <v>1933.84</v>
      </c>
      <c r="F1902" s="607">
        <v>152473.95000000001</v>
      </c>
      <c r="G1902" s="584">
        <v>15</v>
      </c>
    </row>
    <row r="1903" spans="1:7" ht="30" x14ac:dyDescent="0.2">
      <c r="A1903" s="583" t="s">
        <v>15999</v>
      </c>
      <c r="B1903" s="605" t="s">
        <v>16000</v>
      </c>
      <c r="C1903" s="606" t="s">
        <v>12375</v>
      </c>
      <c r="D1903" s="607">
        <v>441400.69</v>
      </c>
      <c r="E1903" s="607">
        <v>2121.04</v>
      </c>
      <c r="F1903" s="607">
        <v>443521.73</v>
      </c>
      <c r="G1903" s="584">
        <v>15</v>
      </c>
    </row>
    <row r="1904" spans="1:7" ht="30" x14ac:dyDescent="0.2">
      <c r="A1904" s="583" t="s">
        <v>16001</v>
      </c>
      <c r="B1904" s="605" t="s">
        <v>16002</v>
      </c>
      <c r="C1904" s="606" t="s">
        <v>12375</v>
      </c>
      <c r="D1904" s="607">
        <v>403212.47</v>
      </c>
      <c r="E1904" s="607">
        <v>2140.23</v>
      </c>
      <c r="F1904" s="607">
        <v>405352.7</v>
      </c>
      <c r="G1904" s="584">
        <v>15</v>
      </c>
    </row>
    <row r="1905" spans="1:7" ht="15" x14ac:dyDescent="0.25">
      <c r="A1905" s="583" t="s">
        <v>16003</v>
      </c>
      <c r="B1905" s="605" t="s">
        <v>16004</v>
      </c>
      <c r="C1905" s="606"/>
      <c r="D1905" s="607"/>
      <c r="E1905" s="607"/>
      <c r="F1905" s="607"/>
      <c r="G1905" s="582"/>
    </row>
    <row r="1906" spans="1:7" ht="30" x14ac:dyDescent="0.2">
      <c r="A1906" s="583" t="s">
        <v>16005</v>
      </c>
      <c r="B1906" s="605" t="s">
        <v>16006</v>
      </c>
      <c r="C1906" s="606" t="s">
        <v>12375</v>
      </c>
      <c r="D1906" s="607">
        <v>41849.94</v>
      </c>
      <c r="E1906" s="607">
        <v>1031.95</v>
      </c>
      <c r="F1906" s="607">
        <v>42881.89</v>
      </c>
      <c r="G1906" s="584">
        <v>15</v>
      </c>
    </row>
    <row r="1907" spans="1:7" ht="30" x14ac:dyDescent="0.2">
      <c r="A1907" s="583" t="s">
        <v>16007</v>
      </c>
      <c r="B1907" s="605" t="s">
        <v>16008</v>
      </c>
      <c r="C1907" s="606" t="s">
        <v>12375</v>
      </c>
      <c r="D1907" s="607">
        <v>30571.95</v>
      </c>
      <c r="E1907" s="607">
        <v>1031.95</v>
      </c>
      <c r="F1907" s="607">
        <v>31603.9</v>
      </c>
      <c r="G1907" s="584">
        <v>15</v>
      </c>
    </row>
    <row r="1908" spans="1:7" ht="30" x14ac:dyDescent="0.2">
      <c r="A1908" s="583" t="s">
        <v>16009</v>
      </c>
      <c r="B1908" s="605" t="s">
        <v>16010</v>
      </c>
      <c r="C1908" s="606" t="s">
        <v>12375</v>
      </c>
      <c r="D1908" s="607">
        <v>83399.78</v>
      </c>
      <c r="E1908" s="607">
        <v>1651.12</v>
      </c>
      <c r="F1908" s="607">
        <v>85050.9</v>
      </c>
      <c r="G1908" s="584">
        <v>15</v>
      </c>
    </row>
    <row r="1909" spans="1:7" ht="30" x14ac:dyDescent="0.2">
      <c r="A1909" s="583" t="s">
        <v>16011</v>
      </c>
      <c r="B1909" s="605" t="s">
        <v>16012</v>
      </c>
      <c r="C1909" s="606" t="s">
        <v>12375</v>
      </c>
      <c r="D1909" s="607">
        <v>128335.28</v>
      </c>
      <c r="E1909" s="607">
        <v>1651.12</v>
      </c>
      <c r="F1909" s="607">
        <v>129986.4</v>
      </c>
      <c r="G1909" s="584">
        <v>15</v>
      </c>
    </row>
    <row r="1910" spans="1:7" ht="30" x14ac:dyDescent="0.2">
      <c r="A1910" s="583" t="s">
        <v>16013</v>
      </c>
      <c r="B1910" s="605" t="s">
        <v>16014</v>
      </c>
      <c r="C1910" s="606" t="s">
        <v>12375</v>
      </c>
      <c r="D1910" s="607">
        <v>5228.5600000000004</v>
      </c>
      <c r="E1910" s="607">
        <v>412.78</v>
      </c>
      <c r="F1910" s="607">
        <v>5641.34</v>
      </c>
      <c r="G1910" s="584">
        <v>15</v>
      </c>
    </row>
    <row r="1911" spans="1:7" ht="30" x14ac:dyDescent="0.2">
      <c r="A1911" s="583" t="s">
        <v>16015</v>
      </c>
      <c r="B1911" s="605" t="s">
        <v>16016</v>
      </c>
      <c r="C1911" s="606" t="s">
        <v>12375</v>
      </c>
      <c r="D1911" s="607">
        <v>6609.29</v>
      </c>
      <c r="E1911" s="607">
        <v>412.78</v>
      </c>
      <c r="F1911" s="607">
        <v>7022.07</v>
      </c>
      <c r="G1911" s="584">
        <v>15</v>
      </c>
    </row>
    <row r="1912" spans="1:7" ht="30" x14ac:dyDescent="0.2">
      <c r="A1912" s="583" t="s">
        <v>16017</v>
      </c>
      <c r="B1912" s="605" t="s">
        <v>16018</v>
      </c>
      <c r="C1912" s="606" t="s">
        <v>12375</v>
      </c>
      <c r="D1912" s="607">
        <v>22019.39</v>
      </c>
      <c r="E1912" s="607">
        <v>1031.95</v>
      </c>
      <c r="F1912" s="607">
        <v>23051.34</v>
      </c>
      <c r="G1912" s="584">
        <v>15</v>
      </c>
    </row>
    <row r="1913" spans="1:7" ht="30" x14ac:dyDescent="0.2">
      <c r="A1913" s="583" t="s">
        <v>16019</v>
      </c>
      <c r="B1913" s="605" t="s">
        <v>16020</v>
      </c>
      <c r="C1913" s="606" t="s">
        <v>12375</v>
      </c>
      <c r="D1913" s="607">
        <v>49804.98</v>
      </c>
      <c r="E1913" s="607">
        <v>1031.95</v>
      </c>
      <c r="F1913" s="607">
        <v>50836.93</v>
      </c>
      <c r="G1913" s="584">
        <v>15</v>
      </c>
    </row>
    <row r="1914" spans="1:7" ht="30" x14ac:dyDescent="0.2">
      <c r="A1914" s="583" t="s">
        <v>16021</v>
      </c>
      <c r="B1914" s="605" t="s">
        <v>16022</v>
      </c>
      <c r="C1914" s="606" t="s">
        <v>12375</v>
      </c>
      <c r="D1914" s="607">
        <v>24879.35</v>
      </c>
      <c r="E1914" s="607">
        <v>1031.95</v>
      </c>
      <c r="F1914" s="607">
        <v>25911.3</v>
      </c>
      <c r="G1914" s="584">
        <v>15</v>
      </c>
    </row>
    <row r="1915" spans="1:7" ht="30" x14ac:dyDescent="0.2">
      <c r="A1915" s="583" t="s">
        <v>16023</v>
      </c>
      <c r="B1915" s="605" t="s">
        <v>16024</v>
      </c>
      <c r="C1915" s="606" t="s">
        <v>12375</v>
      </c>
      <c r="D1915" s="607">
        <v>101494.45</v>
      </c>
      <c r="E1915" s="607">
        <v>1651.12</v>
      </c>
      <c r="F1915" s="607">
        <v>103145.57</v>
      </c>
      <c r="G1915" s="584">
        <v>15</v>
      </c>
    </row>
    <row r="1916" spans="1:7" ht="30" x14ac:dyDescent="0.2">
      <c r="A1916" s="583" t="s">
        <v>16025</v>
      </c>
      <c r="B1916" s="605" t="s">
        <v>16026</v>
      </c>
      <c r="C1916" s="606" t="s">
        <v>12375</v>
      </c>
      <c r="D1916" s="607">
        <v>17831.259999999998</v>
      </c>
      <c r="E1916" s="607">
        <v>412.78</v>
      </c>
      <c r="F1916" s="607">
        <v>18244.04</v>
      </c>
      <c r="G1916" s="584">
        <v>15</v>
      </c>
    </row>
    <row r="1917" spans="1:7" ht="30" x14ac:dyDescent="0.2">
      <c r="A1917" s="583" t="s">
        <v>16027</v>
      </c>
      <c r="B1917" s="605" t="s">
        <v>16028</v>
      </c>
      <c r="C1917" s="606" t="s">
        <v>12375</v>
      </c>
      <c r="D1917" s="607">
        <v>76339.47</v>
      </c>
      <c r="E1917" s="607">
        <v>1651.12</v>
      </c>
      <c r="F1917" s="607">
        <v>77990.59</v>
      </c>
      <c r="G1917" s="584">
        <v>15</v>
      </c>
    </row>
    <row r="1918" spans="1:7" ht="30" x14ac:dyDescent="0.2">
      <c r="A1918" s="583" t="s">
        <v>16029</v>
      </c>
      <c r="B1918" s="605" t="s">
        <v>16030</v>
      </c>
      <c r="C1918" s="606" t="s">
        <v>12375</v>
      </c>
      <c r="D1918" s="607">
        <v>96209.63</v>
      </c>
      <c r="E1918" s="607">
        <v>1651.12</v>
      </c>
      <c r="F1918" s="607">
        <v>97860.75</v>
      </c>
      <c r="G1918" s="584">
        <v>15</v>
      </c>
    </row>
    <row r="1919" spans="1:7" ht="30" x14ac:dyDescent="0.2">
      <c r="A1919" s="583" t="s">
        <v>16031</v>
      </c>
      <c r="B1919" s="605" t="s">
        <v>16032</v>
      </c>
      <c r="C1919" s="606" t="s">
        <v>12375</v>
      </c>
      <c r="D1919" s="607">
        <v>140333.71</v>
      </c>
      <c r="E1919" s="607">
        <v>1651.12</v>
      </c>
      <c r="F1919" s="607">
        <v>141984.82999999999</v>
      </c>
      <c r="G1919" s="584">
        <v>15</v>
      </c>
    </row>
    <row r="1920" spans="1:7" ht="30" x14ac:dyDescent="0.2">
      <c r="A1920" s="583" t="s">
        <v>16033</v>
      </c>
      <c r="B1920" s="605" t="s">
        <v>16034</v>
      </c>
      <c r="C1920" s="606" t="s">
        <v>12375</v>
      </c>
      <c r="D1920" s="607">
        <v>75853.789999999994</v>
      </c>
      <c r="E1920" s="607">
        <v>1031.95</v>
      </c>
      <c r="F1920" s="607">
        <v>76885.740000000005</v>
      </c>
      <c r="G1920" s="584">
        <v>15</v>
      </c>
    </row>
    <row r="1921" spans="1:7" ht="30" x14ac:dyDescent="0.2">
      <c r="A1921" s="583" t="s">
        <v>16035</v>
      </c>
      <c r="B1921" s="605" t="s">
        <v>16036</v>
      </c>
      <c r="C1921" s="606" t="s">
        <v>12375</v>
      </c>
      <c r="D1921" s="607">
        <v>39766.17</v>
      </c>
      <c r="E1921" s="607">
        <v>1031.95</v>
      </c>
      <c r="F1921" s="607">
        <v>40798.120000000003</v>
      </c>
      <c r="G1921" s="584">
        <v>15</v>
      </c>
    </row>
    <row r="1922" spans="1:7" ht="30" x14ac:dyDescent="0.2">
      <c r="A1922" s="583" t="s">
        <v>16037</v>
      </c>
      <c r="B1922" s="605" t="s">
        <v>16038</v>
      </c>
      <c r="C1922" s="606" t="s">
        <v>12375</v>
      </c>
      <c r="D1922" s="607">
        <v>140664.21</v>
      </c>
      <c r="E1922" s="607">
        <v>1651.12</v>
      </c>
      <c r="F1922" s="607">
        <v>142315.32999999999</v>
      </c>
      <c r="G1922" s="584">
        <v>15</v>
      </c>
    </row>
    <row r="1923" spans="1:7" ht="30" x14ac:dyDescent="0.2">
      <c r="A1923" s="583" t="s">
        <v>16039</v>
      </c>
      <c r="B1923" s="605" t="s">
        <v>16040</v>
      </c>
      <c r="C1923" s="606" t="s">
        <v>12375</v>
      </c>
      <c r="D1923" s="607">
        <v>43329.58</v>
      </c>
      <c r="E1923" s="607">
        <v>1031.95</v>
      </c>
      <c r="F1923" s="607">
        <v>44361.53</v>
      </c>
      <c r="G1923" s="584">
        <v>15</v>
      </c>
    </row>
    <row r="1924" spans="1:7" ht="30" x14ac:dyDescent="0.2">
      <c r="A1924" s="583" t="s">
        <v>16041</v>
      </c>
      <c r="B1924" s="605" t="s">
        <v>16042</v>
      </c>
      <c r="C1924" s="606" t="s">
        <v>12375</v>
      </c>
      <c r="D1924" s="607">
        <v>48989.06</v>
      </c>
      <c r="E1924" s="607">
        <v>1031.95</v>
      </c>
      <c r="F1924" s="607">
        <v>50021.01</v>
      </c>
      <c r="G1924" s="584">
        <v>15</v>
      </c>
    </row>
    <row r="1925" spans="1:7" ht="15" x14ac:dyDescent="0.25">
      <c r="A1925" s="583" t="s">
        <v>16043</v>
      </c>
      <c r="B1925" s="605" t="s">
        <v>16044</v>
      </c>
      <c r="C1925" s="606"/>
      <c r="D1925" s="607"/>
      <c r="E1925" s="607"/>
      <c r="F1925" s="607"/>
      <c r="G1925" s="582"/>
    </row>
    <row r="1926" spans="1:7" ht="15" x14ac:dyDescent="0.2">
      <c r="A1926" s="583" t="s">
        <v>16045</v>
      </c>
      <c r="B1926" s="605" t="s">
        <v>16046</v>
      </c>
      <c r="C1926" s="606" t="s">
        <v>12483</v>
      </c>
      <c r="D1926" s="607">
        <v>70.680000000000007</v>
      </c>
      <c r="E1926" s="607">
        <v>20.100000000000001</v>
      </c>
      <c r="F1926" s="607">
        <v>90.78</v>
      </c>
      <c r="G1926" s="584">
        <v>15</v>
      </c>
    </row>
    <row r="1927" spans="1:7" ht="15" x14ac:dyDescent="0.2">
      <c r="A1927" s="583" t="s">
        <v>16047</v>
      </c>
      <c r="B1927" s="605" t="s">
        <v>16048</v>
      </c>
      <c r="C1927" s="606" t="s">
        <v>12375</v>
      </c>
      <c r="D1927" s="607">
        <v>48.66</v>
      </c>
      <c r="E1927" s="607">
        <v>10.050000000000001</v>
      </c>
      <c r="F1927" s="607">
        <v>58.71</v>
      </c>
      <c r="G1927" s="584">
        <v>15</v>
      </c>
    </row>
    <row r="1928" spans="1:7" ht="15" x14ac:dyDescent="0.2">
      <c r="A1928" s="583" t="s">
        <v>16049</v>
      </c>
      <c r="B1928" s="605" t="s">
        <v>16050</v>
      </c>
      <c r="C1928" s="606" t="s">
        <v>12375</v>
      </c>
      <c r="D1928" s="607">
        <v>22.96</v>
      </c>
      <c r="E1928" s="607">
        <v>10.050000000000001</v>
      </c>
      <c r="F1928" s="607">
        <v>33.01</v>
      </c>
      <c r="G1928" s="584">
        <v>15</v>
      </c>
    </row>
    <row r="1929" spans="1:7" ht="15" x14ac:dyDescent="0.2">
      <c r="A1929" s="583" t="s">
        <v>16051</v>
      </c>
      <c r="B1929" s="605" t="s">
        <v>16052</v>
      </c>
      <c r="C1929" s="606" t="s">
        <v>12375</v>
      </c>
      <c r="D1929" s="607">
        <v>3.13</v>
      </c>
      <c r="E1929" s="607">
        <v>7.54</v>
      </c>
      <c r="F1929" s="607">
        <v>10.67</v>
      </c>
      <c r="G1929" s="584">
        <v>15</v>
      </c>
    </row>
    <row r="1930" spans="1:7" ht="15" x14ac:dyDescent="0.2">
      <c r="A1930" s="583" t="s">
        <v>16053</v>
      </c>
      <c r="B1930" s="605" t="s">
        <v>16054</v>
      </c>
      <c r="C1930" s="606" t="s">
        <v>12375</v>
      </c>
      <c r="D1930" s="607">
        <v>26.46</v>
      </c>
      <c r="E1930" s="607">
        <v>10.050000000000001</v>
      </c>
      <c r="F1930" s="607">
        <v>36.51</v>
      </c>
      <c r="G1930" s="584">
        <v>15</v>
      </c>
    </row>
    <row r="1931" spans="1:7" ht="30" x14ac:dyDescent="0.2">
      <c r="A1931" s="583" t="s">
        <v>16055</v>
      </c>
      <c r="B1931" s="605" t="s">
        <v>16056</v>
      </c>
      <c r="C1931" s="606" t="s">
        <v>12375</v>
      </c>
      <c r="D1931" s="607">
        <v>843.89</v>
      </c>
      <c r="E1931" s="607">
        <v>1.02</v>
      </c>
      <c r="F1931" s="607">
        <v>844.91</v>
      </c>
      <c r="G1931" s="584">
        <v>15</v>
      </c>
    </row>
    <row r="1932" spans="1:7" ht="15" x14ac:dyDescent="0.2">
      <c r="A1932" s="583" t="s">
        <v>16057</v>
      </c>
      <c r="B1932" s="605" t="s">
        <v>16058</v>
      </c>
      <c r="C1932" s="606" t="s">
        <v>12375</v>
      </c>
      <c r="D1932" s="607">
        <v>541.12</v>
      </c>
      <c r="E1932" s="607">
        <v>25.12</v>
      </c>
      <c r="F1932" s="607">
        <v>566.24</v>
      </c>
      <c r="G1932" s="584">
        <v>15</v>
      </c>
    </row>
    <row r="1933" spans="1:7" ht="15" x14ac:dyDescent="0.2">
      <c r="A1933" s="583" t="s">
        <v>16059</v>
      </c>
      <c r="B1933" s="605" t="s">
        <v>16060</v>
      </c>
      <c r="C1933" s="606" t="s">
        <v>12375</v>
      </c>
      <c r="D1933" s="607">
        <v>247.58</v>
      </c>
      <c r="E1933" s="607">
        <v>25.12</v>
      </c>
      <c r="F1933" s="607">
        <v>272.7</v>
      </c>
      <c r="G1933" s="584">
        <v>15</v>
      </c>
    </row>
    <row r="1934" spans="1:7" ht="15" x14ac:dyDescent="0.2">
      <c r="A1934" s="583" t="s">
        <v>16061</v>
      </c>
      <c r="B1934" s="605" t="s">
        <v>16062</v>
      </c>
      <c r="C1934" s="606" t="s">
        <v>12375</v>
      </c>
      <c r="D1934" s="607">
        <v>314.39</v>
      </c>
      <c r="E1934" s="607">
        <v>141.36000000000001</v>
      </c>
      <c r="F1934" s="607">
        <v>455.75</v>
      </c>
      <c r="G1934" s="584">
        <v>15</v>
      </c>
    </row>
    <row r="1935" spans="1:7" ht="15" x14ac:dyDescent="0.2">
      <c r="A1935" s="583" t="s">
        <v>16063</v>
      </c>
      <c r="B1935" s="605" t="s">
        <v>16064</v>
      </c>
      <c r="C1935" s="606" t="s">
        <v>16065</v>
      </c>
      <c r="D1935" s="607">
        <v>611.67999999999995</v>
      </c>
      <c r="E1935" s="607">
        <v>1.02</v>
      </c>
      <c r="F1935" s="607">
        <v>612.70000000000005</v>
      </c>
      <c r="G1935" s="584">
        <v>15</v>
      </c>
    </row>
    <row r="1936" spans="1:7" ht="15" x14ac:dyDescent="0.2">
      <c r="A1936" s="583" t="s">
        <v>16066</v>
      </c>
      <c r="B1936" s="605" t="s">
        <v>16067</v>
      </c>
      <c r="C1936" s="606" t="s">
        <v>12375</v>
      </c>
      <c r="D1936" s="607">
        <v>31.9</v>
      </c>
      <c r="E1936" s="607">
        <v>50.24</v>
      </c>
      <c r="F1936" s="607">
        <v>82.14</v>
      </c>
      <c r="G1936" s="584">
        <v>15</v>
      </c>
    </row>
    <row r="1937" spans="1:7" ht="15" x14ac:dyDescent="0.2">
      <c r="A1937" s="583" t="s">
        <v>16068</v>
      </c>
      <c r="B1937" s="605" t="s">
        <v>16069</v>
      </c>
      <c r="C1937" s="606" t="s">
        <v>16065</v>
      </c>
      <c r="D1937" s="607">
        <v>466.94</v>
      </c>
      <c r="E1937" s="607">
        <v>1.02</v>
      </c>
      <c r="F1937" s="607">
        <v>467.96</v>
      </c>
      <c r="G1937" s="584">
        <v>15</v>
      </c>
    </row>
    <row r="1938" spans="1:7" ht="15" x14ac:dyDescent="0.2">
      <c r="A1938" s="583" t="s">
        <v>16070</v>
      </c>
      <c r="B1938" s="605" t="s">
        <v>16071</v>
      </c>
      <c r="C1938" s="606" t="s">
        <v>12375</v>
      </c>
      <c r="D1938" s="607"/>
      <c r="E1938" s="607">
        <v>282.72000000000003</v>
      </c>
      <c r="F1938" s="607">
        <v>282.72000000000003</v>
      </c>
      <c r="G1938" s="584">
        <v>15</v>
      </c>
    </row>
    <row r="1939" spans="1:7" ht="15" x14ac:dyDescent="0.2">
      <c r="A1939" s="583" t="s">
        <v>16072</v>
      </c>
      <c r="B1939" s="605" t="s">
        <v>16073</v>
      </c>
      <c r="C1939" s="606" t="s">
        <v>62</v>
      </c>
      <c r="D1939" s="607">
        <v>26.99</v>
      </c>
      <c r="E1939" s="607">
        <v>0.82</v>
      </c>
      <c r="F1939" s="607">
        <v>27.81</v>
      </c>
      <c r="G1939" s="584">
        <v>15</v>
      </c>
    </row>
    <row r="1940" spans="1:7" ht="15" x14ac:dyDescent="0.2">
      <c r="A1940" s="583" t="s">
        <v>16074</v>
      </c>
      <c r="B1940" s="605" t="s">
        <v>16075</v>
      </c>
      <c r="C1940" s="606" t="s">
        <v>62</v>
      </c>
      <c r="D1940" s="607">
        <v>26.99</v>
      </c>
      <c r="E1940" s="607">
        <v>1.23</v>
      </c>
      <c r="F1940" s="607">
        <v>28.22</v>
      </c>
      <c r="G1940" s="584">
        <v>15</v>
      </c>
    </row>
    <row r="1941" spans="1:7" ht="30" x14ac:dyDescent="0.2">
      <c r="A1941" s="583" t="s">
        <v>16076</v>
      </c>
      <c r="B1941" s="605" t="s">
        <v>16077</v>
      </c>
      <c r="C1941" s="606" t="s">
        <v>12427</v>
      </c>
      <c r="D1941" s="607">
        <v>924</v>
      </c>
      <c r="E1941" s="607">
        <v>10.220000000000001</v>
      </c>
      <c r="F1941" s="607">
        <v>934.22</v>
      </c>
      <c r="G1941" s="584">
        <v>15</v>
      </c>
    </row>
    <row r="1942" spans="1:7" ht="30" x14ac:dyDescent="0.2">
      <c r="A1942" s="583" t="s">
        <v>16078</v>
      </c>
      <c r="B1942" s="605" t="s">
        <v>16079</v>
      </c>
      <c r="C1942" s="606" t="s">
        <v>12427</v>
      </c>
      <c r="D1942" s="607">
        <v>1152.01</v>
      </c>
      <c r="E1942" s="607">
        <v>10.220000000000001</v>
      </c>
      <c r="F1942" s="607">
        <v>1162.23</v>
      </c>
      <c r="G1942" s="584">
        <v>15</v>
      </c>
    </row>
    <row r="1943" spans="1:7" ht="15" x14ac:dyDescent="0.2">
      <c r="A1943" s="583" t="s">
        <v>16080</v>
      </c>
      <c r="B1943" s="605" t="s">
        <v>16081</v>
      </c>
      <c r="C1943" s="606" t="s">
        <v>16065</v>
      </c>
      <c r="D1943" s="607">
        <v>40.33</v>
      </c>
      <c r="E1943" s="607">
        <v>1.02</v>
      </c>
      <c r="F1943" s="607">
        <v>41.35</v>
      </c>
      <c r="G1943" s="584">
        <v>15</v>
      </c>
    </row>
    <row r="1944" spans="1:7" ht="15" x14ac:dyDescent="0.2">
      <c r="A1944" s="583" t="s">
        <v>16082</v>
      </c>
      <c r="B1944" s="605" t="s">
        <v>16083</v>
      </c>
      <c r="C1944" s="606" t="s">
        <v>12375</v>
      </c>
      <c r="D1944" s="607">
        <v>19.309999999999999</v>
      </c>
      <c r="E1944" s="607">
        <v>70.680000000000007</v>
      </c>
      <c r="F1944" s="607">
        <v>89.99</v>
      </c>
      <c r="G1944" s="584">
        <v>15</v>
      </c>
    </row>
    <row r="1945" spans="1:7" ht="15" x14ac:dyDescent="0.2">
      <c r="A1945" s="583" t="s">
        <v>16084</v>
      </c>
      <c r="B1945" s="605" t="s">
        <v>16085</v>
      </c>
      <c r="C1945" s="606" t="s">
        <v>12375</v>
      </c>
      <c r="D1945" s="607">
        <v>73.819999999999993</v>
      </c>
      <c r="E1945" s="607">
        <v>1.02</v>
      </c>
      <c r="F1945" s="607">
        <v>74.84</v>
      </c>
      <c r="G1945" s="584">
        <v>15</v>
      </c>
    </row>
    <row r="1946" spans="1:7" ht="15" x14ac:dyDescent="0.2">
      <c r="A1946" s="583" t="s">
        <v>16086</v>
      </c>
      <c r="B1946" s="605" t="s">
        <v>16087</v>
      </c>
      <c r="C1946" s="606" t="s">
        <v>12375</v>
      </c>
      <c r="D1946" s="607">
        <v>244.76</v>
      </c>
      <c r="E1946" s="607">
        <v>141.36000000000001</v>
      </c>
      <c r="F1946" s="607">
        <v>386.12</v>
      </c>
      <c r="G1946" s="584">
        <v>15</v>
      </c>
    </row>
    <row r="1947" spans="1:7" ht="15" x14ac:dyDescent="0.2">
      <c r="A1947" s="583" t="s">
        <v>16088</v>
      </c>
      <c r="B1947" s="605" t="s">
        <v>16089</v>
      </c>
      <c r="C1947" s="606" t="s">
        <v>12375</v>
      </c>
      <c r="D1947" s="607">
        <v>674.35</v>
      </c>
      <c r="E1947" s="607">
        <v>1.02</v>
      </c>
      <c r="F1947" s="607">
        <v>675.37</v>
      </c>
      <c r="G1947" s="584">
        <v>15</v>
      </c>
    </row>
    <row r="1948" spans="1:7" ht="30" x14ac:dyDescent="0.2">
      <c r="A1948" s="583" t="s">
        <v>16090</v>
      </c>
      <c r="B1948" s="605" t="s">
        <v>16091</v>
      </c>
      <c r="C1948" s="606" t="s">
        <v>12375</v>
      </c>
      <c r="D1948" s="607">
        <v>531.53</v>
      </c>
      <c r="E1948" s="607">
        <v>141.36000000000001</v>
      </c>
      <c r="F1948" s="607">
        <v>672.89</v>
      </c>
      <c r="G1948" s="584">
        <v>15</v>
      </c>
    </row>
    <row r="1949" spans="1:7" ht="15" x14ac:dyDescent="0.2">
      <c r="A1949" s="583" t="s">
        <v>16092</v>
      </c>
      <c r="B1949" s="605" t="s">
        <v>16093</v>
      </c>
      <c r="C1949" s="606" t="s">
        <v>12375</v>
      </c>
      <c r="D1949" s="607">
        <v>2877.81</v>
      </c>
      <c r="E1949" s="607">
        <v>50.24</v>
      </c>
      <c r="F1949" s="607">
        <v>2928.05</v>
      </c>
      <c r="G1949" s="584">
        <v>15</v>
      </c>
    </row>
    <row r="1950" spans="1:7" ht="15" x14ac:dyDescent="0.2">
      <c r="A1950" s="583" t="s">
        <v>16094</v>
      </c>
      <c r="B1950" s="605" t="s">
        <v>16095</v>
      </c>
      <c r="C1950" s="606" t="s">
        <v>12375</v>
      </c>
      <c r="D1950" s="607">
        <v>4351.99</v>
      </c>
      <c r="E1950" s="607">
        <v>50.24</v>
      </c>
      <c r="F1950" s="607">
        <v>4402.2299999999996</v>
      </c>
      <c r="G1950" s="584">
        <v>15</v>
      </c>
    </row>
    <row r="1951" spans="1:7" ht="15" x14ac:dyDescent="0.2">
      <c r="A1951" s="583" t="s">
        <v>16096</v>
      </c>
      <c r="B1951" s="605" t="s">
        <v>16097</v>
      </c>
      <c r="C1951" s="606" t="s">
        <v>12375</v>
      </c>
      <c r="D1951" s="607">
        <v>5658.79</v>
      </c>
      <c r="E1951" s="607">
        <v>50.24</v>
      </c>
      <c r="F1951" s="607">
        <v>5709.03</v>
      </c>
      <c r="G1951" s="584">
        <v>15</v>
      </c>
    </row>
    <row r="1952" spans="1:7" ht="15" x14ac:dyDescent="0.25">
      <c r="A1952" s="583" t="s">
        <v>16098</v>
      </c>
      <c r="B1952" s="605" t="s">
        <v>16099</v>
      </c>
      <c r="C1952" s="606"/>
      <c r="D1952" s="607"/>
      <c r="E1952" s="607"/>
      <c r="F1952" s="607"/>
      <c r="G1952" s="582"/>
    </row>
    <row r="1953" spans="1:7" ht="15" x14ac:dyDescent="0.25">
      <c r="A1953" s="583" t="s">
        <v>16100</v>
      </c>
      <c r="B1953" s="605" t="s">
        <v>16101</v>
      </c>
      <c r="C1953" s="606"/>
      <c r="D1953" s="607"/>
      <c r="E1953" s="607"/>
      <c r="F1953" s="607"/>
      <c r="G1953" s="582"/>
    </row>
    <row r="1954" spans="1:7" ht="15" x14ac:dyDescent="0.2">
      <c r="A1954" s="583" t="s">
        <v>16102</v>
      </c>
      <c r="B1954" s="605" t="s">
        <v>16103</v>
      </c>
      <c r="C1954" s="606" t="s">
        <v>12375</v>
      </c>
      <c r="D1954" s="607">
        <v>47.63</v>
      </c>
      <c r="E1954" s="607">
        <v>86.49</v>
      </c>
      <c r="F1954" s="607">
        <v>134.12</v>
      </c>
      <c r="G1954" s="584">
        <v>15</v>
      </c>
    </row>
    <row r="1955" spans="1:7" ht="15" x14ac:dyDescent="0.2">
      <c r="A1955" s="583" t="s">
        <v>16104</v>
      </c>
      <c r="B1955" s="605" t="s">
        <v>16105</v>
      </c>
      <c r="C1955" s="606" t="s">
        <v>12375</v>
      </c>
      <c r="D1955" s="607">
        <v>135.71</v>
      </c>
      <c r="E1955" s="607">
        <v>120.67</v>
      </c>
      <c r="F1955" s="607">
        <v>256.38</v>
      </c>
      <c r="G1955" s="584">
        <v>15</v>
      </c>
    </row>
    <row r="1956" spans="1:7" ht="15" x14ac:dyDescent="0.2">
      <c r="A1956" s="583" t="s">
        <v>16106</v>
      </c>
      <c r="B1956" s="605" t="s">
        <v>16107</v>
      </c>
      <c r="C1956" s="606" t="s">
        <v>12375</v>
      </c>
      <c r="D1956" s="607">
        <v>296.14</v>
      </c>
      <c r="E1956" s="607">
        <v>154.85</v>
      </c>
      <c r="F1956" s="607">
        <v>450.99</v>
      </c>
      <c r="G1956" s="584">
        <v>15</v>
      </c>
    </row>
    <row r="1957" spans="1:7" ht="15" x14ac:dyDescent="0.2">
      <c r="A1957" s="583" t="s">
        <v>16108</v>
      </c>
      <c r="B1957" s="605" t="s">
        <v>16109</v>
      </c>
      <c r="C1957" s="606" t="s">
        <v>12375</v>
      </c>
      <c r="D1957" s="607">
        <v>478.78</v>
      </c>
      <c r="E1957" s="607">
        <v>192.02</v>
      </c>
      <c r="F1957" s="607">
        <v>670.8</v>
      </c>
      <c r="G1957" s="584">
        <v>15</v>
      </c>
    </row>
    <row r="1958" spans="1:7" ht="15" x14ac:dyDescent="0.2">
      <c r="A1958" s="583" t="s">
        <v>16110</v>
      </c>
      <c r="B1958" s="605" t="s">
        <v>16111</v>
      </c>
      <c r="C1958" s="606" t="s">
        <v>12375</v>
      </c>
      <c r="D1958" s="607">
        <v>1442.35</v>
      </c>
      <c r="E1958" s="607">
        <v>257.39999999999998</v>
      </c>
      <c r="F1958" s="607">
        <v>1699.75</v>
      </c>
      <c r="G1958" s="584">
        <v>15</v>
      </c>
    </row>
    <row r="1959" spans="1:7" ht="30" x14ac:dyDescent="0.25">
      <c r="A1959" s="583" t="s">
        <v>16112</v>
      </c>
      <c r="B1959" s="605" t="s">
        <v>16113</v>
      </c>
      <c r="C1959" s="606"/>
      <c r="D1959" s="607"/>
      <c r="E1959" s="607"/>
      <c r="F1959" s="607"/>
      <c r="G1959" s="582"/>
    </row>
    <row r="1960" spans="1:7" ht="15" x14ac:dyDescent="0.2">
      <c r="A1960" s="583" t="s">
        <v>16114</v>
      </c>
      <c r="B1960" s="605" t="s">
        <v>16115</v>
      </c>
      <c r="C1960" s="606" t="s">
        <v>12375</v>
      </c>
      <c r="D1960" s="607">
        <v>61.73</v>
      </c>
      <c r="E1960" s="607">
        <v>75.36</v>
      </c>
      <c r="F1960" s="607">
        <v>137.09</v>
      </c>
      <c r="G1960" s="584">
        <v>15</v>
      </c>
    </row>
    <row r="1961" spans="1:7" ht="15" x14ac:dyDescent="0.2">
      <c r="A1961" s="583" t="s">
        <v>16116</v>
      </c>
      <c r="B1961" s="605" t="s">
        <v>16117</v>
      </c>
      <c r="C1961" s="606" t="s">
        <v>12375</v>
      </c>
      <c r="D1961" s="607">
        <v>130.09</v>
      </c>
      <c r="E1961" s="607">
        <v>100.48</v>
      </c>
      <c r="F1961" s="607">
        <v>230.57</v>
      </c>
      <c r="G1961" s="584">
        <v>15</v>
      </c>
    </row>
    <row r="1962" spans="1:7" ht="15" x14ac:dyDescent="0.2">
      <c r="A1962" s="583" t="s">
        <v>16118</v>
      </c>
      <c r="B1962" s="605" t="s">
        <v>16119</v>
      </c>
      <c r="C1962" s="606" t="s">
        <v>12375</v>
      </c>
      <c r="D1962" s="607">
        <v>281.12</v>
      </c>
      <c r="E1962" s="607">
        <v>125.6</v>
      </c>
      <c r="F1962" s="607">
        <v>406.72</v>
      </c>
      <c r="G1962" s="584">
        <v>15</v>
      </c>
    </row>
    <row r="1963" spans="1:7" ht="15" x14ac:dyDescent="0.2">
      <c r="A1963" s="583" t="s">
        <v>16120</v>
      </c>
      <c r="B1963" s="605" t="s">
        <v>16121</v>
      </c>
      <c r="C1963" s="606" t="s">
        <v>12375</v>
      </c>
      <c r="D1963" s="607">
        <v>530.62</v>
      </c>
      <c r="E1963" s="607">
        <v>150.72</v>
      </c>
      <c r="F1963" s="607">
        <v>681.34</v>
      </c>
      <c r="G1963" s="584">
        <v>15</v>
      </c>
    </row>
    <row r="1964" spans="1:7" ht="15" x14ac:dyDescent="0.25">
      <c r="A1964" s="583" t="s">
        <v>16122</v>
      </c>
      <c r="B1964" s="605" t="s">
        <v>16123</v>
      </c>
      <c r="C1964" s="606"/>
      <c r="D1964" s="607"/>
      <c r="E1964" s="607"/>
      <c r="F1964" s="607"/>
      <c r="G1964" s="582"/>
    </row>
    <row r="1965" spans="1:7" ht="30" x14ac:dyDescent="0.2">
      <c r="A1965" s="583" t="s">
        <v>16124</v>
      </c>
      <c r="B1965" s="605" t="s">
        <v>16125</v>
      </c>
      <c r="C1965" s="606" t="s">
        <v>12375</v>
      </c>
      <c r="D1965" s="607">
        <v>404.34</v>
      </c>
      <c r="E1965" s="607">
        <v>150.22</v>
      </c>
      <c r="F1965" s="607">
        <v>554.55999999999995</v>
      </c>
      <c r="G1965" s="584">
        <v>15</v>
      </c>
    </row>
    <row r="1966" spans="1:7" ht="30" x14ac:dyDescent="0.2">
      <c r="A1966" s="583" t="s">
        <v>16126</v>
      </c>
      <c r="B1966" s="605" t="s">
        <v>16127</v>
      </c>
      <c r="C1966" s="606" t="s">
        <v>12375</v>
      </c>
      <c r="D1966" s="607">
        <v>445.36</v>
      </c>
      <c r="E1966" s="607">
        <v>150.22</v>
      </c>
      <c r="F1966" s="607">
        <v>595.58000000000004</v>
      </c>
      <c r="G1966" s="584">
        <v>15</v>
      </c>
    </row>
    <row r="1967" spans="1:7" ht="30" x14ac:dyDescent="0.2">
      <c r="A1967" s="583" t="s">
        <v>16128</v>
      </c>
      <c r="B1967" s="605" t="s">
        <v>16129</v>
      </c>
      <c r="C1967" s="606" t="s">
        <v>12375</v>
      </c>
      <c r="D1967" s="607">
        <v>623.98</v>
      </c>
      <c r="E1967" s="607">
        <v>187.78</v>
      </c>
      <c r="F1967" s="607">
        <v>811.76</v>
      </c>
      <c r="G1967" s="584">
        <v>15</v>
      </c>
    </row>
    <row r="1968" spans="1:7" ht="30" x14ac:dyDescent="0.2">
      <c r="A1968" s="583" t="s">
        <v>16130</v>
      </c>
      <c r="B1968" s="605" t="s">
        <v>16131</v>
      </c>
      <c r="C1968" s="606" t="s">
        <v>12375</v>
      </c>
      <c r="D1968" s="607">
        <v>686.88</v>
      </c>
      <c r="E1968" s="607">
        <v>187.78</v>
      </c>
      <c r="F1968" s="607">
        <v>874.66</v>
      </c>
      <c r="G1968" s="584">
        <v>15</v>
      </c>
    </row>
    <row r="1969" spans="1:7" ht="30" x14ac:dyDescent="0.2">
      <c r="A1969" s="583" t="s">
        <v>16132</v>
      </c>
      <c r="B1969" s="605" t="s">
        <v>16133</v>
      </c>
      <c r="C1969" s="606" t="s">
        <v>12375</v>
      </c>
      <c r="D1969" s="607">
        <v>906.48</v>
      </c>
      <c r="E1969" s="607">
        <v>225.33</v>
      </c>
      <c r="F1969" s="607">
        <v>1131.81</v>
      </c>
      <c r="G1969" s="584">
        <v>15</v>
      </c>
    </row>
    <row r="1970" spans="1:7" ht="30" x14ac:dyDescent="0.2">
      <c r="A1970" s="583" t="s">
        <v>16134</v>
      </c>
      <c r="B1970" s="605" t="s">
        <v>16135</v>
      </c>
      <c r="C1970" s="606" t="s">
        <v>12375</v>
      </c>
      <c r="D1970" s="607">
        <v>1252.52</v>
      </c>
      <c r="E1970" s="607">
        <v>225.33</v>
      </c>
      <c r="F1970" s="607">
        <v>1477.85</v>
      </c>
      <c r="G1970" s="584">
        <v>15</v>
      </c>
    </row>
    <row r="1971" spans="1:7" ht="15" x14ac:dyDescent="0.25">
      <c r="A1971" s="583" t="s">
        <v>16136</v>
      </c>
      <c r="B1971" s="605" t="s">
        <v>16137</v>
      </c>
      <c r="C1971" s="606"/>
      <c r="D1971" s="607"/>
      <c r="E1971" s="607"/>
      <c r="F1971" s="607"/>
      <c r="G1971" s="582"/>
    </row>
    <row r="1972" spans="1:7" ht="30" x14ac:dyDescent="0.2">
      <c r="A1972" s="583" t="s">
        <v>16138</v>
      </c>
      <c r="B1972" s="605" t="s">
        <v>16139</v>
      </c>
      <c r="C1972" s="606" t="s">
        <v>12375</v>
      </c>
      <c r="D1972" s="607">
        <v>516.55999999999995</v>
      </c>
      <c r="E1972" s="607">
        <v>112.67</v>
      </c>
      <c r="F1972" s="607">
        <v>629.23</v>
      </c>
      <c r="G1972" s="584">
        <v>15</v>
      </c>
    </row>
    <row r="1973" spans="1:7" ht="30" x14ac:dyDescent="0.2">
      <c r="A1973" s="583" t="s">
        <v>16140</v>
      </c>
      <c r="B1973" s="605" t="s">
        <v>16141</v>
      </c>
      <c r="C1973" s="606" t="s">
        <v>12375</v>
      </c>
      <c r="D1973" s="607">
        <v>612.97</v>
      </c>
      <c r="E1973" s="607">
        <v>112.67</v>
      </c>
      <c r="F1973" s="607">
        <v>725.64</v>
      </c>
      <c r="G1973" s="584">
        <v>15</v>
      </c>
    </row>
    <row r="1974" spans="1:7" ht="30" x14ac:dyDescent="0.2">
      <c r="A1974" s="583" t="s">
        <v>16142</v>
      </c>
      <c r="B1974" s="605" t="s">
        <v>16143</v>
      </c>
      <c r="C1974" s="606" t="s">
        <v>12375</v>
      </c>
      <c r="D1974" s="607">
        <v>702.72</v>
      </c>
      <c r="E1974" s="607">
        <v>150.22</v>
      </c>
      <c r="F1974" s="607">
        <v>852.94</v>
      </c>
      <c r="G1974" s="584">
        <v>15</v>
      </c>
    </row>
    <row r="1975" spans="1:7" ht="30" x14ac:dyDescent="0.2">
      <c r="A1975" s="583" t="s">
        <v>16144</v>
      </c>
      <c r="B1975" s="605" t="s">
        <v>16145</v>
      </c>
      <c r="C1975" s="606" t="s">
        <v>12375</v>
      </c>
      <c r="D1975" s="607">
        <v>995.49</v>
      </c>
      <c r="E1975" s="607">
        <v>150.22</v>
      </c>
      <c r="F1975" s="607">
        <v>1145.71</v>
      </c>
      <c r="G1975" s="584">
        <v>15</v>
      </c>
    </row>
    <row r="1976" spans="1:7" ht="30" x14ac:dyDescent="0.2">
      <c r="A1976" s="583" t="s">
        <v>16146</v>
      </c>
      <c r="B1976" s="605" t="s">
        <v>16147</v>
      </c>
      <c r="C1976" s="606" t="s">
        <v>12375</v>
      </c>
      <c r="D1976" s="607">
        <v>1100.3399999999999</v>
      </c>
      <c r="E1976" s="607">
        <v>187.78</v>
      </c>
      <c r="F1976" s="607">
        <v>1288.1199999999999</v>
      </c>
      <c r="G1976" s="584">
        <v>15</v>
      </c>
    </row>
    <row r="1977" spans="1:7" ht="30" x14ac:dyDescent="0.2">
      <c r="A1977" s="583" t="s">
        <v>16148</v>
      </c>
      <c r="B1977" s="605" t="s">
        <v>16149</v>
      </c>
      <c r="C1977" s="606" t="s">
        <v>12375</v>
      </c>
      <c r="D1977" s="607">
        <v>1909.25</v>
      </c>
      <c r="E1977" s="607">
        <v>187.78</v>
      </c>
      <c r="F1977" s="607">
        <v>2097.0300000000002</v>
      </c>
      <c r="G1977" s="584">
        <v>15</v>
      </c>
    </row>
    <row r="1978" spans="1:7" ht="15" x14ac:dyDescent="0.25">
      <c r="A1978" s="583" t="s">
        <v>16150</v>
      </c>
      <c r="B1978" s="605" t="s">
        <v>16151</v>
      </c>
      <c r="C1978" s="606"/>
      <c r="D1978" s="607"/>
      <c r="E1978" s="607"/>
      <c r="F1978" s="607"/>
      <c r="G1978" s="582"/>
    </row>
    <row r="1979" spans="1:7" ht="30" x14ac:dyDescent="0.2">
      <c r="A1979" s="583" t="s">
        <v>16152</v>
      </c>
      <c r="B1979" s="605" t="s">
        <v>16153</v>
      </c>
      <c r="C1979" s="606" t="s">
        <v>12427</v>
      </c>
      <c r="D1979" s="607">
        <v>2926.42</v>
      </c>
      <c r="E1979" s="607">
        <v>133</v>
      </c>
      <c r="F1979" s="607">
        <v>3059.42</v>
      </c>
      <c r="G1979" s="584">
        <v>15</v>
      </c>
    </row>
    <row r="1980" spans="1:7" ht="15" x14ac:dyDescent="0.25">
      <c r="A1980" s="583" t="s">
        <v>16154</v>
      </c>
      <c r="B1980" s="605" t="s">
        <v>16155</v>
      </c>
      <c r="C1980" s="606"/>
      <c r="D1980" s="607"/>
      <c r="E1980" s="607"/>
      <c r="F1980" s="607"/>
      <c r="G1980" s="582"/>
    </row>
    <row r="1981" spans="1:7" ht="15" x14ac:dyDescent="0.2">
      <c r="A1981" s="583" t="s">
        <v>16156</v>
      </c>
      <c r="B1981" s="605" t="s">
        <v>16157</v>
      </c>
      <c r="C1981" s="606" t="s">
        <v>12929</v>
      </c>
      <c r="D1981" s="607">
        <v>122.88</v>
      </c>
      <c r="E1981" s="607">
        <v>8.94</v>
      </c>
      <c r="F1981" s="607">
        <v>131.82</v>
      </c>
      <c r="G1981" s="584">
        <v>15</v>
      </c>
    </row>
    <row r="1982" spans="1:7" ht="15" x14ac:dyDescent="0.25">
      <c r="A1982" s="583" t="s">
        <v>16158</v>
      </c>
      <c r="B1982" s="605" t="s">
        <v>16159</v>
      </c>
      <c r="C1982" s="606"/>
      <c r="D1982" s="607"/>
      <c r="E1982" s="607"/>
      <c r="F1982" s="607"/>
      <c r="G1982" s="582"/>
    </row>
    <row r="1983" spans="1:7" ht="15" x14ac:dyDescent="0.2">
      <c r="A1983" s="583" t="s">
        <v>16160</v>
      </c>
      <c r="B1983" s="605" t="s">
        <v>16161</v>
      </c>
      <c r="C1983" s="606" t="s">
        <v>12375</v>
      </c>
      <c r="D1983" s="607">
        <v>53.87</v>
      </c>
      <c r="E1983" s="607">
        <v>15.07</v>
      </c>
      <c r="F1983" s="607">
        <v>68.94</v>
      </c>
      <c r="G1983" s="584">
        <v>15</v>
      </c>
    </row>
    <row r="1984" spans="1:7" ht="15" x14ac:dyDescent="0.2">
      <c r="A1984" s="583" t="s">
        <v>16162</v>
      </c>
      <c r="B1984" s="605" t="s">
        <v>16163</v>
      </c>
      <c r="C1984" s="606" t="s">
        <v>12375</v>
      </c>
      <c r="D1984" s="607">
        <v>60.1</v>
      </c>
      <c r="E1984" s="607">
        <v>25.12</v>
      </c>
      <c r="F1984" s="607">
        <v>85.22</v>
      </c>
      <c r="G1984" s="584">
        <v>15</v>
      </c>
    </row>
    <row r="1985" spans="1:7" ht="15" x14ac:dyDescent="0.2">
      <c r="A1985" s="583" t="s">
        <v>16164</v>
      </c>
      <c r="B1985" s="605" t="s">
        <v>16165</v>
      </c>
      <c r="C1985" s="606" t="s">
        <v>12375</v>
      </c>
      <c r="D1985" s="607">
        <v>77.8</v>
      </c>
      <c r="E1985" s="607">
        <v>50.24</v>
      </c>
      <c r="F1985" s="607">
        <v>128.04</v>
      </c>
      <c r="G1985" s="584">
        <v>15</v>
      </c>
    </row>
    <row r="1986" spans="1:7" ht="15" x14ac:dyDescent="0.2">
      <c r="A1986" s="583" t="s">
        <v>16166</v>
      </c>
      <c r="B1986" s="605" t="s">
        <v>16167</v>
      </c>
      <c r="C1986" s="606" t="s">
        <v>12375</v>
      </c>
      <c r="D1986" s="607">
        <v>230.92</v>
      </c>
      <c r="E1986" s="607">
        <v>50.24</v>
      </c>
      <c r="F1986" s="607">
        <v>281.16000000000003</v>
      </c>
      <c r="G1986" s="584">
        <v>15</v>
      </c>
    </row>
    <row r="1987" spans="1:7" ht="15" x14ac:dyDescent="0.2">
      <c r="A1987" s="583" t="s">
        <v>16168</v>
      </c>
      <c r="B1987" s="605" t="s">
        <v>16169</v>
      </c>
      <c r="C1987" s="606" t="s">
        <v>12375</v>
      </c>
      <c r="D1987" s="607">
        <v>323.55</v>
      </c>
      <c r="E1987" s="607">
        <v>50.24</v>
      </c>
      <c r="F1987" s="607">
        <v>373.79</v>
      </c>
      <c r="G1987" s="584">
        <v>15</v>
      </c>
    </row>
    <row r="1988" spans="1:7" ht="15" x14ac:dyDescent="0.2">
      <c r="A1988" s="583" t="s">
        <v>16170</v>
      </c>
      <c r="B1988" s="605" t="s">
        <v>16171</v>
      </c>
      <c r="C1988" s="606" t="s">
        <v>12375</v>
      </c>
      <c r="D1988" s="607">
        <v>1406.33</v>
      </c>
      <c r="E1988" s="607">
        <v>60.29</v>
      </c>
      <c r="F1988" s="607">
        <v>1466.62</v>
      </c>
      <c r="G1988" s="584">
        <v>15</v>
      </c>
    </row>
    <row r="1989" spans="1:7" ht="15" x14ac:dyDescent="0.2">
      <c r="A1989" s="583" t="s">
        <v>16172</v>
      </c>
      <c r="B1989" s="605" t="s">
        <v>16173</v>
      </c>
      <c r="C1989" s="606" t="s">
        <v>12375</v>
      </c>
      <c r="D1989" s="607">
        <v>471.13</v>
      </c>
      <c r="E1989" s="607">
        <v>60.29</v>
      </c>
      <c r="F1989" s="607">
        <v>531.41999999999996</v>
      </c>
      <c r="G1989" s="584">
        <v>15</v>
      </c>
    </row>
    <row r="1990" spans="1:7" ht="15" x14ac:dyDescent="0.25">
      <c r="A1990" s="583" t="s">
        <v>16174</v>
      </c>
      <c r="B1990" s="605" t="s">
        <v>16175</v>
      </c>
      <c r="C1990" s="606"/>
      <c r="D1990" s="607"/>
      <c r="E1990" s="607"/>
      <c r="F1990" s="607"/>
      <c r="G1990" s="582"/>
    </row>
    <row r="1991" spans="1:7" ht="15" x14ac:dyDescent="0.2">
      <c r="A1991" s="583" t="s">
        <v>16176</v>
      </c>
      <c r="B1991" s="605" t="s">
        <v>16177</v>
      </c>
      <c r="C1991" s="606" t="s">
        <v>12375</v>
      </c>
      <c r="D1991" s="607">
        <v>34.79</v>
      </c>
      <c r="E1991" s="607">
        <v>10.050000000000001</v>
      </c>
      <c r="F1991" s="607">
        <v>44.84</v>
      </c>
      <c r="G1991" s="584">
        <v>15</v>
      </c>
    </row>
    <row r="1992" spans="1:7" ht="15" x14ac:dyDescent="0.2">
      <c r="A1992" s="583" t="s">
        <v>16178</v>
      </c>
      <c r="B1992" s="605" t="s">
        <v>16179</v>
      </c>
      <c r="C1992" s="606" t="s">
        <v>12375</v>
      </c>
      <c r="D1992" s="607">
        <v>76.599999999999994</v>
      </c>
      <c r="E1992" s="607">
        <v>10.050000000000001</v>
      </c>
      <c r="F1992" s="607">
        <v>86.65</v>
      </c>
      <c r="G1992" s="584">
        <v>15</v>
      </c>
    </row>
    <row r="1993" spans="1:7" ht="15" x14ac:dyDescent="0.2">
      <c r="A1993" s="583" t="s">
        <v>16180</v>
      </c>
      <c r="B1993" s="605" t="s">
        <v>16181</v>
      </c>
      <c r="C1993" s="606" t="s">
        <v>12375</v>
      </c>
      <c r="D1993" s="607">
        <v>109.53</v>
      </c>
      <c r="E1993" s="607">
        <v>10.050000000000001</v>
      </c>
      <c r="F1993" s="607">
        <v>119.58</v>
      </c>
      <c r="G1993" s="584">
        <v>15</v>
      </c>
    </row>
    <row r="1994" spans="1:7" ht="15" x14ac:dyDescent="0.2">
      <c r="A1994" s="583" t="s">
        <v>16182</v>
      </c>
      <c r="B1994" s="605" t="s">
        <v>16183</v>
      </c>
      <c r="C1994" s="606" t="s">
        <v>12375</v>
      </c>
      <c r="D1994" s="607">
        <v>178.27</v>
      </c>
      <c r="E1994" s="607">
        <v>10.050000000000001</v>
      </c>
      <c r="F1994" s="607">
        <v>188.32</v>
      </c>
      <c r="G1994" s="584">
        <v>15</v>
      </c>
    </row>
    <row r="1995" spans="1:7" ht="15" x14ac:dyDescent="0.2">
      <c r="A1995" s="583" t="s">
        <v>16184</v>
      </c>
      <c r="B1995" s="605" t="s">
        <v>16185</v>
      </c>
      <c r="C1995" s="606" t="s">
        <v>12375</v>
      </c>
      <c r="D1995" s="607">
        <v>195.46</v>
      </c>
      <c r="E1995" s="607">
        <v>10.050000000000001</v>
      </c>
      <c r="F1995" s="607">
        <v>205.51</v>
      </c>
      <c r="G1995" s="584">
        <v>15</v>
      </c>
    </row>
    <row r="1996" spans="1:7" ht="15" x14ac:dyDescent="0.2">
      <c r="A1996" s="583" t="s">
        <v>16186</v>
      </c>
      <c r="B1996" s="605" t="s">
        <v>16187</v>
      </c>
      <c r="C1996" s="606" t="s">
        <v>12375</v>
      </c>
      <c r="D1996" s="607">
        <v>354.61</v>
      </c>
      <c r="E1996" s="607">
        <v>10.050000000000001</v>
      </c>
      <c r="F1996" s="607">
        <v>364.66</v>
      </c>
      <c r="G1996" s="584">
        <v>15</v>
      </c>
    </row>
    <row r="1997" spans="1:7" ht="15" x14ac:dyDescent="0.2">
      <c r="A1997" s="583" t="s">
        <v>16188</v>
      </c>
      <c r="B1997" s="605" t="s">
        <v>16189</v>
      </c>
      <c r="C1997" s="606" t="s">
        <v>12375</v>
      </c>
      <c r="D1997" s="607">
        <v>4.3600000000000003</v>
      </c>
      <c r="E1997" s="607">
        <v>10.050000000000001</v>
      </c>
      <c r="F1997" s="607">
        <v>14.41</v>
      </c>
      <c r="G1997" s="584">
        <v>15</v>
      </c>
    </row>
    <row r="1998" spans="1:7" ht="15" x14ac:dyDescent="0.2">
      <c r="A1998" s="583" t="s">
        <v>16190</v>
      </c>
      <c r="B1998" s="605" t="s">
        <v>16191</v>
      </c>
      <c r="C1998" s="606" t="s">
        <v>12375</v>
      </c>
      <c r="D1998" s="607">
        <v>5.63</v>
      </c>
      <c r="E1998" s="607">
        <v>10.050000000000001</v>
      </c>
      <c r="F1998" s="607">
        <v>15.68</v>
      </c>
      <c r="G1998" s="584">
        <v>15</v>
      </c>
    </row>
    <row r="1999" spans="1:7" ht="15" x14ac:dyDescent="0.2">
      <c r="A1999" s="583" t="s">
        <v>16192</v>
      </c>
      <c r="B1999" s="605" t="s">
        <v>16193</v>
      </c>
      <c r="C1999" s="606" t="s">
        <v>12375</v>
      </c>
      <c r="D1999" s="607">
        <v>36.97</v>
      </c>
      <c r="E1999" s="607">
        <v>2.5099999999999998</v>
      </c>
      <c r="F1999" s="607">
        <v>39.479999999999997</v>
      </c>
      <c r="G1999" s="584">
        <v>15</v>
      </c>
    </row>
    <row r="2000" spans="1:7" ht="15" x14ac:dyDescent="0.25">
      <c r="A2000" s="583" t="s">
        <v>16194</v>
      </c>
      <c r="B2000" s="605" t="s">
        <v>16195</v>
      </c>
      <c r="C2000" s="606"/>
      <c r="D2000" s="607"/>
      <c r="E2000" s="607"/>
      <c r="F2000" s="607"/>
      <c r="G2000" s="582"/>
    </row>
    <row r="2001" spans="1:7" ht="30" x14ac:dyDescent="0.2">
      <c r="A2001" s="583" t="s">
        <v>16196</v>
      </c>
      <c r="B2001" s="605" t="s">
        <v>16197</v>
      </c>
      <c r="C2001" s="606" t="s">
        <v>12375</v>
      </c>
      <c r="D2001" s="607">
        <v>28095.62</v>
      </c>
      <c r="E2001" s="607">
        <v>315.24</v>
      </c>
      <c r="F2001" s="607">
        <v>28410.86</v>
      </c>
      <c r="G2001" s="584">
        <v>15</v>
      </c>
    </row>
    <row r="2002" spans="1:7" ht="30" x14ac:dyDescent="0.2">
      <c r="A2002" s="583" t="s">
        <v>16198</v>
      </c>
      <c r="B2002" s="605" t="s">
        <v>21409</v>
      </c>
      <c r="C2002" s="606" t="s">
        <v>12375</v>
      </c>
      <c r="D2002" s="607">
        <v>26893.599999999999</v>
      </c>
      <c r="E2002" s="607">
        <v>282.72000000000003</v>
      </c>
      <c r="F2002" s="607">
        <v>27176.32</v>
      </c>
      <c r="G2002" s="584">
        <v>15</v>
      </c>
    </row>
    <row r="2003" spans="1:7" ht="30" x14ac:dyDescent="0.2">
      <c r="A2003" s="583" t="s">
        <v>16199</v>
      </c>
      <c r="B2003" s="605" t="s">
        <v>16200</v>
      </c>
      <c r="C2003" s="606" t="s">
        <v>12676</v>
      </c>
      <c r="D2003" s="607">
        <v>44433.71</v>
      </c>
      <c r="E2003" s="607">
        <v>416.4</v>
      </c>
      <c r="F2003" s="607">
        <v>44850.11</v>
      </c>
      <c r="G2003" s="584">
        <v>15</v>
      </c>
    </row>
    <row r="2004" spans="1:7" ht="30" x14ac:dyDescent="0.2">
      <c r="A2004" s="583" t="s">
        <v>16201</v>
      </c>
      <c r="B2004" s="605" t="s">
        <v>21410</v>
      </c>
      <c r="C2004" s="606" t="s">
        <v>12375</v>
      </c>
      <c r="D2004" s="607">
        <v>81160.34</v>
      </c>
      <c r="E2004" s="607">
        <v>50.24</v>
      </c>
      <c r="F2004" s="607">
        <v>81210.58</v>
      </c>
      <c r="G2004" s="584">
        <v>15</v>
      </c>
    </row>
    <row r="2005" spans="1:7" ht="30" x14ac:dyDescent="0.2">
      <c r="A2005" s="583" t="s">
        <v>16202</v>
      </c>
      <c r="B2005" s="605" t="s">
        <v>21411</v>
      </c>
      <c r="C2005" s="606" t="s">
        <v>12375</v>
      </c>
      <c r="D2005" s="607">
        <v>139867.44</v>
      </c>
      <c r="E2005" s="607">
        <v>50.24</v>
      </c>
      <c r="F2005" s="607">
        <v>139917.68</v>
      </c>
      <c r="G2005" s="584">
        <v>15</v>
      </c>
    </row>
    <row r="2006" spans="1:7" ht="30" x14ac:dyDescent="0.2">
      <c r="A2006" s="583" t="s">
        <v>16203</v>
      </c>
      <c r="B2006" s="605" t="s">
        <v>16204</v>
      </c>
      <c r="C2006" s="606" t="s">
        <v>12375</v>
      </c>
      <c r="D2006" s="607">
        <v>11.56</v>
      </c>
      <c r="E2006" s="607">
        <v>15.07</v>
      </c>
      <c r="F2006" s="607">
        <v>26.63</v>
      </c>
      <c r="G2006" s="584">
        <v>15</v>
      </c>
    </row>
    <row r="2007" spans="1:7" ht="30" x14ac:dyDescent="0.2">
      <c r="A2007" s="583" t="s">
        <v>16205</v>
      </c>
      <c r="B2007" s="605" t="s">
        <v>16206</v>
      </c>
      <c r="C2007" s="606" t="s">
        <v>12375</v>
      </c>
      <c r="D2007" s="607">
        <v>41.37</v>
      </c>
      <c r="E2007" s="607">
        <v>15.07</v>
      </c>
      <c r="F2007" s="607">
        <v>56.44</v>
      </c>
      <c r="G2007" s="584">
        <v>15</v>
      </c>
    </row>
    <row r="2008" spans="1:7" ht="30" x14ac:dyDescent="0.2">
      <c r="A2008" s="583" t="s">
        <v>16207</v>
      </c>
      <c r="B2008" s="605" t="s">
        <v>16208</v>
      </c>
      <c r="C2008" s="606" t="s">
        <v>12375</v>
      </c>
      <c r="D2008" s="607">
        <v>135.37</v>
      </c>
      <c r="E2008" s="607">
        <v>30.14</v>
      </c>
      <c r="F2008" s="607">
        <v>165.51</v>
      </c>
      <c r="G2008" s="584">
        <v>15</v>
      </c>
    </row>
    <row r="2009" spans="1:7" ht="30" x14ac:dyDescent="0.2">
      <c r="A2009" s="583" t="s">
        <v>16209</v>
      </c>
      <c r="B2009" s="605" t="s">
        <v>16210</v>
      </c>
      <c r="C2009" s="606" t="s">
        <v>12375</v>
      </c>
      <c r="D2009" s="607">
        <v>178.38</v>
      </c>
      <c r="E2009" s="607">
        <v>30.14</v>
      </c>
      <c r="F2009" s="607">
        <v>208.52</v>
      </c>
      <c r="G2009" s="584">
        <v>15</v>
      </c>
    </row>
    <row r="2010" spans="1:7" ht="30" x14ac:dyDescent="0.2">
      <c r="A2010" s="583" t="s">
        <v>16211</v>
      </c>
      <c r="B2010" s="605" t="s">
        <v>16212</v>
      </c>
      <c r="C2010" s="606" t="s">
        <v>12375</v>
      </c>
      <c r="D2010" s="607">
        <v>122.94</v>
      </c>
      <c r="E2010" s="607">
        <v>45.22</v>
      </c>
      <c r="F2010" s="607">
        <v>168.16</v>
      </c>
      <c r="G2010" s="584">
        <v>15</v>
      </c>
    </row>
    <row r="2011" spans="1:7" ht="30" x14ac:dyDescent="0.2">
      <c r="A2011" s="583" t="s">
        <v>16213</v>
      </c>
      <c r="B2011" s="605" t="s">
        <v>16214</v>
      </c>
      <c r="C2011" s="606" t="s">
        <v>12375</v>
      </c>
      <c r="D2011" s="607">
        <v>215.76</v>
      </c>
      <c r="E2011" s="607">
        <v>45.22</v>
      </c>
      <c r="F2011" s="607">
        <v>260.98</v>
      </c>
      <c r="G2011" s="584">
        <v>15</v>
      </c>
    </row>
    <row r="2012" spans="1:7" ht="30" x14ac:dyDescent="0.2">
      <c r="A2012" s="583" t="s">
        <v>16215</v>
      </c>
      <c r="B2012" s="605" t="s">
        <v>21412</v>
      </c>
      <c r="C2012" s="606" t="s">
        <v>12375</v>
      </c>
      <c r="D2012" s="607">
        <v>473.13</v>
      </c>
      <c r="E2012" s="607">
        <v>50.24</v>
      </c>
      <c r="F2012" s="607">
        <v>523.37</v>
      </c>
      <c r="G2012" s="584">
        <v>15</v>
      </c>
    </row>
    <row r="2013" spans="1:7" ht="30" x14ac:dyDescent="0.2">
      <c r="A2013" s="583" t="s">
        <v>16216</v>
      </c>
      <c r="B2013" s="605" t="s">
        <v>21413</v>
      </c>
      <c r="C2013" s="606" t="s">
        <v>12375</v>
      </c>
      <c r="D2013" s="607">
        <v>803.16</v>
      </c>
      <c r="E2013" s="607">
        <v>50.24</v>
      </c>
      <c r="F2013" s="607">
        <v>853.4</v>
      </c>
      <c r="G2013" s="584">
        <v>15</v>
      </c>
    </row>
    <row r="2014" spans="1:7" ht="45" x14ac:dyDescent="0.2">
      <c r="A2014" s="583" t="s">
        <v>16217</v>
      </c>
      <c r="B2014" s="605" t="s">
        <v>21414</v>
      </c>
      <c r="C2014" s="606" t="s">
        <v>12375</v>
      </c>
      <c r="D2014" s="607">
        <v>1864.12</v>
      </c>
      <c r="E2014" s="607">
        <v>100.48</v>
      </c>
      <c r="F2014" s="607">
        <v>1964.6</v>
      </c>
      <c r="G2014" s="584">
        <v>15</v>
      </c>
    </row>
    <row r="2015" spans="1:7" ht="45" x14ac:dyDescent="0.2">
      <c r="A2015" s="583" t="s">
        <v>16218</v>
      </c>
      <c r="B2015" s="605" t="s">
        <v>21415</v>
      </c>
      <c r="C2015" s="606" t="s">
        <v>12375</v>
      </c>
      <c r="D2015" s="607">
        <v>1284.1199999999999</v>
      </c>
      <c r="E2015" s="607">
        <v>100.48</v>
      </c>
      <c r="F2015" s="607">
        <v>1384.6</v>
      </c>
      <c r="G2015" s="584">
        <v>15</v>
      </c>
    </row>
    <row r="2016" spans="1:7" ht="45" x14ac:dyDescent="0.2">
      <c r="A2016" s="583" t="s">
        <v>16219</v>
      </c>
      <c r="B2016" s="605" t="s">
        <v>21416</v>
      </c>
      <c r="C2016" s="606" t="s">
        <v>12375</v>
      </c>
      <c r="D2016" s="607">
        <v>3617.1</v>
      </c>
      <c r="E2016" s="607">
        <v>100.48</v>
      </c>
      <c r="F2016" s="607">
        <v>3717.58</v>
      </c>
      <c r="G2016" s="584">
        <v>15</v>
      </c>
    </row>
    <row r="2017" spans="1:7" ht="30" x14ac:dyDescent="0.2">
      <c r="A2017" s="583" t="s">
        <v>16220</v>
      </c>
      <c r="B2017" s="605" t="s">
        <v>16221</v>
      </c>
      <c r="C2017" s="606" t="s">
        <v>12375</v>
      </c>
      <c r="D2017" s="607">
        <v>9447.9699999999993</v>
      </c>
      <c r="E2017" s="607">
        <v>100.48</v>
      </c>
      <c r="F2017" s="607">
        <v>9548.4500000000007</v>
      </c>
      <c r="G2017" s="584">
        <v>15</v>
      </c>
    </row>
    <row r="2018" spans="1:7" ht="30" x14ac:dyDescent="0.2">
      <c r="A2018" s="583" t="s">
        <v>16222</v>
      </c>
      <c r="B2018" s="605" t="s">
        <v>16223</v>
      </c>
      <c r="C2018" s="606" t="s">
        <v>12375</v>
      </c>
      <c r="D2018" s="607">
        <v>15653.21</v>
      </c>
      <c r="E2018" s="607">
        <v>100.48</v>
      </c>
      <c r="F2018" s="607">
        <v>15753.69</v>
      </c>
      <c r="G2018" s="584">
        <v>15</v>
      </c>
    </row>
    <row r="2019" spans="1:7" ht="30" x14ac:dyDescent="0.2">
      <c r="A2019" s="583" t="s">
        <v>16224</v>
      </c>
      <c r="B2019" s="605" t="s">
        <v>16225</v>
      </c>
      <c r="C2019" s="606" t="s">
        <v>12375</v>
      </c>
      <c r="D2019" s="607">
        <v>21619.73</v>
      </c>
      <c r="E2019" s="607">
        <v>100.48</v>
      </c>
      <c r="F2019" s="607">
        <v>21720.21</v>
      </c>
      <c r="G2019" s="584">
        <v>15</v>
      </c>
    </row>
    <row r="2020" spans="1:7" ht="30" x14ac:dyDescent="0.2">
      <c r="A2020" s="583" t="s">
        <v>16226</v>
      </c>
      <c r="B2020" s="605" t="s">
        <v>16227</v>
      </c>
      <c r="C2020" s="606" t="s">
        <v>12375</v>
      </c>
      <c r="D2020" s="607">
        <v>10.66</v>
      </c>
      <c r="E2020" s="607">
        <v>10.050000000000001</v>
      </c>
      <c r="F2020" s="607">
        <v>20.71</v>
      </c>
      <c r="G2020" s="584">
        <v>15</v>
      </c>
    </row>
    <row r="2021" spans="1:7" ht="30" x14ac:dyDescent="0.2">
      <c r="A2021" s="583" t="s">
        <v>16228</v>
      </c>
      <c r="B2021" s="605" t="s">
        <v>16229</v>
      </c>
      <c r="C2021" s="606" t="s">
        <v>12375</v>
      </c>
      <c r="D2021" s="607">
        <v>13.36</v>
      </c>
      <c r="E2021" s="607">
        <v>10.050000000000001</v>
      </c>
      <c r="F2021" s="607">
        <v>23.41</v>
      </c>
      <c r="G2021" s="584">
        <v>15</v>
      </c>
    </row>
    <row r="2022" spans="1:7" ht="30" x14ac:dyDescent="0.2">
      <c r="A2022" s="583" t="s">
        <v>16230</v>
      </c>
      <c r="B2022" s="605" t="s">
        <v>16231</v>
      </c>
      <c r="C2022" s="606" t="s">
        <v>12375</v>
      </c>
      <c r="D2022" s="607">
        <v>42.92</v>
      </c>
      <c r="E2022" s="607">
        <v>10.050000000000001</v>
      </c>
      <c r="F2022" s="607">
        <v>52.97</v>
      </c>
      <c r="G2022" s="584">
        <v>15</v>
      </c>
    </row>
    <row r="2023" spans="1:7" ht="30" x14ac:dyDescent="0.2">
      <c r="A2023" s="583" t="s">
        <v>16232</v>
      </c>
      <c r="B2023" s="605" t="s">
        <v>16233</v>
      </c>
      <c r="C2023" s="606" t="s">
        <v>12375</v>
      </c>
      <c r="D2023" s="607">
        <v>43.37</v>
      </c>
      <c r="E2023" s="607">
        <v>10.050000000000001</v>
      </c>
      <c r="F2023" s="607">
        <v>53.42</v>
      </c>
      <c r="G2023" s="584">
        <v>15</v>
      </c>
    </row>
    <row r="2024" spans="1:7" ht="30" x14ac:dyDescent="0.2">
      <c r="A2024" s="583" t="s">
        <v>16234</v>
      </c>
      <c r="B2024" s="605" t="s">
        <v>16235</v>
      </c>
      <c r="C2024" s="606" t="s">
        <v>12375</v>
      </c>
      <c r="D2024" s="607">
        <v>53.25</v>
      </c>
      <c r="E2024" s="607">
        <v>10.050000000000001</v>
      </c>
      <c r="F2024" s="607">
        <v>63.3</v>
      </c>
      <c r="G2024" s="584">
        <v>15</v>
      </c>
    </row>
    <row r="2025" spans="1:7" ht="30" x14ac:dyDescent="0.2">
      <c r="A2025" s="583" t="s">
        <v>16236</v>
      </c>
      <c r="B2025" s="605" t="s">
        <v>16237</v>
      </c>
      <c r="C2025" s="606" t="s">
        <v>12375</v>
      </c>
      <c r="D2025" s="607">
        <v>136.93</v>
      </c>
      <c r="E2025" s="607">
        <v>10.050000000000001</v>
      </c>
      <c r="F2025" s="607">
        <v>146.97999999999999</v>
      </c>
      <c r="G2025" s="584">
        <v>15</v>
      </c>
    </row>
    <row r="2026" spans="1:7" ht="30" x14ac:dyDescent="0.2">
      <c r="A2026" s="583" t="s">
        <v>16238</v>
      </c>
      <c r="B2026" s="605" t="s">
        <v>16239</v>
      </c>
      <c r="C2026" s="606" t="s">
        <v>12375</v>
      </c>
      <c r="D2026" s="607">
        <v>58.54</v>
      </c>
      <c r="E2026" s="607">
        <v>10.050000000000001</v>
      </c>
      <c r="F2026" s="607">
        <v>68.59</v>
      </c>
      <c r="G2026" s="584">
        <v>15</v>
      </c>
    </row>
    <row r="2027" spans="1:7" ht="30" x14ac:dyDescent="0.2">
      <c r="A2027" s="583" t="s">
        <v>16240</v>
      </c>
      <c r="B2027" s="605" t="s">
        <v>16241</v>
      </c>
      <c r="C2027" s="606" t="s">
        <v>12375</v>
      </c>
      <c r="D2027" s="607">
        <v>63.61</v>
      </c>
      <c r="E2027" s="607">
        <v>10.050000000000001</v>
      </c>
      <c r="F2027" s="607">
        <v>73.66</v>
      </c>
      <c r="G2027" s="584">
        <v>15</v>
      </c>
    </row>
    <row r="2028" spans="1:7" ht="30" x14ac:dyDescent="0.2">
      <c r="A2028" s="583" t="s">
        <v>16242</v>
      </c>
      <c r="B2028" s="605" t="s">
        <v>16243</v>
      </c>
      <c r="C2028" s="606" t="s">
        <v>12375</v>
      </c>
      <c r="D2028" s="607">
        <v>69.849999999999994</v>
      </c>
      <c r="E2028" s="607">
        <v>10.050000000000001</v>
      </c>
      <c r="F2028" s="607">
        <v>79.900000000000006</v>
      </c>
      <c r="G2028" s="584">
        <v>15</v>
      </c>
    </row>
    <row r="2029" spans="1:7" ht="30" x14ac:dyDescent="0.2">
      <c r="A2029" s="583" t="s">
        <v>16244</v>
      </c>
      <c r="B2029" s="605" t="s">
        <v>21417</v>
      </c>
      <c r="C2029" s="606" t="s">
        <v>12375</v>
      </c>
      <c r="D2029" s="607">
        <v>912.15</v>
      </c>
      <c r="E2029" s="607">
        <v>10.050000000000001</v>
      </c>
      <c r="F2029" s="607">
        <v>922.2</v>
      </c>
      <c r="G2029" s="584">
        <v>15</v>
      </c>
    </row>
    <row r="2030" spans="1:7" ht="30" x14ac:dyDescent="0.2">
      <c r="A2030" s="583" t="s">
        <v>16245</v>
      </c>
      <c r="B2030" s="605" t="s">
        <v>21418</v>
      </c>
      <c r="C2030" s="606" t="s">
        <v>12375</v>
      </c>
      <c r="D2030" s="607">
        <v>33617.440000000002</v>
      </c>
      <c r="E2030" s="607">
        <v>100.48</v>
      </c>
      <c r="F2030" s="607">
        <v>33717.919999999998</v>
      </c>
      <c r="G2030" s="584">
        <v>15</v>
      </c>
    </row>
    <row r="2031" spans="1:7" ht="30" x14ac:dyDescent="0.2">
      <c r="A2031" s="583" t="s">
        <v>16246</v>
      </c>
      <c r="B2031" s="605" t="s">
        <v>21419</v>
      </c>
      <c r="C2031" s="606" t="s">
        <v>12375</v>
      </c>
      <c r="D2031" s="607">
        <v>59244.18</v>
      </c>
      <c r="E2031" s="607">
        <v>100.48</v>
      </c>
      <c r="F2031" s="607">
        <v>59344.66</v>
      </c>
      <c r="G2031" s="584">
        <v>15</v>
      </c>
    </row>
    <row r="2032" spans="1:7" ht="30" x14ac:dyDescent="0.2">
      <c r="A2032" s="583" t="s">
        <v>16247</v>
      </c>
      <c r="B2032" s="605" t="s">
        <v>16248</v>
      </c>
      <c r="C2032" s="606" t="s">
        <v>12375</v>
      </c>
      <c r="D2032" s="607">
        <v>365179.25</v>
      </c>
      <c r="E2032" s="607">
        <v>50.24</v>
      </c>
      <c r="F2032" s="607">
        <v>365229.49</v>
      </c>
      <c r="G2032" s="584">
        <v>15</v>
      </c>
    </row>
    <row r="2033" spans="1:7" ht="15" x14ac:dyDescent="0.25">
      <c r="A2033" s="583" t="s">
        <v>16249</v>
      </c>
      <c r="B2033" s="605" t="s">
        <v>16250</v>
      </c>
      <c r="C2033" s="606"/>
      <c r="D2033" s="607"/>
      <c r="E2033" s="607"/>
      <c r="F2033" s="607"/>
      <c r="G2033" s="582"/>
    </row>
    <row r="2034" spans="1:7" ht="30" x14ac:dyDescent="0.2">
      <c r="A2034" s="583" t="s">
        <v>16251</v>
      </c>
      <c r="B2034" s="605" t="s">
        <v>16252</v>
      </c>
      <c r="C2034" s="606" t="s">
        <v>12375</v>
      </c>
      <c r="D2034" s="607">
        <v>2429.91</v>
      </c>
      <c r="E2034" s="607">
        <v>50.24</v>
      </c>
      <c r="F2034" s="607">
        <v>2480.15</v>
      </c>
      <c r="G2034" s="584">
        <v>15</v>
      </c>
    </row>
    <row r="2035" spans="1:7" ht="30" x14ac:dyDescent="0.2">
      <c r="A2035" s="583" t="s">
        <v>16253</v>
      </c>
      <c r="B2035" s="605" t="s">
        <v>16254</v>
      </c>
      <c r="C2035" s="606" t="s">
        <v>12375</v>
      </c>
      <c r="D2035" s="607">
        <v>2025.5</v>
      </c>
      <c r="E2035" s="607">
        <v>40.19</v>
      </c>
      <c r="F2035" s="607">
        <v>2065.69</v>
      </c>
      <c r="G2035" s="584">
        <v>15</v>
      </c>
    </row>
    <row r="2036" spans="1:7" ht="30" x14ac:dyDescent="0.2">
      <c r="A2036" s="583" t="s">
        <v>16255</v>
      </c>
      <c r="B2036" s="605" t="s">
        <v>16256</v>
      </c>
      <c r="C2036" s="606" t="s">
        <v>12375</v>
      </c>
      <c r="D2036" s="607">
        <v>1274.95</v>
      </c>
      <c r="E2036" s="607">
        <v>40.19</v>
      </c>
      <c r="F2036" s="607">
        <v>1315.14</v>
      </c>
      <c r="G2036" s="584">
        <v>15</v>
      </c>
    </row>
    <row r="2037" spans="1:7" ht="30" x14ac:dyDescent="0.2">
      <c r="A2037" s="583" t="s">
        <v>16257</v>
      </c>
      <c r="B2037" s="605" t="s">
        <v>16258</v>
      </c>
      <c r="C2037" s="606" t="s">
        <v>12375</v>
      </c>
      <c r="D2037" s="607">
        <v>2078.21</v>
      </c>
      <c r="E2037" s="607">
        <v>50.24</v>
      </c>
      <c r="F2037" s="607">
        <v>2128.4499999999998</v>
      </c>
      <c r="G2037" s="584">
        <v>15</v>
      </c>
    </row>
    <row r="2038" spans="1:7" ht="30" x14ac:dyDescent="0.2">
      <c r="A2038" s="583" t="s">
        <v>16259</v>
      </c>
      <c r="B2038" s="605" t="s">
        <v>16260</v>
      </c>
      <c r="C2038" s="606" t="s">
        <v>12375</v>
      </c>
      <c r="D2038" s="607">
        <v>2497.64</v>
      </c>
      <c r="E2038" s="607">
        <v>60.29</v>
      </c>
      <c r="F2038" s="607">
        <v>2557.9299999999998</v>
      </c>
      <c r="G2038" s="584">
        <v>15</v>
      </c>
    </row>
    <row r="2039" spans="1:7" ht="30" x14ac:dyDescent="0.2">
      <c r="A2039" s="583" t="s">
        <v>16261</v>
      </c>
      <c r="B2039" s="605" t="s">
        <v>16262</v>
      </c>
      <c r="C2039" s="606" t="s">
        <v>12375</v>
      </c>
      <c r="D2039" s="607">
        <v>4358.9399999999996</v>
      </c>
      <c r="E2039" s="607">
        <v>75.36</v>
      </c>
      <c r="F2039" s="607">
        <v>4434.3</v>
      </c>
      <c r="G2039" s="584">
        <v>15</v>
      </c>
    </row>
    <row r="2040" spans="1:7" ht="30" x14ac:dyDescent="0.2">
      <c r="A2040" s="583" t="s">
        <v>16263</v>
      </c>
      <c r="B2040" s="605" t="s">
        <v>16264</v>
      </c>
      <c r="C2040" s="606" t="s">
        <v>12375</v>
      </c>
      <c r="D2040" s="607">
        <v>10112.219999999999</v>
      </c>
      <c r="E2040" s="607">
        <v>75.36</v>
      </c>
      <c r="F2040" s="607">
        <v>10187.58</v>
      </c>
      <c r="G2040" s="584">
        <v>15</v>
      </c>
    </row>
    <row r="2041" spans="1:7" ht="30" x14ac:dyDescent="0.2">
      <c r="A2041" s="583" t="s">
        <v>16265</v>
      </c>
      <c r="B2041" s="605" t="s">
        <v>16266</v>
      </c>
      <c r="C2041" s="606" t="s">
        <v>12375</v>
      </c>
      <c r="D2041" s="607">
        <v>1395.34</v>
      </c>
      <c r="E2041" s="607">
        <v>40.19</v>
      </c>
      <c r="F2041" s="607">
        <v>1435.53</v>
      </c>
      <c r="G2041" s="584">
        <v>15</v>
      </c>
    </row>
    <row r="2042" spans="1:7" ht="30" x14ac:dyDescent="0.2">
      <c r="A2042" s="583" t="s">
        <v>16267</v>
      </c>
      <c r="B2042" s="605" t="s">
        <v>16268</v>
      </c>
      <c r="C2042" s="606" t="s">
        <v>12375</v>
      </c>
      <c r="D2042" s="607">
        <v>1799.23</v>
      </c>
      <c r="E2042" s="607">
        <v>40.19</v>
      </c>
      <c r="F2042" s="607">
        <v>1839.42</v>
      </c>
      <c r="G2042" s="584">
        <v>15</v>
      </c>
    </row>
    <row r="2043" spans="1:7" ht="30" x14ac:dyDescent="0.2">
      <c r="A2043" s="583" t="s">
        <v>16269</v>
      </c>
      <c r="B2043" s="605" t="s">
        <v>16270</v>
      </c>
      <c r="C2043" s="606" t="s">
        <v>12375</v>
      </c>
      <c r="D2043" s="607">
        <v>4134.24</v>
      </c>
      <c r="E2043" s="607">
        <v>40.19</v>
      </c>
      <c r="F2043" s="607">
        <v>4174.43</v>
      </c>
      <c r="G2043" s="584">
        <v>15</v>
      </c>
    </row>
    <row r="2044" spans="1:7" ht="30" x14ac:dyDescent="0.2">
      <c r="A2044" s="583" t="s">
        <v>16271</v>
      </c>
      <c r="B2044" s="605" t="s">
        <v>16272</v>
      </c>
      <c r="C2044" s="606" t="s">
        <v>12375</v>
      </c>
      <c r="D2044" s="607">
        <v>4611.34</v>
      </c>
      <c r="E2044" s="607">
        <v>50.24</v>
      </c>
      <c r="F2044" s="607">
        <v>4661.58</v>
      </c>
      <c r="G2044" s="584">
        <v>15</v>
      </c>
    </row>
    <row r="2045" spans="1:7" ht="30" x14ac:dyDescent="0.2">
      <c r="A2045" s="583" t="s">
        <v>16273</v>
      </c>
      <c r="B2045" s="605" t="s">
        <v>16274</v>
      </c>
      <c r="C2045" s="606" t="s">
        <v>12375</v>
      </c>
      <c r="D2045" s="607">
        <v>9602.5499999999993</v>
      </c>
      <c r="E2045" s="607">
        <v>60.29</v>
      </c>
      <c r="F2045" s="607">
        <v>9662.84</v>
      </c>
      <c r="G2045" s="584">
        <v>15</v>
      </c>
    </row>
    <row r="2046" spans="1:7" ht="30" x14ac:dyDescent="0.2">
      <c r="A2046" s="583" t="s">
        <v>16275</v>
      </c>
      <c r="B2046" s="605" t="s">
        <v>16276</v>
      </c>
      <c r="C2046" s="606" t="s">
        <v>12375</v>
      </c>
      <c r="D2046" s="607">
        <v>352.34</v>
      </c>
      <c r="E2046" s="607">
        <v>40.19</v>
      </c>
      <c r="F2046" s="607">
        <v>392.53</v>
      </c>
      <c r="G2046" s="584">
        <v>15</v>
      </c>
    </row>
    <row r="2047" spans="1:7" ht="30" x14ac:dyDescent="0.2">
      <c r="A2047" s="583" t="s">
        <v>16277</v>
      </c>
      <c r="B2047" s="605" t="s">
        <v>16278</v>
      </c>
      <c r="C2047" s="606" t="s">
        <v>12375</v>
      </c>
      <c r="D2047" s="607">
        <v>924.55</v>
      </c>
      <c r="E2047" s="607">
        <v>40.19</v>
      </c>
      <c r="F2047" s="607">
        <v>964.74</v>
      </c>
      <c r="G2047" s="584">
        <v>15</v>
      </c>
    </row>
    <row r="2048" spans="1:7" ht="30" x14ac:dyDescent="0.2">
      <c r="A2048" s="583" t="s">
        <v>16279</v>
      </c>
      <c r="B2048" s="605" t="s">
        <v>16280</v>
      </c>
      <c r="C2048" s="606" t="s">
        <v>12375</v>
      </c>
      <c r="D2048" s="607">
        <v>1219.9100000000001</v>
      </c>
      <c r="E2048" s="607">
        <v>50.24</v>
      </c>
      <c r="F2048" s="607">
        <v>1270.1500000000001</v>
      </c>
      <c r="G2048" s="584">
        <v>15</v>
      </c>
    </row>
    <row r="2049" spans="1:7" ht="30" x14ac:dyDescent="0.2">
      <c r="A2049" s="583" t="s">
        <v>16281</v>
      </c>
      <c r="B2049" s="605" t="s">
        <v>16282</v>
      </c>
      <c r="C2049" s="606" t="s">
        <v>12375</v>
      </c>
      <c r="D2049" s="607">
        <v>1670.92</v>
      </c>
      <c r="E2049" s="607">
        <v>60.29</v>
      </c>
      <c r="F2049" s="607">
        <v>1731.21</v>
      </c>
      <c r="G2049" s="584">
        <v>15</v>
      </c>
    </row>
    <row r="2050" spans="1:7" ht="30" x14ac:dyDescent="0.2">
      <c r="A2050" s="583" t="s">
        <v>16283</v>
      </c>
      <c r="B2050" s="605" t="s">
        <v>16284</v>
      </c>
      <c r="C2050" s="606" t="s">
        <v>12375</v>
      </c>
      <c r="D2050" s="607">
        <v>5307.79</v>
      </c>
      <c r="E2050" s="607">
        <v>60.29</v>
      </c>
      <c r="F2050" s="607">
        <v>5368.08</v>
      </c>
      <c r="G2050" s="584">
        <v>15</v>
      </c>
    </row>
    <row r="2051" spans="1:7" ht="30" x14ac:dyDescent="0.2">
      <c r="A2051" s="583" t="s">
        <v>16285</v>
      </c>
      <c r="B2051" s="605" t="s">
        <v>16286</v>
      </c>
      <c r="C2051" s="606" t="s">
        <v>12375</v>
      </c>
      <c r="D2051" s="607">
        <v>7284.15</v>
      </c>
      <c r="E2051" s="607">
        <v>75.36</v>
      </c>
      <c r="F2051" s="607">
        <v>7359.51</v>
      </c>
      <c r="G2051" s="584">
        <v>15</v>
      </c>
    </row>
    <row r="2052" spans="1:7" ht="30" x14ac:dyDescent="0.2">
      <c r="A2052" s="583" t="s">
        <v>16287</v>
      </c>
      <c r="B2052" s="605" t="s">
        <v>16288</v>
      </c>
      <c r="C2052" s="606" t="s">
        <v>12375</v>
      </c>
      <c r="D2052" s="607">
        <v>11345.22</v>
      </c>
      <c r="E2052" s="607">
        <v>90.43</v>
      </c>
      <c r="F2052" s="607">
        <v>11435.65</v>
      </c>
      <c r="G2052" s="584">
        <v>15</v>
      </c>
    </row>
    <row r="2053" spans="1:7" ht="30" x14ac:dyDescent="0.2">
      <c r="A2053" s="583" t="s">
        <v>16289</v>
      </c>
      <c r="B2053" s="605" t="s">
        <v>16290</v>
      </c>
      <c r="C2053" s="606" t="s">
        <v>12375</v>
      </c>
      <c r="D2053" s="607">
        <v>11841.55</v>
      </c>
      <c r="E2053" s="607">
        <v>115.27</v>
      </c>
      <c r="F2053" s="607">
        <v>11956.82</v>
      </c>
      <c r="G2053" s="584">
        <v>15</v>
      </c>
    </row>
    <row r="2054" spans="1:7" ht="15" x14ac:dyDescent="0.2">
      <c r="A2054" s="583" t="s">
        <v>16291</v>
      </c>
      <c r="B2054" s="605" t="s">
        <v>16292</v>
      </c>
      <c r="C2054" s="606" t="s">
        <v>12375</v>
      </c>
      <c r="D2054" s="607">
        <v>86.99</v>
      </c>
      <c r="E2054" s="607">
        <v>10.050000000000001</v>
      </c>
      <c r="F2054" s="607">
        <v>97.04</v>
      </c>
      <c r="G2054" s="584">
        <v>15</v>
      </c>
    </row>
    <row r="2055" spans="1:7" ht="30" x14ac:dyDescent="0.2">
      <c r="A2055" s="583" t="s">
        <v>16293</v>
      </c>
      <c r="B2055" s="605" t="s">
        <v>16294</v>
      </c>
      <c r="C2055" s="606" t="s">
        <v>12375</v>
      </c>
      <c r="D2055" s="607">
        <v>888.43</v>
      </c>
      <c r="E2055" s="607">
        <v>40.19</v>
      </c>
      <c r="F2055" s="607">
        <v>928.62</v>
      </c>
      <c r="G2055" s="584">
        <v>15</v>
      </c>
    </row>
    <row r="2056" spans="1:7" ht="15" x14ac:dyDescent="0.25">
      <c r="A2056" s="583" t="s">
        <v>16295</v>
      </c>
      <c r="B2056" s="605" t="s">
        <v>16296</v>
      </c>
      <c r="C2056" s="606"/>
      <c r="D2056" s="607"/>
      <c r="E2056" s="607"/>
      <c r="F2056" s="607"/>
      <c r="G2056" s="582"/>
    </row>
    <row r="2057" spans="1:7" ht="30" x14ac:dyDescent="0.2">
      <c r="A2057" s="583" t="s">
        <v>16297</v>
      </c>
      <c r="B2057" s="605" t="s">
        <v>16298</v>
      </c>
      <c r="C2057" s="606" t="s">
        <v>12375</v>
      </c>
      <c r="D2057" s="607">
        <v>2593.9699999999998</v>
      </c>
      <c r="E2057" s="607">
        <v>244.56</v>
      </c>
      <c r="F2057" s="607">
        <v>2838.53</v>
      </c>
      <c r="G2057" s="584">
        <v>15</v>
      </c>
    </row>
    <row r="2058" spans="1:7" ht="30" x14ac:dyDescent="0.2">
      <c r="A2058" s="583" t="s">
        <v>16299</v>
      </c>
      <c r="B2058" s="605" t="s">
        <v>16300</v>
      </c>
      <c r="C2058" s="606" t="s">
        <v>12375</v>
      </c>
      <c r="D2058" s="607">
        <v>2268.4499999999998</v>
      </c>
      <c r="E2058" s="607">
        <v>244.56</v>
      </c>
      <c r="F2058" s="607">
        <v>2513.0100000000002</v>
      </c>
      <c r="G2058" s="584">
        <v>15</v>
      </c>
    </row>
    <row r="2059" spans="1:7" ht="30" x14ac:dyDescent="0.2">
      <c r="A2059" s="583" t="s">
        <v>16301</v>
      </c>
      <c r="B2059" s="605" t="s">
        <v>16302</v>
      </c>
      <c r="C2059" s="606" t="s">
        <v>12375</v>
      </c>
      <c r="D2059" s="607">
        <v>513.54</v>
      </c>
      <c r="E2059" s="607">
        <v>90.19</v>
      </c>
      <c r="F2059" s="607">
        <v>603.73</v>
      </c>
      <c r="G2059" s="584">
        <v>15</v>
      </c>
    </row>
    <row r="2060" spans="1:7" ht="30" x14ac:dyDescent="0.2">
      <c r="A2060" s="583" t="s">
        <v>16303</v>
      </c>
      <c r="B2060" s="605" t="s">
        <v>20169</v>
      </c>
      <c r="C2060" s="606" t="s">
        <v>12375</v>
      </c>
      <c r="D2060" s="607">
        <v>579.16</v>
      </c>
      <c r="E2060" s="607">
        <v>90.19</v>
      </c>
      <c r="F2060" s="607">
        <v>669.35</v>
      </c>
      <c r="G2060" s="584">
        <v>15</v>
      </c>
    </row>
    <row r="2061" spans="1:7" ht="30" x14ac:dyDescent="0.2">
      <c r="A2061" s="583" t="s">
        <v>16304</v>
      </c>
      <c r="B2061" s="605" t="s">
        <v>20170</v>
      </c>
      <c r="C2061" s="606" t="s">
        <v>12375</v>
      </c>
      <c r="D2061" s="607">
        <v>540.96</v>
      </c>
      <c r="E2061" s="607">
        <v>90.19</v>
      </c>
      <c r="F2061" s="607">
        <v>631.15</v>
      </c>
      <c r="G2061" s="584">
        <v>15</v>
      </c>
    </row>
    <row r="2062" spans="1:7" ht="30" x14ac:dyDescent="0.2">
      <c r="A2062" s="583" t="s">
        <v>16305</v>
      </c>
      <c r="B2062" s="605" t="s">
        <v>16306</v>
      </c>
      <c r="C2062" s="606" t="s">
        <v>12375</v>
      </c>
      <c r="D2062" s="607">
        <v>1915.29</v>
      </c>
      <c r="E2062" s="607">
        <v>244.56</v>
      </c>
      <c r="F2062" s="607">
        <v>2159.85</v>
      </c>
      <c r="G2062" s="584">
        <v>15</v>
      </c>
    </row>
    <row r="2063" spans="1:7" ht="30" x14ac:dyDescent="0.2">
      <c r="A2063" s="583" t="s">
        <v>16307</v>
      </c>
      <c r="B2063" s="605" t="s">
        <v>16308</v>
      </c>
      <c r="C2063" s="606" t="s">
        <v>12375</v>
      </c>
      <c r="D2063" s="607">
        <v>2293.06</v>
      </c>
      <c r="E2063" s="607">
        <v>244.56</v>
      </c>
      <c r="F2063" s="607">
        <v>2537.62</v>
      </c>
      <c r="G2063" s="584">
        <v>15</v>
      </c>
    </row>
    <row r="2064" spans="1:7" ht="15" x14ac:dyDescent="0.25">
      <c r="A2064" s="583" t="s">
        <v>16309</v>
      </c>
      <c r="B2064" s="605" t="s">
        <v>16310</v>
      </c>
      <c r="C2064" s="606"/>
      <c r="D2064" s="607"/>
      <c r="E2064" s="607"/>
      <c r="F2064" s="607"/>
      <c r="G2064" s="582"/>
    </row>
    <row r="2065" spans="1:7" ht="30" x14ac:dyDescent="0.2">
      <c r="A2065" s="583" t="s">
        <v>16311</v>
      </c>
      <c r="B2065" s="605" t="s">
        <v>20171</v>
      </c>
      <c r="C2065" s="606" t="s">
        <v>16312</v>
      </c>
      <c r="D2065" s="607">
        <v>600.66</v>
      </c>
      <c r="E2065" s="607">
        <v>0.63</v>
      </c>
      <c r="F2065" s="607">
        <v>601.29</v>
      </c>
      <c r="G2065" s="584">
        <v>15</v>
      </c>
    </row>
    <row r="2066" spans="1:7" ht="30" x14ac:dyDescent="0.2">
      <c r="A2066" s="583" t="s">
        <v>20172</v>
      </c>
      <c r="B2066" s="605" t="s">
        <v>20173</v>
      </c>
      <c r="C2066" s="606" t="s">
        <v>16312</v>
      </c>
      <c r="D2066" s="607">
        <v>187.48</v>
      </c>
      <c r="E2066" s="607">
        <v>0.63</v>
      </c>
      <c r="F2066" s="607">
        <v>188.11</v>
      </c>
      <c r="G2066" s="584">
        <v>15</v>
      </c>
    </row>
    <row r="2067" spans="1:7" ht="15" x14ac:dyDescent="0.25">
      <c r="A2067" s="583" t="s">
        <v>16313</v>
      </c>
      <c r="B2067" s="605" t="s">
        <v>16314</v>
      </c>
      <c r="C2067" s="606"/>
      <c r="D2067" s="607"/>
      <c r="E2067" s="607"/>
      <c r="F2067" s="607"/>
      <c r="G2067" s="582"/>
    </row>
    <row r="2068" spans="1:7" ht="15" x14ac:dyDescent="0.2">
      <c r="A2068" s="583" t="s">
        <v>16315</v>
      </c>
      <c r="B2068" s="605" t="s">
        <v>16316</v>
      </c>
      <c r="C2068" s="606" t="s">
        <v>12375</v>
      </c>
      <c r="D2068" s="607">
        <v>138.84</v>
      </c>
      <c r="E2068" s="607">
        <v>12.56</v>
      </c>
      <c r="F2068" s="607">
        <v>151.4</v>
      </c>
      <c r="G2068" s="584">
        <v>15</v>
      </c>
    </row>
    <row r="2069" spans="1:7" ht="15" x14ac:dyDescent="0.2">
      <c r="A2069" s="583" t="s">
        <v>16317</v>
      </c>
      <c r="B2069" s="605" t="s">
        <v>16318</v>
      </c>
      <c r="C2069" s="606" t="s">
        <v>12375</v>
      </c>
      <c r="D2069" s="607">
        <v>225.93</v>
      </c>
      <c r="E2069" s="607">
        <v>12.56</v>
      </c>
      <c r="F2069" s="607">
        <v>238.49</v>
      </c>
      <c r="G2069" s="584">
        <v>15</v>
      </c>
    </row>
    <row r="2070" spans="1:7" ht="15" x14ac:dyDescent="0.2">
      <c r="A2070" s="583" t="s">
        <v>16319</v>
      </c>
      <c r="B2070" s="605" t="s">
        <v>16320</v>
      </c>
      <c r="C2070" s="606" t="s">
        <v>12375</v>
      </c>
      <c r="D2070" s="607">
        <v>289.72000000000003</v>
      </c>
      <c r="E2070" s="607">
        <v>12.56</v>
      </c>
      <c r="F2070" s="607">
        <v>302.27999999999997</v>
      </c>
      <c r="G2070" s="584">
        <v>15</v>
      </c>
    </row>
    <row r="2071" spans="1:7" ht="15" x14ac:dyDescent="0.2">
      <c r="A2071" s="583" t="s">
        <v>16321</v>
      </c>
      <c r="B2071" s="605" t="s">
        <v>16322</v>
      </c>
      <c r="C2071" s="606" t="s">
        <v>12375</v>
      </c>
      <c r="D2071" s="607">
        <v>317.44</v>
      </c>
      <c r="E2071" s="607">
        <v>12.56</v>
      </c>
      <c r="F2071" s="607">
        <v>330</v>
      </c>
      <c r="G2071" s="584">
        <v>15</v>
      </c>
    </row>
    <row r="2072" spans="1:7" ht="15" x14ac:dyDescent="0.2">
      <c r="A2072" s="583" t="s">
        <v>16323</v>
      </c>
      <c r="B2072" s="605" t="s">
        <v>16324</v>
      </c>
      <c r="C2072" s="606" t="s">
        <v>12375</v>
      </c>
      <c r="D2072" s="607">
        <v>362.4</v>
      </c>
      <c r="E2072" s="607">
        <v>12.56</v>
      </c>
      <c r="F2072" s="607">
        <v>374.96</v>
      </c>
      <c r="G2072" s="584">
        <v>15</v>
      </c>
    </row>
    <row r="2073" spans="1:7" ht="15" x14ac:dyDescent="0.2">
      <c r="A2073" s="583" t="s">
        <v>16325</v>
      </c>
      <c r="B2073" s="605" t="s">
        <v>16326</v>
      </c>
      <c r="C2073" s="606" t="s">
        <v>12375</v>
      </c>
      <c r="D2073" s="607">
        <v>454.06</v>
      </c>
      <c r="E2073" s="607">
        <v>12.56</v>
      </c>
      <c r="F2073" s="607">
        <v>466.62</v>
      </c>
      <c r="G2073" s="584">
        <v>15</v>
      </c>
    </row>
    <row r="2074" spans="1:7" ht="15" x14ac:dyDescent="0.2">
      <c r="A2074" s="583" t="s">
        <v>16327</v>
      </c>
      <c r="B2074" s="605" t="s">
        <v>16328</v>
      </c>
      <c r="C2074" s="606" t="s">
        <v>12375</v>
      </c>
      <c r="D2074" s="607">
        <v>325.5</v>
      </c>
      <c r="E2074" s="607">
        <v>12.56</v>
      </c>
      <c r="F2074" s="607">
        <v>338.06</v>
      </c>
      <c r="G2074" s="584">
        <v>15</v>
      </c>
    </row>
    <row r="2075" spans="1:7" ht="15" x14ac:dyDescent="0.2">
      <c r="A2075" s="583" t="s">
        <v>16329</v>
      </c>
      <c r="B2075" s="605" t="s">
        <v>16330</v>
      </c>
      <c r="C2075" s="606" t="s">
        <v>12375</v>
      </c>
      <c r="D2075" s="607">
        <v>1924.2</v>
      </c>
      <c r="E2075" s="607">
        <v>12.56</v>
      </c>
      <c r="F2075" s="607">
        <v>1936.76</v>
      </c>
      <c r="G2075" s="584">
        <v>15</v>
      </c>
    </row>
    <row r="2076" spans="1:7" ht="15" x14ac:dyDescent="0.2">
      <c r="A2076" s="583" t="s">
        <v>16331</v>
      </c>
      <c r="B2076" s="605" t="s">
        <v>16332</v>
      </c>
      <c r="C2076" s="606" t="s">
        <v>12375</v>
      </c>
      <c r="D2076" s="607">
        <v>185.18</v>
      </c>
      <c r="E2076" s="607">
        <v>12.56</v>
      </c>
      <c r="F2076" s="607">
        <v>197.74</v>
      </c>
      <c r="G2076" s="584">
        <v>15</v>
      </c>
    </row>
    <row r="2077" spans="1:7" ht="15" x14ac:dyDescent="0.25">
      <c r="A2077" s="583" t="s">
        <v>16333</v>
      </c>
      <c r="B2077" s="605" t="s">
        <v>16334</v>
      </c>
      <c r="C2077" s="606"/>
      <c r="D2077" s="607"/>
      <c r="E2077" s="607"/>
      <c r="F2077" s="607"/>
      <c r="G2077" s="582"/>
    </row>
    <row r="2078" spans="1:7" ht="30" x14ac:dyDescent="0.2">
      <c r="A2078" s="583" t="s">
        <v>16335</v>
      </c>
      <c r="B2078" s="605" t="s">
        <v>16336</v>
      </c>
      <c r="C2078" s="606" t="s">
        <v>12375</v>
      </c>
      <c r="D2078" s="607">
        <v>3629.01</v>
      </c>
      <c r="E2078" s="607">
        <v>76.05</v>
      </c>
      <c r="F2078" s="607">
        <v>3705.06</v>
      </c>
      <c r="G2078" s="584">
        <v>15</v>
      </c>
    </row>
    <row r="2079" spans="1:7" ht="30" x14ac:dyDescent="0.2">
      <c r="A2079" s="583" t="s">
        <v>16337</v>
      </c>
      <c r="B2079" s="605" t="s">
        <v>16338</v>
      </c>
      <c r="C2079" s="606" t="s">
        <v>12375</v>
      </c>
      <c r="D2079" s="607">
        <v>5662.38</v>
      </c>
      <c r="E2079" s="607">
        <v>76.05</v>
      </c>
      <c r="F2079" s="607">
        <v>5738.43</v>
      </c>
      <c r="G2079" s="584">
        <v>15</v>
      </c>
    </row>
    <row r="2080" spans="1:7" ht="30" x14ac:dyDescent="0.2">
      <c r="A2080" s="583" t="s">
        <v>16339</v>
      </c>
      <c r="B2080" s="605" t="s">
        <v>16340</v>
      </c>
      <c r="C2080" s="606" t="s">
        <v>12375</v>
      </c>
      <c r="D2080" s="607">
        <v>3013.96</v>
      </c>
      <c r="E2080" s="607">
        <v>76.05</v>
      </c>
      <c r="F2080" s="607">
        <v>3090.01</v>
      </c>
      <c r="G2080" s="584">
        <v>15</v>
      </c>
    </row>
    <row r="2081" spans="1:7" ht="15" x14ac:dyDescent="0.25">
      <c r="A2081" s="583" t="s">
        <v>16341</v>
      </c>
      <c r="B2081" s="605" t="s">
        <v>16342</v>
      </c>
      <c r="C2081" s="606"/>
      <c r="D2081" s="607"/>
      <c r="E2081" s="607"/>
      <c r="F2081" s="607"/>
      <c r="G2081" s="582"/>
    </row>
    <row r="2082" spans="1:7" ht="15" x14ac:dyDescent="0.2">
      <c r="A2082" s="583" t="s">
        <v>16343</v>
      </c>
      <c r="B2082" s="605" t="s">
        <v>16344</v>
      </c>
      <c r="C2082" s="606" t="s">
        <v>12375</v>
      </c>
      <c r="D2082" s="607">
        <v>284.92</v>
      </c>
      <c r="E2082" s="607">
        <v>76.05</v>
      </c>
      <c r="F2082" s="607">
        <v>360.97</v>
      </c>
      <c r="G2082" s="584">
        <v>15</v>
      </c>
    </row>
    <row r="2083" spans="1:7" ht="15" x14ac:dyDescent="0.2">
      <c r="A2083" s="583" t="s">
        <v>16345</v>
      </c>
      <c r="B2083" s="605" t="s">
        <v>16346</v>
      </c>
      <c r="C2083" s="606" t="s">
        <v>12375</v>
      </c>
      <c r="D2083" s="607">
        <v>240.79</v>
      </c>
      <c r="E2083" s="607">
        <v>76.05</v>
      </c>
      <c r="F2083" s="607">
        <v>316.83999999999997</v>
      </c>
      <c r="G2083" s="584">
        <v>15</v>
      </c>
    </row>
    <row r="2084" spans="1:7" ht="15" x14ac:dyDescent="0.2">
      <c r="A2084" s="583" t="s">
        <v>16347</v>
      </c>
      <c r="B2084" s="605" t="s">
        <v>16348</v>
      </c>
      <c r="C2084" s="606" t="s">
        <v>12375</v>
      </c>
      <c r="D2084" s="607">
        <v>386.43</v>
      </c>
      <c r="E2084" s="607">
        <v>76.05</v>
      </c>
      <c r="F2084" s="607">
        <v>462.48</v>
      </c>
      <c r="G2084" s="584">
        <v>15</v>
      </c>
    </row>
    <row r="2085" spans="1:7" ht="15" x14ac:dyDescent="0.2">
      <c r="A2085" s="583" t="s">
        <v>16349</v>
      </c>
      <c r="B2085" s="605" t="s">
        <v>16350</v>
      </c>
      <c r="C2085" s="606" t="s">
        <v>12375</v>
      </c>
      <c r="D2085" s="607">
        <v>154.18</v>
      </c>
      <c r="E2085" s="607">
        <v>76.05</v>
      </c>
      <c r="F2085" s="607">
        <v>230.23</v>
      </c>
      <c r="G2085" s="584">
        <v>15</v>
      </c>
    </row>
    <row r="2086" spans="1:7" ht="15" x14ac:dyDescent="0.25">
      <c r="A2086" s="583" t="s">
        <v>16351</v>
      </c>
      <c r="B2086" s="605" t="s">
        <v>16352</v>
      </c>
      <c r="C2086" s="606"/>
      <c r="D2086" s="607"/>
      <c r="E2086" s="607"/>
      <c r="F2086" s="607"/>
      <c r="G2086" s="582"/>
    </row>
    <row r="2087" spans="1:7" ht="15" x14ac:dyDescent="0.2">
      <c r="A2087" s="583" t="s">
        <v>16353</v>
      </c>
      <c r="B2087" s="605" t="s">
        <v>16354</v>
      </c>
      <c r="C2087" s="606" t="s">
        <v>12375</v>
      </c>
      <c r="D2087" s="607">
        <v>36.14</v>
      </c>
      <c r="E2087" s="607">
        <v>7.54</v>
      </c>
      <c r="F2087" s="607">
        <v>43.68</v>
      </c>
      <c r="G2087" s="584">
        <v>15</v>
      </c>
    </row>
    <row r="2088" spans="1:7" ht="30" x14ac:dyDescent="0.2">
      <c r="A2088" s="583" t="s">
        <v>16355</v>
      </c>
      <c r="B2088" s="605" t="s">
        <v>20295</v>
      </c>
      <c r="C2088" s="606" t="s">
        <v>12375</v>
      </c>
      <c r="D2088" s="607">
        <v>35.81</v>
      </c>
      <c r="E2088" s="607">
        <v>2.5099999999999998</v>
      </c>
      <c r="F2088" s="607">
        <v>38.32</v>
      </c>
      <c r="G2088" s="584">
        <v>15</v>
      </c>
    </row>
    <row r="2089" spans="1:7" ht="15" x14ac:dyDescent="0.2">
      <c r="A2089" s="583" t="s">
        <v>16356</v>
      </c>
      <c r="B2089" s="605" t="s">
        <v>16357</v>
      </c>
      <c r="C2089" s="606" t="s">
        <v>12375</v>
      </c>
      <c r="D2089" s="607">
        <v>30.16</v>
      </c>
      <c r="E2089" s="607">
        <v>7.54</v>
      </c>
      <c r="F2089" s="607">
        <v>37.700000000000003</v>
      </c>
      <c r="G2089" s="584">
        <v>15</v>
      </c>
    </row>
    <row r="2090" spans="1:7" ht="30" x14ac:dyDescent="0.2">
      <c r="A2090" s="583" t="s">
        <v>16358</v>
      </c>
      <c r="B2090" s="605" t="s">
        <v>16359</v>
      </c>
      <c r="C2090" s="606" t="s">
        <v>12375</v>
      </c>
      <c r="D2090" s="607"/>
      <c r="E2090" s="607">
        <v>25.12</v>
      </c>
      <c r="F2090" s="607">
        <v>25.12</v>
      </c>
      <c r="G2090" s="584">
        <v>15</v>
      </c>
    </row>
    <row r="2091" spans="1:7" ht="30" x14ac:dyDescent="0.2">
      <c r="A2091" s="583" t="s">
        <v>16360</v>
      </c>
      <c r="B2091" s="605" t="s">
        <v>16361</v>
      </c>
      <c r="C2091" s="606" t="s">
        <v>12427</v>
      </c>
      <c r="D2091" s="607"/>
      <c r="E2091" s="607">
        <v>35.340000000000003</v>
      </c>
      <c r="F2091" s="607">
        <v>35.340000000000003</v>
      </c>
      <c r="G2091" s="584">
        <v>15</v>
      </c>
    </row>
    <row r="2092" spans="1:7" ht="30" x14ac:dyDescent="0.2">
      <c r="A2092" s="583" t="s">
        <v>16362</v>
      </c>
      <c r="B2092" s="605" t="s">
        <v>16363</v>
      </c>
      <c r="C2092" s="606" t="s">
        <v>12427</v>
      </c>
      <c r="D2092" s="607"/>
      <c r="E2092" s="607">
        <v>70.680000000000007</v>
      </c>
      <c r="F2092" s="607">
        <v>70.680000000000007</v>
      </c>
      <c r="G2092" s="584">
        <v>15</v>
      </c>
    </row>
    <row r="2093" spans="1:7" ht="30" x14ac:dyDescent="0.2">
      <c r="A2093" s="583" t="s">
        <v>16364</v>
      </c>
      <c r="B2093" s="605" t="s">
        <v>16365</v>
      </c>
      <c r="C2093" s="606" t="s">
        <v>12375</v>
      </c>
      <c r="D2093" s="607">
        <v>1588.82</v>
      </c>
      <c r="E2093" s="607">
        <v>2.04</v>
      </c>
      <c r="F2093" s="607">
        <v>1590.86</v>
      </c>
      <c r="G2093" s="584">
        <v>15</v>
      </c>
    </row>
    <row r="2094" spans="1:7" ht="15" x14ac:dyDescent="0.2">
      <c r="A2094" s="583" t="s">
        <v>16366</v>
      </c>
      <c r="B2094" s="605" t="s">
        <v>16367</v>
      </c>
      <c r="C2094" s="606" t="s">
        <v>12375</v>
      </c>
      <c r="D2094" s="607">
        <v>129.08000000000001</v>
      </c>
      <c r="E2094" s="607">
        <v>5.1100000000000003</v>
      </c>
      <c r="F2094" s="607">
        <v>134.19</v>
      </c>
      <c r="G2094" s="584">
        <v>15</v>
      </c>
    </row>
    <row r="2095" spans="1:7" ht="15" x14ac:dyDescent="0.2">
      <c r="A2095" s="583" t="s">
        <v>16368</v>
      </c>
      <c r="B2095" s="605" t="s">
        <v>16369</v>
      </c>
      <c r="C2095" s="606" t="s">
        <v>12427</v>
      </c>
      <c r="D2095" s="607">
        <v>406.93</v>
      </c>
      <c r="E2095" s="607">
        <v>35.340000000000003</v>
      </c>
      <c r="F2095" s="607">
        <v>442.27</v>
      </c>
      <c r="G2095" s="584">
        <v>15</v>
      </c>
    </row>
    <row r="2096" spans="1:7" ht="30" x14ac:dyDescent="0.2">
      <c r="A2096" s="583" t="s">
        <v>16370</v>
      </c>
      <c r="B2096" s="605" t="s">
        <v>21420</v>
      </c>
      <c r="C2096" s="606" t="s">
        <v>12375</v>
      </c>
      <c r="D2096" s="607">
        <v>8868.57</v>
      </c>
      <c r="E2096" s="607">
        <v>56.54</v>
      </c>
      <c r="F2096" s="607">
        <v>8925.11</v>
      </c>
      <c r="G2096" s="584">
        <v>15</v>
      </c>
    </row>
    <row r="2097" spans="1:7" ht="30" x14ac:dyDescent="0.2">
      <c r="A2097" s="583" t="s">
        <v>16371</v>
      </c>
      <c r="B2097" s="605" t="s">
        <v>21421</v>
      </c>
      <c r="C2097" s="606" t="s">
        <v>12375</v>
      </c>
      <c r="D2097" s="607">
        <v>36938.730000000003</v>
      </c>
      <c r="E2097" s="607">
        <v>56.54</v>
      </c>
      <c r="F2097" s="607">
        <v>36995.269999999997</v>
      </c>
      <c r="G2097" s="584">
        <v>15</v>
      </c>
    </row>
    <row r="2098" spans="1:7" ht="15" x14ac:dyDescent="0.2">
      <c r="A2098" s="583" t="s">
        <v>16372</v>
      </c>
      <c r="B2098" s="605" t="s">
        <v>16373</v>
      </c>
      <c r="C2098" s="606" t="s">
        <v>12375</v>
      </c>
      <c r="D2098" s="607">
        <v>666.24</v>
      </c>
      <c r="E2098" s="607">
        <v>25.12</v>
      </c>
      <c r="F2098" s="607">
        <v>691.36</v>
      </c>
      <c r="G2098" s="584">
        <v>15</v>
      </c>
    </row>
    <row r="2099" spans="1:7" ht="15" x14ac:dyDescent="0.25">
      <c r="A2099" s="583" t="s">
        <v>16374</v>
      </c>
      <c r="B2099" s="605" t="s">
        <v>16375</v>
      </c>
      <c r="C2099" s="606"/>
      <c r="D2099" s="607"/>
      <c r="E2099" s="607"/>
      <c r="F2099" s="607"/>
      <c r="G2099" s="582"/>
    </row>
    <row r="2100" spans="1:7" ht="30" x14ac:dyDescent="0.2">
      <c r="A2100" s="583" t="s">
        <v>16376</v>
      </c>
      <c r="B2100" s="605" t="s">
        <v>16377</v>
      </c>
      <c r="C2100" s="606" t="s">
        <v>12375</v>
      </c>
      <c r="D2100" s="607">
        <v>1125.4000000000001</v>
      </c>
      <c r="E2100" s="607">
        <v>25.12</v>
      </c>
      <c r="F2100" s="607">
        <v>1150.52</v>
      </c>
      <c r="G2100" s="584">
        <v>15</v>
      </c>
    </row>
    <row r="2101" spans="1:7" ht="15" x14ac:dyDescent="0.25">
      <c r="A2101" s="583" t="s">
        <v>16378</v>
      </c>
      <c r="B2101" s="605" t="s">
        <v>16379</v>
      </c>
      <c r="C2101" s="606"/>
      <c r="D2101" s="607"/>
      <c r="E2101" s="607"/>
      <c r="F2101" s="607"/>
      <c r="G2101" s="582"/>
    </row>
    <row r="2102" spans="1:7" ht="15" x14ac:dyDescent="0.2">
      <c r="A2102" s="583" t="s">
        <v>16380</v>
      </c>
      <c r="B2102" s="605" t="s">
        <v>20174</v>
      </c>
      <c r="C2102" s="606" t="s">
        <v>12375</v>
      </c>
      <c r="D2102" s="607">
        <v>739.77</v>
      </c>
      <c r="E2102" s="607">
        <v>76.05</v>
      </c>
      <c r="F2102" s="607">
        <v>815.82</v>
      </c>
      <c r="G2102" s="584">
        <v>15</v>
      </c>
    </row>
    <row r="2103" spans="1:7" ht="15" x14ac:dyDescent="0.25">
      <c r="A2103" s="583" t="s">
        <v>16381</v>
      </c>
      <c r="B2103" s="605" t="s">
        <v>16382</v>
      </c>
      <c r="C2103" s="606"/>
      <c r="D2103" s="607"/>
      <c r="E2103" s="607"/>
      <c r="F2103" s="607"/>
      <c r="G2103" s="582"/>
    </row>
    <row r="2104" spans="1:7" ht="30" x14ac:dyDescent="0.2">
      <c r="A2104" s="583" t="s">
        <v>16383</v>
      </c>
      <c r="B2104" s="605" t="s">
        <v>20175</v>
      </c>
      <c r="C2104" s="606" t="s">
        <v>12375</v>
      </c>
      <c r="D2104" s="607">
        <v>46.36</v>
      </c>
      <c r="E2104" s="607">
        <v>28.48</v>
      </c>
      <c r="F2104" s="607">
        <v>74.84</v>
      </c>
      <c r="G2104" s="584">
        <v>15</v>
      </c>
    </row>
    <row r="2105" spans="1:7" ht="30" x14ac:dyDescent="0.2">
      <c r="A2105" s="583" t="s">
        <v>16384</v>
      </c>
      <c r="B2105" s="605" t="s">
        <v>20176</v>
      </c>
      <c r="C2105" s="606" t="s">
        <v>12375</v>
      </c>
      <c r="D2105" s="607">
        <v>134.07</v>
      </c>
      <c r="E2105" s="607">
        <v>28.48</v>
      </c>
      <c r="F2105" s="607">
        <v>162.55000000000001</v>
      </c>
      <c r="G2105" s="584">
        <v>15</v>
      </c>
    </row>
    <row r="2106" spans="1:7" ht="45" x14ac:dyDescent="0.2">
      <c r="A2106" s="583" t="s">
        <v>16385</v>
      </c>
      <c r="B2106" s="605" t="s">
        <v>21422</v>
      </c>
      <c r="C2106" s="606" t="s">
        <v>12375</v>
      </c>
      <c r="D2106" s="607">
        <v>521.45000000000005</v>
      </c>
      <c r="E2106" s="607">
        <v>31.6</v>
      </c>
      <c r="F2106" s="607">
        <v>553.04999999999995</v>
      </c>
      <c r="G2106" s="584">
        <v>15</v>
      </c>
    </row>
    <row r="2107" spans="1:7" ht="45" x14ac:dyDescent="0.2">
      <c r="A2107" s="583" t="s">
        <v>16386</v>
      </c>
      <c r="B2107" s="605" t="s">
        <v>16387</v>
      </c>
      <c r="C2107" s="606" t="s">
        <v>12375</v>
      </c>
      <c r="D2107" s="607">
        <v>7487.56</v>
      </c>
      <c r="E2107" s="607">
        <v>31.6</v>
      </c>
      <c r="F2107" s="607">
        <v>7519.16</v>
      </c>
      <c r="G2107" s="584">
        <v>15</v>
      </c>
    </row>
    <row r="2108" spans="1:7" ht="45" x14ac:dyDescent="0.2">
      <c r="A2108" s="583" t="s">
        <v>16388</v>
      </c>
      <c r="B2108" s="605" t="s">
        <v>16389</v>
      </c>
      <c r="C2108" s="606" t="s">
        <v>12375</v>
      </c>
      <c r="D2108" s="607">
        <v>2620.04</v>
      </c>
      <c r="E2108" s="607">
        <v>31.6</v>
      </c>
      <c r="F2108" s="607">
        <v>2651.64</v>
      </c>
      <c r="G2108" s="584">
        <v>15</v>
      </c>
    </row>
    <row r="2109" spans="1:7" ht="45" x14ac:dyDescent="0.2">
      <c r="A2109" s="583" t="s">
        <v>16390</v>
      </c>
      <c r="B2109" s="605" t="s">
        <v>21423</v>
      </c>
      <c r="C2109" s="606" t="s">
        <v>12375</v>
      </c>
      <c r="D2109" s="607">
        <v>854.22</v>
      </c>
      <c r="E2109" s="607">
        <v>31.6</v>
      </c>
      <c r="F2109" s="607">
        <v>885.82</v>
      </c>
      <c r="G2109" s="584">
        <v>15</v>
      </c>
    </row>
    <row r="2110" spans="1:7" ht="15" x14ac:dyDescent="0.25">
      <c r="A2110" s="583" t="s">
        <v>16391</v>
      </c>
      <c r="B2110" s="605" t="s">
        <v>16392</v>
      </c>
      <c r="C2110" s="606"/>
      <c r="D2110" s="607"/>
      <c r="E2110" s="607"/>
      <c r="F2110" s="607"/>
      <c r="G2110" s="582"/>
    </row>
    <row r="2111" spans="1:7" ht="30" x14ac:dyDescent="0.2">
      <c r="A2111" s="583" t="s">
        <v>16393</v>
      </c>
      <c r="B2111" s="605" t="s">
        <v>21424</v>
      </c>
      <c r="C2111" s="606" t="s">
        <v>12375</v>
      </c>
      <c r="D2111" s="607">
        <v>567.71</v>
      </c>
      <c r="E2111" s="607">
        <v>82.76</v>
      </c>
      <c r="F2111" s="607">
        <v>650.47</v>
      </c>
      <c r="G2111" s="584">
        <v>15</v>
      </c>
    </row>
    <row r="2112" spans="1:7" ht="30" x14ac:dyDescent="0.2">
      <c r="A2112" s="583" t="s">
        <v>16394</v>
      </c>
      <c r="B2112" s="605" t="s">
        <v>16395</v>
      </c>
      <c r="C2112" s="606" t="s">
        <v>12375</v>
      </c>
      <c r="D2112" s="607">
        <v>454.95</v>
      </c>
      <c r="E2112" s="607">
        <v>82.76</v>
      </c>
      <c r="F2112" s="607">
        <v>537.71</v>
      </c>
      <c r="G2112" s="584">
        <v>15</v>
      </c>
    </row>
    <row r="2113" spans="1:7" ht="30" x14ac:dyDescent="0.2">
      <c r="A2113" s="583" t="s">
        <v>16396</v>
      </c>
      <c r="B2113" s="605" t="s">
        <v>16397</v>
      </c>
      <c r="C2113" s="606" t="s">
        <v>12375</v>
      </c>
      <c r="D2113" s="607">
        <v>422.74</v>
      </c>
      <c r="E2113" s="607">
        <v>82.76</v>
      </c>
      <c r="F2113" s="607">
        <v>505.5</v>
      </c>
      <c r="G2113" s="584">
        <v>15</v>
      </c>
    </row>
    <row r="2114" spans="1:7" ht="45" x14ac:dyDescent="0.2">
      <c r="A2114" s="583" t="s">
        <v>16398</v>
      </c>
      <c r="B2114" s="605" t="s">
        <v>16399</v>
      </c>
      <c r="C2114" s="606" t="s">
        <v>12375</v>
      </c>
      <c r="D2114" s="607">
        <v>381.55</v>
      </c>
      <c r="E2114" s="607">
        <v>82.76</v>
      </c>
      <c r="F2114" s="607">
        <v>464.31</v>
      </c>
      <c r="G2114" s="584">
        <v>15</v>
      </c>
    </row>
    <row r="2115" spans="1:7" ht="45" x14ac:dyDescent="0.2">
      <c r="A2115" s="583" t="s">
        <v>16400</v>
      </c>
      <c r="B2115" s="605" t="s">
        <v>16401</v>
      </c>
      <c r="C2115" s="606" t="s">
        <v>12375</v>
      </c>
      <c r="D2115" s="607">
        <v>865.97</v>
      </c>
      <c r="E2115" s="607">
        <v>82.76</v>
      </c>
      <c r="F2115" s="607">
        <v>948.73</v>
      </c>
      <c r="G2115" s="584">
        <v>15</v>
      </c>
    </row>
    <row r="2116" spans="1:7" ht="30" x14ac:dyDescent="0.2">
      <c r="A2116" s="583" t="s">
        <v>16402</v>
      </c>
      <c r="B2116" s="605" t="s">
        <v>16403</v>
      </c>
      <c r="C2116" s="606" t="s">
        <v>12676</v>
      </c>
      <c r="D2116" s="607">
        <v>56830.06</v>
      </c>
      <c r="E2116" s="607">
        <v>115.27</v>
      </c>
      <c r="F2116" s="607">
        <v>56945.33</v>
      </c>
      <c r="G2116" s="584">
        <v>15</v>
      </c>
    </row>
    <row r="2117" spans="1:7" ht="30" x14ac:dyDescent="0.25">
      <c r="A2117" s="583" t="s">
        <v>16404</v>
      </c>
      <c r="B2117" s="605" t="s">
        <v>16405</v>
      </c>
      <c r="C2117" s="606"/>
      <c r="D2117" s="607"/>
      <c r="E2117" s="607"/>
      <c r="F2117" s="607"/>
      <c r="G2117" s="582"/>
    </row>
    <row r="2118" spans="1:7" ht="15" x14ac:dyDescent="0.25">
      <c r="A2118" s="583" t="s">
        <v>16406</v>
      </c>
      <c r="B2118" s="605" t="s">
        <v>16407</v>
      </c>
      <c r="C2118" s="606"/>
      <c r="D2118" s="607"/>
      <c r="E2118" s="607"/>
      <c r="F2118" s="607"/>
      <c r="G2118" s="582"/>
    </row>
    <row r="2119" spans="1:7" ht="15" x14ac:dyDescent="0.2">
      <c r="A2119" s="583" t="s">
        <v>16408</v>
      </c>
      <c r="B2119" s="605" t="s">
        <v>16409</v>
      </c>
      <c r="C2119" s="606" t="s">
        <v>12483</v>
      </c>
      <c r="D2119" s="607">
        <v>8.24</v>
      </c>
      <c r="E2119" s="607">
        <v>25.12</v>
      </c>
      <c r="F2119" s="607">
        <v>33.36</v>
      </c>
      <c r="G2119" s="584">
        <v>15</v>
      </c>
    </row>
    <row r="2120" spans="1:7" ht="15" x14ac:dyDescent="0.2">
      <c r="A2120" s="583" t="s">
        <v>16410</v>
      </c>
      <c r="B2120" s="605" t="s">
        <v>16411</v>
      </c>
      <c r="C2120" s="606" t="s">
        <v>12483</v>
      </c>
      <c r="D2120" s="607">
        <v>11.31</v>
      </c>
      <c r="E2120" s="607">
        <v>30.14</v>
      </c>
      <c r="F2120" s="607">
        <v>41.45</v>
      </c>
      <c r="G2120" s="584">
        <v>15</v>
      </c>
    </row>
    <row r="2121" spans="1:7" ht="15" x14ac:dyDescent="0.2">
      <c r="A2121" s="583" t="s">
        <v>16412</v>
      </c>
      <c r="B2121" s="605" t="s">
        <v>16413</v>
      </c>
      <c r="C2121" s="606" t="s">
        <v>12483</v>
      </c>
      <c r="D2121" s="607">
        <v>18.079999999999998</v>
      </c>
      <c r="E2121" s="607">
        <v>35.17</v>
      </c>
      <c r="F2121" s="607">
        <v>53.25</v>
      </c>
      <c r="G2121" s="584">
        <v>15</v>
      </c>
    </row>
    <row r="2122" spans="1:7" ht="15" x14ac:dyDescent="0.2">
      <c r="A2122" s="583" t="s">
        <v>16414</v>
      </c>
      <c r="B2122" s="605" t="s">
        <v>16415</v>
      </c>
      <c r="C2122" s="606" t="s">
        <v>12483</v>
      </c>
      <c r="D2122" s="607">
        <v>19.440000000000001</v>
      </c>
      <c r="E2122" s="607">
        <v>40.19</v>
      </c>
      <c r="F2122" s="607">
        <v>59.63</v>
      </c>
      <c r="G2122" s="584">
        <v>15</v>
      </c>
    </row>
    <row r="2123" spans="1:7" ht="15" x14ac:dyDescent="0.2">
      <c r="A2123" s="583" t="s">
        <v>16416</v>
      </c>
      <c r="B2123" s="605" t="s">
        <v>16417</v>
      </c>
      <c r="C2123" s="606" t="s">
        <v>12483</v>
      </c>
      <c r="D2123" s="607">
        <v>24.05</v>
      </c>
      <c r="E2123" s="607">
        <v>45.22</v>
      </c>
      <c r="F2123" s="607">
        <v>69.27</v>
      </c>
      <c r="G2123" s="584">
        <v>15</v>
      </c>
    </row>
    <row r="2124" spans="1:7" ht="15" x14ac:dyDescent="0.2">
      <c r="A2124" s="583" t="s">
        <v>16418</v>
      </c>
      <c r="B2124" s="605" t="s">
        <v>16419</v>
      </c>
      <c r="C2124" s="606" t="s">
        <v>12483</v>
      </c>
      <c r="D2124" s="607">
        <v>48.37</v>
      </c>
      <c r="E2124" s="607">
        <v>50.24</v>
      </c>
      <c r="F2124" s="607">
        <v>98.61</v>
      </c>
      <c r="G2124" s="584">
        <v>15</v>
      </c>
    </row>
    <row r="2125" spans="1:7" ht="15" x14ac:dyDescent="0.2">
      <c r="A2125" s="583" t="s">
        <v>16420</v>
      </c>
      <c r="B2125" s="605" t="s">
        <v>16421</v>
      </c>
      <c r="C2125" s="606" t="s">
        <v>12483</v>
      </c>
      <c r="D2125" s="607">
        <v>56.63</v>
      </c>
      <c r="E2125" s="607">
        <v>55.26</v>
      </c>
      <c r="F2125" s="607">
        <v>111.89</v>
      </c>
      <c r="G2125" s="584">
        <v>15</v>
      </c>
    </row>
    <row r="2126" spans="1:7" ht="15" x14ac:dyDescent="0.2">
      <c r="A2126" s="583" t="s">
        <v>16422</v>
      </c>
      <c r="B2126" s="605" t="s">
        <v>16423</v>
      </c>
      <c r="C2126" s="606" t="s">
        <v>12483</v>
      </c>
      <c r="D2126" s="607">
        <v>85.04</v>
      </c>
      <c r="E2126" s="607">
        <v>65.31</v>
      </c>
      <c r="F2126" s="607">
        <v>150.35</v>
      </c>
      <c r="G2126" s="584">
        <v>15</v>
      </c>
    </row>
    <row r="2127" spans="1:7" ht="30" x14ac:dyDescent="0.25">
      <c r="A2127" s="583" t="s">
        <v>16424</v>
      </c>
      <c r="B2127" s="605" t="s">
        <v>16425</v>
      </c>
      <c r="C2127" s="606"/>
      <c r="D2127" s="607"/>
      <c r="E2127" s="607"/>
      <c r="F2127" s="607"/>
      <c r="G2127" s="582"/>
    </row>
    <row r="2128" spans="1:7" ht="30" x14ac:dyDescent="0.2">
      <c r="A2128" s="583" t="s">
        <v>16426</v>
      </c>
      <c r="B2128" s="605" t="s">
        <v>16427</v>
      </c>
      <c r="C2128" s="606" t="s">
        <v>12483</v>
      </c>
      <c r="D2128" s="607">
        <v>14.04</v>
      </c>
      <c r="E2128" s="607">
        <v>30.14</v>
      </c>
      <c r="F2128" s="607">
        <v>44.18</v>
      </c>
      <c r="G2128" s="584">
        <v>15</v>
      </c>
    </row>
    <row r="2129" spans="1:7" ht="15" x14ac:dyDescent="0.2">
      <c r="A2129" s="583" t="s">
        <v>16428</v>
      </c>
      <c r="B2129" s="605" t="s">
        <v>16429</v>
      </c>
      <c r="C2129" s="606" t="s">
        <v>12483</v>
      </c>
      <c r="D2129" s="607">
        <v>18.079999999999998</v>
      </c>
      <c r="E2129" s="607">
        <v>35.17</v>
      </c>
      <c r="F2129" s="607">
        <v>53.25</v>
      </c>
      <c r="G2129" s="584">
        <v>15</v>
      </c>
    </row>
    <row r="2130" spans="1:7" ht="30" x14ac:dyDescent="0.2">
      <c r="A2130" s="583" t="s">
        <v>16430</v>
      </c>
      <c r="B2130" s="605" t="s">
        <v>16431</v>
      </c>
      <c r="C2130" s="606" t="s">
        <v>12483</v>
      </c>
      <c r="D2130" s="607">
        <v>30.01</v>
      </c>
      <c r="E2130" s="607">
        <v>40.19</v>
      </c>
      <c r="F2130" s="607">
        <v>70.2</v>
      </c>
      <c r="G2130" s="584">
        <v>15</v>
      </c>
    </row>
    <row r="2131" spans="1:7" ht="30" x14ac:dyDescent="0.2">
      <c r="A2131" s="583" t="s">
        <v>16432</v>
      </c>
      <c r="B2131" s="605" t="s">
        <v>16433</v>
      </c>
      <c r="C2131" s="606" t="s">
        <v>12483</v>
      </c>
      <c r="D2131" s="607">
        <v>34.299999999999997</v>
      </c>
      <c r="E2131" s="607">
        <v>45.22</v>
      </c>
      <c r="F2131" s="607">
        <v>79.52</v>
      </c>
      <c r="G2131" s="584">
        <v>15</v>
      </c>
    </row>
    <row r="2132" spans="1:7" ht="15" x14ac:dyDescent="0.2">
      <c r="A2132" s="583" t="s">
        <v>16434</v>
      </c>
      <c r="B2132" s="605" t="s">
        <v>16435</v>
      </c>
      <c r="C2132" s="606" t="s">
        <v>12483</v>
      </c>
      <c r="D2132" s="607">
        <v>43.29</v>
      </c>
      <c r="E2132" s="607">
        <v>50.24</v>
      </c>
      <c r="F2132" s="607">
        <v>93.53</v>
      </c>
      <c r="G2132" s="584">
        <v>15</v>
      </c>
    </row>
    <row r="2133" spans="1:7" ht="30" x14ac:dyDescent="0.2">
      <c r="A2133" s="583" t="s">
        <v>16436</v>
      </c>
      <c r="B2133" s="605" t="s">
        <v>16437</v>
      </c>
      <c r="C2133" s="606" t="s">
        <v>12483</v>
      </c>
      <c r="D2133" s="607">
        <v>61.49</v>
      </c>
      <c r="E2133" s="607">
        <v>60.29</v>
      </c>
      <c r="F2133" s="607">
        <v>121.78</v>
      </c>
      <c r="G2133" s="584">
        <v>15</v>
      </c>
    </row>
    <row r="2134" spans="1:7" ht="15" x14ac:dyDescent="0.2">
      <c r="A2134" s="583" t="s">
        <v>16438</v>
      </c>
      <c r="B2134" s="605" t="s">
        <v>16439</v>
      </c>
      <c r="C2134" s="606" t="s">
        <v>12483</v>
      </c>
      <c r="D2134" s="607">
        <v>70.540000000000006</v>
      </c>
      <c r="E2134" s="607">
        <v>75.36</v>
      </c>
      <c r="F2134" s="607">
        <v>145.9</v>
      </c>
      <c r="G2134" s="584">
        <v>15</v>
      </c>
    </row>
    <row r="2135" spans="1:7" ht="15" x14ac:dyDescent="0.2">
      <c r="A2135" s="583" t="s">
        <v>16440</v>
      </c>
      <c r="B2135" s="605" t="s">
        <v>16441</v>
      </c>
      <c r="C2135" s="606" t="s">
        <v>12483</v>
      </c>
      <c r="D2135" s="607">
        <v>86.3</v>
      </c>
      <c r="E2135" s="607">
        <v>90.43</v>
      </c>
      <c r="F2135" s="607">
        <v>176.73</v>
      </c>
      <c r="G2135" s="584">
        <v>15</v>
      </c>
    </row>
    <row r="2136" spans="1:7" ht="30" x14ac:dyDescent="0.25">
      <c r="A2136" s="583" t="s">
        <v>16442</v>
      </c>
      <c r="B2136" s="605" t="s">
        <v>16443</v>
      </c>
      <c r="C2136" s="606"/>
      <c r="D2136" s="607"/>
      <c r="E2136" s="607"/>
      <c r="F2136" s="607"/>
      <c r="G2136" s="582"/>
    </row>
    <row r="2137" spans="1:7" ht="30" x14ac:dyDescent="0.2">
      <c r="A2137" s="583" t="s">
        <v>16444</v>
      </c>
      <c r="B2137" s="605" t="s">
        <v>16445</v>
      </c>
      <c r="C2137" s="606" t="s">
        <v>12483</v>
      </c>
      <c r="D2137" s="607">
        <v>18.93</v>
      </c>
      <c r="E2137" s="607">
        <v>30.14</v>
      </c>
      <c r="F2137" s="607">
        <v>49.07</v>
      </c>
      <c r="G2137" s="584">
        <v>15</v>
      </c>
    </row>
    <row r="2138" spans="1:7" ht="30" x14ac:dyDescent="0.2">
      <c r="A2138" s="583" t="s">
        <v>16446</v>
      </c>
      <c r="B2138" s="605" t="s">
        <v>16447</v>
      </c>
      <c r="C2138" s="606" t="s">
        <v>12483</v>
      </c>
      <c r="D2138" s="607">
        <v>24.14</v>
      </c>
      <c r="E2138" s="607">
        <v>35.17</v>
      </c>
      <c r="F2138" s="607">
        <v>59.31</v>
      </c>
      <c r="G2138" s="584">
        <v>15</v>
      </c>
    </row>
    <row r="2139" spans="1:7" ht="30" x14ac:dyDescent="0.2">
      <c r="A2139" s="583" t="s">
        <v>16448</v>
      </c>
      <c r="B2139" s="605" t="s">
        <v>16449</v>
      </c>
      <c r="C2139" s="606" t="s">
        <v>12483</v>
      </c>
      <c r="D2139" s="607">
        <v>38.83</v>
      </c>
      <c r="E2139" s="607">
        <v>40.19</v>
      </c>
      <c r="F2139" s="607">
        <v>79.02</v>
      </c>
      <c r="G2139" s="584">
        <v>15</v>
      </c>
    </row>
    <row r="2140" spans="1:7" ht="30" x14ac:dyDescent="0.2">
      <c r="A2140" s="583" t="s">
        <v>16450</v>
      </c>
      <c r="B2140" s="605" t="s">
        <v>16451</v>
      </c>
      <c r="C2140" s="606" t="s">
        <v>12483</v>
      </c>
      <c r="D2140" s="607">
        <v>45.35</v>
      </c>
      <c r="E2140" s="607">
        <v>45.22</v>
      </c>
      <c r="F2140" s="607">
        <v>90.57</v>
      </c>
      <c r="G2140" s="584">
        <v>15</v>
      </c>
    </row>
    <row r="2141" spans="1:7" ht="30" x14ac:dyDescent="0.2">
      <c r="A2141" s="583" t="s">
        <v>16452</v>
      </c>
      <c r="B2141" s="605" t="s">
        <v>16453</v>
      </c>
      <c r="C2141" s="606" t="s">
        <v>12483</v>
      </c>
      <c r="D2141" s="607">
        <v>57.52</v>
      </c>
      <c r="E2141" s="607">
        <v>50.24</v>
      </c>
      <c r="F2141" s="607">
        <v>107.76</v>
      </c>
      <c r="G2141" s="584">
        <v>15</v>
      </c>
    </row>
    <row r="2142" spans="1:7" ht="30" x14ac:dyDescent="0.2">
      <c r="A2142" s="583" t="s">
        <v>16454</v>
      </c>
      <c r="B2142" s="605" t="s">
        <v>16455</v>
      </c>
      <c r="C2142" s="606" t="s">
        <v>12483</v>
      </c>
      <c r="D2142" s="607">
        <v>87.21</v>
      </c>
      <c r="E2142" s="607">
        <v>60.29</v>
      </c>
      <c r="F2142" s="607">
        <v>147.5</v>
      </c>
      <c r="G2142" s="584">
        <v>15</v>
      </c>
    </row>
    <row r="2143" spans="1:7" ht="30" x14ac:dyDescent="0.2">
      <c r="A2143" s="583" t="s">
        <v>16456</v>
      </c>
      <c r="B2143" s="605" t="s">
        <v>16457</v>
      </c>
      <c r="C2143" s="606" t="s">
        <v>12483</v>
      </c>
      <c r="D2143" s="607">
        <v>93.17</v>
      </c>
      <c r="E2143" s="607">
        <v>75.36</v>
      </c>
      <c r="F2143" s="607">
        <v>168.53</v>
      </c>
      <c r="G2143" s="584">
        <v>15</v>
      </c>
    </row>
    <row r="2144" spans="1:7" ht="30" x14ac:dyDescent="0.2">
      <c r="A2144" s="583" t="s">
        <v>16458</v>
      </c>
      <c r="B2144" s="605" t="s">
        <v>16459</v>
      </c>
      <c r="C2144" s="606" t="s">
        <v>12483</v>
      </c>
      <c r="D2144" s="607">
        <v>129.6</v>
      </c>
      <c r="E2144" s="607">
        <v>90.43</v>
      </c>
      <c r="F2144" s="607">
        <v>220.03</v>
      </c>
      <c r="G2144" s="584">
        <v>15</v>
      </c>
    </row>
    <row r="2145" spans="1:7" ht="30" x14ac:dyDescent="0.25">
      <c r="A2145" s="583" t="s">
        <v>16460</v>
      </c>
      <c r="B2145" s="605" t="s">
        <v>16461</v>
      </c>
      <c r="C2145" s="606"/>
      <c r="D2145" s="607"/>
      <c r="E2145" s="607"/>
      <c r="F2145" s="607"/>
      <c r="G2145" s="582"/>
    </row>
    <row r="2146" spans="1:7" ht="30" x14ac:dyDescent="0.2">
      <c r="A2146" s="583" t="s">
        <v>16462</v>
      </c>
      <c r="B2146" s="605" t="s">
        <v>16463</v>
      </c>
      <c r="C2146" s="606" t="s">
        <v>12483</v>
      </c>
      <c r="D2146" s="607">
        <v>17.3</v>
      </c>
      <c r="E2146" s="607">
        <v>25.12</v>
      </c>
      <c r="F2146" s="607">
        <v>42.42</v>
      </c>
      <c r="G2146" s="584">
        <v>15</v>
      </c>
    </row>
    <row r="2147" spans="1:7" ht="30" x14ac:dyDescent="0.2">
      <c r="A2147" s="583" t="s">
        <v>16464</v>
      </c>
      <c r="B2147" s="605" t="s">
        <v>16465</v>
      </c>
      <c r="C2147" s="606" t="s">
        <v>12483</v>
      </c>
      <c r="D2147" s="607">
        <v>22.51</v>
      </c>
      <c r="E2147" s="607">
        <v>30.14</v>
      </c>
      <c r="F2147" s="607">
        <v>52.65</v>
      </c>
      <c r="G2147" s="584">
        <v>15</v>
      </c>
    </row>
    <row r="2148" spans="1:7" ht="30" x14ac:dyDescent="0.2">
      <c r="A2148" s="583" t="s">
        <v>16466</v>
      </c>
      <c r="B2148" s="605" t="s">
        <v>16467</v>
      </c>
      <c r="C2148" s="606" t="s">
        <v>12483</v>
      </c>
      <c r="D2148" s="607">
        <v>29.72</v>
      </c>
      <c r="E2148" s="607">
        <v>35.17</v>
      </c>
      <c r="F2148" s="607">
        <v>64.89</v>
      </c>
      <c r="G2148" s="584">
        <v>15</v>
      </c>
    </row>
    <row r="2149" spans="1:7" ht="30" x14ac:dyDescent="0.2">
      <c r="A2149" s="583" t="s">
        <v>16468</v>
      </c>
      <c r="B2149" s="605" t="s">
        <v>16469</v>
      </c>
      <c r="C2149" s="606" t="s">
        <v>12483</v>
      </c>
      <c r="D2149" s="607">
        <v>40.76</v>
      </c>
      <c r="E2149" s="607">
        <v>40.19</v>
      </c>
      <c r="F2149" s="607">
        <v>80.95</v>
      </c>
      <c r="G2149" s="584">
        <v>15</v>
      </c>
    </row>
    <row r="2150" spans="1:7" ht="30" x14ac:dyDescent="0.2">
      <c r="A2150" s="583" t="s">
        <v>16470</v>
      </c>
      <c r="B2150" s="605" t="s">
        <v>16471</v>
      </c>
      <c r="C2150" s="606" t="s">
        <v>12483</v>
      </c>
      <c r="D2150" s="607">
        <v>49.71</v>
      </c>
      <c r="E2150" s="607">
        <v>45.22</v>
      </c>
      <c r="F2150" s="607">
        <v>94.93</v>
      </c>
      <c r="G2150" s="584">
        <v>15</v>
      </c>
    </row>
    <row r="2151" spans="1:7" ht="30" x14ac:dyDescent="0.2">
      <c r="A2151" s="583" t="s">
        <v>16472</v>
      </c>
      <c r="B2151" s="605" t="s">
        <v>16473</v>
      </c>
      <c r="C2151" s="606" t="s">
        <v>12483</v>
      </c>
      <c r="D2151" s="607">
        <v>63.11</v>
      </c>
      <c r="E2151" s="607">
        <v>50.24</v>
      </c>
      <c r="F2151" s="607">
        <v>113.35</v>
      </c>
      <c r="G2151" s="584">
        <v>15</v>
      </c>
    </row>
    <row r="2152" spans="1:7" ht="30" x14ac:dyDescent="0.2">
      <c r="A2152" s="583" t="s">
        <v>16474</v>
      </c>
      <c r="B2152" s="605" t="s">
        <v>16475</v>
      </c>
      <c r="C2152" s="606" t="s">
        <v>12483</v>
      </c>
      <c r="D2152" s="607">
        <v>95.27</v>
      </c>
      <c r="E2152" s="607">
        <v>60.29</v>
      </c>
      <c r="F2152" s="607">
        <v>155.56</v>
      </c>
      <c r="G2152" s="584">
        <v>15</v>
      </c>
    </row>
    <row r="2153" spans="1:7" ht="30" x14ac:dyDescent="0.2">
      <c r="A2153" s="583" t="s">
        <v>16476</v>
      </c>
      <c r="B2153" s="605" t="s">
        <v>16477</v>
      </c>
      <c r="C2153" s="606" t="s">
        <v>12483</v>
      </c>
      <c r="D2153" s="607">
        <v>115.67</v>
      </c>
      <c r="E2153" s="607">
        <v>75.36</v>
      </c>
      <c r="F2153" s="607">
        <v>191.03</v>
      </c>
      <c r="G2153" s="584">
        <v>15</v>
      </c>
    </row>
    <row r="2154" spans="1:7" ht="30" x14ac:dyDescent="0.2">
      <c r="A2154" s="583" t="s">
        <v>16478</v>
      </c>
      <c r="B2154" s="605" t="s">
        <v>16479</v>
      </c>
      <c r="C2154" s="606" t="s">
        <v>12483</v>
      </c>
      <c r="D2154" s="607">
        <v>165.89</v>
      </c>
      <c r="E2154" s="607">
        <v>90.43</v>
      </c>
      <c r="F2154" s="607">
        <v>256.32</v>
      </c>
      <c r="G2154" s="584">
        <v>15</v>
      </c>
    </row>
    <row r="2155" spans="1:7" ht="15" x14ac:dyDescent="0.25">
      <c r="A2155" s="583" t="s">
        <v>16480</v>
      </c>
      <c r="B2155" s="605" t="s">
        <v>16481</v>
      </c>
      <c r="C2155" s="606"/>
      <c r="D2155" s="607"/>
      <c r="E2155" s="607"/>
      <c r="F2155" s="607"/>
      <c r="G2155" s="582"/>
    </row>
    <row r="2156" spans="1:7" ht="15" x14ac:dyDescent="0.2">
      <c r="A2156" s="583" t="s">
        <v>16482</v>
      </c>
      <c r="B2156" s="605" t="s">
        <v>16483</v>
      </c>
      <c r="C2156" s="606" t="s">
        <v>12676</v>
      </c>
      <c r="D2156" s="607">
        <v>6.9</v>
      </c>
      <c r="E2156" s="607">
        <v>12.56</v>
      </c>
      <c r="F2156" s="607">
        <v>19.46</v>
      </c>
      <c r="G2156" s="584">
        <v>15</v>
      </c>
    </row>
    <row r="2157" spans="1:7" ht="15" x14ac:dyDescent="0.2">
      <c r="A2157" s="583" t="s">
        <v>16484</v>
      </c>
      <c r="B2157" s="605" t="s">
        <v>16485</v>
      </c>
      <c r="C2157" s="606" t="s">
        <v>12483</v>
      </c>
      <c r="D2157" s="607">
        <v>7.31</v>
      </c>
      <c r="E2157" s="607">
        <v>2.5099999999999998</v>
      </c>
      <c r="F2157" s="607">
        <v>9.82</v>
      </c>
      <c r="G2157" s="584">
        <v>15</v>
      </c>
    </row>
    <row r="2158" spans="1:7" ht="15" x14ac:dyDescent="0.2">
      <c r="A2158" s="583" t="s">
        <v>16486</v>
      </c>
      <c r="B2158" s="605" t="s">
        <v>16487</v>
      </c>
      <c r="C2158" s="606" t="s">
        <v>12375</v>
      </c>
      <c r="D2158" s="607">
        <v>0.63</v>
      </c>
      <c r="E2158" s="607">
        <v>7.54</v>
      </c>
      <c r="F2158" s="607">
        <v>8.17</v>
      </c>
      <c r="G2158" s="584">
        <v>15</v>
      </c>
    </row>
    <row r="2159" spans="1:7" ht="15" x14ac:dyDescent="0.2">
      <c r="A2159" s="583" t="s">
        <v>16488</v>
      </c>
      <c r="B2159" s="605" t="s">
        <v>16489</v>
      </c>
      <c r="C2159" s="606" t="s">
        <v>12375</v>
      </c>
      <c r="D2159" s="607">
        <v>1.83</v>
      </c>
      <c r="E2159" s="607">
        <v>9.0299999999999994</v>
      </c>
      <c r="F2159" s="607">
        <v>10.86</v>
      </c>
      <c r="G2159" s="584">
        <v>15</v>
      </c>
    </row>
    <row r="2160" spans="1:7" ht="15" x14ac:dyDescent="0.2">
      <c r="A2160" s="583" t="s">
        <v>16490</v>
      </c>
      <c r="B2160" s="605" t="s">
        <v>16491</v>
      </c>
      <c r="C2160" s="606" t="s">
        <v>12375</v>
      </c>
      <c r="D2160" s="607">
        <v>1.85</v>
      </c>
      <c r="E2160" s="607">
        <v>9.0299999999999994</v>
      </c>
      <c r="F2160" s="607">
        <v>10.88</v>
      </c>
      <c r="G2160" s="584">
        <v>15</v>
      </c>
    </row>
    <row r="2161" spans="1:7" ht="15" x14ac:dyDescent="0.2">
      <c r="A2161" s="583" t="s">
        <v>16492</v>
      </c>
      <c r="B2161" s="605" t="s">
        <v>16493</v>
      </c>
      <c r="C2161" s="606" t="s">
        <v>12375</v>
      </c>
      <c r="D2161" s="607">
        <v>2.23</v>
      </c>
      <c r="E2161" s="607">
        <v>7.54</v>
      </c>
      <c r="F2161" s="607">
        <v>9.77</v>
      </c>
      <c r="G2161" s="584">
        <v>15</v>
      </c>
    </row>
    <row r="2162" spans="1:7" ht="15" x14ac:dyDescent="0.2">
      <c r="A2162" s="583" t="s">
        <v>16494</v>
      </c>
      <c r="B2162" s="605" t="s">
        <v>16495</v>
      </c>
      <c r="C2162" s="606" t="s">
        <v>12483</v>
      </c>
      <c r="D2162" s="607">
        <v>8.98</v>
      </c>
      <c r="E2162" s="607">
        <v>15.07</v>
      </c>
      <c r="F2162" s="607">
        <v>24.05</v>
      </c>
      <c r="G2162" s="584">
        <v>15</v>
      </c>
    </row>
    <row r="2163" spans="1:7" ht="15" x14ac:dyDescent="0.2">
      <c r="A2163" s="583" t="s">
        <v>16496</v>
      </c>
      <c r="B2163" s="605" t="s">
        <v>16497</v>
      </c>
      <c r="C2163" s="606" t="s">
        <v>12483</v>
      </c>
      <c r="D2163" s="607">
        <v>9.02</v>
      </c>
      <c r="E2163" s="607">
        <v>7.07</v>
      </c>
      <c r="F2163" s="607">
        <v>16.09</v>
      </c>
      <c r="G2163" s="584">
        <v>15</v>
      </c>
    </row>
    <row r="2164" spans="1:7" ht="15" x14ac:dyDescent="0.2">
      <c r="A2164" s="583" t="s">
        <v>16498</v>
      </c>
      <c r="B2164" s="605" t="s">
        <v>16499</v>
      </c>
      <c r="C2164" s="606" t="s">
        <v>12483</v>
      </c>
      <c r="D2164" s="607">
        <v>4.22</v>
      </c>
      <c r="E2164" s="607">
        <v>7.07</v>
      </c>
      <c r="F2164" s="607">
        <v>11.29</v>
      </c>
      <c r="G2164" s="584">
        <v>15</v>
      </c>
    </row>
    <row r="2165" spans="1:7" ht="30" x14ac:dyDescent="0.2">
      <c r="A2165" s="583" t="s">
        <v>16500</v>
      </c>
      <c r="B2165" s="605" t="s">
        <v>16501</v>
      </c>
      <c r="C2165" s="606" t="s">
        <v>12483</v>
      </c>
      <c r="D2165" s="607">
        <v>7.92</v>
      </c>
      <c r="E2165" s="607">
        <v>7.07</v>
      </c>
      <c r="F2165" s="607">
        <v>14.99</v>
      </c>
      <c r="G2165" s="584">
        <v>15</v>
      </c>
    </row>
    <row r="2166" spans="1:7" ht="30" x14ac:dyDescent="0.2">
      <c r="A2166" s="583" t="s">
        <v>16502</v>
      </c>
      <c r="B2166" s="605" t="s">
        <v>16503</v>
      </c>
      <c r="C2166" s="606" t="s">
        <v>12483</v>
      </c>
      <c r="D2166" s="607">
        <v>32.479999999999997</v>
      </c>
      <c r="E2166" s="607">
        <v>12.56</v>
      </c>
      <c r="F2166" s="607">
        <v>45.04</v>
      </c>
      <c r="G2166" s="584">
        <v>15</v>
      </c>
    </row>
    <row r="2167" spans="1:7" ht="30" x14ac:dyDescent="0.2">
      <c r="A2167" s="583" t="s">
        <v>16504</v>
      </c>
      <c r="B2167" s="605" t="s">
        <v>16505</v>
      </c>
      <c r="C2167" s="606" t="s">
        <v>12483</v>
      </c>
      <c r="D2167" s="607">
        <v>66.91</v>
      </c>
      <c r="E2167" s="607">
        <v>12.56</v>
      </c>
      <c r="F2167" s="607">
        <v>79.47</v>
      </c>
      <c r="G2167" s="584">
        <v>15</v>
      </c>
    </row>
    <row r="2168" spans="1:7" ht="15" x14ac:dyDescent="0.2">
      <c r="A2168" s="583" t="s">
        <v>16506</v>
      </c>
      <c r="B2168" s="605" t="s">
        <v>16507</v>
      </c>
      <c r="C2168" s="606" t="s">
        <v>12483</v>
      </c>
      <c r="D2168" s="607">
        <v>35.71</v>
      </c>
      <c r="E2168" s="607">
        <v>12.56</v>
      </c>
      <c r="F2168" s="607">
        <v>48.27</v>
      </c>
      <c r="G2168" s="584">
        <v>15</v>
      </c>
    </row>
    <row r="2169" spans="1:7" ht="30" x14ac:dyDescent="0.2">
      <c r="A2169" s="583" t="s">
        <v>16508</v>
      </c>
      <c r="B2169" s="605" t="s">
        <v>16509</v>
      </c>
      <c r="C2169" s="606" t="s">
        <v>12483</v>
      </c>
      <c r="D2169" s="607">
        <v>58.27</v>
      </c>
      <c r="E2169" s="607">
        <v>15.07</v>
      </c>
      <c r="F2169" s="607">
        <v>73.34</v>
      </c>
      <c r="G2169" s="584">
        <v>15</v>
      </c>
    </row>
    <row r="2170" spans="1:7" ht="30" x14ac:dyDescent="0.2">
      <c r="A2170" s="583" t="s">
        <v>16510</v>
      </c>
      <c r="B2170" s="605" t="s">
        <v>16511</v>
      </c>
      <c r="C2170" s="606" t="s">
        <v>12483</v>
      </c>
      <c r="D2170" s="607">
        <v>93.03</v>
      </c>
      <c r="E2170" s="607">
        <v>17.579999999999998</v>
      </c>
      <c r="F2170" s="607">
        <v>110.61</v>
      </c>
      <c r="G2170" s="584">
        <v>15</v>
      </c>
    </row>
    <row r="2171" spans="1:7" ht="30" x14ac:dyDescent="0.2">
      <c r="A2171" s="583" t="s">
        <v>16512</v>
      </c>
      <c r="B2171" s="605" t="s">
        <v>16513</v>
      </c>
      <c r="C2171" s="606" t="s">
        <v>12483</v>
      </c>
      <c r="D2171" s="607">
        <v>114.89</v>
      </c>
      <c r="E2171" s="607">
        <v>20.100000000000001</v>
      </c>
      <c r="F2171" s="607">
        <v>134.99</v>
      </c>
      <c r="G2171" s="584">
        <v>15</v>
      </c>
    </row>
    <row r="2172" spans="1:7" ht="30" x14ac:dyDescent="0.2">
      <c r="A2172" s="583" t="s">
        <v>16514</v>
      </c>
      <c r="B2172" s="605" t="s">
        <v>16515</v>
      </c>
      <c r="C2172" s="606" t="s">
        <v>12375</v>
      </c>
      <c r="D2172" s="607">
        <v>8.9700000000000006</v>
      </c>
      <c r="E2172" s="607">
        <v>2.04</v>
      </c>
      <c r="F2172" s="607">
        <v>11.01</v>
      </c>
      <c r="G2172" s="584">
        <v>15</v>
      </c>
    </row>
    <row r="2173" spans="1:7" ht="30" x14ac:dyDescent="0.2">
      <c r="A2173" s="583" t="s">
        <v>16516</v>
      </c>
      <c r="B2173" s="605" t="s">
        <v>16517</v>
      </c>
      <c r="C2173" s="606" t="s">
        <v>12375</v>
      </c>
      <c r="D2173" s="607">
        <v>10.99</v>
      </c>
      <c r="E2173" s="607">
        <v>2.04</v>
      </c>
      <c r="F2173" s="607">
        <v>13.03</v>
      </c>
      <c r="G2173" s="584">
        <v>15</v>
      </c>
    </row>
    <row r="2174" spans="1:7" ht="30" x14ac:dyDescent="0.2">
      <c r="A2174" s="583" t="s">
        <v>16518</v>
      </c>
      <c r="B2174" s="605" t="s">
        <v>16519</v>
      </c>
      <c r="C2174" s="606" t="s">
        <v>12375</v>
      </c>
      <c r="D2174" s="607">
        <v>10.23</v>
      </c>
      <c r="E2174" s="607">
        <v>2.04</v>
      </c>
      <c r="F2174" s="607">
        <v>12.27</v>
      </c>
      <c r="G2174" s="584">
        <v>15</v>
      </c>
    </row>
    <row r="2175" spans="1:7" ht="15" x14ac:dyDescent="0.2">
      <c r="A2175" s="583" t="s">
        <v>20079</v>
      </c>
      <c r="B2175" s="605" t="s">
        <v>20080</v>
      </c>
      <c r="C2175" s="606" t="s">
        <v>12375</v>
      </c>
      <c r="D2175" s="607">
        <v>2.87</v>
      </c>
      <c r="E2175" s="607">
        <v>5.0199999999999996</v>
      </c>
      <c r="F2175" s="607">
        <v>7.89</v>
      </c>
      <c r="G2175" s="584">
        <v>15</v>
      </c>
    </row>
    <row r="2176" spans="1:7" ht="15" x14ac:dyDescent="0.2">
      <c r="A2176" s="583" t="s">
        <v>20081</v>
      </c>
      <c r="B2176" s="605" t="s">
        <v>20082</v>
      </c>
      <c r="C2176" s="606" t="s">
        <v>12375</v>
      </c>
      <c r="D2176" s="607">
        <v>8.17</v>
      </c>
      <c r="E2176" s="607">
        <v>5.0199999999999996</v>
      </c>
      <c r="F2176" s="607">
        <v>13.19</v>
      </c>
      <c r="G2176" s="584">
        <v>15</v>
      </c>
    </row>
    <row r="2177" spans="1:7" ht="15" x14ac:dyDescent="0.25">
      <c r="A2177" s="583" t="s">
        <v>16520</v>
      </c>
      <c r="B2177" s="605" t="s">
        <v>16521</v>
      </c>
      <c r="C2177" s="606"/>
      <c r="D2177" s="607"/>
      <c r="E2177" s="607"/>
      <c r="F2177" s="607"/>
      <c r="G2177" s="582"/>
    </row>
    <row r="2178" spans="1:7" ht="30" x14ac:dyDescent="0.2">
      <c r="A2178" s="583" t="s">
        <v>16522</v>
      </c>
      <c r="B2178" s="605" t="s">
        <v>16523</v>
      </c>
      <c r="C2178" s="606" t="s">
        <v>12483</v>
      </c>
      <c r="D2178" s="607">
        <v>59.35</v>
      </c>
      <c r="E2178" s="607">
        <v>15.07</v>
      </c>
      <c r="F2178" s="607">
        <v>74.42</v>
      </c>
      <c r="G2178" s="584">
        <v>15</v>
      </c>
    </row>
    <row r="2179" spans="1:7" ht="30" x14ac:dyDescent="0.2">
      <c r="A2179" s="583" t="s">
        <v>16524</v>
      </c>
      <c r="B2179" s="605" t="s">
        <v>16525</v>
      </c>
      <c r="C2179" s="606" t="s">
        <v>12483</v>
      </c>
      <c r="D2179" s="607">
        <v>76.19</v>
      </c>
      <c r="E2179" s="607">
        <v>15.07</v>
      </c>
      <c r="F2179" s="607">
        <v>91.26</v>
      </c>
      <c r="G2179" s="584">
        <v>15</v>
      </c>
    </row>
    <row r="2180" spans="1:7" ht="30" x14ac:dyDescent="0.2">
      <c r="A2180" s="583" t="s">
        <v>16526</v>
      </c>
      <c r="B2180" s="605" t="s">
        <v>16527</v>
      </c>
      <c r="C2180" s="606" t="s">
        <v>12375</v>
      </c>
      <c r="D2180" s="607">
        <v>48.98</v>
      </c>
      <c r="E2180" s="607">
        <v>15.58</v>
      </c>
      <c r="F2180" s="607">
        <v>64.56</v>
      </c>
      <c r="G2180" s="584">
        <v>15</v>
      </c>
    </row>
    <row r="2181" spans="1:7" ht="30" x14ac:dyDescent="0.2">
      <c r="A2181" s="583" t="s">
        <v>16528</v>
      </c>
      <c r="B2181" s="605" t="s">
        <v>16529</v>
      </c>
      <c r="C2181" s="606" t="s">
        <v>12375</v>
      </c>
      <c r="D2181" s="607">
        <v>139.36000000000001</v>
      </c>
      <c r="E2181" s="607">
        <v>30.14</v>
      </c>
      <c r="F2181" s="607">
        <v>169.5</v>
      </c>
      <c r="G2181" s="584">
        <v>15</v>
      </c>
    </row>
    <row r="2182" spans="1:7" ht="30" x14ac:dyDescent="0.2">
      <c r="A2182" s="583" t="s">
        <v>16530</v>
      </c>
      <c r="B2182" s="605" t="s">
        <v>16531</v>
      </c>
      <c r="C2182" s="606" t="s">
        <v>12375</v>
      </c>
      <c r="D2182" s="607">
        <v>205.5</v>
      </c>
      <c r="E2182" s="607">
        <v>30.14</v>
      </c>
      <c r="F2182" s="607">
        <v>235.64</v>
      </c>
      <c r="G2182" s="584">
        <v>15</v>
      </c>
    </row>
    <row r="2183" spans="1:7" ht="30" x14ac:dyDescent="0.2">
      <c r="A2183" s="583" t="s">
        <v>16532</v>
      </c>
      <c r="B2183" s="605" t="s">
        <v>21967</v>
      </c>
      <c r="C2183" s="606" t="s">
        <v>12375</v>
      </c>
      <c r="D2183" s="607">
        <v>228.61</v>
      </c>
      <c r="E2183" s="607">
        <v>9.58</v>
      </c>
      <c r="F2183" s="607">
        <v>238.19</v>
      </c>
      <c r="G2183" s="584">
        <v>15</v>
      </c>
    </row>
    <row r="2184" spans="1:7" ht="30" x14ac:dyDescent="0.2">
      <c r="A2184" s="583" t="s">
        <v>16533</v>
      </c>
      <c r="B2184" s="605" t="s">
        <v>21968</v>
      </c>
      <c r="C2184" s="606" t="s">
        <v>12375</v>
      </c>
      <c r="D2184" s="607">
        <v>273.27999999999997</v>
      </c>
      <c r="E2184" s="607">
        <v>9.58</v>
      </c>
      <c r="F2184" s="607">
        <v>282.86</v>
      </c>
      <c r="G2184" s="584">
        <v>15</v>
      </c>
    </row>
    <row r="2185" spans="1:7" ht="30" x14ac:dyDescent="0.2">
      <c r="A2185" s="583" t="s">
        <v>16534</v>
      </c>
      <c r="B2185" s="605" t="s">
        <v>21969</v>
      </c>
      <c r="C2185" s="606" t="s">
        <v>12375</v>
      </c>
      <c r="D2185" s="607">
        <v>439.52</v>
      </c>
      <c r="E2185" s="607">
        <v>9.58</v>
      </c>
      <c r="F2185" s="607">
        <v>449.1</v>
      </c>
      <c r="G2185" s="584">
        <v>15</v>
      </c>
    </row>
    <row r="2186" spans="1:7" ht="15" x14ac:dyDescent="0.25">
      <c r="A2186" s="583" t="s">
        <v>16535</v>
      </c>
      <c r="B2186" s="605" t="s">
        <v>16536</v>
      </c>
      <c r="C2186" s="606"/>
      <c r="D2186" s="607"/>
      <c r="E2186" s="607"/>
      <c r="F2186" s="607"/>
      <c r="G2186" s="582"/>
    </row>
    <row r="2187" spans="1:7" ht="30" x14ac:dyDescent="0.2">
      <c r="A2187" s="583" t="s">
        <v>16537</v>
      </c>
      <c r="B2187" s="605" t="s">
        <v>132</v>
      </c>
      <c r="C2187" s="606" t="s">
        <v>12483</v>
      </c>
      <c r="D2187" s="607">
        <v>218.26</v>
      </c>
      <c r="E2187" s="607">
        <v>15.07</v>
      </c>
      <c r="F2187" s="607">
        <v>233.33</v>
      </c>
      <c r="G2187" s="584">
        <v>15</v>
      </c>
    </row>
    <row r="2188" spans="1:7" ht="30" x14ac:dyDescent="0.2">
      <c r="A2188" s="583" t="s">
        <v>16538</v>
      </c>
      <c r="B2188" s="605" t="s">
        <v>133</v>
      </c>
      <c r="C2188" s="606" t="s">
        <v>12483</v>
      </c>
      <c r="D2188" s="607">
        <v>287.66000000000003</v>
      </c>
      <c r="E2188" s="607">
        <v>15.07</v>
      </c>
      <c r="F2188" s="607">
        <v>302.73</v>
      </c>
      <c r="G2188" s="584">
        <v>15</v>
      </c>
    </row>
    <row r="2189" spans="1:7" ht="30" x14ac:dyDescent="0.2">
      <c r="A2189" s="583" t="s">
        <v>16539</v>
      </c>
      <c r="B2189" s="605" t="s">
        <v>134</v>
      </c>
      <c r="C2189" s="606" t="s">
        <v>12483</v>
      </c>
      <c r="D2189" s="607">
        <v>337.69</v>
      </c>
      <c r="E2189" s="607">
        <v>15.07</v>
      </c>
      <c r="F2189" s="607">
        <v>352.76</v>
      </c>
      <c r="G2189" s="584">
        <v>15</v>
      </c>
    </row>
    <row r="2190" spans="1:7" ht="30" x14ac:dyDescent="0.2">
      <c r="A2190" s="583" t="s">
        <v>16540</v>
      </c>
      <c r="B2190" s="605" t="s">
        <v>135</v>
      </c>
      <c r="C2190" s="606" t="s">
        <v>12483</v>
      </c>
      <c r="D2190" s="607">
        <v>308.33999999999997</v>
      </c>
      <c r="E2190" s="607">
        <v>15.07</v>
      </c>
      <c r="F2190" s="607">
        <v>323.41000000000003</v>
      </c>
      <c r="G2190" s="584">
        <v>15</v>
      </c>
    </row>
    <row r="2191" spans="1:7" ht="30" x14ac:dyDescent="0.2">
      <c r="A2191" s="583" t="s">
        <v>16541</v>
      </c>
      <c r="B2191" s="605" t="s">
        <v>136</v>
      </c>
      <c r="C2191" s="606" t="s">
        <v>12483</v>
      </c>
      <c r="D2191" s="607">
        <v>392.88</v>
      </c>
      <c r="E2191" s="607">
        <v>15.07</v>
      </c>
      <c r="F2191" s="607">
        <v>407.95</v>
      </c>
      <c r="G2191" s="584">
        <v>15</v>
      </c>
    </row>
    <row r="2192" spans="1:7" ht="15" x14ac:dyDescent="0.25">
      <c r="A2192" s="583" t="s">
        <v>16542</v>
      </c>
      <c r="B2192" s="605" t="s">
        <v>16543</v>
      </c>
      <c r="C2192" s="606"/>
      <c r="D2192" s="607"/>
      <c r="E2192" s="607"/>
      <c r="F2192" s="607"/>
      <c r="G2192" s="582"/>
    </row>
    <row r="2193" spans="1:7" ht="30" x14ac:dyDescent="0.2">
      <c r="A2193" s="583" t="s">
        <v>16544</v>
      </c>
      <c r="B2193" s="605" t="s">
        <v>137</v>
      </c>
      <c r="C2193" s="606" t="s">
        <v>12483</v>
      </c>
      <c r="D2193" s="607">
        <v>5.22</v>
      </c>
      <c r="E2193" s="607">
        <v>2.0099999999999998</v>
      </c>
      <c r="F2193" s="607">
        <v>7.23</v>
      </c>
      <c r="G2193" s="584">
        <v>15</v>
      </c>
    </row>
    <row r="2194" spans="1:7" ht="30" x14ac:dyDescent="0.2">
      <c r="A2194" s="583" t="s">
        <v>16545</v>
      </c>
      <c r="B2194" s="605" t="s">
        <v>138</v>
      </c>
      <c r="C2194" s="606" t="s">
        <v>12483</v>
      </c>
      <c r="D2194" s="607">
        <v>6.38</v>
      </c>
      <c r="E2194" s="607">
        <v>2.0099999999999998</v>
      </c>
      <c r="F2194" s="607">
        <v>8.39</v>
      </c>
      <c r="G2194" s="584">
        <v>15</v>
      </c>
    </row>
    <row r="2195" spans="1:7" ht="30" x14ac:dyDescent="0.2">
      <c r="A2195" s="583" t="s">
        <v>16546</v>
      </c>
      <c r="B2195" s="605" t="s">
        <v>139</v>
      </c>
      <c r="C2195" s="606" t="s">
        <v>12483</v>
      </c>
      <c r="D2195" s="607">
        <v>8.3800000000000008</v>
      </c>
      <c r="E2195" s="607">
        <v>2.0099999999999998</v>
      </c>
      <c r="F2195" s="607">
        <v>10.39</v>
      </c>
      <c r="G2195" s="584">
        <v>15</v>
      </c>
    </row>
    <row r="2196" spans="1:7" ht="30" x14ac:dyDescent="0.2">
      <c r="A2196" s="583" t="s">
        <v>16547</v>
      </c>
      <c r="B2196" s="605" t="s">
        <v>140</v>
      </c>
      <c r="C2196" s="606" t="s">
        <v>12483</v>
      </c>
      <c r="D2196" s="607">
        <v>14.84</v>
      </c>
      <c r="E2196" s="607">
        <v>2.0099999999999998</v>
      </c>
      <c r="F2196" s="607">
        <v>16.850000000000001</v>
      </c>
      <c r="G2196" s="584">
        <v>15</v>
      </c>
    </row>
    <row r="2197" spans="1:7" ht="30" x14ac:dyDescent="0.2">
      <c r="A2197" s="583" t="s">
        <v>16548</v>
      </c>
      <c r="B2197" s="605" t="s">
        <v>141</v>
      </c>
      <c r="C2197" s="606" t="s">
        <v>12483</v>
      </c>
      <c r="D2197" s="607">
        <v>18.66</v>
      </c>
      <c r="E2197" s="607">
        <v>2.0099999999999998</v>
      </c>
      <c r="F2197" s="607">
        <v>20.67</v>
      </c>
      <c r="G2197" s="584">
        <v>15</v>
      </c>
    </row>
    <row r="2198" spans="1:7" ht="30" x14ac:dyDescent="0.2">
      <c r="A2198" s="583" t="s">
        <v>16549</v>
      </c>
      <c r="B2198" s="605" t="s">
        <v>142</v>
      </c>
      <c r="C2198" s="606" t="s">
        <v>12483</v>
      </c>
      <c r="D2198" s="607">
        <v>24.49</v>
      </c>
      <c r="E2198" s="607">
        <v>2.0099999999999998</v>
      </c>
      <c r="F2198" s="607">
        <v>26.5</v>
      </c>
      <c r="G2198" s="584">
        <v>15</v>
      </c>
    </row>
    <row r="2199" spans="1:7" ht="30" x14ac:dyDescent="0.2">
      <c r="A2199" s="583" t="s">
        <v>16550</v>
      </c>
      <c r="B2199" s="605" t="s">
        <v>143</v>
      </c>
      <c r="C2199" s="606" t="s">
        <v>12483</v>
      </c>
      <c r="D2199" s="607">
        <v>36.99</v>
      </c>
      <c r="E2199" s="607">
        <v>2.0099999999999998</v>
      </c>
      <c r="F2199" s="607">
        <v>39</v>
      </c>
      <c r="G2199" s="584">
        <v>15</v>
      </c>
    </row>
    <row r="2200" spans="1:7" ht="15" x14ac:dyDescent="0.25">
      <c r="A2200" s="583" t="s">
        <v>16551</v>
      </c>
      <c r="B2200" s="605" t="s">
        <v>16552</v>
      </c>
      <c r="C2200" s="606"/>
      <c r="D2200" s="607"/>
      <c r="E2200" s="607"/>
      <c r="F2200" s="607"/>
      <c r="G2200" s="582"/>
    </row>
    <row r="2201" spans="1:7" ht="15" x14ac:dyDescent="0.2">
      <c r="A2201" s="583" t="s">
        <v>16553</v>
      </c>
      <c r="B2201" s="605" t="s">
        <v>16554</v>
      </c>
      <c r="C2201" s="606" t="s">
        <v>12483</v>
      </c>
      <c r="D2201" s="607">
        <v>9.18</v>
      </c>
      <c r="E2201" s="607">
        <v>17.670000000000002</v>
      </c>
      <c r="F2201" s="607">
        <v>26.85</v>
      </c>
      <c r="G2201" s="584">
        <v>15</v>
      </c>
    </row>
    <row r="2202" spans="1:7" ht="15" x14ac:dyDescent="0.2">
      <c r="A2202" s="583" t="s">
        <v>16555</v>
      </c>
      <c r="B2202" s="605" t="s">
        <v>16556</v>
      </c>
      <c r="C2202" s="606" t="s">
        <v>12483</v>
      </c>
      <c r="D2202" s="607">
        <v>12.19</v>
      </c>
      <c r="E2202" s="607">
        <v>17.670000000000002</v>
      </c>
      <c r="F2202" s="607">
        <v>29.86</v>
      </c>
      <c r="G2202" s="584">
        <v>15</v>
      </c>
    </row>
    <row r="2203" spans="1:7" ht="15" x14ac:dyDescent="0.2">
      <c r="A2203" s="583" t="s">
        <v>16557</v>
      </c>
      <c r="B2203" s="605" t="s">
        <v>16558</v>
      </c>
      <c r="C2203" s="606" t="s">
        <v>12483</v>
      </c>
      <c r="D2203" s="607">
        <v>30.13</v>
      </c>
      <c r="E2203" s="607">
        <v>17.670000000000002</v>
      </c>
      <c r="F2203" s="607">
        <v>47.8</v>
      </c>
      <c r="G2203" s="584">
        <v>15</v>
      </c>
    </row>
    <row r="2204" spans="1:7" ht="15" x14ac:dyDescent="0.2">
      <c r="A2204" s="583" t="s">
        <v>16559</v>
      </c>
      <c r="B2204" s="605" t="s">
        <v>16560</v>
      </c>
      <c r="C2204" s="606" t="s">
        <v>12375</v>
      </c>
      <c r="D2204" s="607">
        <v>17.940000000000001</v>
      </c>
      <c r="E2204" s="607">
        <v>3.41</v>
      </c>
      <c r="F2204" s="607">
        <v>21.35</v>
      </c>
      <c r="G2204" s="584">
        <v>15</v>
      </c>
    </row>
    <row r="2205" spans="1:7" ht="15" x14ac:dyDescent="0.2">
      <c r="A2205" s="583" t="s">
        <v>16561</v>
      </c>
      <c r="B2205" s="605" t="s">
        <v>16562</v>
      </c>
      <c r="C2205" s="606" t="s">
        <v>12375</v>
      </c>
      <c r="D2205" s="607">
        <v>22.87</v>
      </c>
      <c r="E2205" s="607">
        <v>3.41</v>
      </c>
      <c r="F2205" s="607">
        <v>26.28</v>
      </c>
      <c r="G2205" s="584">
        <v>15</v>
      </c>
    </row>
    <row r="2206" spans="1:7" ht="15" x14ac:dyDescent="0.2">
      <c r="A2206" s="583" t="s">
        <v>16563</v>
      </c>
      <c r="B2206" s="605" t="s">
        <v>16564</v>
      </c>
      <c r="C2206" s="606" t="s">
        <v>12375</v>
      </c>
      <c r="D2206" s="607">
        <v>70.25</v>
      </c>
      <c r="E2206" s="607">
        <v>3.41</v>
      </c>
      <c r="F2206" s="607">
        <v>73.66</v>
      </c>
      <c r="G2206" s="584">
        <v>15</v>
      </c>
    </row>
    <row r="2207" spans="1:7" ht="15" x14ac:dyDescent="0.2">
      <c r="A2207" s="583" t="s">
        <v>16565</v>
      </c>
      <c r="B2207" s="605" t="s">
        <v>16566</v>
      </c>
      <c r="C2207" s="606" t="s">
        <v>12375</v>
      </c>
      <c r="D2207" s="607">
        <v>22.66</v>
      </c>
      <c r="E2207" s="607">
        <v>3.41</v>
      </c>
      <c r="F2207" s="607">
        <v>26.07</v>
      </c>
      <c r="G2207" s="584">
        <v>15</v>
      </c>
    </row>
    <row r="2208" spans="1:7" ht="15" x14ac:dyDescent="0.2">
      <c r="A2208" s="583" t="s">
        <v>16567</v>
      </c>
      <c r="B2208" s="605" t="s">
        <v>16568</v>
      </c>
      <c r="C2208" s="606" t="s">
        <v>12375</v>
      </c>
      <c r="D2208" s="607">
        <v>39.97</v>
      </c>
      <c r="E2208" s="607">
        <v>3.41</v>
      </c>
      <c r="F2208" s="607">
        <v>43.38</v>
      </c>
      <c r="G2208" s="584">
        <v>15</v>
      </c>
    </row>
    <row r="2209" spans="1:7" ht="15" x14ac:dyDescent="0.2">
      <c r="A2209" s="583" t="s">
        <v>16569</v>
      </c>
      <c r="B2209" s="605" t="s">
        <v>16570</v>
      </c>
      <c r="C2209" s="606" t="s">
        <v>12375</v>
      </c>
      <c r="D2209" s="607">
        <v>91.48</v>
      </c>
      <c r="E2209" s="607">
        <v>3.41</v>
      </c>
      <c r="F2209" s="607">
        <v>94.89</v>
      </c>
      <c r="G2209" s="584">
        <v>15</v>
      </c>
    </row>
    <row r="2210" spans="1:7" ht="15" x14ac:dyDescent="0.25">
      <c r="A2210" s="583" t="s">
        <v>16571</v>
      </c>
      <c r="B2210" s="605" t="s">
        <v>16572</v>
      </c>
      <c r="C2210" s="606"/>
      <c r="D2210" s="607"/>
      <c r="E2210" s="607"/>
      <c r="F2210" s="607"/>
      <c r="G2210" s="582"/>
    </row>
    <row r="2211" spans="1:7" ht="15" x14ac:dyDescent="0.2">
      <c r="A2211" s="583" t="s">
        <v>16573</v>
      </c>
      <c r="B2211" s="605" t="s">
        <v>16574</v>
      </c>
      <c r="C2211" s="606" t="s">
        <v>12483</v>
      </c>
      <c r="D2211" s="607">
        <v>91.69</v>
      </c>
      <c r="E2211" s="607">
        <v>15.07</v>
      </c>
      <c r="F2211" s="607">
        <v>106.76</v>
      </c>
      <c r="G2211" s="584">
        <v>15</v>
      </c>
    </row>
    <row r="2212" spans="1:7" ht="30" x14ac:dyDescent="0.2">
      <c r="A2212" s="583" t="s">
        <v>16575</v>
      </c>
      <c r="B2212" s="605" t="s">
        <v>16576</v>
      </c>
      <c r="C2212" s="606" t="s">
        <v>12375</v>
      </c>
      <c r="D2212" s="607">
        <v>97.79</v>
      </c>
      <c r="E2212" s="607">
        <v>25.12</v>
      </c>
      <c r="F2212" s="607">
        <v>122.91</v>
      </c>
      <c r="G2212" s="584">
        <v>15</v>
      </c>
    </row>
    <row r="2213" spans="1:7" ht="30" x14ac:dyDescent="0.2">
      <c r="A2213" s="583" t="s">
        <v>16577</v>
      </c>
      <c r="B2213" s="605" t="s">
        <v>16578</v>
      </c>
      <c r="C2213" s="606" t="s">
        <v>12375</v>
      </c>
      <c r="D2213" s="607">
        <v>133.03</v>
      </c>
      <c r="E2213" s="607">
        <v>25.12</v>
      </c>
      <c r="F2213" s="607">
        <v>158.15</v>
      </c>
      <c r="G2213" s="584">
        <v>15</v>
      </c>
    </row>
    <row r="2214" spans="1:7" ht="45" x14ac:dyDescent="0.2">
      <c r="A2214" s="583" t="s">
        <v>16579</v>
      </c>
      <c r="B2214" s="605" t="s">
        <v>16580</v>
      </c>
      <c r="C2214" s="606" t="s">
        <v>12375</v>
      </c>
      <c r="D2214" s="607">
        <v>31.08</v>
      </c>
      <c r="E2214" s="607">
        <v>9.58</v>
      </c>
      <c r="F2214" s="607">
        <v>40.659999999999997</v>
      </c>
      <c r="G2214" s="584">
        <v>15</v>
      </c>
    </row>
    <row r="2215" spans="1:7" ht="45" x14ac:dyDescent="0.2">
      <c r="A2215" s="583" t="s">
        <v>16581</v>
      </c>
      <c r="B2215" s="605" t="s">
        <v>16582</v>
      </c>
      <c r="C2215" s="606" t="s">
        <v>12375</v>
      </c>
      <c r="D2215" s="607">
        <v>22.34</v>
      </c>
      <c r="E2215" s="607">
        <v>9.58</v>
      </c>
      <c r="F2215" s="607">
        <v>31.92</v>
      </c>
      <c r="G2215" s="584">
        <v>15</v>
      </c>
    </row>
    <row r="2216" spans="1:7" ht="30" x14ac:dyDescent="0.2">
      <c r="A2216" s="583" t="s">
        <v>16583</v>
      </c>
      <c r="B2216" s="605" t="s">
        <v>16584</v>
      </c>
      <c r="C2216" s="606" t="s">
        <v>12375</v>
      </c>
      <c r="D2216" s="607">
        <v>15.51</v>
      </c>
      <c r="E2216" s="607">
        <v>7.54</v>
      </c>
      <c r="F2216" s="607">
        <v>23.05</v>
      </c>
      <c r="G2216" s="584">
        <v>15</v>
      </c>
    </row>
    <row r="2217" spans="1:7" ht="15" x14ac:dyDescent="0.2">
      <c r="A2217" s="583" t="s">
        <v>16585</v>
      </c>
      <c r="B2217" s="605" t="s">
        <v>16586</v>
      </c>
      <c r="C2217" s="606" t="s">
        <v>12483</v>
      </c>
      <c r="D2217" s="607">
        <v>65.069999999999993</v>
      </c>
      <c r="E2217" s="607">
        <v>15.07</v>
      </c>
      <c r="F2217" s="607">
        <v>80.14</v>
      </c>
      <c r="G2217" s="584">
        <v>15</v>
      </c>
    </row>
    <row r="2218" spans="1:7" ht="30" x14ac:dyDescent="0.2">
      <c r="A2218" s="583" t="s">
        <v>16587</v>
      </c>
      <c r="B2218" s="605" t="s">
        <v>16588</v>
      </c>
      <c r="C2218" s="606" t="s">
        <v>12375</v>
      </c>
      <c r="D2218" s="607">
        <v>81.099999999999994</v>
      </c>
      <c r="E2218" s="607">
        <v>25.12</v>
      </c>
      <c r="F2218" s="607">
        <v>106.22</v>
      </c>
      <c r="G2218" s="584">
        <v>15</v>
      </c>
    </row>
    <row r="2219" spans="1:7" ht="30" x14ac:dyDescent="0.2">
      <c r="A2219" s="583" t="s">
        <v>16589</v>
      </c>
      <c r="B2219" s="605" t="s">
        <v>16590</v>
      </c>
      <c r="C2219" s="606" t="s">
        <v>12375</v>
      </c>
      <c r="D2219" s="607">
        <v>12.82</v>
      </c>
      <c r="E2219" s="607">
        <v>7.54</v>
      </c>
      <c r="F2219" s="607">
        <v>20.36</v>
      </c>
      <c r="G2219" s="584">
        <v>15</v>
      </c>
    </row>
    <row r="2220" spans="1:7" ht="30" x14ac:dyDescent="0.2">
      <c r="A2220" s="583" t="s">
        <v>16591</v>
      </c>
      <c r="B2220" s="605" t="s">
        <v>16592</v>
      </c>
      <c r="C2220" s="606" t="s">
        <v>12375</v>
      </c>
      <c r="D2220" s="607">
        <v>72.09</v>
      </c>
      <c r="E2220" s="607">
        <v>25.12</v>
      </c>
      <c r="F2220" s="607">
        <v>97.21</v>
      </c>
      <c r="G2220" s="584">
        <v>15</v>
      </c>
    </row>
    <row r="2221" spans="1:7" ht="30" x14ac:dyDescent="0.2">
      <c r="A2221" s="583" t="s">
        <v>16593</v>
      </c>
      <c r="B2221" s="605" t="s">
        <v>16594</v>
      </c>
      <c r="C2221" s="606" t="s">
        <v>12375</v>
      </c>
      <c r="D2221" s="607">
        <v>97.96</v>
      </c>
      <c r="E2221" s="607">
        <v>25.12</v>
      </c>
      <c r="F2221" s="607">
        <v>123.08</v>
      </c>
      <c r="G2221" s="584">
        <v>15</v>
      </c>
    </row>
    <row r="2222" spans="1:7" ht="30" x14ac:dyDescent="0.2">
      <c r="A2222" s="583" t="s">
        <v>16595</v>
      </c>
      <c r="B2222" s="605" t="s">
        <v>16596</v>
      </c>
      <c r="C2222" s="606" t="s">
        <v>12375</v>
      </c>
      <c r="D2222" s="607">
        <v>382.09</v>
      </c>
      <c r="E2222" s="607">
        <v>33.85</v>
      </c>
      <c r="F2222" s="607">
        <v>415.94</v>
      </c>
      <c r="G2222" s="584">
        <v>15</v>
      </c>
    </row>
    <row r="2223" spans="1:7" ht="30" x14ac:dyDescent="0.2">
      <c r="A2223" s="583" t="s">
        <v>16597</v>
      </c>
      <c r="B2223" s="605" t="s">
        <v>16598</v>
      </c>
      <c r="C2223" s="606" t="s">
        <v>12375</v>
      </c>
      <c r="D2223" s="607">
        <v>47.66</v>
      </c>
      <c r="E2223" s="607">
        <v>25.12</v>
      </c>
      <c r="F2223" s="607">
        <v>72.78</v>
      </c>
      <c r="G2223" s="584">
        <v>15</v>
      </c>
    </row>
    <row r="2224" spans="1:7" ht="15" x14ac:dyDescent="0.25">
      <c r="A2224" s="583" t="s">
        <v>16599</v>
      </c>
      <c r="B2224" s="605" t="s">
        <v>16600</v>
      </c>
      <c r="C2224" s="606"/>
      <c r="D2224" s="607"/>
      <c r="E2224" s="607"/>
      <c r="F2224" s="607"/>
      <c r="G2224" s="582"/>
    </row>
    <row r="2225" spans="1:7" ht="30" x14ac:dyDescent="0.2">
      <c r="A2225" s="583" t="s">
        <v>16601</v>
      </c>
      <c r="B2225" s="605" t="s">
        <v>16602</v>
      </c>
      <c r="C2225" s="606" t="s">
        <v>12483</v>
      </c>
      <c r="D2225" s="607">
        <v>2.5</v>
      </c>
      <c r="E2225" s="607">
        <v>15.07</v>
      </c>
      <c r="F2225" s="607">
        <v>17.57</v>
      </c>
      <c r="G2225" s="584">
        <v>15</v>
      </c>
    </row>
    <row r="2226" spans="1:7" ht="30" x14ac:dyDescent="0.2">
      <c r="A2226" s="583" t="s">
        <v>16603</v>
      </c>
      <c r="B2226" s="605" t="s">
        <v>16604</v>
      </c>
      <c r="C2226" s="606" t="s">
        <v>12483</v>
      </c>
      <c r="D2226" s="607">
        <v>2.39</v>
      </c>
      <c r="E2226" s="607">
        <v>15.07</v>
      </c>
      <c r="F2226" s="607">
        <v>17.46</v>
      </c>
      <c r="G2226" s="584">
        <v>15</v>
      </c>
    </row>
    <row r="2227" spans="1:7" ht="30" x14ac:dyDescent="0.2">
      <c r="A2227" s="583" t="s">
        <v>16605</v>
      </c>
      <c r="B2227" s="605" t="s">
        <v>16606</v>
      </c>
      <c r="C2227" s="606" t="s">
        <v>12483</v>
      </c>
      <c r="D2227" s="607">
        <v>4.91</v>
      </c>
      <c r="E2227" s="607">
        <v>15.07</v>
      </c>
      <c r="F2227" s="607">
        <v>19.98</v>
      </c>
      <c r="G2227" s="584">
        <v>15</v>
      </c>
    </row>
    <row r="2228" spans="1:7" ht="30" x14ac:dyDescent="0.2">
      <c r="A2228" s="583" t="s">
        <v>16607</v>
      </c>
      <c r="B2228" s="605" t="s">
        <v>16608</v>
      </c>
      <c r="C2228" s="606" t="s">
        <v>12483</v>
      </c>
      <c r="D2228" s="607">
        <v>3.24</v>
      </c>
      <c r="E2228" s="607">
        <v>15.07</v>
      </c>
      <c r="F2228" s="607">
        <v>18.309999999999999</v>
      </c>
      <c r="G2228" s="584">
        <v>15</v>
      </c>
    </row>
    <row r="2229" spans="1:7" ht="30" x14ac:dyDescent="0.2">
      <c r="A2229" s="583" t="s">
        <v>16609</v>
      </c>
      <c r="B2229" s="605" t="s">
        <v>16610</v>
      </c>
      <c r="C2229" s="606" t="s">
        <v>12483</v>
      </c>
      <c r="D2229" s="607">
        <v>5.95</v>
      </c>
      <c r="E2229" s="607">
        <v>15.07</v>
      </c>
      <c r="F2229" s="607">
        <v>21.02</v>
      </c>
      <c r="G2229" s="584">
        <v>15</v>
      </c>
    </row>
    <row r="2230" spans="1:7" ht="15" x14ac:dyDescent="0.25">
      <c r="A2230" s="583" t="s">
        <v>16611</v>
      </c>
      <c r="B2230" s="605" t="s">
        <v>16612</v>
      </c>
      <c r="C2230" s="606"/>
      <c r="D2230" s="607"/>
      <c r="E2230" s="607"/>
      <c r="F2230" s="607"/>
      <c r="G2230" s="582"/>
    </row>
    <row r="2231" spans="1:7" ht="15" x14ac:dyDescent="0.2">
      <c r="A2231" s="583" t="s">
        <v>16613</v>
      </c>
      <c r="B2231" s="605" t="s">
        <v>16614</v>
      </c>
      <c r="C2231" s="606" t="s">
        <v>12483</v>
      </c>
      <c r="D2231" s="607"/>
      <c r="E2231" s="607">
        <v>12.56</v>
      </c>
      <c r="F2231" s="607">
        <v>12.56</v>
      </c>
      <c r="G2231" s="584">
        <v>15</v>
      </c>
    </row>
    <row r="2232" spans="1:7" ht="15" x14ac:dyDescent="0.2">
      <c r="A2232" s="583" t="s">
        <v>16615</v>
      </c>
      <c r="B2232" s="605" t="s">
        <v>16616</v>
      </c>
      <c r="C2232" s="606" t="s">
        <v>12483</v>
      </c>
      <c r="D2232" s="607"/>
      <c r="E2232" s="607">
        <v>20.100000000000001</v>
      </c>
      <c r="F2232" s="607">
        <v>20.100000000000001</v>
      </c>
      <c r="G2232" s="584">
        <v>15</v>
      </c>
    </row>
    <row r="2233" spans="1:7" ht="15" x14ac:dyDescent="0.2">
      <c r="A2233" s="583" t="s">
        <v>16617</v>
      </c>
      <c r="B2233" s="605" t="s">
        <v>16618</v>
      </c>
      <c r="C2233" s="606" t="s">
        <v>12375</v>
      </c>
      <c r="D2233" s="607"/>
      <c r="E2233" s="607">
        <v>15.07</v>
      </c>
      <c r="F2233" s="607">
        <v>15.07</v>
      </c>
      <c r="G2233" s="584">
        <v>15</v>
      </c>
    </row>
    <row r="2234" spans="1:7" ht="15" x14ac:dyDescent="0.2">
      <c r="A2234" s="583" t="s">
        <v>16619</v>
      </c>
      <c r="B2234" s="605" t="s">
        <v>16620</v>
      </c>
      <c r="C2234" s="606" t="s">
        <v>12483</v>
      </c>
      <c r="D2234" s="607"/>
      <c r="E2234" s="607">
        <v>50.24</v>
      </c>
      <c r="F2234" s="607">
        <v>50.24</v>
      </c>
      <c r="G2234" s="584">
        <v>15</v>
      </c>
    </row>
    <row r="2235" spans="1:7" ht="15" x14ac:dyDescent="0.25">
      <c r="A2235" s="583" t="s">
        <v>16621</v>
      </c>
      <c r="B2235" s="605" t="s">
        <v>16622</v>
      </c>
      <c r="C2235" s="606"/>
      <c r="D2235" s="607"/>
      <c r="E2235" s="607"/>
      <c r="F2235" s="607"/>
      <c r="G2235" s="582"/>
    </row>
    <row r="2236" spans="1:7" ht="15" x14ac:dyDescent="0.2">
      <c r="A2236" s="583" t="s">
        <v>16623</v>
      </c>
      <c r="B2236" s="605" t="s">
        <v>16624</v>
      </c>
      <c r="C2236" s="606" t="s">
        <v>12483</v>
      </c>
      <c r="D2236" s="607">
        <v>52.2</v>
      </c>
      <c r="E2236" s="607">
        <v>25.12</v>
      </c>
      <c r="F2236" s="607">
        <v>77.319999999999993</v>
      </c>
      <c r="G2236" s="584">
        <v>15</v>
      </c>
    </row>
    <row r="2237" spans="1:7" ht="15" x14ac:dyDescent="0.2">
      <c r="A2237" s="583" t="s">
        <v>16625</v>
      </c>
      <c r="B2237" s="605" t="s">
        <v>16626</v>
      </c>
      <c r="C2237" s="606" t="s">
        <v>12483</v>
      </c>
      <c r="D2237" s="607">
        <v>69.28</v>
      </c>
      <c r="E2237" s="607">
        <v>25.12</v>
      </c>
      <c r="F2237" s="607">
        <v>94.4</v>
      </c>
      <c r="G2237" s="584">
        <v>15</v>
      </c>
    </row>
    <row r="2238" spans="1:7" ht="15" x14ac:dyDescent="0.2">
      <c r="A2238" s="583" t="s">
        <v>16627</v>
      </c>
      <c r="B2238" s="605" t="s">
        <v>16628</v>
      </c>
      <c r="C2238" s="606" t="s">
        <v>12483</v>
      </c>
      <c r="D2238" s="607">
        <v>85.31</v>
      </c>
      <c r="E2238" s="607">
        <v>25.12</v>
      </c>
      <c r="F2238" s="607">
        <v>110.43</v>
      </c>
      <c r="G2238" s="584">
        <v>15</v>
      </c>
    </row>
    <row r="2239" spans="1:7" ht="15" x14ac:dyDescent="0.2">
      <c r="A2239" s="583" t="s">
        <v>16629</v>
      </c>
      <c r="B2239" s="605" t="s">
        <v>16630</v>
      </c>
      <c r="C2239" s="606" t="s">
        <v>12483</v>
      </c>
      <c r="D2239" s="607">
        <v>101.92</v>
      </c>
      <c r="E2239" s="607">
        <v>25.12</v>
      </c>
      <c r="F2239" s="607">
        <v>127.04</v>
      </c>
      <c r="G2239" s="584">
        <v>15</v>
      </c>
    </row>
    <row r="2240" spans="1:7" ht="15" x14ac:dyDescent="0.2">
      <c r="A2240" s="583" t="s">
        <v>16631</v>
      </c>
      <c r="B2240" s="605" t="s">
        <v>16632</v>
      </c>
      <c r="C2240" s="606" t="s">
        <v>12483</v>
      </c>
      <c r="D2240" s="607">
        <v>119.96</v>
      </c>
      <c r="E2240" s="607">
        <v>25.12</v>
      </c>
      <c r="F2240" s="607">
        <v>145.08000000000001</v>
      </c>
      <c r="G2240" s="584">
        <v>15</v>
      </c>
    </row>
    <row r="2241" spans="1:7" ht="30" x14ac:dyDescent="0.2">
      <c r="A2241" s="583" t="s">
        <v>16633</v>
      </c>
      <c r="B2241" s="605" t="s">
        <v>16634</v>
      </c>
      <c r="C2241" s="606" t="s">
        <v>12483</v>
      </c>
      <c r="D2241" s="607">
        <v>105.24</v>
      </c>
      <c r="E2241" s="607">
        <v>37.68</v>
      </c>
      <c r="F2241" s="607">
        <v>142.91999999999999</v>
      </c>
      <c r="G2241" s="584">
        <v>15</v>
      </c>
    </row>
    <row r="2242" spans="1:7" ht="30" x14ac:dyDescent="0.2">
      <c r="A2242" s="583" t="s">
        <v>16635</v>
      </c>
      <c r="B2242" s="605" t="s">
        <v>16636</v>
      </c>
      <c r="C2242" s="606" t="s">
        <v>12483</v>
      </c>
      <c r="D2242" s="607">
        <v>117.18</v>
      </c>
      <c r="E2242" s="607">
        <v>37.68</v>
      </c>
      <c r="F2242" s="607">
        <v>154.86000000000001</v>
      </c>
      <c r="G2242" s="584">
        <v>15</v>
      </c>
    </row>
    <row r="2243" spans="1:7" ht="30" x14ac:dyDescent="0.2">
      <c r="A2243" s="583" t="s">
        <v>16637</v>
      </c>
      <c r="B2243" s="605" t="s">
        <v>16638</v>
      </c>
      <c r="C2243" s="606" t="s">
        <v>12483</v>
      </c>
      <c r="D2243" s="607">
        <v>138.97999999999999</v>
      </c>
      <c r="E2243" s="607">
        <v>37.68</v>
      </c>
      <c r="F2243" s="607">
        <v>176.66</v>
      </c>
      <c r="G2243" s="584">
        <v>15</v>
      </c>
    </row>
    <row r="2244" spans="1:7" ht="30" x14ac:dyDescent="0.2">
      <c r="A2244" s="583" t="s">
        <v>16639</v>
      </c>
      <c r="B2244" s="605" t="s">
        <v>16640</v>
      </c>
      <c r="C2244" s="606" t="s">
        <v>12483</v>
      </c>
      <c r="D2244" s="607">
        <v>154.31</v>
      </c>
      <c r="E2244" s="607">
        <v>37.68</v>
      </c>
      <c r="F2244" s="607">
        <v>191.99</v>
      </c>
      <c r="G2244" s="584">
        <v>15</v>
      </c>
    </row>
    <row r="2245" spans="1:7" ht="30" x14ac:dyDescent="0.2">
      <c r="A2245" s="583" t="s">
        <v>16641</v>
      </c>
      <c r="B2245" s="605" t="s">
        <v>16642</v>
      </c>
      <c r="C2245" s="606" t="s">
        <v>12483</v>
      </c>
      <c r="D2245" s="607">
        <v>166.92</v>
      </c>
      <c r="E2245" s="607">
        <v>50.24</v>
      </c>
      <c r="F2245" s="607">
        <v>217.16</v>
      </c>
      <c r="G2245" s="584">
        <v>15</v>
      </c>
    </row>
    <row r="2246" spans="1:7" ht="30" x14ac:dyDescent="0.2">
      <c r="A2246" s="583" t="s">
        <v>16643</v>
      </c>
      <c r="B2246" s="605" t="s">
        <v>16644</v>
      </c>
      <c r="C2246" s="606" t="s">
        <v>12483</v>
      </c>
      <c r="D2246" s="607">
        <v>207.14</v>
      </c>
      <c r="E2246" s="607">
        <v>50.24</v>
      </c>
      <c r="F2246" s="607">
        <v>257.38</v>
      </c>
      <c r="G2246" s="584">
        <v>15</v>
      </c>
    </row>
    <row r="2247" spans="1:7" ht="30" x14ac:dyDescent="0.2">
      <c r="A2247" s="583" t="s">
        <v>16645</v>
      </c>
      <c r="B2247" s="605" t="s">
        <v>16646</v>
      </c>
      <c r="C2247" s="606" t="s">
        <v>12483</v>
      </c>
      <c r="D2247" s="607">
        <v>60.57</v>
      </c>
      <c r="E2247" s="607">
        <v>25.12</v>
      </c>
      <c r="F2247" s="607">
        <v>85.69</v>
      </c>
      <c r="G2247" s="584">
        <v>15</v>
      </c>
    </row>
    <row r="2248" spans="1:7" ht="30" x14ac:dyDescent="0.2">
      <c r="A2248" s="583" t="s">
        <v>16647</v>
      </c>
      <c r="B2248" s="605" t="s">
        <v>16648</v>
      </c>
      <c r="C2248" s="606" t="s">
        <v>12483</v>
      </c>
      <c r="D2248" s="607">
        <v>74.98</v>
      </c>
      <c r="E2248" s="607">
        <v>25.12</v>
      </c>
      <c r="F2248" s="607">
        <v>100.1</v>
      </c>
      <c r="G2248" s="584">
        <v>15</v>
      </c>
    </row>
    <row r="2249" spans="1:7" ht="30" x14ac:dyDescent="0.2">
      <c r="A2249" s="583" t="s">
        <v>16649</v>
      </c>
      <c r="B2249" s="605" t="s">
        <v>16650</v>
      </c>
      <c r="C2249" s="606" t="s">
        <v>12483</v>
      </c>
      <c r="D2249" s="607">
        <v>91.65</v>
      </c>
      <c r="E2249" s="607">
        <v>25.12</v>
      </c>
      <c r="F2249" s="607">
        <v>116.77</v>
      </c>
      <c r="G2249" s="584">
        <v>15</v>
      </c>
    </row>
    <row r="2250" spans="1:7" ht="30" x14ac:dyDescent="0.2">
      <c r="A2250" s="583" t="s">
        <v>16651</v>
      </c>
      <c r="B2250" s="605" t="s">
        <v>16652</v>
      </c>
      <c r="C2250" s="606" t="s">
        <v>12483</v>
      </c>
      <c r="D2250" s="607">
        <v>104.04</v>
      </c>
      <c r="E2250" s="607">
        <v>25.12</v>
      </c>
      <c r="F2250" s="607">
        <v>129.16</v>
      </c>
      <c r="G2250" s="584">
        <v>15</v>
      </c>
    </row>
    <row r="2251" spans="1:7" ht="15" x14ac:dyDescent="0.25">
      <c r="A2251" s="583" t="s">
        <v>16653</v>
      </c>
      <c r="B2251" s="605" t="s">
        <v>16654</v>
      </c>
      <c r="C2251" s="606"/>
      <c r="D2251" s="607"/>
      <c r="E2251" s="607"/>
      <c r="F2251" s="607"/>
      <c r="G2251" s="582"/>
    </row>
    <row r="2252" spans="1:7" ht="30" x14ac:dyDescent="0.2">
      <c r="A2252" s="583" t="s">
        <v>16655</v>
      </c>
      <c r="B2252" s="605" t="s">
        <v>20177</v>
      </c>
      <c r="C2252" s="606" t="s">
        <v>12483</v>
      </c>
      <c r="D2252" s="607">
        <v>101.02</v>
      </c>
      <c r="E2252" s="607">
        <v>37.68</v>
      </c>
      <c r="F2252" s="607">
        <v>138.69999999999999</v>
      </c>
      <c r="G2252" s="584">
        <v>15</v>
      </c>
    </row>
    <row r="2253" spans="1:7" ht="30" x14ac:dyDescent="0.2">
      <c r="A2253" s="583" t="s">
        <v>16656</v>
      </c>
      <c r="B2253" s="605" t="s">
        <v>20178</v>
      </c>
      <c r="C2253" s="606" t="s">
        <v>12483</v>
      </c>
      <c r="D2253" s="607">
        <v>121.13</v>
      </c>
      <c r="E2253" s="607">
        <v>37.68</v>
      </c>
      <c r="F2253" s="607">
        <v>158.81</v>
      </c>
      <c r="G2253" s="584">
        <v>15</v>
      </c>
    </row>
    <row r="2254" spans="1:7" ht="30" x14ac:dyDescent="0.2">
      <c r="A2254" s="583" t="s">
        <v>16657</v>
      </c>
      <c r="B2254" s="605" t="s">
        <v>20179</v>
      </c>
      <c r="C2254" s="606" t="s">
        <v>12483</v>
      </c>
      <c r="D2254" s="607">
        <v>138.26</v>
      </c>
      <c r="E2254" s="607">
        <v>37.68</v>
      </c>
      <c r="F2254" s="607">
        <v>175.94</v>
      </c>
      <c r="G2254" s="584">
        <v>15</v>
      </c>
    </row>
    <row r="2255" spans="1:7" ht="30" x14ac:dyDescent="0.2">
      <c r="A2255" s="583" t="s">
        <v>16658</v>
      </c>
      <c r="B2255" s="605" t="s">
        <v>20180</v>
      </c>
      <c r="C2255" s="606" t="s">
        <v>12483</v>
      </c>
      <c r="D2255" s="607">
        <v>148.5</v>
      </c>
      <c r="E2255" s="607">
        <v>50.24</v>
      </c>
      <c r="F2255" s="607">
        <v>198.74</v>
      </c>
      <c r="G2255" s="584">
        <v>15</v>
      </c>
    </row>
    <row r="2256" spans="1:7" ht="30" x14ac:dyDescent="0.2">
      <c r="A2256" s="583" t="s">
        <v>16659</v>
      </c>
      <c r="B2256" s="605" t="s">
        <v>20181</v>
      </c>
      <c r="C2256" s="606" t="s">
        <v>12483</v>
      </c>
      <c r="D2256" s="607">
        <v>213.94</v>
      </c>
      <c r="E2256" s="607">
        <v>50.24</v>
      </c>
      <c r="F2256" s="607">
        <v>264.18</v>
      </c>
      <c r="G2256" s="584">
        <v>15</v>
      </c>
    </row>
    <row r="2257" spans="1:7" ht="30" x14ac:dyDescent="0.2">
      <c r="A2257" s="583" t="s">
        <v>16660</v>
      </c>
      <c r="B2257" s="605" t="s">
        <v>20182</v>
      </c>
      <c r="C2257" s="606" t="s">
        <v>12483</v>
      </c>
      <c r="D2257" s="607">
        <v>27.61</v>
      </c>
      <c r="E2257" s="607">
        <v>2.5099999999999998</v>
      </c>
      <c r="F2257" s="607">
        <v>30.12</v>
      </c>
      <c r="G2257" s="584">
        <v>15</v>
      </c>
    </row>
    <row r="2258" spans="1:7" ht="30" x14ac:dyDescent="0.2">
      <c r="A2258" s="583" t="s">
        <v>16661</v>
      </c>
      <c r="B2258" s="605" t="s">
        <v>20183</v>
      </c>
      <c r="C2258" s="606" t="s">
        <v>12483</v>
      </c>
      <c r="D2258" s="607">
        <v>48.39</v>
      </c>
      <c r="E2258" s="607">
        <v>2.5099999999999998</v>
      </c>
      <c r="F2258" s="607">
        <v>50.9</v>
      </c>
      <c r="G2258" s="584">
        <v>15</v>
      </c>
    </row>
    <row r="2259" spans="1:7" ht="30" x14ac:dyDescent="0.2">
      <c r="A2259" s="583" t="s">
        <v>16662</v>
      </c>
      <c r="B2259" s="605" t="s">
        <v>20184</v>
      </c>
      <c r="C2259" s="606" t="s">
        <v>12483</v>
      </c>
      <c r="D2259" s="607">
        <v>67.38</v>
      </c>
      <c r="E2259" s="607">
        <v>2.5099999999999998</v>
      </c>
      <c r="F2259" s="607">
        <v>69.89</v>
      </c>
      <c r="G2259" s="584">
        <v>15</v>
      </c>
    </row>
    <row r="2260" spans="1:7" ht="30" x14ac:dyDescent="0.2">
      <c r="A2260" s="583" t="s">
        <v>16663</v>
      </c>
      <c r="B2260" s="605" t="s">
        <v>20185</v>
      </c>
      <c r="C2260" s="606" t="s">
        <v>12483</v>
      </c>
      <c r="D2260" s="607">
        <v>84.38</v>
      </c>
      <c r="E2260" s="607">
        <v>2.5099999999999998</v>
      </c>
      <c r="F2260" s="607">
        <v>86.89</v>
      </c>
      <c r="G2260" s="584">
        <v>15</v>
      </c>
    </row>
    <row r="2261" spans="1:7" ht="30" x14ac:dyDescent="0.2">
      <c r="A2261" s="583" t="s">
        <v>16664</v>
      </c>
      <c r="B2261" s="605" t="s">
        <v>20186</v>
      </c>
      <c r="C2261" s="606" t="s">
        <v>12483</v>
      </c>
      <c r="D2261" s="607">
        <v>114.8</v>
      </c>
      <c r="E2261" s="607">
        <v>2.5099999999999998</v>
      </c>
      <c r="F2261" s="607">
        <v>117.31</v>
      </c>
      <c r="G2261" s="584">
        <v>15</v>
      </c>
    </row>
    <row r="2262" spans="1:7" ht="30" x14ac:dyDescent="0.2">
      <c r="A2262" s="583" t="s">
        <v>16665</v>
      </c>
      <c r="B2262" s="605" t="s">
        <v>20187</v>
      </c>
      <c r="C2262" s="606" t="s">
        <v>12483</v>
      </c>
      <c r="D2262" s="607">
        <v>121.63</v>
      </c>
      <c r="E2262" s="607">
        <v>2.5099999999999998</v>
      </c>
      <c r="F2262" s="607">
        <v>124.14</v>
      </c>
      <c r="G2262" s="584">
        <v>15</v>
      </c>
    </row>
    <row r="2263" spans="1:7" ht="30" x14ac:dyDescent="0.2">
      <c r="A2263" s="583" t="s">
        <v>16666</v>
      </c>
      <c r="B2263" s="605" t="s">
        <v>20188</v>
      </c>
      <c r="C2263" s="606" t="s">
        <v>12483</v>
      </c>
      <c r="D2263" s="607">
        <v>163.44</v>
      </c>
      <c r="E2263" s="607">
        <v>2.5099999999999998</v>
      </c>
      <c r="F2263" s="607">
        <v>165.95</v>
      </c>
      <c r="G2263" s="584">
        <v>15</v>
      </c>
    </row>
    <row r="2264" spans="1:7" ht="15" x14ac:dyDescent="0.25">
      <c r="A2264" s="583" t="s">
        <v>16667</v>
      </c>
      <c r="B2264" s="605" t="s">
        <v>16668</v>
      </c>
      <c r="C2264" s="606"/>
      <c r="D2264" s="607"/>
      <c r="E2264" s="607"/>
      <c r="F2264" s="607"/>
      <c r="G2264" s="582"/>
    </row>
    <row r="2265" spans="1:7" ht="15" x14ac:dyDescent="0.2">
      <c r="A2265" s="583" t="s">
        <v>16669</v>
      </c>
      <c r="B2265" s="605" t="s">
        <v>20189</v>
      </c>
      <c r="C2265" s="606" t="s">
        <v>12375</v>
      </c>
      <c r="D2265" s="607">
        <v>5.8</v>
      </c>
      <c r="E2265" s="607">
        <v>12.56</v>
      </c>
      <c r="F2265" s="607">
        <v>18.36</v>
      </c>
      <c r="G2265" s="584">
        <v>15</v>
      </c>
    </row>
    <row r="2266" spans="1:7" ht="15" x14ac:dyDescent="0.2">
      <c r="A2266" s="583" t="s">
        <v>16670</v>
      </c>
      <c r="B2266" s="605" t="s">
        <v>20190</v>
      </c>
      <c r="C2266" s="606" t="s">
        <v>12375</v>
      </c>
      <c r="D2266" s="607">
        <v>10.69</v>
      </c>
      <c r="E2266" s="607">
        <v>12.56</v>
      </c>
      <c r="F2266" s="607">
        <v>23.25</v>
      </c>
      <c r="G2266" s="584">
        <v>15</v>
      </c>
    </row>
    <row r="2267" spans="1:7" ht="15" x14ac:dyDescent="0.2">
      <c r="A2267" s="583" t="s">
        <v>16671</v>
      </c>
      <c r="B2267" s="605" t="s">
        <v>20191</v>
      </c>
      <c r="C2267" s="606" t="s">
        <v>12375</v>
      </c>
      <c r="D2267" s="607">
        <v>13.58</v>
      </c>
      <c r="E2267" s="607">
        <v>12.56</v>
      </c>
      <c r="F2267" s="607">
        <v>26.14</v>
      </c>
      <c r="G2267" s="584">
        <v>15</v>
      </c>
    </row>
    <row r="2268" spans="1:7" ht="15" x14ac:dyDescent="0.2">
      <c r="A2268" s="583" t="s">
        <v>16672</v>
      </c>
      <c r="B2268" s="605" t="s">
        <v>20192</v>
      </c>
      <c r="C2268" s="606" t="s">
        <v>12375</v>
      </c>
      <c r="D2268" s="607">
        <v>16.399999999999999</v>
      </c>
      <c r="E2268" s="607">
        <v>12.56</v>
      </c>
      <c r="F2268" s="607">
        <v>28.96</v>
      </c>
      <c r="G2268" s="584">
        <v>15</v>
      </c>
    </row>
    <row r="2269" spans="1:7" ht="15" x14ac:dyDescent="0.2">
      <c r="A2269" s="583" t="s">
        <v>16673</v>
      </c>
      <c r="B2269" s="605" t="s">
        <v>20193</v>
      </c>
      <c r="C2269" s="606" t="s">
        <v>12375</v>
      </c>
      <c r="D2269" s="607">
        <v>18.64</v>
      </c>
      <c r="E2269" s="607">
        <v>12.56</v>
      </c>
      <c r="F2269" s="607">
        <v>31.2</v>
      </c>
      <c r="G2269" s="584">
        <v>15</v>
      </c>
    </row>
    <row r="2270" spans="1:7" ht="15" x14ac:dyDescent="0.2">
      <c r="A2270" s="583" t="s">
        <v>16674</v>
      </c>
      <c r="B2270" s="605" t="s">
        <v>20194</v>
      </c>
      <c r="C2270" s="606" t="s">
        <v>12375</v>
      </c>
      <c r="D2270" s="607">
        <v>22.18</v>
      </c>
      <c r="E2270" s="607">
        <v>12.56</v>
      </c>
      <c r="F2270" s="607">
        <v>34.74</v>
      </c>
      <c r="G2270" s="584">
        <v>15</v>
      </c>
    </row>
    <row r="2271" spans="1:7" ht="15" x14ac:dyDescent="0.2">
      <c r="A2271" s="583" t="s">
        <v>16675</v>
      </c>
      <c r="B2271" s="605" t="s">
        <v>20195</v>
      </c>
      <c r="C2271" s="606" t="s">
        <v>12375</v>
      </c>
      <c r="D2271" s="607">
        <v>13.87</v>
      </c>
      <c r="E2271" s="607">
        <v>12.56</v>
      </c>
      <c r="F2271" s="607">
        <v>26.43</v>
      </c>
      <c r="G2271" s="584">
        <v>15</v>
      </c>
    </row>
    <row r="2272" spans="1:7" ht="15" x14ac:dyDescent="0.2">
      <c r="A2272" s="583" t="s">
        <v>16676</v>
      </c>
      <c r="B2272" s="605" t="s">
        <v>20196</v>
      </c>
      <c r="C2272" s="606" t="s">
        <v>12375</v>
      </c>
      <c r="D2272" s="607">
        <v>15.8</v>
      </c>
      <c r="E2272" s="607">
        <v>12.56</v>
      </c>
      <c r="F2272" s="607">
        <v>28.36</v>
      </c>
      <c r="G2272" s="584">
        <v>15</v>
      </c>
    </row>
    <row r="2273" spans="1:7" ht="15" x14ac:dyDescent="0.2">
      <c r="A2273" s="583" t="s">
        <v>16677</v>
      </c>
      <c r="B2273" s="605" t="s">
        <v>20197</v>
      </c>
      <c r="C2273" s="606" t="s">
        <v>12375</v>
      </c>
      <c r="D2273" s="607">
        <v>21.1</v>
      </c>
      <c r="E2273" s="607">
        <v>12.56</v>
      </c>
      <c r="F2273" s="607">
        <v>33.659999999999997</v>
      </c>
      <c r="G2273" s="584">
        <v>15</v>
      </c>
    </row>
    <row r="2274" spans="1:7" ht="15" x14ac:dyDescent="0.2">
      <c r="A2274" s="583" t="s">
        <v>16678</v>
      </c>
      <c r="B2274" s="605" t="s">
        <v>20198</v>
      </c>
      <c r="C2274" s="606" t="s">
        <v>12375</v>
      </c>
      <c r="D2274" s="607">
        <v>21.81</v>
      </c>
      <c r="E2274" s="607">
        <v>12.56</v>
      </c>
      <c r="F2274" s="607">
        <v>34.369999999999997</v>
      </c>
      <c r="G2274" s="584">
        <v>15</v>
      </c>
    </row>
    <row r="2275" spans="1:7" ht="15" x14ac:dyDescent="0.2">
      <c r="A2275" s="583" t="s">
        <v>16679</v>
      </c>
      <c r="B2275" s="605" t="s">
        <v>20199</v>
      </c>
      <c r="C2275" s="606" t="s">
        <v>12375</v>
      </c>
      <c r="D2275" s="607">
        <v>25.89</v>
      </c>
      <c r="E2275" s="607">
        <v>12.56</v>
      </c>
      <c r="F2275" s="607">
        <v>38.450000000000003</v>
      </c>
      <c r="G2275" s="584">
        <v>15</v>
      </c>
    </row>
    <row r="2276" spans="1:7" ht="15" x14ac:dyDescent="0.2">
      <c r="A2276" s="583" t="s">
        <v>16680</v>
      </c>
      <c r="B2276" s="605" t="s">
        <v>20200</v>
      </c>
      <c r="C2276" s="606" t="s">
        <v>12375</v>
      </c>
      <c r="D2276" s="607">
        <v>27.92</v>
      </c>
      <c r="E2276" s="607">
        <v>12.56</v>
      </c>
      <c r="F2276" s="607">
        <v>40.479999999999997</v>
      </c>
      <c r="G2276" s="584">
        <v>15</v>
      </c>
    </row>
    <row r="2277" spans="1:7" ht="15" x14ac:dyDescent="0.2">
      <c r="A2277" s="583" t="s">
        <v>16681</v>
      </c>
      <c r="B2277" s="605" t="s">
        <v>20201</v>
      </c>
      <c r="C2277" s="606" t="s">
        <v>12375</v>
      </c>
      <c r="D2277" s="607">
        <v>15.34</v>
      </c>
      <c r="E2277" s="607">
        <v>12.56</v>
      </c>
      <c r="F2277" s="607">
        <v>27.9</v>
      </c>
      <c r="G2277" s="584">
        <v>15</v>
      </c>
    </row>
    <row r="2278" spans="1:7" ht="15" x14ac:dyDescent="0.2">
      <c r="A2278" s="583" t="s">
        <v>16682</v>
      </c>
      <c r="B2278" s="605" t="s">
        <v>20202</v>
      </c>
      <c r="C2278" s="606" t="s">
        <v>12375</v>
      </c>
      <c r="D2278" s="607">
        <v>17.45</v>
      </c>
      <c r="E2278" s="607">
        <v>12.56</v>
      </c>
      <c r="F2278" s="607">
        <v>30.01</v>
      </c>
      <c r="G2278" s="584">
        <v>15</v>
      </c>
    </row>
    <row r="2279" spans="1:7" ht="15" x14ac:dyDescent="0.2">
      <c r="A2279" s="583" t="s">
        <v>16683</v>
      </c>
      <c r="B2279" s="605" t="s">
        <v>20203</v>
      </c>
      <c r="C2279" s="606" t="s">
        <v>12375</v>
      </c>
      <c r="D2279" s="607">
        <v>21.87</v>
      </c>
      <c r="E2279" s="607">
        <v>12.56</v>
      </c>
      <c r="F2279" s="607">
        <v>34.43</v>
      </c>
      <c r="G2279" s="584">
        <v>15</v>
      </c>
    </row>
    <row r="2280" spans="1:7" ht="15" x14ac:dyDescent="0.2">
      <c r="A2280" s="583" t="s">
        <v>16684</v>
      </c>
      <c r="B2280" s="605" t="s">
        <v>20204</v>
      </c>
      <c r="C2280" s="606" t="s">
        <v>12375</v>
      </c>
      <c r="D2280" s="607">
        <v>27.25</v>
      </c>
      <c r="E2280" s="607">
        <v>12.56</v>
      </c>
      <c r="F2280" s="607">
        <v>39.81</v>
      </c>
      <c r="G2280" s="584">
        <v>15</v>
      </c>
    </row>
    <row r="2281" spans="1:7" ht="15" x14ac:dyDescent="0.2">
      <c r="A2281" s="583" t="s">
        <v>16685</v>
      </c>
      <c r="B2281" s="605" t="s">
        <v>20205</v>
      </c>
      <c r="C2281" s="606" t="s">
        <v>12375</v>
      </c>
      <c r="D2281" s="607">
        <v>25.85</v>
      </c>
      <c r="E2281" s="607">
        <v>17.579999999999998</v>
      </c>
      <c r="F2281" s="607">
        <v>43.43</v>
      </c>
      <c r="G2281" s="584">
        <v>15</v>
      </c>
    </row>
    <row r="2282" spans="1:7" ht="15" x14ac:dyDescent="0.2">
      <c r="A2282" s="583" t="s">
        <v>16686</v>
      </c>
      <c r="B2282" s="605" t="s">
        <v>20206</v>
      </c>
      <c r="C2282" s="606" t="s">
        <v>12375</v>
      </c>
      <c r="D2282" s="607">
        <v>33.200000000000003</v>
      </c>
      <c r="E2282" s="607">
        <v>17.579999999999998</v>
      </c>
      <c r="F2282" s="607">
        <v>50.78</v>
      </c>
      <c r="G2282" s="584">
        <v>15</v>
      </c>
    </row>
    <row r="2283" spans="1:7" ht="15" x14ac:dyDescent="0.2">
      <c r="A2283" s="583" t="s">
        <v>16687</v>
      </c>
      <c r="B2283" s="605" t="s">
        <v>20207</v>
      </c>
      <c r="C2283" s="606" t="s">
        <v>12375</v>
      </c>
      <c r="D2283" s="607">
        <v>47.49</v>
      </c>
      <c r="E2283" s="607">
        <v>17.579999999999998</v>
      </c>
      <c r="F2283" s="607">
        <v>65.069999999999993</v>
      </c>
      <c r="G2283" s="584">
        <v>15</v>
      </c>
    </row>
    <row r="2284" spans="1:7" ht="15" x14ac:dyDescent="0.25">
      <c r="A2284" s="583" t="s">
        <v>16688</v>
      </c>
      <c r="B2284" s="605" t="s">
        <v>16689</v>
      </c>
      <c r="C2284" s="606"/>
      <c r="D2284" s="607"/>
      <c r="E2284" s="607"/>
      <c r="F2284" s="607"/>
      <c r="G2284" s="582"/>
    </row>
    <row r="2285" spans="1:7" ht="15" x14ac:dyDescent="0.25">
      <c r="A2285" s="583" t="s">
        <v>16690</v>
      </c>
      <c r="B2285" s="605" t="s">
        <v>16691</v>
      </c>
      <c r="C2285" s="606"/>
      <c r="D2285" s="607"/>
      <c r="E2285" s="607"/>
      <c r="F2285" s="607"/>
      <c r="G2285" s="582"/>
    </row>
    <row r="2286" spans="1:7" ht="30" x14ac:dyDescent="0.2">
      <c r="A2286" s="583" t="s">
        <v>16692</v>
      </c>
      <c r="B2286" s="605" t="s">
        <v>16693</v>
      </c>
      <c r="C2286" s="606" t="s">
        <v>12483</v>
      </c>
      <c r="D2286" s="607">
        <v>1.59</v>
      </c>
      <c r="E2286" s="607">
        <v>2.0099999999999998</v>
      </c>
      <c r="F2286" s="607">
        <v>3.6</v>
      </c>
      <c r="G2286" s="584">
        <v>15</v>
      </c>
    </row>
    <row r="2287" spans="1:7" ht="30" x14ac:dyDescent="0.2">
      <c r="A2287" s="583" t="s">
        <v>16694</v>
      </c>
      <c r="B2287" s="605" t="s">
        <v>16695</v>
      </c>
      <c r="C2287" s="606" t="s">
        <v>12483</v>
      </c>
      <c r="D2287" s="607">
        <v>2.42</v>
      </c>
      <c r="E2287" s="607">
        <v>2.0099999999999998</v>
      </c>
      <c r="F2287" s="607">
        <v>4.43</v>
      </c>
      <c r="G2287" s="584">
        <v>15</v>
      </c>
    </row>
    <row r="2288" spans="1:7" ht="30" x14ac:dyDescent="0.2">
      <c r="A2288" s="583" t="s">
        <v>16696</v>
      </c>
      <c r="B2288" s="605" t="s">
        <v>16697</v>
      </c>
      <c r="C2288" s="606" t="s">
        <v>12483</v>
      </c>
      <c r="D2288" s="607">
        <v>3.9</v>
      </c>
      <c r="E2288" s="607">
        <v>3.02</v>
      </c>
      <c r="F2288" s="607">
        <v>6.92</v>
      </c>
      <c r="G2288" s="584">
        <v>15</v>
      </c>
    </row>
    <row r="2289" spans="1:7" ht="30" x14ac:dyDescent="0.2">
      <c r="A2289" s="583" t="s">
        <v>16698</v>
      </c>
      <c r="B2289" s="605" t="s">
        <v>16699</v>
      </c>
      <c r="C2289" s="606" t="s">
        <v>12483</v>
      </c>
      <c r="D2289" s="607">
        <v>5.81</v>
      </c>
      <c r="E2289" s="607">
        <v>3.52</v>
      </c>
      <c r="F2289" s="607">
        <v>9.33</v>
      </c>
      <c r="G2289" s="584">
        <v>15</v>
      </c>
    </row>
    <row r="2290" spans="1:7" ht="30" x14ac:dyDescent="0.2">
      <c r="A2290" s="583" t="s">
        <v>16700</v>
      </c>
      <c r="B2290" s="605" t="s">
        <v>16701</v>
      </c>
      <c r="C2290" s="606" t="s">
        <v>12483</v>
      </c>
      <c r="D2290" s="607">
        <v>9.73</v>
      </c>
      <c r="E2290" s="607">
        <v>4.0199999999999996</v>
      </c>
      <c r="F2290" s="607">
        <v>13.75</v>
      </c>
      <c r="G2290" s="584">
        <v>15</v>
      </c>
    </row>
    <row r="2291" spans="1:7" ht="15" x14ac:dyDescent="0.25">
      <c r="A2291" s="583" t="s">
        <v>16702</v>
      </c>
      <c r="B2291" s="605" t="s">
        <v>16703</v>
      </c>
      <c r="C2291" s="606"/>
      <c r="D2291" s="607"/>
      <c r="E2291" s="607"/>
      <c r="F2291" s="607"/>
      <c r="G2291" s="582"/>
    </row>
    <row r="2292" spans="1:7" ht="30" x14ac:dyDescent="0.2">
      <c r="A2292" s="583" t="s">
        <v>16704</v>
      </c>
      <c r="B2292" s="605" t="s">
        <v>16705</v>
      </c>
      <c r="C2292" s="606" t="s">
        <v>12483</v>
      </c>
      <c r="D2292" s="607">
        <v>1.1599999999999999</v>
      </c>
      <c r="E2292" s="607">
        <v>2.0099999999999998</v>
      </c>
      <c r="F2292" s="607">
        <v>3.17</v>
      </c>
      <c r="G2292" s="584">
        <v>15</v>
      </c>
    </row>
    <row r="2293" spans="1:7" ht="30" x14ac:dyDescent="0.2">
      <c r="A2293" s="583" t="s">
        <v>16706</v>
      </c>
      <c r="B2293" s="605" t="s">
        <v>16707</v>
      </c>
      <c r="C2293" s="606" t="s">
        <v>12483</v>
      </c>
      <c r="D2293" s="607">
        <v>1.84</v>
      </c>
      <c r="E2293" s="607">
        <v>2.5099999999999998</v>
      </c>
      <c r="F2293" s="607">
        <v>4.3499999999999996</v>
      </c>
      <c r="G2293" s="584">
        <v>15</v>
      </c>
    </row>
    <row r="2294" spans="1:7" ht="30" x14ac:dyDescent="0.2">
      <c r="A2294" s="583" t="s">
        <v>16708</v>
      </c>
      <c r="B2294" s="605" t="s">
        <v>20296</v>
      </c>
      <c r="C2294" s="606" t="s">
        <v>12483</v>
      </c>
      <c r="D2294" s="607">
        <v>2.81</v>
      </c>
      <c r="E2294" s="607">
        <v>3.02</v>
      </c>
      <c r="F2294" s="607">
        <v>5.83</v>
      </c>
      <c r="G2294" s="584">
        <v>15</v>
      </c>
    </row>
    <row r="2295" spans="1:7" ht="30" x14ac:dyDescent="0.2">
      <c r="A2295" s="583" t="s">
        <v>16709</v>
      </c>
      <c r="B2295" s="605" t="s">
        <v>16710</v>
      </c>
      <c r="C2295" s="606" t="s">
        <v>12483</v>
      </c>
      <c r="D2295" s="607">
        <v>4.05</v>
      </c>
      <c r="E2295" s="607">
        <v>3.52</v>
      </c>
      <c r="F2295" s="607">
        <v>7.57</v>
      </c>
      <c r="G2295" s="584">
        <v>15</v>
      </c>
    </row>
    <row r="2296" spans="1:7" ht="30" x14ac:dyDescent="0.2">
      <c r="A2296" s="583" t="s">
        <v>16711</v>
      </c>
      <c r="B2296" s="605" t="s">
        <v>16712</v>
      </c>
      <c r="C2296" s="606" t="s">
        <v>12483</v>
      </c>
      <c r="D2296" s="607">
        <v>7.4</v>
      </c>
      <c r="E2296" s="607">
        <v>4.0199999999999996</v>
      </c>
      <c r="F2296" s="607">
        <v>11.42</v>
      </c>
      <c r="G2296" s="584">
        <v>15</v>
      </c>
    </row>
    <row r="2297" spans="1:7" ht="15" x14ac:dyDescent="0.25">
      <c r="A2297" s="583" t="s">
        <v>16713</v>
      </c>
      <c r="B2297" s="605" t="s">
        <v>16714</v>
      </c>
      <c r="C2297" s="606"/>
      <c r="D2297" s="607"/>
      <c r="E2297" s="607"/>
      <c r="F2297" s="607"/>
      <c r="G2297" s="582"/>
    </row>
    <row r="2298" spans="1:7" ht="15" x14ac:dyDescent="0.2">
      <c r="A2298" s="583" t="s">
        <v>16715</v>
      </c>
      <c r="B2298" s="605" t="s">
        <v>16716</v>
      </c>
      <c r="C2298" s="606" t="s">
        <v>12483</v>
      </c>
      <c r="D2298" s="607">
        <v>10.92</v>
      </c>
      <c r="E2298" s="607">
        <v>2.5099999999999998</v>
      </c>
      <c r="F2298" s="607">
        <v>13.43</v>
      </c>
      <c r="G2298" s="584">
        <v>15</v>
      </c>
    </row>
    <row r="2299" spans="1:7" ht="15" x14ac:dyDescent="0.2">
      <c r="A2299" s="583" t="s">
        <v>16717</v>
      </c>
      <c r="B2299" s="605" t="s">
        <v>16718</v>
      </c>
      <c r="C2299" s="606" t="s">
        <v>12483</v>
      </c>
      <c r="D2299" s="607">
        <v>15.42</v>
      </c>
      <c r="E2299" s="607">
        <v>2.5099999999999998</v>
      </c>
      <c r="F2299" s="607">
        <v>17.93</v>
      </c>
      <c r="G2299" s="584">
        <v>15</v>
      </c>
    </row>
    <row r="2300" spans="1:7" ht="15" x14ac:dyDescent="0.2">
      <c r="A2300" s="583" t="s">
        <v>16719</v>
      </c>
      <c r="B2300" s="605" t="s">
        <v>16720</v>
      </c>
      <c r="C2300" s="606" t="s">
        <v>12483</v>
      </c>
      <c r="D2300" s="607">
        <v>23.63</v>
      </c>
      <c r="E2300" s="607">
        <v>5.0199999999999996</v>
      </c>
      <c r="F2300" s="607">
        <v>28.65</v>
      </c>
      <c r="G2300" s="584">
        <v>15</v>
      </c>
    </row>
    <row r="2301" spans="1:7" ht="15" x14ac:dyDescent="0.2">
      <c r="A2301" s="583" t="s">
        <v>16721</v>
      </c>
      <c r="B2301" s="605" t="s">
        <v>16722</v>
      </c>
      <c r="C2301" s="606" t="s">
        <v>12483</v>
      </c>
      <c r="D2301" s="607">
        <v>33.96</v>
      </c>
      <c r="E2301" s="607">
        <v>7.54</v>
      </c>
      <c r="F2301" s="607">
        <v>41.5</v>
      </c>
      <c r="G2301" s="584">
        <v>15</v>
      </c>
    </row>
    <row r="2302" spans="1:7" ht="15" x14ac:dyDescent="0.2">
      <c r="A2302" s="583" t="s">
        <v>16723</v>
      </c>
      <c r="B2302" s="605" t="s">
        <v>16724</v>
      </c>
      <c r="C2302" s="606" t="s">
        <v>12483</v>
      </c>
      <c r="D2302" s="607">
        <v>47.29</v>
      </c>
      <c r="E2302" s="607">
        <v>10.050000000000001</v>
      </c>
      <c r="F2302" s="607">
        <v>57.34</v>
      </c>
      <c r="G2302" s="584">
        <v>15</v>
      </c>
    </row>
    <row r="2303" spans="1:7" ht="15" x14ac:dyDescent="0.2">
      <c r="A2303" s="583" t="s">
        <v>16725</v>
      </c>
      <c r="B2303" s="605" t="s">
        <v>16726</v>
      </c>
      <c r="C2303" s="606" t="s">
        <v>12483</v>
      </c>
      <c r="D2303" s="607">
        <v>65.98</v>
      </c>
      <c r="E2303" s="607">
        <v>12.56</v>
      </c>
      <c r="F2303" s="607">
        <v>78.540000000000006</v>
      </c>
      <c r="G2303" s="584">
        <v>15</v>
      </c>
    </row>
    <row r="2304" spans="1:7" ht="15" x14ac:dyDescent="0.2">
      <c r="A2304" s="583" t="s">
        <v>16727</v>
      </c>
      <c r="B2304" s="605" t="s">
        <v>16728</v>
      </c>
      <c r="C2304" s="606" t="s">
        <v>12483</v>
      </c>
      <c r="D2304" s="607">
        <v>90.63</v>
      </c>
      <c r="E2304" s="607">
        <v>15.07</v>
      </c>
      <c r="F2304" s="607">
        <v>105.7</v>
      </c>
      <c r="G2304" s="584">
        <v>15</v>
      </c>
    </row>
    <row r="2305" spans="1:7" ht="15" x14ac:dyDescent="0.2">
      <c r="A2305" s="583" t="s">
        <v>16729</v>
      </c>
      <c r="B2305" s="605" t="s">
        <v>16730</v>
      </c>
      <c r="C2305" s="606" t="s">
        <v>12483</v>
      </c>
      <c r="D2305" s="607">
        <v>199.72</v>
      </c>
      <c r="E2305" s="607">
        <v>22.61</v>
      </c>
      <c r="F2305" s="607">
        <v>222.33</v>
      </c>
      <c r="G2305" s="584">
        <v>15</v>
      </c>
    </row>
    <row r="2306" spans="1:7" ht="15" x14ac:dyDescent="0.25">
      <c r="A2306" s="583" t="s">
        <v>16731</v>
      </c>
      <c r="B2306" s="605" t="s">
        <v>16732</v>
      </c>
      <c r="C2306" s="606"/>
      <c r="D2306" s="607"/>
      <c r="E2306" s="607"/>
      <c r="F2306" s="607"/>
      <c r="G2306" s="582"/>
    </row>
    <row r="2307" spans="1:7" ht="30" x14ac:dyDescent="0.2">
      <c r="A2307" s="583" t="s">
        <v>16733</v>
      </c>
      <c r="B2307" s="605" t="s">
        <v>16734</v>
      </c>
      <c r="C2307" s="606" t="s">
        <v>12483</v>
      </c>
      <c r="D2307" s="607">
        <v>197.14</v>
      </c>
      <c r="E2307" s="607">
        <v>45.56</v>
      </c>
      <c r="F2307" s="607">
        <v>242.7</v>
      </c>
      <c r="G2307" s="584">
        <v>15</v>
      </c>
    </row>
    <row r="2308" spans="1:7" ht="30" x14ac:dyDescent="0.25">
      <c r="A2308" s="583" t="s">
        <v>16735</v>
      </c>
      <c r="B2308" s="605" t="s">
        <v>16736</v>
      </c>
      <c r="C2308" s="606"/>
      <c r="D2308" s="607"/>
      <c r="E2308" s="607"/>
      <c r="F2308" s="607"/>
      <c r="G2308" s="582"/>
    </row>
    <row r="2309" spans="1:7" ht="30" x14ac:dyDescent="0.2">
      <c r="A2309" s="583" t="s">
        <v>16737</v>
      </c>
      <c r="B2309" s="605" t="s">
        <v>16738</v>
      </c>
      <c r="C2309" s="606" t="s">
        <v>12483</v>
      </c>
      <c r="D2309" s="607">
        <v>57.44</v>
      </c>
      <c r="E2309" s="607">
        <v>27.34</v>
      </c>
      <c r="F2309" s="607">
        <v>84.78</v>
      </c>
      <c r="G2309" s="584">
        <v>15</v>
      </c>
    </row>
    <row r="2310" spans="1:7" ht="30" x14ac:dyDescent="0.2">
      <c r="A2310" s="583" t="s">
        <v>16739</v>
      </c>
      <c r="B2310" s="605" t="s">
        <v>16740</v>
      </c>
      <c r="C2310" s="606" t="s">
        <v>12483</v>
      </c>
      <c r="D2310" s="607">
        <v>72.599999999999994</v>
      </c>
      <c r="E2310" s="607">
        <v>32.909999999999997</v>
      </c>
      <c r="F2310" s="607">
        <v>105.51</v>
      </c>
      <c r="G2310" s="584">
        <v>15</v>
      </c>
    </row>
    <row r="2311" spans="1:7" ht="30" x14ac:dyDescent="0.2">
      <c r="A2311" s="583" t="s">
        <v>16741</v>
      </c>
      <c r="B2311" s="605" t="s">
        <v>16742</v>
      </c>
      <c r="C2311" s="606" t="s">
        <v>12483</v>
      </c>
      <c r="D2311" s="607">
        <v>84.47</v>
      </c>
      <c r="E2311" s="607">
        <v>45.56</v>
      </c>
      <c r="F2311" s="607">
        <v>130.03</v>
      </c>
      <c r="G2311" s="584">
        <v>15</v>
      </c>
    </row>
    <row r="2312" spans="1:7" ht="30" x14ac:dyDescent="0.2">
      <c r="A2312" s="583" t="s">
        <v>16743</v>
      </c>
      <c r="B2312" s="605" t="s">
        <v>16744</v>
      </c>
      <c r="C2312" s="606" t="s">
        <v>12483</v>
      </c>
      <c r="D2312" s="607">
        <v>162.15</v>
      </c>
      <c r="E2312" s="607">
        <v>54.67</v>
      </c>
      <c r="F2312" s="607">
        <v>216.82</v>
      </c>
      <c r="G2312" s="584">
        <v>15</v>
      </c>
    </row>
    <row r="2313" spans="1:7" ht="15" x14ac:dyDescent="0.25">
      <c r="A2313" s="583" t="s">
        <v>16745</v>
      </c>
      <c r="B2313" s="605" t="s">
        <v>16746</v>
      </c>
      <c r="C2313" s="606"/>
      <c r="D2313" s="607"/>
      <c r="E2313" s="607"/>
      <c r="F2313" s="607"/>
      <c r="G2313" s="582"/>
    </row>
    <row r="2314" spans="1:7" ht="15" x14ac:dyDescent="0.2">
      <c r="A2314" s="583" t="s">
        <v>16747</v>
      </c>
      <c r="B2314" s="605" t="s">
        <v>16748</v>
      </c>
      <c r="C2314" s="606" t="s">
        <v>12375</v>
      </c>
      <c r="D2314" s="607">
        <v>12.23</v>
      </c>
      <c r="E2314" s="607">
        <v>5.0199999999999996</v>
      </c>
      <c r="F2314" s="607">
        <v>17.25</v>
      </c>
      <c r="G2314" s="584">
        <v>15</v>
      </c>
    </row>
    <row r="2315" spans="1:7" ht="15" x14ac:dyDescent="0.2">
      <c r="A2315" s="583" t="s">
        <v>16749</v>
      </c>
      <c r="B2315" s="605" t="s">
        <v>16750</v>
      </c>
      <c r="C2315" s="606" t="s">
        <v>12375</v>
      </c>
      <c r="D2315" s="607">
        <v>6.56</v>
      </c>
      <c r="E2315" s="607">
        <v>5.0199999999999996</v>
      </c>
      <c r="F2315" s="607">
        <v>11.58</v>
      </c>
      <c r="G2315" s="584">
        <v>15</v>
      </c>
    </row>
    <row r="2316" spans="1:7" ht="15" x14ac:dyDescent="0.2">
      <c r="A2316" s="583" t="s">
        <v>16751</v>
      </c>
      <c r="B2316" s="605" t="s">
        <v>16752</v>
      </c>
      <c r="C2316" s="606" t="s">
        <v>12375</v>
      </c>
      <c r="D2316" s="607">
        <v>9.26</v>
      </c>
      <c r="E2316" s="607">
        <v>5.0199999999999996</v>
      </c>
      <c r="F2316" s="607">
        <v>14.28</v>
      </c>
      <c r="G2316" s="584">
        <v>15</v>
      </c>
    </row>
    <row r="2317" spans="1:7" ht="15" x14ac:dyDescent="0.2">
      <c r="A2317" s="583" t="s">
        <v>16753</v>
      </c>
      <c r="B2317" s="605" t="s">
        <v>16754</v>
      </c>
      <c r="C2317" s="606" t="s">
        <v>12375</v>
      </c>
      <c r="D2317" s="607">
        <v>11.52</v>
      </c>
      <c r="E2317" s="607">
        <v>5.0199999999999996</v>
      </c>
      <c r="F2317" s="607">
        <v>16.54</v>
      </c>
      <c r="G2317" s="584">
        <v>15</v>
      </c>
    </row>
    <row r="2318" spans="1:7" ht="15" x14ac:dyDescent="0.2">
      <c r="A2318" s="583" t="s">
        <v>16755</v>
      </c>
      <c r="B2318" s="605" t="s">
        <v>16756</v>
      </c>
      <c r="C2318" s="606" t="s">
        <v>12375</v>
      </c>
      <c r="D2318" s="607">
        <v>13.18</v>
      </c>
      <c r="E2318" s="607">
        <v>5.0199999999999996</v>
      </c>
      <c r="F2318" s="607">
        <v>18.2</v>
      </c>
      <c r="G2318" s="584">
        <v>15</v>
      </c>
    </row>
    <row r="2319" spans="1:7" ht="15" x14ac:dyDescent="0.2">
      <c r="A2319" s="583" t="s">
        <v>16757</v>
      </c>
      <c r="B2319" s="605" t="s">
        <v>16758</v>
      </c>
      <c r="C2319" s="606" t="s">
        <v>12375</v>
      </c>
      <c r="D2319" s="607">
        <v>13.48</v>
      </c>
      <c r="E2319" s="607">
        <v>5.0199999999999996</v>
      </c>
      <c r="F2319" s="607">
        <v>18.5</v>
      </c>
      <c r="G2319" s="584">
        <v>15</v>
      </c>
    </row>
    <row r="2320" spans="1:7" ht="15" x14ac:dyDescent="0.2">
      <c r="A2320" s="583" t="s">
        <v>16759</v>
      </c>
      <c r="B2320" s="605" t="s">
        <v>16760</v>
      </c>
      <c r="C2320" s="606" t="s">
        <v>12375</v>
      </c>
      <c r="D2320" s="607">
        <v>16</v>
      </c>
      <c r="E2320" s="607">
        <v>5.0199999999999996</v>
      </c>
      <c r="F2320" s="607">
        <v>21.02</v>
      </c>
      <c r="G2320" s="584">
        <v>15</v>
      </c>
    </row>
    <row r="2321" spans="1:7" ht="15" x14ac:dyDescent="0.2">
      <c r="A2321" s="583" t="s">
        <v>16761</v>
      </c>
      <c r="B2321" s="605" t="s">
        <v>16762</v>
      </c>
      <c r="C2321" s="606" t="s">
        <v>12375</v>
      </c>
      <c r="D2321" s="607">
        <v>18.22</v>
      </c>
      <c r="E2321" s="607">
        <v>5.0199999999999996</v>
      </c>
      <c r="F2321" s="607">
        <v>23.24</v>
      </c>
      <c r="G2321" s="584">
        <v>15</v>
      </c>
    </row>
    <row r="2322" spans="1:7" ht="15" x14ac:dyDescent="0.25">
      <c r="A2322" s="583" t="s">
        <v>16763</v>
      </c>
      <c r="B2322" s="605" t="s">
        <v>16764</v>
      </c>
      <c r="C2322" s="606"/>
      <c r="D2322" s="607"/>
      <c r="E2322" s="607"/>
      <c r="F2322" s="607"/>
      <c r="G2322" s="582"/>
    </row>
    <row r="2323" spans="1:7" ht="15" x14ac:dyDescent="0.2">
      <c r="A2323" s="583" t="s">
        <v>16765</v>
      </c>
      <c r="B2323" s="605" t="s">
        <v>16766</v>
      </c>
      <c r="C2323" s="606" t="s">
        <v>12375</v>
      </c>
      <c r="D2323" s="607">
        <v>0.98</v>
      </c>
      <c r="E2323" s="607">
        <v>4.0199999999999996</v>
      </c>
      <c r="F2323" s="607">
        <v>5</v>
      </c>
      <c r="G2323" s="584">
        <v>15</v>
      </c>
    </row>
    <row r="2324" spans="1:7" ht="15" x14ac:dyDescent="0.2">
      <c r="A2324" s="583" t="s">
        <v>16767</v>
      </c>
      <c r="B2324" s="605" t="s">
        <v>16768</v>
      </c>
      <c r="C2324" s="606" t="s">
        <v>12375</v>
      </c>
      <c r="D2324" s="607">
        <v>7.76</v>
      </c>
      <c r="E2324" s="607">
        <v>7.54</v>
      </c>
      <c r="F2324" s="607">
        <v>15.3</v>
      </c>
      <c r="G2324" s="584">
        <v>15</v>
      </c>
    </row>
    <row r="2325" spans="1:7" ht="15" x14ac:dyDescent="0.2">
      <c r="A2325" s="583" t="s">
        <v>16769</v>
      </c>
      <c r="B2325" s="605" t="s">
        <v>16770</v>
      </c>
      <c r="C2325" s="606" t="s">
        <v>12375</v>
      </c>
      <c r="D2325" s="607">
        <v>8.49</v>
      </c>
      <c r="E2325" s="607">
        <v>7.54</v>
      </c>
      <c r="F2325" s="607">
        <v>16.03</v>
      </c>
      <c r="G2325" s="584">
        <v>15</v>
      </c>
    </row>
    <row r="2326" spans="1:7" ht="15" x14ac:dyDescent="0.2">
      <c r="A2326" s="583" t="s">
        <v>16771</v>
      </c>
      <c r="B2326" s="605" t="s">
        <v>16772</v>
      </c>
      <c r="C2326" s="606" t="s">
        <v>12375</v>
      </c>
      <c r="D2326" s="607">
        <v>9.35</v>
      </c>
      <c r="E2326" s="607">
        <v>7.54</v>
      </c>
      <c r="F2326" s="607">
        <v>16.89</v>
      </c>
      <c r="G2326" s="584">
        <v>15</v>
      </c>
    </row>
    <row r="2327" spans="1:7" ht="15" x14ac:dyDescent="0.2">
      <c r="A2327" s="583" t="s">
        <v>16773</v>
      </c>
      <c r="B2327" s="605" t="s">
        <v>16774</v>
      </c>
      <c r="C2327" s="606" t="s">
        <v>12375</v>
      </c>
      <c r="D2327" s="607">
        <v>9.59</v>
      </c>
      <c r="E2327" s="607">
        <v>7.54</v>
      </c>
      <c r="F2327" s="607">
        <v>17.13</v>
      </c>
      <c r="G2327" s="584">
        <v>15</v>
      </c>
    </row>
    <row r="2328" spans="1:7" ht="15" x14ac:dyDescent="0.2">
      <c r="A2328" s="583" t="s">
        <v>16775</v>
      </c>
      <c r="B2328" s="605" t="s">
        <v>16776</v>
      </c>
      <c r="C2328" s="606" t="s">
        <v>12375</v>
      </c>
      <c r="D2328" s="607">
        <v>16.7</v>
      </c>
      <c r="E2328" s="607">
        <v>7.54</v>
      </c>
      <c r="F2328" s="607">
        <v>24.24</v>
      </c>
      <c r="G2328" s="584">
        <v>15</v>
      </c>
    </row>
    <row r="2329" spans="1:7" ht="15" x14ac:dyDescent="0.2">
      <c r="A2329" s="583" t="s">
        <v>16777</v>
      </c>
      <c r="B2329" s="605" t="s">
        <v>16778</v>
      </c>
      <c r="C2329" s="606" t="s">
        <v>12375</v>
      </c>
      <c r="D2329" s="607">
        <v>15.96</v>
      </c>
      <c r="E2329" s="607">
        <v>7.54</v>
      </c>
      <c r="F2329" s="607">
        <v>23.5</v>
      </c>
      <c r="G2329" s="584">
        <v>15</v>
      </c>
    </row>
    <row r="2330" spans="1:7" ht="15" x14ac:dyDescent="0.2">
      <c r="A2330" s="583" t="s">
        <v>16779</v>
      </c>
      <c r="B2330" s="605" t="s">
        <v>16780</v>
      </c>
      <c r="C2330" s="606" t="s">
        <v>12375</v>
      </c>
      <c r="D2330" s="607">
        <v>23.38</v>
      </c>
      <c r="E2330" s="607">
        <v>7.54</v>
      </c>
      <c r="F2330" s="607">
        <v>30.92</v>
      </c>
      <c r="G2330" s="584">
        <v>15</v>
      </c>
    </row>
    <row r="2331" spans="1:7" ht="15" x14ac:dyDescent="0.2">
      <c r="A2331" s="583" t="s">
        <v>16781</v>
      </c>
      <c r="B2331" s="605" t="s">
        <v>16782</v>
      </c>
      <c r="C2331" s="606" t="s">
        <v>12375</v>
      </c>
      <c r="D2331" s="607">
        <v>33.64</v>
      </c>
      <c r="E2331" s="607">
        <v>10.050000000000001</v>
      </c>
      <c r="F2331" s="607">
        <v>43.69</v>
      </c>
      <c r="G2331" s="584">
        <v>15</v>
      </c>
    </row>
    <row r="2332" spans="1:7" ht="15" x14ac:dyDescent="0.2">
      <c r="A2332" s="583" t="s">
        <v>16783</v>
      </c>
      <c r="B2332" s="605" t="s">
        <v>16784</v>
      </c>
      <c r="C2332" s="606" t="s">
        <v>12375</v>
      </c>
      <c r="D2332" s="607">
        <v>33.799999999999997</v>
      </c>
      <c r="E2332" s="607">
        <v>10.050000000000001</v>
      </c>
      <c r="F2332" s="607">
        <v>43.85</v>
      </c>
      <c r="G2332" s="584">
        <v>15</v>
      </c>
    </row>
    <row r="2333" spans="1:7" ht="15" x14ac:dyDescent="0.2">
      <c r="A2333" s="583" t="s">
        <v>16785</v>
      </c>
      <c r="B2333" s="605" t="s">
        <v>16786</v>
      </c>
      <c r="C2333" s="606" t="s">
        <v>12375</v>
      </c>
      <c r="D2333" s="607">
        <v>41.13</v>
      </c>
      <c r="E2333" s="607">
        <v>10.050000000000001</v>
      </c>
      <c r="F2333" s="607">
        <v>51.18</v>
      </c>
      <c r="G2333" s="584">
        <v>15</v>
      </c>
    </row>
    <row r="2334" spans="1:7" ht="15" x14ac:dyDescent="0.2">
      <c r="A2334" s="583" t="s">
        <v>16787</v>
      </c>
      <c r="B2334" s="605" t="s">
        <v>16788</v>
      </c>
      <c r="C2334" s="606" t="s">
        <v>12375</v>
      </c>
      <c r="D2334" s="607">
        <v>47.77</v>
      </c>
      <c r="E2334" s="607">
        <v>10.050000000000001</v>
      </c>
      <c r="F2334" s="607">
        <v>57.82</v>
      </c>
      <c r="G2334" s="584">
        <v>15</v>
      </c>
    </row>
    <row r="2335" spans="1:7" ht="15" x14ac:dyDescent="0.25">
      <c r="A2335" s="583" t="s">
        <v>16789</v>
      </c>
      <c r="B2335" s="605" t="s">
        <v>16790</v>
      </c>
      <c r="C2335" s="606"/>
      <c r="D2335" s="607"/>
      <c r="E2335" s="607"/>
      <c r="F2335" s="607"/>
      <c r="G2335" s="582"/>
    </row>
    <row r="2336" spans="1:7" ht="30" x14ac:dyDescent="0.2">
      <c r="A2336" s="583" t="s">
        <v>16791</v>
      </c>
      <c r="B2336" s="605" t="s">
        <v>16792</v>
      </c>
      <c r="C2336" s="606" t="s">
        <v>12483</v>
      </c>
      <c r="D2336" s="607">
        <v>6.57</v>
      </c>
      <c r="E2336" s="607">
        <v>7.54</v>
      </c>
      <c r="F2336" s="607">
        <v>14.11</v>
      </c>
      <c r="G2336" s="584">
        <v>15</v>
      </c>
    </row>
    <row r="2337" spans="1:7" ht="30" x14ac:dyDescent="0.2">
      <c r="A2337" s="583" t="s">
        <v>16793</v>
      </c>
      <c r="B2337" s="605" t="s">
        <v>16794</v>
      </c>
      <c r="C2337" s="606" t="s">
        <v>12483</v>
      </c>
      <c r="D2337" s="607">
        <v>12.83</v>
      </c>
      <c r="E2337" s="607">
        <v>7.54</v>
      </c>
      <c r="F2337" s="607">
        <v>20.37</v>
      </c>
      <c r="G2337" s="584">
        <v>15</v>
      </c>
    </row>
    <row r="2338" spans="1:7" ht="30" x14ac:dyDescent="0.2">
      <c r="A2338" s="583" t="s">
        <v>16795</v>
      </c>
      <c r="B2338" s="605" t="s">
        <v>16796</v>
      </c>
      <c r="C2338" s="606" t="s">
        <v>12483</v>
      </c>
      <c r="D2338" s="607">
        <v>33.68</v>
      </c>
      <c r="E2338" s="607">
        <v>7.54</v>
      </c>
      <c r="F2338" s="607">
        <v>41.22</v>
      </c>
      <c r="G2338" s="584">
        <v>15</v>
      </c>
    </row>
    <row r="2339" spans="1:7" ht="30" x14ac:dyDescent="0.2">
      <c r="A2339" s="583" t="s">
        <v>20594</v>
      </c>
      <c r="B2339" s="605" t="s">
        <v>20595</v>
      </c>
      <c r="C2339" s="606" t="s">
        <v>12483</v>
      </c>
      <c r="D2339" s="607">
        <v>0.83</v>
      </c>
      <c r="E2339" s="607">
        <v>4.0199999999999996</v>
      </c>
      <c r="F2339" s="607">
        <v>4.8499999999999996</v>
      </c>
      <c r="G2339" s="584">
        <v>15</v>
      </c>
    </row>
    <row r="2340" spans="1:7" ht="15" x14ac:dyDescent="0.2">
      <c r="A2340" s="583" t="s">
        <v>16797</v>
      </c>
      <c r="B2340" s="605" t="s">
        <v>16798</v>
      </c>
      <c r="C2340" s="606" t="s">
        <v>12483</v>
      </c>
      <c r="D2340" s="607">
        <v>1.91</v>
      </c>
      <c r="E2340" s="607">
        <v>15.07</v>
      </c>
      <c r="F2340" s="607">
        <v>16.98</v>
      </c>
      <c r="G2340" s="584">
        <v>15</v>
      </c>
    </row>
    <row r="2341" spans="1:7" ht="30" x14ac:dyDescent="0.2">
      <c r="A2341" s="583" t="s">
        <v>16799</v>
      </c>
      <c r="B2341" s="605" t="s">
        <v>16800</v>
      </c>
      <c r="C2341" s="606" t="s">
        <v>12483</v>
      </c>
      <c r="D2341" s="607">
        <v>7.26</v>
      </c>
      <c r="E2341" s="607">
        <v>6.03</v>
      </c>
      <c r="F2341" s="607">
        <v>13.29</v>
      </c>
      <c r="G2341" s="584">
        <v>15</v>
      </c>
    </row>
    <row r="2342" spans="1:7" ht="30" x14ac:dyDescent="0.2">
      <c r="A2342" s="583" t="s">
        <v>16801</v>
      </c>
      <c r="B2342" s="605" t="s">
        <v>16802</v>
      </c>
      <c r="C2342" s="606" t="s">
        <v>12483</v>
      </c>
      <c r="D2342" s="607">
        <v>4.63</v>
      </c>
      <c r="E2342" s="607">
        <v>5.0199999999999996</v>
      </c>
      <c r="F2342" s="607">
        <v>9.65</v>
      </c>
      <c r="G2342" s="584">
        <v>15</v>
      </c>
    </row>
    <row r="2343" spans="1:7" ht="30" x14ac:dyDescent="0.2">
      <c r="A2343" s="583" t="s">
        <v>16803</v>
      </c>
      <c r="B2343" s="605" t="s">
        <v>16804</v>
      </c>
      <c r="C2343" s="606" t="s">
        <v>12483</v>
      </c>
      <c r="D2343" s="607">
        <v>15.25</v>
      </c>
      <c r="E2343" s="607">
        <v>6.53</v>
      </c>
      <c r="F2343" s="607">
        <v>21.78</v>
      </c>
      <c r="G2343" s="584">
        <v>15</v>
      </c>
    </row>
    <row r="2344" spans="1:7" ht="30" x14ac:dyDescent="0.2">
      <c r="A2344" s="583" t="s">
        <v>16805</v>
      </c>
      <c r="B2344" s="605" t="s">
        <v>16806</v>
      </c>
      <c r="C2344" s="606" t="s">
        <v>12483</v>
      </c>
      <c r="D2344" s="607">
        <v>35.89</v>
      </c>
      <c r="E2344" s="607">
        <v>8.0399999999999991</v>
      </c>
      <c r="F2344" s="607">
        <v>43.93</v>
      </c>
      <c r="G2344" s="584">
        <v>15</v>
      </c>
    </row>
    <row r="2345" spans="1:7" ht="30" x14ac:dyDescent="0.2">
      <c r="A2345" s="583" t="s">
        <v>16807</v>
      </c>
      <c r="B2345" s="605" t="s">
        <v>16808</v>
      </c>
      <c r="C2345" s="606" t="s">
        <v>12483</v>
      </c>
      <c r="D2345" s="607">
        <v>66.19</v>
      </c>
      <c r="E2345" s="607">
        <v>10.55</v>
      </c>
      <c r="F2345" s="607">
        <v>76.739999999999995</v>
      </c>
      <c r="G2345" s="584">
        <v>15</v>
      </c>
    </row>
    <row r="2346" spans="1:7" ht="30" x14ac:dyDescent="0.2">
      <c r="A2346" s="583" t="s">
        <v>16809</v>
      </c>
      <c r="B2346" s="605" t="s">
        <v>16810</v>
      </c>
      <c r="C2346" s="606" t="s">
        <v>12483</v>
      </c>
      <c r="D2346" s="607">
        <v>12.22</v>
      </c>
      <c r="E2346" s="607">
        <v>6.03</v>
      </c>
      <c r="F2346" s="607">
        <v>18.25</v>
      </c>
      <c r="G2346" s="584">
        <v>15</v>
      </c>
    </row>
    <row r="2347" spans="1:7" ht="30" x14ac:dyDescent="0.2">
      <c r="A2347" s="583" t="s">
        <v>16811</v>
      </c>
      <c r="B2347" s="605" t="s">
        <v>16812</v>
      </c>
      <c r="C2347" s="606" t="s">
        <v>12483</v>
      </c>
      <c r="D2347" s="607">
        <v>18.64</v>
      </c>
      <c r="E2347" s="607">
        <v>6.53</v>
      </c>
      <c r="F2347" s="607">
        <v>25.17</v>
      </c>
      <c r="G2347" s="584">
        <v>15</v>
      </c>
    </row>
    <row r="2348" spans="1:7" ht="30" x14ac:dyDescent="0.2">
      <c r="A2348" s="583" t="s">
        <v>16813</v>
      </c>
      <c r="B2348" s="605" t="s">
        <v>16814</v>
      </c>
      <c r="C2348" s="606" t="s">
        <v>12483</v>
      </c>
      <c r="D2348" s="607">
        <v>38.71</v>
      </c>
      <c r="E2348" s="607">
        <v>8.0399999999999991</v>
      </c>
      <c r="F2348" s="607">
        <v>46.75</v>
      </c>
      <c r="G2348" s="584">
        <v>15</v>
      </c>
    </row>
    <row r="2349" spans="1:7" ht="30" x14ac:dyDescent="0.2">
      <c r="A2349" s="583" t="s">
        <v>16815</v>
      </c>
      <c r="B2349" s="605" t="s">
        <v>16816</v>
      </c>
      <c r="C2349" s="606" t="s">
        <v>12483</v>
      </c>
      <c r="D2349" s="607">
        <v>13.5</v>
      </c>
      <c r="E2349" s="607">
        <v>6.03</v>
      </c>
      <c r="F2349" s="607">
        <v>19.53</v>
      </c>
      <c r="G2349" s="584">
        <v>15</v>
      </c>
    </row>
    <row r="2350" spans="1:7" ht="30" x14ac:dyDescent="0.2">
      <c r="A2350" s="583" t="s">
        <v>16817</v>
      </c>
      <c r="B2350" s="605" t="s">
        <v>16818</v>
      </c>
      <c r="C2350" s="606" t="s">
        <v>12483</v>
      </c>
      <c r="D2350" s="607">
        <v>19.23</v>
      </c>
      <c r="E2350" s="607">
        <v>6.53</v>
      </c>
      <c r="F2350" s="607">
        <v>25.76</v>
      </c>
      <c r="G2350" s="584">
        <v>15</v>
      </c>
    </row>
    <row r="2351" spans="1:7" ht="30" x14ac:dyDescent="0.2">
      <c r="A2351" s="583" t="s">
        <v>16819</v>
      </c>
      <c r="B2351" s="605" t="s">
        <v>16820</v>
      </c>
      <c r="C2351" s="606" t="s">
        <v>12483</v>
      </c>
      <c r="D2351" s="607">
        <v>45.91</v>
      </c>
      <c r="E2351" s="607">
        <v>8.0399999999999991</v>
      </c>
      <c r="F2351" s="607">
        <v>53.95</v>
      </c>
      <c r="G2351" s="584">
        <v>15</v>
      </c>
    </row>
    <row r="2352" spans="1:7" ht="30" x14ac:dyDescent="0.25">
      <c r="A2352" s="583" t="s">
        <v>16821</v>
      </c>
      <c r="B2352" s="605" t="s">
        <v>16822</v>
      </c>
      <c r="C2352" s="606"/>
      <c r="D2352" s="607"/>
      <c r="E2352" s="607"/>
      <c r="F2352" s="607"/>
      <c r="G2352" s="582"/>
    </row>
    <row r="2353" spans="1:7" ht="30" x14ac:dyDescent="0.2">
      <c r="A2353" s="583" t="s">
        <v>16823</v>
      </c>
      <c r="B2353" s="605" t="s">
        <v>16824</v>
      </c>
      <c r="C2353" s="606" t="s">
        <v>12483</v>
      </c>
      <c r="D2353" s="607">
        <v>5.4</v>
      </c>
      <c r="E2353" s="607">
        <v>5.0199999999999996</v>
      </c>
      <c r="F2353" s="607">
        <v>10.42</v>
      </c>
      <c r="G2353" s="584">
        <v>15</v>
      </c>
    </row>
    <row r="2354" spans="1:7" ht="30" x14ac:dyDescent="0.2">
      <c r="A2354" s="583" t="s">
        <v>16825</v>
      </c>
      <c r="B2354" s="605" t="s">
        <v>16826</v>
      </c>
      <c r="C2354" s="606" t="s">
        <v>12483</v>
      </c>
      <c r="D2354" s="607">
        <v>7.51</v>
      </c>
      <c r="E2354" s="607">
        <v>5.0199999999999996</v>
      </c>
      <c r="F2354" s="607">
        <v>12.53</v>
      </c>
      <c r="G2354" s="584">
        <v>15</v>
      </c>
    </row>
    <row r="2355" spans="1:7" ht="30" x14ac:dyDescent="0.2">
      <c r="A2355" s="583" t="s">
        <v>16827</v>
      </c>
      <c r="B2355" s="605" t="s">
        <v>16828</v>
      </c>
      <c r="C2355" s="606" t="s">
        <v>12483</v>
      </c>
      <c r="D2355" s="607">
        <v>7.81</v>
      </c>
      <c r="E2355" s="607">
        <v>5.0199999999999996</v>
      </c>
      <c r="F2355" s="607">
        <v>12.83</v>
      </c>
      <c r="G2355" s="584">
        <v>15</v>
      </c>
    </row>
    <row r="2356" spans="1:7" ht="15" x14ac:dyDescent="0.25">
      <c r="A2356" s="583" t="s">
        <v>16829</v>
      </c>
      <c r="B2356" s="605" t="s">
        <v>16830</v>
      </c>
      <c r="C2356" s="606"/>
      <c r="D2356" s="607"/>
      <c r="E2356" s="607"/>
      <c r="F2356" s="607"/>
      <c r="G2356" s="582"/>
    </row>
    <row r="2357" spans="1:7" ht="15" x14ac:dyDescent="0.2">
      <c r="A2357" s="583" t="s">
        <v>16831</v>
      </c>
      <c r="B2357" s="605" t="s">
        <v>16832</v>
      </c>
      <c r="C2357" s="606" t="s">
        <v>12483</v>
      </c>
      <c r="D2357" s="607">
        <v>6.89</v>
      </c>
      <c r="E2357" s="607">
        <v>7.16</v>
      </c>
      <c r="F2357" s="607">
        <v>14.05</v>
      </c>
      <c r="G2357" s="584">
        <v>15</v>
      </c>
    </row>
    <row r="2358" spans="1:7" ht="15" x14ac:dyDescent="0.2">
      <c r="A2358" s="583" t="s">
        <v>16833</v>
      </c>
      <c r="B2358" s="605" t="s">
        <v>16834</v>
      </c>
      <c r="C2358" s="606" t="s">
        <v>12483</v>
      </c>
      <c r="D2358" s="607">
        <v>2.72</v>
      </c>
      <c r="E2358" s="607">
        <v>7.16</v>
      </c>
      <c r="F2358" s="607">
        <v>9.8800000000000008</v>
      </c>
      <c r="G2358" s="584">
        <v>15</v>
      </c>
    </row>
    <row r="2359" spans="1:7" ht="15" x14ac:dyDescent="0.25">
      <c r="A2359" s="583" t="s">
        <v>16835</v>
      </c>
      <c r="B2359" s="605" t="s">
        <v>16836</v>
      </c>
      <c r="C2359" s="606"/>
      <c r="D2359" s="607"/>
      <c r="E2359" s="607"/>
      <c r="F2359" s="607"/>
      <c r="G2359" s="582"/>
    </row>
    <row r="2360" spans="1:7" ht="15" x14ac:dyDescent="0.2">
      <c r="A2360" s="583" t="s">
        <v>16837</v>
      </c>
      <c r="B2360" s="605" t="s">
        <v>16838</v>
      </c>
      <c r="C2360" s="606" t="s">
        <v>12483</v>
      </c>
      <c r="D2360" s="607">
        <v>2.87</v>
      </c>
      <c r="E2360" s="607">
        <v>7.16</v>
      </c>
      <c r="F2360" s="607">
        <v>10.029999999999999</v>
      </c>
      <c r="G2360" s="584">
        <v>15</v>
      </c>
    </row>
    <row r="2361" spans="1:7" ht="15" x14ac:dyDescent="0.2">
      <c r="A2361" s="583" t="s">
        <v>16839</v>
      </c>
      <c r="B2361" s="605" t="s">
        <v>16840</v>
      </c>
      <c r="C2361" s="606" t="s">
        <v>12483</v>
      </c>
      <c r="D2361" s="607">
        <v>5.74</v>
      </c>
      <c r="E2361" s="607">
        <v>7.16</v>
      </c>
      <c r="F2361" s="607">
        <v>12.9</v>
      </c>
      <c r="G2361" s="584">
        <v>15</v>
      </c>
    </row>
    <row r="2362" spans="1:7" ht="15" x14ac:dyDescent="0.25">
      <c r="A2362" s="583" t="s">
        <v>16841</v>
      </c>
      <c r="B2362" s="605" t="s">
        <v>16842</v>
      </c>
      <c r="C2362" s="606"/>
      <c r="D2362" s="607"/>
      <c r="E2362" s="607"/>
      <c r="F2362" s="607"/>
      <c r="G2362" s="582"/>
    </row>
    <row r="2363" spans="1:7" ht="15" x14ac:dyDescent="0.2">
      <c r="A2363" s="583" t="s">
        <v>16843</v>
      </c>
      <c r="B2363" s="605" t="s">
        <v>16844</v>
      </c>
      <c r="C2363" s="606" t="s">
        <v>12483</v>
      </c>
      <c r="D2363" s="607">
        <v>2.02</v>
      </c>
      <c r="E2363" s="607">
        <v>5.53</v>
      </c>
      <c r="F2363" s="607">
        <v>7.55</v>
      </c>
      <c r="G2363" s="584">
        <v>15</v>
      </c>
    </row>
    <row r="2364" spans="1:7" ht="15" x14ac:dyDescent="0.2">
      <c r="A2364" s="583" t="s">
        <v>16845</v>
      </c>
      <c r="B2364" s="605" t="s">
        <v>16846</v>
      </c>
      <c r="C2364" s="606" t="s">
        <v>12483</v>
      </c>
      <c r="D2364" s="607">
        <v>19.22</v>
      </c>
      <c r="E2364" s="607">
        <v>5.53</v>
      </c>
      <c r="F2364" s="607">
        <v>24.75</v>
      </c>
      <c r="G2364" s="584">
        <v>15</v>
      </c>
    </row>
    <row r="2365" spans="1:7" ht="15" x14ac:dyDescent="0.2">
      <c r="A2365" s="583" t="s">
        <v>16847</v>
      </c>
      <c r="B2365" s="605" t="s">
        <v>16848</v>
      </c>
      <c r="C2365" s="606" t="s">
        <v>12483</v>
      </c>
      <c r="D2365" s="607">
        <v>8.0299999999999994</v>
      </c>
      <c r="E2365" s="607">
        <v>4.2699999999999996</v>
      </c>
      <c r="F2365" s="607">
        <v>12.3</v>
      </c>
      <c r="G2365" s="584">
        <v>15</v>
      </c>
    </row>
    <row r="2366" spans="1:7" ht="15" x14ac:dyDescent="0.2">
      <c r="A2366" s="583" t="s">
        <v>16849</v>
      </c>
      <c r="B2366" s="605" t="s">
        <v>20208</v>
      </c>
      <c r="C2366" s="606" t="s">
        <v>12483</v>
      </c>
      <c r="D2366" s="607">
        <v>3.61</v>
      </c>
      <c r="E2366" s="607">
        <v>5.53</v>
      </c>
      <c r="F2366" s="607">
        <v>9.14</v>
      </c>
      <c r="G2366" s="584">
        <v>15</v>
      </c>
    </row>
    <row r="2367" spans="1:7" ht="15" x14ac:dyDescent="0.2">
      <c r="A2367" s="583" t="s">
        <v>16850</v>
      </c>
      <c r="B2367" s="605" t="s">
        <v>16851</v>
      </c>
      <c r="C2367" s="606" t="s">
        <v>12483</v>
      </c>
      <c r="D2367" s="607">
        <v>4.74</v>
      </c>
      <c r="E2367" s="607">
        <v>4.2699999999999996</v>
      </c>
      <c r="F2367" s="607">
        <v>9.01</v>
      </c>
      <c r="G2367" s="584">
        <v>15</v>
      </c>
    </row>
    <row r="2368" spans="1:7" ht="15" x14ac:dyDescent="0.2">
      <c r="A2368" s="583" t="s">
        <v>16852</v>
      </c>
      <c r="B2368" s="605" t="s">
        <v>16853</v>
      </c>
      <c r="C2368" s="606" t="s">
        <v>12483</v>
      </c>
      <c r="D2368" s="607">
        <v>18.37</v>
      </c>
      <c r="E2368" s="607">
        <v>7.7</v>
      </c>
      <c r="F2368" s="607">
        <v>26.07</v>
      </c>
      <c r="G2368" s="584">
        <v>15</v>
      </c>
    </row>
    <row r="2369" spans="1:7" ht="15" x14ac:dyDescent="0.2">
      <c r="A2369" s="583" t="s">
        <v>16854</v>
      </c>
      <c r="B2369" s="605" t="s">
        <v>16855</v>
      </c>
      <c r="C2369" s="606" t="s">
        <v>12483</v>
      </c>
      <c r="D2369" s="607">
        <v>4.47</v>
      </c>
      <c r="E2369" s="607">
        <v>7.7</v>
      </c>
      <c r="F2369" s="607">
        <v>12.17</v>
      </c>
      <c r="G2369" s="584">
        <v>15</v>
      </c>
    </row>
    <row r="2370" spans="1:7" ht="15" x14ac:dyDescent="0.25">
      <c r="A2370" s="583" t="s">
        <v>16856</v>
      </c>
      <c r="B2370" s="605" t="s">
        <v>16857</v>
      </c>
      <c r="C2370" s="606"/>
      <c r="D2370" s="607"/>
      <c r="E2370" s="607"/>
      <c r="F2370" s="607"/>
      <c r="G2370" s="582"/>
    </row>
    <row r="2371" spans="1:7" ht="15" x14ac:dyDescent="0.2">
      <c r="A2371" s="583" t="s">
        <v>16858</v>
      </c>
      <c r="B2371" s="605" t="s">
        <v>16859</v>
      </c>
      <c r="C2371" s="606" t="s">
        <v>12375</v>
      </c>
      <c r="D2371" s="607">
        <v>11.05</v>
      </c>
      <c r="E2371" s="607">
        <v>8.3800000000000008</v>
      </c>
      <c r="F2371" s="607">
        <v>19.43</v>
      </c>
      <c r="G2371" s="584">
        <v>15</v>
      </c>
    </row>
    <row r="2372" spans="1:7" ht="30" x14ac:dyDescent="0.2">
      <c r="A2372" s="583" t="s">
        <v>16860</v>
      </c>
      <c r="B2372" s="605" t="s">
        <v>16861</v>
      </c>
      <c r="C2372" s="606" t="s">
        <v>12483</v>
      </c>
      <c r="D2372" s="607"/>
      <c r="E2372" s="607">
        <v>7.16</v>
      </c>
      <c r="F2372" s="607">
        <v>7.16</v>
      </c>
      <c r="G2372" s="584">
        <v>15</v>
      </c>
    </row>
    <row r="2373" spans="1:7" ht="30" x14ac:dyDescent="0.2">
      <c r="A2373" s="583" t="s">
        <v>16862</v>
      </c>
      <c r="B2373" s="605" t="s">
        <v>16863</v>
      </c>
      <c r="C2373" s="606" t="s">
        <v>12483</v>
      </c>
      <c r="D2373" s="607"/>
      <c r="E2373" s="607">
        <v>14.33</v>
      </c>
      <c r="F2373" s="607">
        <v>14.33</v>
      </c>
      <c r="G2373" s="584">
        <v>15</v>
      </c>
    </row>
    <row r="2374" spans="1:7" ht="30" x14ac:dyDescent="0.25">
      <c r="A2374" s="583" t="s">
        <v>16864</v>
      </c>
      <c r="B2374" s="605" t="s">
        <v>16865</v>
      </c>
      <c r="C2374" s="606"/>
      <c r="D2374" s="607"/>
      <c r="E2374" s="607"/>
      <c r="F2374" s="607"/>
      <c r="G2374" s="582"/>
    </row>
    <row r="2375" spans="1:7" ht="30" x14ac:dyDescent="0.2">
      <c r="A2375" s="583" t="s">
        <v>16866</v>
      </c>
      <c r="B2375" s="605" t="s">
        <v>144</v>
      </c>
      <c r="C2375" s="606" t="s">
        <v>12483</v>
      </c>
      <c r="D2375" s="607">
        <v>1.7</v>
      </c>
      <c r="E2375" s="607">
        <v>1.01</v>
      </c>
      <c r="F2375" s="607">
        <v>2.71</v>
      </c>
      <c r="G2375" s="584">
        <v>15</v>
      </c>
    </row>
    <row r="2376" spans="1:7" ht="30" x14ac:dyDescent="0.2">
      <c r="A2376" s="583" t="s">
        <v>16867</v>
      </c>
      <c r="B2376" s="605" t="s">
        <v>145</v>
      </c>
      <c r="C2376" s="606" t="s">
        <v>12483</v>
      </c>
      <c r="D2376" s="607">
        <v>2.44</v>
      </c>
      <c r="E2376" s="607">
        <v>1.01</v>
      </c>
      <c r="F2376" s="607">
        <v>3.45</v>
      </c>
      <c r="G2376" s="584">
        <v>15</v>
      </c>
    </row>
    <row r="2377" spans="1:7" ht="30" x14ac:dyDescent="0.2">
      <c r="A2377" s="583" t="s">
        <v>16868</v>
      </c>
      <c r="B2377" s="605" t="s">
        <v>146</v>
      </c>
      <c r="C2377" s="606" t="s">
        <v>12483</v>
      </c>
      <c r="D2377" s="607">
        <v>3.68</v>
      </c>
      <c r="E2377" s="607">
        <v>1.01</v>
      </c>
      <c r="F2377" s="607">
        <v>4.6900000000000004</v>
      </c>
      <c r="G2377" s="584">
        <v>15</v>
      </c>
    </row>
    <row r="2378" spans="1:7" ht="30" x14ac:dyDescent="0.2">
      <c r="A2378" s="583" t="s">
        <v>16869</v>
      </c>
      <c r="B2378" s="605" t="s">
        <v>147</v>
      </c>
      <c r="C2378" s="606" t="s">
        <v>12483</v>
      </c>
      <c r="D2378" s="607">
        <v>5.39</v>
      </c>
      <c r="E2378" s="607">
        <v>1.01</v>
      </c>
      <c r="F2378" s="607">
        <v>6.4</v>
      </c>
      <c r="G2378" s="584">
        <v>15</v>
      </c>
    </row>
    <row r="2379" spans="1:7" ht="30" x14ac:dyDescent="0.2">
      <c r="A2379" s="583" t="s">
        <v>16870</v>
      </c>
      <c r="B2379" s="605" t="s">
        <v>148</v>
      </c>
      <c r="C2379" s="606" t="s">
        <v>12483</v>
      </c>
      <c r="D2379" s="607">
        <v>8.49</v>
      </c>
      <c r="E2379" s="607">
        <v>4.0199999999999996</v>
      </c>
      <c r="F2379" s="607">
        <v>12.51</v>
      </c>
      <c r="G2379" s="584">
        <v>15</v>
      </c>
    </row>
    <row r="2380" spans="1:7" ht="30" x14ac:dyDescent="0.2">
      <c r="A2380" s="583" t="s">
        <v>16871</v>
      </c>
      <c r="B2380" s="605" t="s">
        <v>149</v>
      </c>
      <c r="C2380" s="606" t="s">
        <v>12483</v>
      </c>
      <c r="D2380" s="607">
        <v>13.04</v>
      </c>
      <c r="E2380" s="607">
        <v>4.5199999999999996</v>
      </c>
      <c r="F2380" s="607">
        <v>17.559999999999999</v>
      </c>
      <c r="G2380" s="584">
        <v>15</v>
      </c>
    </row>
    <row r="2381" spans="1:7" ht="30" x14ac:dyDescent="0.2">
      <c r="A2381" s="583" t="s">
        <v>16872</v>
      </c>
      <c r="B2381" s="605" t="s">
        <v>150</v>
      </c>
      <c r="C2381" s="606" t="s">
        <v>12483</v>
      </c>
      <c r="D2381" s="607">
        <v>19.899999999999999</v>
      </c>
      <c r="E2381" s="607">
        <v>5.0199999999999996</v>
      </c>
      <c r="F2381" s="607">
        <v>24.92</v>
      </c>
      <c r="G2381" s="584">
        <v>15</v>
      </c>
    </row>
    <row r="2382" spans="1:7" ht="30" x14ac:dyDescent="0.2">
      <c r="A2382" s="583" t="s">
        <v>16873</v>
      </c>
      <c r="B2382" s="605" t="s">
        <v>151</v>
      </c>
      <c r="C2382" s="606" t="s">
        <v>12483</v>
      </c>
      <c r="D2382" s="607">
        <v>27.65</v>
      </c>
      <c r="E2382" s="607">
        <v>7.54</v>
      </c>
      <c r="F2382" s="607">
        <v>35.19</v>
      </c>
      <c r="G2382" s="584">
        <v>15</v>
      </c>
    </row>
    <row r="2383" spans="1:7" ht="30" x14ac:dyDescent="0.2">
      <c r="A2383" s="583" t="s">
        <v>16874</v>
      </c>
      <c r="B2383" s="605" t="s">
        <v>152</v>
      </c>
      <c r="C2383" s="606" t="s">
        <v>12483</v>
      </c>
      <c r="D2383" s="607">
        <v>39.909999999999997</v>
      </c>
      <c r="E2383" s="607">
        <v>10.050000000000001</v>
      </c>
      <c r="F2383" s="607">
        <v>49.96</v>
      </c>
      <c r="G2383" s="584">
        <v>15</v>
      </c>
    </row>
    <row r="2384" spans="1:7" ht="30" x14ac:dyDescent="0.2">
      <c r="A2384" s="583" t="s">
        <v>16875</v>
      </c>
      <c r="B2384" s="605" t="s">
        <v>153</v>
      </c>
      <c r="C2384" s="606" t="s">
        <v>12483</v>
      </c>
      <c r="D2384" s="607">
        <v>55.08</v>
      </c>
      <c r="E2384" s="607">
        <v>12.56</v>
      </c>
      <c r="F2384" s="607">
        <v>67.64</v>
      </c>
      <c r="G2384" s="584">
        <v>15</v>
      </c>
    </row>
    <row r="2385" spans="1:7" ht="30" x14ac:dyDescent="0.2">
      <c r="A2385" s="583" t="s">
        <v>16876</v>
      </c>
      <c r="B2385" s="605" t="s">
        <v>154</v>
      </c>
      <c r="C2385" s="606" t="s">
        <v>12483</v>
      </c>
      <c r="D2385" s="607">
        <v>74.37</v>
      </c>
      <c r="E2385" s="607">
        <v>15.07</v>
      </c>
      <c r="F2385" s="607">
        <v>89.44</v>
      </c>
      <c r="G2385" s="584">
        <v>15</v>
      </c>
    </row>
    <row r="2386" spans="1:7" ht="30" x14ac:dyDescent="0.2">
      <c r="A2386" s="583" t="s">
        <v>16877</v>
      </c>
      <c r="B2386" s="605" t="s">
        <v>155</v>
      </c>
      <c r="C2386" s="606" t="s">
        <v>12483</v>
      </c>
      <c r="D2386" s="607">
        <v>91.99</v>
      </c>
      <c r="E2386" s="607">
        <v>17.579999999999998</v>
      </c>
      <c r="F2386" s="607">
        <v>109.57</v>
      </c>
      <c r="G2386" s="584">
        <v>15</v>
      </c>
    </row>
    <row r="2387" spans="1:7" ht="30" x14ac:dyDescent="0.2">
      <c r="A2387" s="583" t="s">
        <v>16878</v>
      </c>
      <c r="B2387" s="605" t="s">
        <v>156</v>
      </c>
      <c r="C2387" s="606" t="s">
        <v>12483</v>
      </c>
      <c r="D2387" s="607">
        <v>114.38</v>
      </c>
      <c r="E2387" s="607">
        <v>17.579999999999998</v>
      </c>
      <c r="F2387" s="607">
        <v>131.96</v>
      </c>
      <c r="G2387" s="584">
        <v>15</v>
      </c>
    </row>
    <row r="2388" spans="1:7" ht="30" x14ac:dyDescent="0.2">
      <c r="A2388" s="583" t="s">
        <v>16879</v>
      </c>
      <c r="B2388" s="605" t="s">
        <v>157</v>
      </c>
      <c r="C2388" s="606" t="s">
        <v>12483</v>
      </c>
      <c r="D2388" s="607">
        <v>139.21</v>
      </c>
      <c r="E2388" s="607">
        <v>20.100000000000001</v>
      </c>
      <c r="F2388" s="607">
        <v>159.31</v>
      </c>
      <c r="G2388" s="584">
        <v>15</v>
      </c>
    </row>
    <row r="2389" spans="1:7" ht="30" x14ac:dyDescent="0.2">
      <c r="A2389" s="583" t="s">
        <v>16880</v>
      </c>
      <c r="B2389" s="605" t="s">
        <v>158</v>
      </c>
      <c r="C2389" s="606" t="s">
        <v>12483</v>
      </c>
      <c r="D2389" s="607">
        <v>186.14</v>
      </c>
      <c r="E2389" s="607">
        <v>22.61</v>
      </c>
      <c r="F2389" s="607">
        <v>208.75</v>
      </c>
      <c r="G2389" s="584">
        <v>15</v>
      </c>
    </row>
    <row r="2390" spans="1:7" ht="30" x14ac:dyDescent="0.2">
      <c r="A2390" s="583" t="s">
        <v>16881</v>
      </c>
      <c r="B2390" s="605" t="s">
        <v>159</v>
      </c>
      <c r="C2390" s="606" t="s">
        <v>12483</v>
      </c>
      <c r="D2390" s="607">
        <v>5.23</v>
      </c>
      <c r="E2390" s="607">
        <v>2.0099999999999998</v>
      </c>
      <c r="F2390" s="607">
        <v>7.24</v>
      </c>
      <c r="G2390" s="584">
        <v>15</v>
      </c>
    </row>
    <row r="2391" spans="1:7" ht="30" x14ac:dyDescent="0.2">
      <c r="A2391" s="583" t="s">
        <v>16882</v>
      </c>
      <c r="B2391" s="605" t="s">
        <v>160</v>
      </c>
      <c r="C2391" s="606" t="s">
        <v>12483</v>
      </c>
      <c r="D2391" s="607">
        <v>5.24</v>
      </c>
      <c r="E2391" s="607">
        <v>1.01</v>
      </c>
      <c r="F2391" s="607">
        <v>6.25</v>
      </c>
      <c r="G2391" s="584">
        <v>15</v>
      </c>
    </row>
    <row r="2392" spans="1:7" ht="30" x14ac:dyDescent="0.2">
      <c r="A2392" s="583" t="s">
        <v>16883</v>
      </c>
      <c r="B2392" s="605" t="s">
        <v>161</v>
      </c>
      <c r="C2392" s="606" t="s">
        <v>12483</v>
      </c>
      <c r="D2392" s="607">
        <v>7.92</v>
      </c>
      <c r="E2392" s="607">
        <v>2.5099999999999998</v>
      </c>
      <c r="F2392" s="607">
        <v>10.43</v>
      </c>
      <c r="G2392" s="584">
        <v>15</v>
      </c>
    </row>
    <row r="2393" spans="1:7" ht="30" x14ac:dyDescent="0.2">
      <c r="A2393" s="583" t="s">
        <v>16884</v>
      </c>
      <c r="B2393" s="605" t="s">
        <v>162</v>
      </c>
      <c r="C2393" s="606" t="s">
        <v>12483</v>
      </c>
      <c r="D2393" s="607">
        <v>28.48</v>
      </c>
      <c r="E2393" s="607">
        <v>5.0199999999999996</v>
      </c>
      <c r="F2393" s="607">
        <v>33.5</v>
      </c>
      <c r="G2393" s="584">
        <v>15</v>
      </c>
    </row>
    <row r="2394" spans="1:7" ht="30" x14ac:dyDescent="0.2">
      <c r="A2394" s="583" t="s">
        <v>16885</v>
      </c>
      <c r="B2394" s="605" t="s">
        <v>163</v>
      </c>
      <c r="C2394" s="606" t="s">
        <v>12483</v>
      </c>
      <c r="D2394" s="607">
        <v>72.099999999999994</v>
      </c>
      <c r="E2394" s="607">
        <v>15.07</v>
      </c>
      <c r="F2394" s="607">
        <v>87.17</v>
      </c>
      <c r="G2394" s="584">
        <v>15</v>
      </c>
    </row>
    <row r="2395" spans="1:7" ht="30" x14ac:dyDescent="0.2">
      <c r="A2395" s="583" t="s">
        <v>16886</v>
      </c>
      <c r="B2395" s="605" t="s">
        <v>164</v>
      </c>
      <c r="C2395" s="606" t="s">
        <v>12483</v>
      </c>
      <c r="D2395" s="607">
        <v>101.89</v>
      </c>
      <c r="E2395" s="607">
        <v>20.100000000000001</v>
      </c>
      <c r="F2395" s="607">
        <v>121.99</v>
      </c>
      <c r="G2395" s="584">
        <v>15</v>
      </c>
    </row>
    <row r="2396" spans="1:7" ht="30" x14ac:dyDescent="0.2">
      <c r="A2396" s="583" t="s">
        <v>16887</v>
      </c>
      <c r="B2396" s="605" t="s">
        <v>165</v>
      </c>
      <c r="C2396" s="606" t="s">
        <v>12483</v>
      </c>
      <c r="D2396" s="607">
        <v>38.700000000000003</v>
      </c>
      <c r="E2396" s="607">
        <v>6.53</v>
      </c>
      <c r="F2396" s="607">
        <v>45.23</v>
      </c>
      <c r="G2396" s="584">
        <v>15</v>
      </c>
    </row>
    <row r="2397" spans="1:7" ht="15" x14ac:dyDescent="0.25">
      <c r="A2397" s="583" t="s">
        <v>16888</v>
      </c>
      <c r="B2397" s="605" t="s">
        <v>16889</v>
      </c>
      <c r="C2397" s="606"/>
      <c r="D2397" s="607"/>
      <c r="E2397" s="607"/>
      <c r="F2397" s="607"/>
      <c r="G2397" s="582"/>
    </row>
    <row r="2398" spans="1:7" ht="30" x14ac:dyDescent="0.2">
      <c r="A2398" s="583" t="s">
        <v>16890</v>
      </c>
      <c r="B2398" s="605" t="s">
        <v>16891</v>
      </c>
      <c r="C2398" s="606" t="s">
        <v>12483</v>
      </c>
      <c r="D2398" s="607">
        <v>5.74</v>
      </c>
      <c r="E2398" s="607">
        <v>6.03</v>
      </c>
      <c r="F2398" s="607">
        <v>11.77</v>
      </c>
      <c r="G2398" s="584">
        <v>15</v>
      </c>
    </row>
    <row r="2399" spans="1:7" ht="30" x14ac:dyDescent="0.2">
      <c r="A2399" s="583" t="s">
        <v>16892</v>
      </c>
      <c r="B2399" s="605" t="s">
        <v>16893</v>
      </c>
      <c r="C2399" s="606" t="s">
        <v>12483</v>
      </c>
      <c r="D2399" s="607">
        <v>9.57</v>
      </c>
      <c r="E2399" s="607">
        <v>7.54</v>
      </c>
      <c r="F2399" s="607">
        <v>17.11</v>
      </c>
      <c r="G2399" s="584">
        <v>15</v>
      </c>
    </row>
    <row r="2400" spans="1:7" ht="30" x14ac:dyDescent="0.2">
      <c r="A2400" s="583" t="s">
        <v>16894</v>
      </c>
      <c r="B2400" s="605" t="s">
        <v>16895</v>
      </c>
      <c r="C2400" s="606" t="s">
        <v>12483</v>
      </c>
      <c r="D2400" s="607">
        <v>14.69</v>
      </c>
      <c r="E2400" s="607">
        <v>9.0399999999999991</v>
      </c>
      <c r="F2400" s="607">
        <v>23.73</v>
      </c>
      <c r="G2400" s="584">
        <v>15</v>
      </c>
    </row>
    <row r="2401" spans="1:7" ht="30" x14ac:dyDescent="0.2">
      <c r="A2401" s="583" t="s">
        <v>16896</v>
      </c>
      <c r="B2401" s="605" t="s">
        <v>16897</v>
      </c>
      <c r="C2401" s="606" t="s">
        <v>12483</v>
      </c>
      <c r="D2401" s="607">
        <v>21.51</v>
      </c>
      <c r="E2401" s="607">
        <v>10.55</v>
      </c>
      <c r="F2401" s="607">
        <v>32.06</v>
      </c>
      <c r="G2401" s="584">
        <v>15</v>
      </c>
    </row>
    <row r="2402" spans="1:7" ht="30" x14ac:dyDescent="0.2">
      <c r="A2402" s="583" t="s">
        <v>16898</v>
      </c>
      <c r="B2402" s="605" t="s">
        <v>16899</v>
      </c>
      <c r="C2402" s="606" t="s">
        <v>12483</v>
      </c>
      <c r="D2402" s="607">
        <v>18.88</v>
      </c>
      <c r="E2402" s="607">
        <v>6.03</v>
      </c>
      <c r="F2402" s="607">
        <v>24.91</v>
      </c>
      <c r="G2402" s="584">
        <v>15</v>
      </c>
    </row>
    <row r="2403" spans="1:7" ht="30" x14ac:dyDescent="0.2">
      <c r="A2403" s="583" t="s">
        <v>16900</v>
      </c>
      <c r="B2403" s="605" t="s">
        <v>16901</v>
      </c>
      <c r="C2403" s="606" t="s">
        <v>12483</v>
      </c>
      <c r="D2403" s="607">
        <v>30.23</v>
      </c>
      <c r="E2403" s="607">
        <v>14.06</v>
      </c>
      <c r="F2403" s="607">
        <v>44.29</v>
      </c>
      <c r="G2403" s="584">
        <v>15</v>
      </c>
    </row>
    <row r="2404" spans="1:7" ht="30" x14ac:dyDescent="0.25">
      <c r="A2404" s="583" t="s">
        <v>16902</v>
      </c>
      <c r="B2404" s="605" t="s">
        <v>16903</v>
      </c>
      <c r="C2404" s="606"/>
      <c r="D2404" s="607"/>
      <c r="E2404" s="607"/>
      <c r="F2404" s="607"/>
      <c r="G2404" s="582"/>
    </row>
    <row r="2405" spans="1:7" ht="30" x14ac:dyDescent="0.2">
      <c r="A2405" s="583" t="s">
        <v>16904</v>
      </c>
      <c r="B2405" s="605" t="s">
        <v>16905</v>
      </c>
      <c r="C2405" s="606" t="s">
        <v>12483</v>
      </c>
      <c r="D2405" s="607">
        <v>98.85</v>
      </c>
      <c r="E2405" s="607">
        <v>1.5</v>
      </c>
      <c r="F2405" s="607">
        <v>100.35</v>
      </c>
      <c r="G2405" s="584">
        <v>15</v>
      </c>
    </row>
    <row r="2406" spans="1:7" ht="30" x14ac:dyDescent="0.2">
      <c r="A2406" s="583" t="s">
        <v>16906</v>
      </c>
      <c r="B2406" s="605" t="s">
        <v>16907</v>
      </c>
      <c r="C2406" s="606" t="s">
        <v>12483</v>
      </c>
      <c r="D2406" s="607">
        <v>112.73</v>
      </c>
      <c r="E2406" s="607">
        <v>1.5</v>
      </c>
      <c r="F2406" s="607">
        <v>114.23</v>
      </c>
      <c r="G2406" s="584">
        <v>15</v>
      </c>
    </row>
    <row r="2407" spans="1:7" ht="30" x14ac:dyDescent="0.25">
      <c r="A2407" s="583" t="s">
        <v>16908</v>
      </c>
      <c r="B2407" s="605" t="s">
        <v>16909</v>
      </c>
      <c r="C2407" s="606"/>
      <c r="D2407" s="607"/>
      <c r="E2407" s="607"/>
      <c r="F2407" s="607"/>
      <c r="G2407" s="582"/>
    </row>
    <row r="2408" spans="1:7" ht="30" x14ac:dyDescent="0.2">
      <c r="A2408" s="583" t="s">
        <v>16910</v>
      </c>
      <c r="B2408" s="605" t="s">
        <v>16911</v>
      </c>
      <c r="C2408" s="606" t="s">
        <v>12483</v>
      </c>
      <c r="D2408" s="607">
        <v>2.0099999999999998</v>
      </c>
      <c r="E2408" s="607">
        <v>2.0099999999999998</v>
      </c>
      <c r="F2408" s="607">
        <v>4.0199999999999996</v>
      </c>
      <c r="G2408" s="584">
        <v>15</v>
      </c>
    </row>
    <row r="2409" spans="1:7" ht="30" x14ac:dyDescent="0.2">
      <c r="A2409" s="583" t="s">
        <v>16912</v>
      </c>
      <c r="B2409" s="605" t="s">
        <v>16913</v>
      </c>
      <c r="C2409" s="606" t="s">
        <v>12483</v>
      </c>
      <c r="D2409" s="607">
        <v>3.1</v>
      </c>
      <c r="E2409" s="607">
        <v>2.5099999999999998</v>
      </c>
      <c r="F2409" s="607">
        <v>5.61</v>
      </c>
      <c r="G2409" s="584">
        <v>15</v>
      </c>
    </row>
    <row r="2410" spans="1:7" ht="30" x14ac:dyDescent="0.2">
      <c r="A2410" s="583" t="s">
        <v>16914</v>
      </c>
      <c r="B2410" s="605" t="s">
        <v>16915</v>
      </c>
      <c r="C2410" s="606" t="s">
        <v>12483</v>
      </c>
      <c r="D2410" s="607">
        <v>4.5199999999999996</v>
      </c>
      <c r="E2410" s="607">
        <v>3.02</v>
      </c>
      <c r="F2410" s="607">
        <v>7.54</v>
      </c>
      <c r="G2410" s="584">
        <v>15</v>
      </c>
    </row>
    <row r="2411" spans="1:7" ht="30" x14ac:dyDescent="0.2">
      <c r="A2411" s="583" t="s">
        <v>16916</v>
      </c>
      <c r="B2411" s="605" t="s">
        <v>16917</v>
      </c>
      <c r="C2411" s="606" t="s">
        <v>12483</v>
      </c>
      <c r="D2411" s="607">
        <v>6.44</v>
      </c>
      <c r="E2411" s="607">
        <v>3.52</v>
      </c>
      <c r="F2411" s="607">
        <v>9.9600000000000009</v>
      </c>
      <c r="G2411" s="584">
        <v>15</v>
      </c>
    </row>
    <row r="2412" spans="1:7" ht="30" x14ac:dyDescent="0.2">
      <c r="A2412" s="583" t="s">
        <v>16918</v>
      </c>
      <c r="B2412" s="605" t="s">
        <v>16919</v>
      </c>
      <c r="C2412" s="606" t="s">
        <v>12483</v>
      </c>
      <c r="D2412" s="607">
        <v>10.19</v>
      </c>
      <c r="E2412" s="607">
        <v>4.0199999999999996</v>
      </c>
      <c r="F2412" s="607">
        <v>14.21</v>
      </c>
      <c r="G2412" s="584">
        <v>15</v>
      </c>
    </row>
    <row r="2413" spans="1:7" ht="30" x14ac:dyDescent="0.2">
      <c r="A2413" s="583" t="s">
        <v>16920</v>
      </c>
      <c r="B2413" s="605" t="s">
        <v>16921</v>
      </c>
      <c r="C2413" s="606" t="s">
        <v>12483</v>
      </c>
      <c r="D2413" s="607">
        <v>15.63</v>
      </c>
      <c r="E2413" s="607">
        <v>4.5199999999999996</v>
      </c>
      <c r="F2413" s="607">
        <v>20.149999999999999</v>
      </c>
      <c r="G2413" s="584">
        <v>15</v>
      </c>
    </row>
    <row r="2414" spans="1:7" ht="30" x14ac:dyDescent="0.2">
      <c r="A2414" s="583" t="s">
        <v>16922</v>
      </c>
      <c r="B2414" s="605" t="s">
        <v>16923</v>
      </c>
      <c r="C2414" s="606" t="s">
        <v>12483</v>
      </c>
      <c r="D2414" s="607">
        <v>24.08</v>
      </c>
      <c r="E2414" s="607">
        <v>5.0199999999999996</v>
      </c>
      <c r="F2414" s="607">
        <v>29.1</v>
      </c>
      <c r="G2414" s="584">
        <v>15</v>
      </c>
    </row>
    <row r="2415" spans="1:7" ht="30" x14ac:dyDescent="0.2">
      <c r="A2415" s="583" t="s">
        <v>16924</v>
      </c>
      <c r="B2415" s="605" t="s">
        <v>16925</v>
      </c>
      <c r="C2415" s="606" t="s">
        <v>12483</v>
      </c>
      <c r="D2415" s="607">
        <v>32.96</v>
      </c>
      <c r="E2415" s="607">
        <v>7.54</v>
      </c>
      <c r="F2415" s="607">
        <v>40.5</v>
      </c>
      <c r="G2415" s="584">
        <v>15</v>
      </c>
    </row>
    <row r="2416" spans="1:7" ht="30" x14ac:dyDescent="0.2">
      <c r="A2416" s="583" t="s">
        <v>16926</v>
      </c>
      <c r="B2416" s="605" t="s">
        <v>16927</v>
      </c>
      <c r="C2416" s="606" t="s">
        <v>12483</v>
      </c>
      <c r="D2416" s="607">
        <v>46.92</v>
      </c>
      <c r="E2416" s="607">
        <v>10.050000000000001</v>
      </c>
      <c r="F2416" s="607">
        <v>56.97</v>
      </c>
      <c r="G2416" s="584">
        <v>15</v>
      </c>
    </row>
    <row r="2417" spans="1:7" ht="30" x14ac:dyDescent="0.2">
      <c r="A2417" s="583" t="s">
        <v>16928</v>
      </c>
      <c r="B2417" s="605" t="s">
        <v>16929</v>
      </c>
      <c r="C2417" s="606" t="s">
        <v>12483</v>
      </c>
      <c r="D2417" s="607">
        <v>65.17</v>
      </c>
      <c r="E2417" s="607">
        <v>12.56</v>
      </c>
      <c r="F2417" s="607">
        <v>77.73</v>
      </c>
      <c r="G2417" s="584">
        <v>15</v>
      </c>
    </row>
    <row r="2418" spans="1:7" ht="30" x14ac:dyDescent="0.2">
      <c r="A2418" s="583" t="s">
        <v>16930</v>
      </c>
      <c r="B2418" s="605" t="s">
        <v>16931</v>
      </c>
      <c r="C2418" s="606" t="s">
        <v>12483</v>
      </c>
      <c r="D2418" s="607">
        <v>87.61</v>
      </c>
      <c r="E2418" s="607">
        <v>15.07</v>
      </c>
      <c r="F2418" s="607">
        <v>102.68</v>
      </c>
      <c r="G2418" s="584">
        <v>15</v>
      </c>
    </row>
    <row r="2419" spans="1:7" ht="30" x14ac:dyDescent="0.2">
      <c r="A2419" s="583" t="s">
        <v>16932</v>
      </c>
      <c r="B2419" s="605" t="s">
        <v>16933</v>
      </c>
      <c r="C2419" s="606" t="s">
        <v>12483</v>
      </c>
      <c r="D2419" s="607">
        <v>111.28</v>
      </c>
      <c r="E2419" s="607">
        <v>17.579999999999998</v>
      </c>
      <c r="F2419" s="607">
        <v>128.86000000000001</v>
      </c>
      <c r="G2419" s="584">
        <v>15</v>
      </c>
    </row>
    <row r="2420" spans="1:7" ht="30" x14ac:dyDescent="0.2">
      <c r="A2420" s="583" t="s">
        <v>16934</v>
      </c>
      <c r="B2420" s="605" t="s">
        <v>16935</v>
      </c>
      <c r="C2420" s="606" t="s">
        <v>12483</v>
      </c>
      <c r="D2420" s="607">
        <v>138.04</v>
      </c>
      <c r="E2420" s="607">
        <v>20.100000000000001</v>
      </c>
      <c r="F2420" s="607">
        <v>158.13999999999999</v>
      </c>
      <c r="G2420" s="584">
        <v>15</v>
      </c>
    </row>
    <row r="2421" spans="1:7" ht="30" x14ac:dyDescent="0.2">
      <c r="A2421" s="583" t="s">
        <v>16936</v>
      </c>
      <c r="B2421" s="605" t="s">
        <v>16937</v>
      </c>
      <c r="C2421" s="606" t="s">
        <v>12483</v>
      </c>
      <c r="D2421" s="607">
        <v>166.54</v>
      </c>
      <c r="E2421" s="607">
        <v>22.61</v>
      </c>
      <c r="F2421" s="607">
        <v>189.15</v>
      </c>
      <c r="G2421" s="584">
        <v>15</v>
      </c>
    </row>
    <row r="2422" spans="1:7" ht="30" x14ac:dyDescent="0.2">
      <c r="A2422" s="583" t="s">
        <v>16938</v>
      </c>
      <c r="B2422" s="605" t="s">
        <v>16939</v>
      </c>
      <c r="C2422" s="606" t="s">
        <v>12483</v>
      </c>
      <c r="D2422" s="607">
        <v>219.13</v>
      </c>
      <c r="E2422" s="607">
        <v>25.12</v>
      </c>
      <c r="F2422" s="607">
        <v>244.25</v>
      </c>
      <c r="G2422" s="584">
        <v>15</v>
      </c>
    </row>
    <row r="2423" spans="1:7" ht="15" x14ac:dyDescent="0.25">
      <c r="A2423" s="583" t="s">
        <v>16940</v>
      </c>
      <c r="B2423" s="605" t="s">
        <v>16941</v>
      </c>
      <c r="C2423" s="606"/>
      <c r="D2423" s="607"/>
      <c r="E2423" s="607"/>
      <c r="F2423" s="607"/>
      <c r="G2423" s="582"/>
    </row>
    <row r="2424" spans="1:7" ht="30" x14ac:dyDescent="0.2">
      <c r="A2424" s="583" t="s">
        <v>16942</v>
      </c>
      <c r="B2424" s="605" t="s">
        <v>16943</v>
      </c>
      <c r="C2424" s="606" t="s">
        <v>12483</v>
      </c>
      <c r="D2424" s="607">
        <v>8.9700000000000006</v>
      </c>
      <c r="E2424" s="607">
        <v>2.5099999999999998</v>
      </c>
      <c r="F2424" s="607">
        <v>11.48</v>
      </c>
      <c r="G2424" s="584">
        <v>15</v>
      </c>
    </row>
    <row r="2425" spans="1:7" ht="30" x14ac:dyDescent="0.2">
      <c r="A2425" s="583" t="s">
        <v>16944</v>
      </c>
      <c r="B2425" s="605" t="s">
        <v>16945</v>
      </c>
      <c r="C2425" s="606" t="s">
        <v>12483</v>
      </c>
      <c r="D2425" s="607">
        <v>13.61</v>
      </c>
      <c r="E2425" s="607">
        <v>5.0199999999999996</v>
      </c>
      <c r="F2425" s="607">
        <v>18.63</v>
      </c>
      <c r="G2425" s="584">
        <v>15</v>
      </c>
    </row>
    <row r="2426" spans="1:7" ht="30" x14ac:dyDescent="0.2">
      <c r="A2426" s="583" t="s">
        <v>16946</v>
      </c>
      <c r="B2426" s="605" t="s">
        <v>16947</v>
      </c>
      <c r="C2426" s="606" t="s">
        <v>12483</v>
      </c>
      <c r="D2426" s="607">
        <v>17.600000000000001</v>
      </c>
      <c r="E2426" s="607">
        <v>5.0199999999999996</v>
      </c>
      <c r="F2426" s="607">
        <v>22.62</v>
      </c>
      <c r="G2426" s="584">
        <v>15</v>
      </c>
    </row>
    <row r="2427" spans="1:7" ht="15" x14ac:dyDescent="0.25">
      <c r="A2427" s="583" t="s">
        <v>16948</v>
      </c>
      <c r="B2427" s="605" t="s">
        <v>16949</v>
      </c>
      <c r="C2427" s="606"/>
      <c r="D2427" s="607"/>
      <c r="E2427" s="607"/>
      <c r="F2427" s="607"/>
      <c r="G2427" s="582"/>
    </row>
    <row r="2428" spans="1:7" ht="30" x14ac:dyDescent="0.2">
      <c r="A2428" s="583" t="s">
        <v>16950</v>
      </c>
      <c r="B2428" s="605" t="s">
        <v>16951</v>
      </c>
      <c r="C2428" s="606" t="s">
        <v>12483</v>
      </c>
      <c r="D2428" s="607">
        <v>4.9400000000000004</v>
      </c>
      <c r="E2428" s="607">
        <v>12.56</v>
      </c>
      <c r="F2428" s="607">
        <v>17.5</v>
      </c>
      <c r="G2428" s="584">
        <v>15</v>
      </c>
    </row>
    <row r="2429" spans="1:7" ht="30" x14ac:dyDescent="0.25">
      <c r="A2429" s="583" t="s">
        <v>16952</v>
      </c>
      <c r="B2429" s="605" t="s">
        <v>16953</v>
      </c>
      <c r="C2429" s="606"/>
      <c r="D2429" s="607"/>
      <c r="E2429" s="607"/>
      <c r="F2429" s="607"/>
      <c r="G2429" s="582"/>
    </row>
    <row r="2430" spans="1:7" ht="15" x14ac:dyDescent="0.25">
      <c r="A2430" s="583" t="s">
        <v>16954</v>
      </c>
      <c r="B2430" s="605" t="s">
        <v>16955</v>
      </c>
      <c r="C2430" s="606"/>
      <c r="D2430" s="607"/>
      <c r="E2430" s="607"/>
      <c r="F2430" s="607"/>
      <c r="G2430" s="582"/>
    </row>
    <row r="2431" spans="1:7" ht="15" x14ac:dyDescent="0.2">
      <c r="A2431" s="583" t="s">
        <v>16956</v>
      </c>
      <c r="B2431" s="605" t="s">
        <v>16957</v>
      </c>
      <c r="C2431" s="606" t="s">
        <v>12375</v>
      </c>
      <c r="D2431" s="607">
        <v>1.96</v>
      </c>
      <c r="E2431" s="607">
        <v>12.56</v>
      </c>
      <c r="F2431" s="607">
        <v>14.52</v>
      </c>
      <c r="G2431" s="584">
        <v>15</v>
      </c>
    </row>
    <row r="2432" spans="1:7" ht="15" x14ac:dyDescent="0.2">
      <c r="A2432" s="583" t="s">
        <v>16958</v>
      </c>
      <c r="B2432" s="605" t="s">
        <v>16959</v>
      </c>
      <c r="C2432" s="606" t="s">
        <v>12375</v>
      </c>
      <c r="D2432" s="607">
        <v>3.32</v>
      </c>
      <c r="E2432" s="607">
        <v>12.56</v>
      </c>
      <c r="F2432" s="607">
        <v>15.88</v>
      </c>
      <c r="G2432" s="584">
        <v>15</v>
      </c>
    </row>
    <row r="2433" spans="1:7" ht="15" x14ac:dyDescent="0.2">
      <c r="A2433" s="583" t="s">
        <v>16960</v>
      </c>
      <c r="B2433" s="605" t="s">
        <v>20384</v>
      </c>
      <c r="C2433" s="606" t="s">
        <v>12375</v>
      </c>
      <c r="D2433" s="607">
        <v>2.84</v>
      </c>
      <c r="E2433" s="607">
        <v>15.07</v>
      </c>
      <c r="F2433" s="607">
        <v>17.91</v>
      </c>
      <c r="G2433" s="584">
        <v>15</v>
      </c>
    </row>
    <row r="2434" spans="1:7" ht="15" x14ac:dyDescent="0.2">
      <c r="A2434" s="583" t="s">
        <v>16961</v>
      </c>
      <c r="B2434" s="605" t="s">
        <v>16962</v>
      </c>
      <c r="C2434" s="606" t="s">
        <v>12375</v>
      </c>
      <c r="D2434" s="607">
        <v>2</v>
      </c>
      <c r="E2434" s="607">
        <v>12.56</v>
      </c>
      <c r="F2434" s="607">
        <v>14.56</v>
      </c>
      <c r="G2434" s="584">
        <v>15</v>
      </c>
    </row>
    <row r="2435" spans="1:7" ht="15" x14ac:dyDescent="0.25">
      <c r="A2435" s="583" t="s">
        <v>16963</v>
      </c>
      <c r="B2435" s="605" t="s">
        <v>16964</v>
      </c>
      <c r="C2435" s="606"/>
      <c r="D2435" s="607"/>
      <c r="E2435" s="607"/>
      <c r="F2435" s="607"/>
      <c r="G2435" s="582"/>
    </row>
    <row r="2436" spans="1:7" ht="15" x14ac:dyDescent="0.2">
      <c r="A2436" s="583" t="s">
        <v>16965</v>
      </c>
      <c r="B2436" s="605" t="s">
        <v>16966</v>
      </c>
      <c r="C2436" s="606" t="s">
        <v>12375</v>
      </c>
      <c r="D2436" s="607">
        <v>42.55</v>
      </c>
      <c r="E2436" s="607">
        <v>40.19</v>
      </c>
      <c r="F2436" s="607">
        <v>82.74</v>
      </c>
      <c r="G2436" s="584">
        <v>15</v>
      </c>
    </row>
    <row r="2437" spans="1:7" ht="30" x14ac:dyDescent="0.2">
      <c r="A2437" s="583" t="s">
        <v>16967</v>
      </c>
      <c r="B2437" s="605" t="s">
        <v>16968</v>
      </c>
      <c r="C2437" s="606" t="s">
        <v>12375</v>
      </c>
      <c r="D2437" s="607">
        <v>15.91</v>
      </c>
      <c r="E2437" s="607">
        <v>15.07</v>
      </c>
      <c r="F2437" s="607">
        <v>30.98</v>
      </c>
      <c r="G2437" s="584">
        <v>15</v>
      </c>
    </row>
    <row r="2438" spans="1:7" ht="30" x14ac:dyDescent="0.2">
      <c r="A2438" s="583" t="s">
        <v>16969</v>
      </c>
      <c r="B2438" s="605" t="s">
        <v>16970</v>
      </c>
      <c r="C2438" s="606" t="s">
        <v>12375</v>
      </c>
      <c r="D2438" s="607">
        <v>18.239999999999998</v>
      </c>
      <c r="E2438" s="607">
        <v>15.07</v>
      </c>
      <c r="F2438" s="607">
        <v>33.31</v>
      </c>
      <c r="G2438" s="584">
        <v>15</v>
      </c>
    </row>
    <row r="2439" spans="1:7" ht="30" x14ac:dyDescent="0.2">
      <c r="A2439" s="583" t="s">
        <v>16971</v>
      </c>
      <c r="B2439" s="605" t="s">
        <v>166</v>
      </c>
      <c r="C2439" s="606" t="s">
        <v>12375</v>
      </c>
      <c r="D2439" s="607">
        <v>29.82</v>
      </c>
      <c r="E2439" s="607">
        <v>15.07</v>
      </c>
      <c r="F2439" s="607">
        <v>44.89</v>
      </c>
      <c r="G2439" s="584">
        <v>15</v>
      </c>
    </row>
    <row r="2440" spans="1:7" ht="30" x14ac:dyDescent="0.2">
      <c r="A2440" s="583" t="s">
        <v>16972</v>
      </c>
      <c r="B2440" s="605" t="s">
        <v>167</v>
      </c>
      <c r="C2440" s="606" t="s">
        <v>12375</v>
      </c>
      <c r="D2440" s="607">
        <v>56.87</v>
      </c>
      <c r="E2440" s="607">
        <v>20.100000000000001</v>
      </c>
      <c r="F2440" s="607">
        <v>76.97</v>
      </c>
      <c r="G2440" s="584">
        <v>15</v>
      </c>
    </row>
    <row r="2441" spans="1:7" ht="30" x14ac:dyDescent="0.2">
      <c r="A2441" s="583" t="s">
        <v>16973</v>
      </c>
      <c r="B2441" s="605" t="s">
        <v>168</v>
      </c>
      <c r="C2441" s="606" t="s">
        <v>12375</v>
      </c>
      <c r="D2441" s="607">
        <v>135.58000000000001</v>
      </c>
      <c r="E2441" s="607">
        <v>20.100000000000001</v>
      </c>
      <c r="F2441" s="607">
        <v>155.68</v>
      </c>
      <c r="G2441" s="584">
        <v>15</v>
      </c>
    </row>
    <row r="2442" spans="1:7" ht="30" x14ac:dyDescent="0.2">
      <c r="A2442" s="583" t="s">
        <v>16974</v>
      </c>
      <c r="B2442" s="605" t="s">
        <v>169</v>
      </c>
      <c r="C2442" s="606" t="s">
        <v>12375</v>
      </c>
      <c r="D2442" s="607">
        <v>181.4</v>
      </c>
      <c r="E2442" s="607">
        <v>25.12</v>
      </c>
      <c r="F2442" s="607">
        <v>206.52</v>
      </c>
      <c r="G2442" s="584">
        <v>15</v>
      </c>
    </row>
    <row r="2443" spans="1:7" ht="30" x14ac:dyDescent="0.2">
      <c r="A2443" s="583" t="s">
        <v>16975</v>
      </c>
      <c r="B2443" s="605" t="s">
        <v>170</v>
      </c>
      <c r="C2443" s="606" t="s">
        <v>12375</v>
      </c>
      <c r="D2443" s="607">
        <v>168.27</v>
      </c>
      <c r="E2443" s="607">
        <v>15.07</v>
      </c>
      <c r="F2443" s="607">
        <v>183.34</v>
      </c>
      <c r="G2443" s="584">
        <v>15</v>
      </c>
    </row>
    <row r="2444" spans="1:7" ht="30" x14ac:dyDescent="0.2">
      <c r="A2444" s="583" t="s">
        <v>16976</v>
      </c>
      <c r="B2444" s="605" t="s">
        <v>171</v>
      </c>
      <c r="C2444" s="606" t="s">
        <v>12375</v>
      </c>
      <c r="D2444" s="607">
        <v>562.73</v>
      </c>
      <c r="E2444" s="607">
        <v>15.07</v>
      </c>
      <c r="F2444" s="607">
        <v>577.79999999999995</v>
      </c>
      <c r="G2444" s="584">
        <v>15</v>
      </c>
    </row>
    <row r="2445" spans="1:7" ht="30" x14ac:dyDescent="0.2">
      <c r="A2445" s="583" t="s">
        <v>16977</v>
      </c>
      <c r="B2445" s="605" t="s">
        <v>172</v>
      </c>
      <c r="C2445" s="606" t="s">
        <v>12375</v>
      </c>
      <c r="D2445" s="607">
        <v>820.75</v>
      </c>
      <c r="E2445" s="607">
        <v>15.07</v>
      </c>
      <c r="F2445" s="607">
        <v>835.82</v>
      </c>
      <c r="G2445" s="584">
        <v>15</v>
      </c>
    </row>
    <row r="2446" spans="1:7" ht="30" x14ac:dyDescent="0.2">
      <c r="A2446" s="583" t="s">
        <v>16978</v>
      </c>
      <c r="B2446" s="605" t="s">
        <v>173</v>
      </c>
      <c r="C2446" s="606" t="s">
        <v>12375</v>
      </c>
      <c r="D2446" s="607">
        <v>1767.42</v>
      </c>
      <c r="E2446" s="607">
        <v>20.100000000000001</v>
      </c>
      <c r="F2446" s="607">
        <v>1787.52</v>
      </c>
      <c r="G2446" s="584">
        <v>15</v>
      </c>
    </row>
    <row r="2447" spans="1:7" ht="30" x14ac:dyDescent="0.2">
      <c r="A2447" s="583" t="s">
        <v>16979</v>
      </c>
      <c r="B2447" s="605" t="s">
        <v>16980</v>
      </c>
      <c r="C2447" s="606" t="s">
        <v>12375</v>
      </c>
      <c r="D2447" s="607">
        <v>24.76</v>
      </c>
      <c r="E2447" s="607">
        <v>15.07</v>
      </c>
      <c r="F2447" s="607">
        <v>39.83</v>
      </c>
      <c r="G2447" s="584">
        <v>15</v>
      </c>
    </row>
    <row r="2448" spans="1:7" ht="30" x14ac:dyDescent="0.2">
      <c r="A2448" s="583" t="s">
        <v>16981</v>
      </c>
      <c r="B2448" s="605" t="s">
        <v>16982</v>
      </c>
      <c r="C2448" s="606" t="s">
        <v>12375</v>
      </c>
      <c r="D2448" s="607">
        <v>78.27</v>
      </c>
      <c r="E2448" s="607">
        <v>15.07</v>
      </c>
      <c r="F2448" s="607">
        <v>93.34</v>
      </c>
      <c r="G2448" s="584">
        <v>15</v>
      </c>
    </row>
    <row r="2449" spans="1:7" ht="30" x14ac:dyDescent="0.2">
      <c r="A2449" s="583" t="s">
        <v>16983</v>
      </c>
      <c r="B2449" s="605" t="s">
        <v>16984</v>
      </c>
      <c r="C2449" s="606" t="s">
        <v>12375</v>
      </c>
      <c r="D2449" s="607">
        <v>205.79</v>
      </c>
      <c r="E2449" s="607">
        <v>20.100000000000001</v>
      </c>
      <c r="F2449" s="607">
        <v>225.89</v>
      </c>
      <c r="G2449" s="584">
        <v>15</v>
      </c>
    </row>
    <row r="2450" spans="1:7" ht="15" x14ac:dyDescent="0.25">
      <c r="A2450" s="583" t="s">
        <v>16985</v>
      </c>
      <c r="B2450" s="605" t="s">
        <v>16986</v>
      </c>
      <c r="C2450" s="606"/>
      <c r="D2450" s="607"/>
      <c r="E2450" s="607"/>
      <c r="F2450" s="607"/>
      <c r="G2450" s="582"/>
    </row>
    <row r="2451" spans="1:7" ht="15" x14ac:dyDescent="0.2">
      <c r="A2451" s="583" t="s">
        <v>16987</v>
      </c>
      <c r="B2451" s="605" t="s">
        <v>16988</v>
      </c>
      <c r="C2451" s="606" t="s">
        <v>12676</v>
      </c>
      <c r="D2451" s="607">
        <v>26.4</v>
      </c>
      <c r="E2451" s="607">
        <v>15.07</v>
      </c>
      <c r="F2451" s="607">
        <v>41.47</v>
      </c>
      <c r="G2451" s="584">
        <v>15</v>
      </c>
    </row>
    <row r="2452" spans="1:7" ht="15" x14ac:dyDescent="0.2">
      <c r="A2452" s="583" t="s">
        <v>16989</v>
      </c>
      <c r="B2452" s="605" t="s">
        <v>16990</v>
      </c>
      <c r="C2452" s="606" t="s">
        <v>12375</v>
      </c>
      <c r="D2452" s="607">
        <v>29.33</v>
      </c>
      <c r="E2452" s="607">
        <v>15.07</v>
      </c>
      <c r="F2452" s="607">
        <v>44.4</v>
      </c>
      <c r="G2452" s="584">
        <v>15</v>
      </c>
    </row>
    <row r="2453" spans="1:7" ht="15" x14ac:dyDescent="0.2">
      <c r="A2453" s="583" t="s">
        <v>16991</v>
      </c>
      <c r="B2453" s="605" t="s">
        <v>16992</v>
      </c>
      <c r="C2453" s="606" t="s">
        <v>12375</v>
      </c>
      <c r="D2453" s="607">
        <v>67.400000000000006</v>
      </c>
      <c r="E2453" s="607">
        <v>15.07</v>
      </c>
      <c r="F2453" s="607">
        <v>82.47</v>
      </c>
      <c r="G2453" s="584">
        <v>15</v>
      </c>
    </row>
    <row r="2454" spans="1:7" ht="15" x14ac:dyDescent="0.2">
      <c r="A2454" s="583" t="s">
        <v>16993</v>
      </c>
      <c r="B2454" s="605" t="s">
        <v>16994</v>
      </c>
      <c r="C2454" s="606" t="s">
        <v>12676</v>
      </c>
      <c r="D2454" s="607">
        <v>272.77999999999997</v>
      </c>
      <c r="E2454" s="607">
        <v>15.07</v>
      </c>
      <c r="F2454" s="607">
        <v>287.85000000000002</v>
      </c>
      <c r="G2454" s="584">
        <v>15</v>
      </c>
    </row>
    <row r="2455" spans="1:7" ht="15" x14ac:dyDescent="0.2">
      <c r="A2455" s="583" t="s">
        <v>16995</v>
      </c>
      <c r="B2455" s="605" t="s">
        <v>16996</v>
      </c>
      <c r="C2455" s="606" t="s">
        <v>12676</v>
      </c>
      <c r="D2455" s="607">
        <v>277.63</v>
      </c>
      <c r="E2455" s="607">
        <v>15.07</v>
      </c>
      <c r="F2455" s="607">
        <v>292.7</v>
      </c>
      <c r="G2455" s="584">
        <v>15</v>
      </c>
    </row>
    <row r="2456" spans="1:7" ht="30" x14ac:dyDescent="0.2">
      <c r="A2456" s="583" t="s">
        <v>16997</v>
      </c>
      <c r="B2456" s="605" t="s">
        <v>16998</v>
      </c>
      <c r="C2456" s="606" t="s">
        <v>12676</v>
      </c>
      <c r="D2456" s="607">
        <v>19.98</v>
      </c>
      <c r="E2456" s="607">
        <v>15.07</v>
      </c>
      <c r="F2456" s="607">
        <v>35.049999999999997</v>
      </c>
      <c r="G2456" s="584">
        <v>15</v>
      </c>
    </row>
    <row r="2457" spans="1:7" ht="15" x14ac:dyDescent="0.2">
      <c r="A2457" s="583" t="s">
        <v>16999</v>
      </c>
      <c r="B2457" s="605" t="s">
        <v>17000</v>
      </c>
      <c r="C2457" s="606" t="s">
        <v>12676</v>
      </c>
      <c r="D2457" s="607">
        <v>333.38</v>
      </c>
      <c r="E2457" s="607">
        <v>15.07</v>
      </c>
      <c r="F2457" s="607">
        <v>348.45</v>
      </c>
      <c r="G2457" s="584">
        <v>15</v>
      </c>
    </row>
    <row r="2458" spans="1:7" ht="30" x14ac:dyDescent="0.2">
      <c r="A2458" s="583" t="s">
        <v>17001</v>
      </c>
      <c r="B2458" s="605" t="s">
        <v>17002</v>
      </c>
      <c r="C2458" s="606" t="s">
        <v>12375</v>
      </c>
      <c r="D2458" s="607">
        <v>23.17</v>
      </c>
      <c r="E2458" s="607">
        <v>15.07</v>
      </c>
      <c r="F2458" s="607">
        <v>38.24</v>
      </c>
      <c r="G2458" s="584">
        <v>15</v>
      </c>
    </row>
    <row r="2459" spans="1:7" ht="15" x14ac:dyDescent="0.2">
      <c r="A2459" s="583" t="s">
        <v>17003</v>
      </c>
      <c r="B2459" s="605" t="s">
        <v>17004</v>
      </c>
      <c r="C2459" s="606" t="s">
        <v>12676</v>
      </c>
      <c r="D2459" s="607">
        <v>12.84</v>
      </c>
      <c r="E2459" s="607">
        <v>15.07</v>
      </c>
      <c r="F2459" s="607">
        <v>27.91</v>
      </c>
      <c r="G2459" s="584">
        <v>15</v>
      </c>
    </row>
    <row r="2460" spans="1:7" ht="15" x14ac:dyDescent="0.2">
      <c r="A2460" s="583" t="s">
        <v>17005</v>
      </c>
      <c r="B2460" s="605" t="s">
        <v>17006</v>
      </c>
      <c r="C2460" s="606" t="s">
        <v>12676</v>
      </c>
      <c r="D2460" s="607">
        <v>13.92</v>
      </c>
      <c r="E2460" s="607">
        <v>15.07</v>
      </c>
      <c r="F2460" s="607">
        <v>28.99</v>
      </c>
      <c r="G2460" s="584">
        <v>15</v>
      </c>
    </row>
    <row r="2461" spans="1:7" ht="15" x14ac:dyDescent="0.2">
      <c r="A2461" s="583" t="s">
        <v>17007</v>
      </c>
      <c r="B2461" s="605" t="s">
        <v>17008</v>
      </c>
      <c r="C2461" s="606" t="s">
        <v>12676</v>
      </c>
      <c r="D2461" s="607">
        <v>32.770000000000003</v>
      </c>
      <c r="E2461" s="607">
        <v>15.07</v>
      </c>
      <c r="F2461" s="607">
        <v>47.84</v>
      </c>
      <c r="G2461" s="584">
        <v>15</v>
      </c>
    </row>
    <row r="2462" spans="1:7" ht="30" x14ac:dyDescent="0.2">
      <c r="A2462" s="583" t="s">
        <v>17009</v>
      </c>
      <c r="B2462" s="605" t="s">
        <v>17010</v>
      </c>
      <c r="C2462" s="606" t="s">
        <v>12676</v>
      </c>
      <c r="D2462" s="607">
        <v>27.15</v>
      </c>
      <c r="E2462" s="607">
        <v>15.07</v>
      </c>
      <c r="F2462" s="607">
        <v>42.22</v>
      </c>
      <c r="G2462" s="584">
        <v>15</v>
      </c>
    </row>
    <row r="2463" spans="1:7" ht="30" x14ac:dyDescent="0.2">
      <c r="A2463" s="583" t="s">
        <v>17011</v>
      </c>
      <c r="B2463" s="605" t="s">
        <v>17012</v>
      </c>
      <c r="C2463" s="606" t="s">
        <v>12676</v>
      </c>
      <c r="D2463" s="607">
        <v>26.02</v>
      </c>
      <c r="E2463" s="607">
        <v>15.07</v>
      </c>
      <c r="F2463" s="607">
        <v>41.09</v>
      </c>
      <c r="G2463" s="584">
        <v>15</v>
      </c>
    </row>
    <row r="2464" spans="1:7" ht="30" x14ac:dyDescent="0.2">
      <c r="A2464" s="583" t="s">
        <v>20209</v>
      </c>
      <c r="B2464" s="605" t="s">
        <v>20210</v>
      </c>
      <c r="C2464" s="606" t="s">
        <v>12676</v>
      </c>
      <c r="D2464" s="607">
        <v>37.04</v>
      </c>
      <c r="E2464" s="607">
        <v>18.59</v>
      </c>
      <c r="F2464" s="607">
        <v>55.63</v>
      </c>
      <c r="G2464" s="584">
        <v>15</v>
      </c>
    </row>
    <row r="2465" spans="1:7" ht="15" x14ac:dyDescent="0.25">
      <c r="A2465" s="583" t="s">
        <v>17013</v>
      </c>
      <c r="B2465" s="605" t="s">
        <v>17014</v>
      </c>
      <c r="C2465" s="606"/>
      <c r="D2465" s="607"/>
      <c r="E2465" s="607"/>
      <c r="F2465" s="607"/>
      <c r="G2465" s="582"/>
    </row>
    <row r="2466" spans="1:7" ht="15" x14ac:dyDescent="0.2">
      <c r="A2466" s="583" t="s">
        <v>17015</v>
      </c>
      <c r="B2466" s="605" t="s">
        <v>17016</v>
      </c>
      <c r="C2466" s="606" t="s">
        <v>12676</v>
      </c>
      <c r="D2466" s="607">
        <v>14.32</v>
      </c>
      <c r="E2466" s="607">
        <v>17.079999999999998</v>
      </c>
      <c r="F2466" s="607">
        <v>31.4</v>
      </c>
      <c r="G2466" s="584">
        <v>15</v>
      </c>
    </row>
    <row r="2467" spans="1:7" ht="15" x14ac:dyDescent="0.2">
      <c r="A2467" s="583" t="s">
        <v>17017</v>
      </c>
      <c r="B2467" s="605" t="s">
        <v>17018</v>
      </c>
      <c r="C2467" s="606" t="s">
        <v>12676</v>
      </c>
      <c r="D2467" s="607">
        <v>24.66</v>
      </c>
      <c r="E2467" s="607">
        <v>17.579999999999998</v>
      </c>
      <c r="F2467" s="607">
        <v>42.24</v>
      </c>
      <c r="G2467" s="584">
        <v>15</v>
      </c>
    </row>
    <row r="2468" spans="1:7" ht="15" x14ac:dyDescent="0.2">
      <c r="A2468" s="583" t="s">
        <v>17019</v>
      </c>
      <c r="B2468" s="605" t="s">
        <v>17020</v>
      </c>
      <c r="C2468" s="606" t="s">
        <v>12676</v>
      </c>
      <c r="D2468" s="607">
        <v>26.91</v>
      </c>
      <c r="E2468" s="607">
        <v>25.12</v>
      </c>
      <c r="F2468" s="607">
        <v>52.03</v>
      </c>
      <c r="G2468" s="584">
        <v>15</v>
      </c>
    </row>
    <row r="2469" spans="1:7" ht="15" x14ac:dyDescent="0.2">
      <c r="A2469" s="583" t="s">
        <v>17021</v>
      </c>
      <c r="B2469" s="605" t="s">
        <v>17022</v>
      </c>
      <c r="C2469" s="606" t="s">
        <v>12676</v>
      </c>
      <c r="D2469" s="607">
        <v>18.64</v>
      </c>
      <c r="E2469" s="607">
        <v>13.57</v>
      </c>
      <c r="F2469" s="607">
        <v>32.21</v>
      </c>
      <c r="G2469" s="584">
        <v>15</v>
      </c>
    </row>
    <row r="2470" spans="1:7" ht="15" x14ac:dyDescent="0.2">
      <c r="A2470" s="583" t="s">
        <v>17023</v>
      </c>
      <c r="B2470" s="605" t="s">
        <v>17024</v>
      </c>
      <c r="C2470" s="606" t="s">
        <v>12676</v>
      </c>
      <c r="D2470" s="607">
        <v>12.87</v>
      </c>
      <c r="E2470" s="607">
        <v>22.61</v>
      </c>
      <c r="F2470" s="607">
        <v>35.479999999999997</v>
      </c>
      <c r="G2470" s="584">
        <v>15</v>
      </c>
    </row>
    <row r="2471" spans="1:7" ht="15" x14ac:dyDescent="0.2">
      <c r="A2471" s="583" t="s">
        <v>17025</v>
      </c>
      <c r="B2471" s="605" t="s">
        <v>17026</v>
      </c>
      <c r="C2471" s="606" t="s">
        <v>12676</v>
      </c>
      <c r="D2471" s="607">
        <v>23.73</v>
      </c>
      <c r="E2471" s="607">
        <v>19.09</v>
      </c>
      <c r="F2471" s="607">
        <v>42.82</v>
      </c>
      <c r="G2471" s="584">
        <v>15</v>
      </c>
    </row>
    <row r="2472" spans="1:7" ht="15" x14ac:dyDescent="0.2">
      <c r="A2472" s="583" t="s">
        <v>17027</v>
      </c>
      <c r="B2472" s="605" t="s">
        <v>17028</v>
      </c>
      <c r="C2472" s="606" t="s">
        <v>12676</v>
      </c>
      <c r="D2472" s="607">
        <v>12.63</v>
      </c>
      <c r="E2472" s="607">
        <v>22.61</v>
      </c>
      <c r="F2472" s="607">
        <v>35.24</v>
      </c>
      <c r="G2472" s="584">
        <v>15</v>
      </c>
    </row>
    <row r="2473" spans="1:7" ht="15" x14ac:dyDescent="0.2">
      <c r="A2473" s="583" t="s">
        <v>17029</v>
      </c>
      <c r="B2473" s="605" t="s">
        <v>17030</v>
      </c>
      <c r="C2473" s="606" t="s">
        <v>12676</v>
      </c>
      <c r="D2473" s="607">
        <v>19.5</v>
      </c>
      <c r="E2473" s="607">
        <v>25.12</v>
      </c>
      <c r="F2473" s="607">
        <v>44.62</v>
      </c>
      <c r="G2473" s="584">
        <v>15</v>
      </c>
    </row>
    <row r="2474" spans="1:7" ht="15" x14ac:dyDescent="0.2">
      <c r="A2474" s="583" t="s">
        <v>17031</v>
      </c>
      <c r="B2474" s="605" t="s">
        <v>17032</v>
      </c>
      <c r="C2474" s="606" t="s">
        <v>12676</v>
      </c>
      <c r="D2474" s="607">
        <v>53.79</v>
      </c>
      <c r="E2474" s="607">
        <v>17.579999999999998</v>
      </c>
      <c r="F2474" s="607">
        <v>71.37</v>
      </c>
      <c r="G2474" s="584">
        <v>15</v>
      </c>
    </row>
    <row r="2475" spans="1:7" ht="15" x14ac:dyDescent="0.2">
      <c r="A2475" s="583" t="s">
        <v>17033</v>
      </c>
      <c r="B2475" s="605" t="s">
        <v>17034</v>
      </c>
      <c r="C2475" s="606" t="s">
        <v>12676</v>
      </c>
      <c r="D2475" s="607">
        <v>45.82</v>
      </c>
      <c r="E2475" s="607">
        <v>17.579999999999998</v>
      </c>
      <c r="F2475" s="607">
        <v>63.4</v>
      </c>
      <c r="G2475" s="584">
        <v>15</v>
      </c>
    </row>
    <row r="2476" spans="1:7" ht="15" x14ac:dyDescent="0.2">
      <c r="A2476" s="583" t="s">
        <v>17035</v>
      </c>
      <c r="B2476" s="605" t="s">
        <v>17036</v>
      </c>
      <c r="C2476" s="606" t="s">
        <v>12676</v>
      </c>
      <c r="D2476" s="607">
        <v>18.420000000000002</v>
      </c>
      <c r="E2476" s="607">
        <v>12.56</v>
      </c>
      <c r="F2476" s="607">
        <v>30.98</v>
      </c>
      <c r="G2476" s="584">
        <v>15</v>
      </c>
    </row>
    <row r="2477" spans="1:7" ht="15" x14ac:dyDescent="0.2">
      <c r="A2477" s="583" t="s">
        <v>17037</v>
      </c>
      <c r="B2477" s="605" t="s">
        <v>21425</v>
      </c>
      <c r="C2477" s="606" t="s">
        <v>12676</v>
      </c>
      <c r="D2477" s="607">
        <v>54.76</v>
      </c>
      <c r="E2477" s="607">
        <v>19.09</v>
      </c>
      <c r="F2477" s="607">
        <v>73.849999999999994</v>
      </c>
      <c r="G2477" s="584">
        <v>15</v>
      </c>
    </row>
    <row r="2478" spans="1:7" ht="30" x14ac:dyDescent="0.2">
      <c r="A2478" s="583" t="s">
        <v>17038</v>
      </c>
      <c r="B2478" s="605" t="s">
        <v>17039</v>
      </c>
      <c r="C2478" s="606" t="s">
        <v>12375</v>
      </c>
      <c r="D2478" s="607">
        <v>35.229999999999997</v>
      </c>
      <c r="E2478" s="607">
        <v>15.07</v>
      </c>
      <c r="F2478" s="607">
        <v>50.3</v>
      </c>
      <c r="G2478" s="584">
        <v>15</v>
      </c>
    </row>
    <row r="2479" spans="1:7" ht="30" x14ac:dyDescent="0.2">
      <c r="A2479" s="583" t="s">
        <v>17040</v>
      </c>
      <c r="B2479" s="605" t="s">
        <v>17041</v>
      </c>
      <c r="C2479" s="606" t="s">
        <v>12375</v>
      </c>
      <c r="D2479" s="607">
        <v>99.27</v>
      </c>
      <c r="E2479" s="607">
        <v>25.12</v>
      </c>
      <c r="F2479" s="607">
        <v>124.39</v>
      </c>
      <c r="G2479" s="584">
        <v>15</v>
      </c>
    </row>
    <row r="2480" spans="1:7" ht="15" x14ac:dyDescent="0.25">
      <c r="A2480" s="583" t="s">
        <v>17042</v>
      </c>
      <c r="B2480" s="605" t="s">
        <v>17043</v>
      </c>
      <c r="C2480" s="606"/>
      <c r="D2480" s="607"/>
      <c r="E2480" s="607"/>
      <c r="F2480" s="607"/>
      <c r="G2480" s="582"/>
    </row>
    <row r="2481" spans="1:7" ht="15" x14ac:dyDescent="0.2">
      <c r="A2481" s="583" t="s">
        <v>17044</v>
      </c>
      <c r="B2481" s="605" t="s">
        <v>17045</v>
      </c>
      <c r="C2481" s="606" t="s">
        <v>12676</v>
      </c>
      <c r="D2481" s="607">
        <v>14.49</v>
      </c>
      <c r="E2481" s="607">
        <v>25.12</v>
      </c>
      <c r="F2481" s="607">
        <v>39.61</v>
      </c>
      <c r="G2481" s="584">
        <v>15</v>
      </c>
    </row>
    <row r="2482" spans="1:7" ht="15" x14ac:dyDescent="0.2">
      <c r="A2482" s="583" t="s">
        <v>17046</v>
      </c>
      <c r="B2482" s="605" t="s">
        <v>17047</v>
      </c>
      <c r="C2482" s="606" t="s">
        <v>12676</v>
      </c>
      <c r="D2482" s="607">
        <v>23.04</v>
      </c>
      <c r="E2482" s="607">
        <v>25.12</v>
      </c>
      <c r="F2482" s="607">
        <v>48.16</v>
      </c>
      <c r="G2482" s="584">
        <v>15</v>
      </c>
    </row>
    <row r="2483" spans="1:7" ht="15" x14ac:dyDescent="0.2">
      <c r="A2483" s="583" t="s">
        <v>17048</v>
      </c>
      <c r="B2483" s="605" t="s">
        <v>17049</v>
      </c>
      <c r="C2483" s="606" t="s">
        <v>12676</v>
      </c>
      <c r="D2483" s="607">
        <v>43.22</v>
      </c>
      <c r="E2483" s="607">
        <v>25.12</v>
      </c>
      <c r="F2483" s="607">
        <v>68.34</v>
      </c>
      <c r="G2483" s="584">
        <v>15</v>
      </c>
    </row>
    <row r="2484" spans="1:7" ht="15" x14ac:dyDescent="0.2">
      <c r="A2484" s="583" t="s">
        <v>17050</v>
      </c>
      <c r="B2484" s="605" t="s">
        <v>17051</v>
      </c>
      <c r="C2484" s="606" t="s">
        <v>12676</v>
      </c>
      <c r="D2484" s="607">
        <v>54.07</v>
      </c>
      <c r="E2484" s="607">
        <v>25.12</v>
      </c>
      <c r="F2484" s="607">
        <v>79.19</v>
      </c>
      <c r="G2484" s="584">
        <v>15</v>
      </c>
    </row>
    <row r="2485" spans="1:7" ht="15" x14ac:dyDescent="0.2">
      <c r="A2485" s="583" t="s">
        <v>17052</v>
      </c>
      <c r="B2485" s="605" t="s">
        <v>17053</v>
      </c>
      <c r="C2485" s="606" t="s">
        <v>12676</v>
      </c>
      <c r="D2485" s="607">
        <v>73.760000000000005</v>
      </c>
      <c r="E2485" s="607">
        <v>25.12</v>
      </c>
      <c r="F2485" s="607">
        <v>98.88</v>
      </c>
      <c r="G2485" s="584">
        <v>15</v>
      </c>
    </row>
    <row r="2486" spans="1:7" ht="15" x14ac:dyDescent="0.2">
      <c r="A2486" s="583" t="s">
        <v>17054</v>
      </c>
      <c r="B2486" s="605" t="s">
        <v>17055</v>
      </c>
      <c r="C2486" s="606" t="s">
        <v>12676</v>
      </c>
      <c r="D2486" s="607">
        <v>219.66</v>
      </c>
      <c r="E2486" s="607">
        <v>25.12</v>
      </c>
      <c r="F2486" s="607">
        <v>244.78</v>
      </c>
      <c r="G2486" s="584">
        <v>15</v>
      </c>
    </row>
    <row r="2487" spans="1:7" ht="15" x14ac:dyDescent="0.2">
      <c r="A2487" s="583" t="s">
        <v>17056</v>
      </c>
      <c r="B2487" s="605" t="s">
        <v>17057</v>
      </c>
      <c r="C2487" s="606" t="s">
        <v>12676</v>
      </c>
      <c r="D2487" s="607">
        <v>271.83999999999997</v>
      </c>
      <c r="E2487" s="607">
        <v>25.12</v>
      </c>
      <c r="F2487" s="607">
        <v>296.95999999999998</v>
      </c>
      <c r="G2487" s="584">
        <v>15</v>
      </c>
    </row>
    <row r="2488" spans="1:7" ht="15" x14ac:dyDescent="0.2">
      <c r="A2488" s="583" t="s">
        <v>17058</v>
      </c>
      <c r="B2488" s="605" t="s">
        <v>17059</v>
      </c>
      <c r="C2488" s="606" t="s">
        <v>12676</v>
      </c>
      <c r="D2488" s="607">
        <v>400.46</v>
      </c>
      <c r="E2488" s="607">
        <v>25.12</v>
      </c>
      <c r="F2488" s="607">
        <v>425.58</v>
      </c>
      <c r="G2488" s="584">
        <v>15</v>
      </c>
    </row>
    <row r="2489" spans="1:7" ht="15" x14ac:dyDescent="0.2">
      <c r="A2489" s="583" t="s">
        <v>17060</v>
      </c>
      <c r="B2489" s="605" t="s">
        <v>17061</v>
      </c>
      <c r="C2489" s="606" t="s">
        <v>12676</v>
      </c>
      <c r="D2489" s="607">
        <v>18.72</v>
      </c>
      <c r="E2489" s="607">
        <v>25.12</v>
      </c>
      <c r="F2489" s="607">
        <v>43.84</v>
      </c>
      <c r="G2489" s="584">
        <v>15</v>
      </c>
    </row>
    <row r="2490" spans="1:7" ht="15" x14ac:dyDescent="0.25">
      <c r="A2490" s="583" t="s">
        <v>17062</v>
      </c>
      <c r="B2490" s="605" t="s">
        <v>17063</v>
      </c>
      <c r="C2490" s="606"/>
      <c r="D2490" s="607"/>
      <c r="E2490" s="607"/>
      <c r="F2490" s="607"/>
      <c r="G2490" s="582"/>
    </row>
    <row r="2491" spans="1:7" ht="15" x14ac:dyDescent="0.2">
      <c r="A2491" s="583" t="s">
        <v>17064</v>
      </c>
      <c r="B2491" s="605" t="s">
        <v>17065</v>
      </c>
      <c r="C2491" s="606" t="s">
        <v>12375</v>
      </c>
      <c r="D2491" s="607">
        <v>3.49</v>
      </c>
      <c r="E2491" s="607">
        <v>12.56</v>
      </c>
      <c r="F2491" s="607">
        <v>16.05</v>
      </c>
      <c r="G2491" s="584">
        <v>15</v>
      </c>
    </row>
    <row r="2492" spans="1:7" ht="15" x14ac:dyDescent="0.2">
      <c r="A2492" s="583" t="s">
        <v>17066</v>
      </c>
      <c r="B2492" s="605" t="s">
        <v>17067</v>
      </c>
      <c r="C2492" s="606" t="s">
        <v>12375</v>
      </c>
      <c r="D2492" s="607">
        <v>6.82</v>
      </c>
      <c r="E2492" s="607">
        <v>12.56</v>
      </c>
      <c r="F2492" s="607">
        <v>19.38</v>
      </c>
      <c r="G2492" s="584">
        <v>15</v>
      </c>
    </row>
    <row r="2493" spans="1:7" ht="15" x14ac:dyDescent="0.2">
      <c r="A2493" s="583" t="s">
        <v>17068</v>
      </c>
      <c r="B2493" s="605" t="s">
        <v>17069</v>
      </c>
      <c r="C2493" s="606" t="s">
        <v>12375</v>
      </c>
      <c r="D2493" s="607">
        <v>8.32</v>
      </c>
      <c r="E2493" s="607">
        <v>12.56</v>
      </c>
      <c r="F2493" s="607">
        <v>20.88</v>
      </c>
      <c r="G2493" s="584">
        <v>15</v>
      </c>
    </row>
    <row r="2494" spans="1:7" ht="15" x14ac:dyDescent="0.25">
      <c r="A2494" s="583" t="s">
        <v>17070</v>
      </c>
      <c r="B2494" s="605" t="s">
        <v>17071</v>
      </c>
      <c r="C2494" s="606"/>
      <c r="D2494" s="607"/>
      <c r="E2494" s="607"/>
      <c r="F2494" s="607"/>
      <c r="G2494" s="582"/>
    </row>
    <row r="2495" spans="1:7" ht="15" x14ac:dyDescent="0.2">
      <c r="A2495" s="583" t="s">
        <v>17072</v>
      </c>
      <c r="B2495" s="605" t="s">
        <v>17073</v>
      </c>
      <c r="C2495" s="606" t="s">
        <v>12375</v>
      </c>
      <c r="D2495" s="607">
        <v>286.31</v>
      </c>
      <c r="E2495" s="607">
        <v>25.12</v>
      </c>
      <c r="F2495" s="607">
        <v>311.43</v>
      </c>
      <c r="G2495" s="584">
        <v>15</v>
      </c>
    </row>
    <row r="2496" spans="1:7" ht="15" x14ac:dyDescent="0.2">
      <c r="A2496" s="583" t="s">
        <v>17074</v>
      </c>
      <c r="B2496" s="605" t="s">
        <v>17075</v>
      </c>
      <c r="C2496" s="606" t="s">
        <v>12375</v>
      </c>
      <c r="D2496" s="607">
        <v>287.99</v>
      </c>
      <c r="E2496" s="607">
        <v>25.12</v>
      </c>
      <c r="F2496" s="607">
        <v>313.11</v>
      </c>
      <c r="G2496" s="584">
        <v>15</v>
      </c>
    </row>
    <row r="2497" spans="1:7" ht="15" x14ac:dyDescent="0.2">
      <c r="A2497" s="583" t="s">
        <v>17076</v>
      </c>
      <c r="B2497" s="605" t="s">
        <v>17077</v>
      </c>
      <c r="C2497" s="606" t="s">
        <v>12375</v>
      </c>
      <c r="D2497" s="607">
        <v>308.68</v>
      </c>
      <c r="E2497" s="607">
        <v>25.12</v>
      </c>
      <c r="F2497" s="607">
        <v>333.8</v>
      </c>
      <c r="G2497" s="584">
        <v>15</v>
      </c>
    </row>
    <row r="2498" spans="1:7" ht="15" x14ac:dyDescent="0.2">
      <c r="A2498" s="583" t="s">
        <v>17078</v>
      </c>
      <c r="B2498" s="605" t="s">
        <v>17079</v>
      </c>
      <c r="C2498" s="606" t="s">
        <v>12375</v>
      </c>
      <c r="D2498" s="607">
        <v>196.48</v>
      </c>
      <c r="E2498" s="607">
        <v>25.12</v>
      </c>
      <c r="F2498" s="607">
        <v>221.6</v>
      </c>
      <c r="G2498" s="584">
        <v>15</v>
      </c>
    </row>
    <row r="2499" spans="1:7" ht="15" x14ac:dyDescent="0.2">
      <c r="A2499" s="583" t="s">
        <v>17080</v>
      </c>
      <c r="B2499" s="605" t="s">
        <v>17081</v>
      </c>
      <c r="C2499" s="606" t="s">
        <v>12375</v>
      </c>
      <c r="D2499" s="607">
        <v>346.97</v>
      </c>
      <c r="E2499" s="607">
        <v>25.12</v>
      </c>
      <c r="F2499" s="607">
        <v>372.09</v>
      </c>
      <c r="G2499" s="584">
        <v>15</v>
      </c>
    </row>
    <row r="2500" spans="1:7" ht="15" x14ac:dyDescent="0.2">
      <c r="A2500" s="583" t="s">
        <v>17082</v>
      </c>
      <c r="B2500" s="605" t="s">
        <v>17083</v>
      </c>
      <c r="C2500" s="606" t="s">
        <v>12375</v>
      </c>
      <c r="D2500" s="607">
        <v>575.36</v>
      </c>
      <c r="E2500" s="607">
        <v>25.12</v>
      </c>
      <c r="F2500" s="607">
        <v>600.48</v>
      </c>
      <c r="G2500" s="584">
        <v>15</v>
      </c>
    </row>
    <row r="2501" spans="1:7" ht="15" x14ac:dyDescent="0.2">
      <c r="A2501" s="583" t="s">
        <v>17084</v>
      </c>
      <c r="B2501" s="605" t="s">
        <v>17085</v>
      </c>
      <c r="C2501" s="606" t="s">
        <v>12375</v>
      </c>
      <c r="D2501" s="607">
        <v>719.09</v>
      </c>
      <c r="E2501" s="607">
        <v>25.12</v>
      </c>
      <c r="F2501" s="607">
        <v>744.21</v>
      </c>
      <c r="G2501" s="584">
        <v>15</v>
      </c>
    </row>
    <row r="2502" spans="1:7" ht="15" x14ac:dyDescent="0.2">
      <c r="A2502" s="583" t="s">
        <v>17086</v>
      </c>
      <c r="B2502" s="605" t="s">
        <v>17087</v>
      </c>
      <c r="C2502" s="606" t="s">
        <v>12375</v>
      </c>
      <c r="D2502" s="607">
        <v>1071.97</v>
      </c>
      <c r="E2502" s="607">
        <v>25.12</v>
      </c>
      <c r="F2502" s="607">
        <v>1097.0899999999999</v>
      </c>
      <c r="G2502" s="584">
        <v>15</v>
      </c>
    </row>
    <row r="2503" spans="1:7" ht="15" x14ac:dyDescent="0.2">
      <c r="A2503" s="583" t="s">
        <v>17088</v>
      </c>
      <c r="B2503" s="605" t="s">
        <v>17089</v>
      </c>
      <c r="C2503" s="606" t="s">
        <v>12375</v>
      </c>
      <c r="D2503" s="607">
        <v>1618.61</v>
      </c>
      <c r="E2503" s="607">
        <v>25.12</v>
      </c>
      <c r="F2503" s="607">
        <v>1643.73</v>
      </c>
      <c r="G2503" s="584">
        <v>15</v>
      </c>
    </row>
    <row r="2504" spans="1:7" ht="15" x14ac:dyDescent="0.2">
      <c r="A2504" s="583" t="s">
        <v>17090</v>
      </c>
      <c r="B2504" s="605" t="s">
        <v>17091</v>
      </c>
      <c r="C2504" s="606" t="s">
        <v>12375</v>
      </c>
      <c r="D2504" s="607">
        <v>3302.08</v>
      </c>
      <c r="E2504" s="607">
        <v>25.12</v>
      </c>
      <c r="F2504" s="607">
        <v>3327.2</v>
      </c>
      <c r="G2504" s="584">
        <v>15</v>
      </c>
    </row>
    <row r="2505" spans="1:7" ht="15" x14ac:dyDescent="0.2">
      <c r="A2505" s="583" t="s">
        <v>17092</v>
      </c>
      <c r="B2505" s="605" t="s">
        <v>17093</v>
      </c>
      <c r="C2505" s="606" t="s">
        <v>12375</v>
      </c>
      <c r="D2505" s="607">
        <v>2148.62</v>
      </c>
      <c r="E2505" s="607">
        <v>25.12</v>
      </c>
      <c r="F2505" s="607">
        <v>2173.7399999999998</v>
      </c>
      <c r="G2505" s="584">
        <v>15</v>
      </c>
    </row>
    <row r="2506" spans="1:7" ht="15" x14ac:dyDescent="0.2">
      <c r="A2506" s="583" t="s">
        <v>17094</v>
      </c>
      <c r="B2506" s="605" t="s">
        <v>17095</v>
      </c>
      <c r="C2506" s="606" t="s">
        <v>12375</v>
      </c>
      <c r="D2506" s="607">
        <v>5801.06</v>
      </c>
      <c r="E2506" s="607">
        <v>25.12</v>
      </c>
      <c r="F2506" s="607">
        <v>5826.18</v>
      </c>
      <c r="G2506" s="584">
        <v>15</v>
      </c>
    </row>
    <row r="2507" spans="1:7" ht="15" x14ac:dyDescent="0.2">
      <c r="A2507" s="583" t="s">
        <v>17096</v>
      </c>
      <c r="B2507" s="605" t="s">
        <v>17097</v>
      </c>
      <c r="C2507" s="606" t="s">
        <v>12375</v>
      </c>
      <c r="D2507" s="607">
        <v>73.7</v>
      </c>
      <c r="E2507" s="607">
        <v>25.12</v>
      </c>
      <c r="F2507" s="607">
        <v>98.82</v>
      </c>
      <c r="G2507" s="584">
        <v>15</v>
      </c>
    </row>
    <row r="2508" spans="1:7" ht="15" x14ac:dyDescent="0.2">
      <c r="A2508" s="583" t="s">
        <v>17098</v>
      </c>
      <c r="B2508" s="605" t="s">
        <v>17099</v>
      </c>
      <c r="C2508" s="606" t="s">
        <v>12375</v>
      </c>
      <c r="D2508" s="607">
        <v>116.46</v>
      </c>
      <c r="E2508" s="607">
        <v>25.12</v>
      </c>
      <c r="F2508" s="607">
        <v>141.58000000000001</v>
      </c>
      <c r="G2508" s="584">
        <v>15</v>
      </c>
    </row>
    <row r="2509" spans="1:7" ht="15" x14ac:dyDescent="0.2">
      <c r="A2509" s="583" t="s">
        <v>17100</v>
      </c>
      <c r="B2509" s="605" t="s">
        <v>17101</v>
      </c>
      <c r="C2509" s="606" t="s">
        <v>12375</v>
      </c>
      <c r="D2509" s="607">
        <v>145.38999999999999</v>
      </c>
      <c r="E2509" s="607">
        <v>25.12</v>
      </c>
      <c r="F2509" s="607">
        <v>170.51</v>
      </c>
      <c r="G2509" s="584">
        <v>15</v>
      </c>
    </row>
    <row r="2510" spans="1:7" ht="15" x14ac:dyDescent="0.25">
      <c r="A2510" s="583" t="s">
        <v>17102</v>
      </c>
      <c r="B2510" s="605" t="s">
        <v>17103</v>
      </c>
      <c r="C2510" s="606"/>
      <c r="D2510" s="607"/>
      <c r="E2510" s="607"/>
      <c r="F2510" s="607"/>
      <c r="G2510" s="582"/>
    </row>
    <row r="2511" spans="1:7" ht="15" x14ac:dyDescent="0.2">
      <c r="A2511" s="583" t="s">
        <v>17104</v>
      </c>
      <c r="B2511" s="605" t="s">
        <v>17105</v>
      </c>
      <c r="C2511" s="606" t="s">
        <v>12375</v>
      </c>
      <c r="D2511" s="607">
        <v>80.06</v>
      </c>
      <c r="E2511" s="607">
        <v>22.61</v>
      </c>
      <c r="F2511" s="607">
        <v>102.67</v>
      </c>
      <c r="G2511" s="584">
        <v>15</v>
      </c>
    </row>
    <row r="2512" spans="1:7" ht="30" x14ac:dyDescent="0.2">
      <c r="A2512" s="583" t="s">
        <v>17106</v>
      </c>
      <c r="B2512" s="605" t="s">
        <v>17107</v>
      </c>
      <c r="C2512" s="606" t="s">
        <v>12375</v>
      </c>
      <c r="D2512" s="607">
        <v>258.93</v>
      </c>
      <c r="E2512" s="607">
        <v>25.12</v>
      </c>
      <c r="F2512" s="607">
        <v>284.05</v>
      </c>
      <c r="G2512" s="584">
        <v>15</v>
      </c>
    </row>
    <row r="2513" spans="1:7" ht="30" x14ac:dyDescent="0.2">
      <c r="A2513" s="583" t="s">
        <v>17108</v>
      </c>
      <c r="B2513" s="605" t="s">
        <v>17109</v>
      </c>
      <c r="C2513" s="606" t="s">
        <v>12375</v>
      </c>
      <c r="D2513" s="607">
        <v>460.15</v>
      </c>
      <c r="E2513" s="607">
        <v>25.12</v>
      </c>
      <c r="F2513" s="607">
        <v>485.27</v>
      </c>
      <c r="G2513" s="584">
        <v>15</v>
      </c>
    </row>
    <row r="2514" spans="1:7" ht="30" x14ac:dyDescent="0.2">
      <c r="A2514" s="583" t="s">
        <v>17110</v>
      </c>
      <c r="B2514" s="605" t="s">
        <v>17111</v>
      </c>
      <c r="C2514" s="606" t="s">
        <v>12375</v>
      </c>
      <c r="D2514" s="607">
        <v>302.06</v>
      </c>
      <c r="E2514" s="607">
        <v>25.12</v>
      </c>
      <c r="F2514" s="607">
        <v>327.18</v>
      </c>
      <c r="G2514" s="584">
        <v>15</v>
      </c>
    </row>
    <row r="2515" spans="1:7" ht="15" x14ac:dyDescent="0.2">
      <c r="A2515" s="583" t="s">
        <v>17112</v>
      </c>
      <c r="B2515" s="605" t="s">
        <v>17113</v>
      </c>
      <c r="C2515" s="606" t="s">
        <v>12375</v>
      </c>
      <c r="D2515" s="607">
        <v>94.96</v>
      </c>
      <c r="E2515" s="607">
        <v>50.24</v>
      </c>
      <c r="F2515" s="607">
        <v>145.19999999999999</v>
      </c>
      <c r="G2515" s="584">
        <v>15</v>
      </c>
    </row>
    <row r="2516" spans="1:7" ht="30" x14ac:dyDescent="0.2">
      <c r="A2516" s="583" t="s">
        <v>17114</v>
      </c>
      <c r="B2516" s="605" t="s">
        <v>17115</v>
      </c>
      <c r="C2516" s="606" t="s">
        <v>12375</v>
      </c>
      <c r="D2516" s="607">
        <v>4500.34</v>
      </c>
      <c r="E2516" s="607">
        <v>50.24</v>
      </c>
      <c r="F2516" s="607">
        <v>4550.58</v>
      </c>
      <c r="G2516" s="584">
        <v>15</v>
      </c>
    </row>
    <row r="2517" spans="1:7" ht="30" x14ac:dyDescent="0.2">
      <c r="A2517" s="583" t="s">
        <v>17116</v>
      </c>
      <c r="B2517" s="605" t="s">
        <v>20211</v>
      </c>
      <c r="C2517" s="606" t="s">
        <v>12375</v>
      </c>
      <c r="D2517" s="607">
        <v>111.35</v>
      </c>
      <c r="E2517" s="607">
        <v>50.24</v>
      </c>
      <c r="F2517" s="607">
        <v>161.59</v>
      </c>
      <c r="G2517" s="584">
        <v>15</v>
      </c>
    </row>
    <row r="2518" spans="1:7" ht="30" x14ac:dyDescent="0.2">
      <c r="A2518" s="583" t="s">
        <v>17117</v>
      </c>
      <c r="B2518" s="605" t="s">
        <v>17118</v>
      </c>
      <c r="C2518" s="606" t="s">
        <v>12375</v>
      </c>
      <c r="D2518" s="607">
        <v>2738.12</v>
      </c>
      <c r="E2518" s="607">
        <v>25.12</v>
      </c>
      <c r="F2518" s="607">
        <v>2763.24</v>
      </c>
      <c r="G2518" s="584">
        <v>15</v>
      </c>
    </row>
    <row r="2519" spans="1:7" ht="15" x14ac:dyDescent="0.2">
      <c r="A2519" s="583" t="s">
        <v>17119</v>
      </c>
      <c r="B2519" s="605" t="s">
        <v>17120</v>
      </c>
      <c r="C2519" s="606" t="s">
        <v>12375</v>
      </c>
      <c r="D2519" s="607">
        <v>119.63</v>
      </c>
      <c r="E2519" s="607">
        <v>50.24</v>
      </c>
      <c r="F2519" s="607">
        <v>169.87</v>
      </c>
      <c r="G2519" s="584">
        <v>15</v>
      </c>
    </row>
    <row r="2520" spans="1:7" ht="15" x14ac:dyDescent="0.2">
      <c r="A2520" s="583" t="s">
        <v>17121</v>
      </c>
      <c r="B2520" s="605" t="s">
        <v>17122</v>
      </c>
      <c r="C2520" s="606" t="s">
        <v>12375</v>
      </c>
      <c r="D2520" s="607">
        <v>270.95</v>
      </c>
      <c r="E2520" s="607">
        <v>30.14</v>
      </c>
      <c r="F2520" s="607">
        <v>301.08999999999997</v>
      </c>
      <c r="G2520" s="584">
        <v>15</v>
      </c>
    </row>
    <row r="2521" spans="1:7" ht="15" x14ac:dyDescent="0.25">
      <c r="A2521" s="583" t="s">
        <v>17123</v>
      </c>
      <c r="B2521" s="605" t="s">
        <v>17124</v>
      </c>
      <c r="C2521" s="606"/>
      <c r="D2521" s="607"/>
      <c r="E2521" s="607"/>
      <c r="F2521" s="607"/>
      <c r="G2521" s="582"/>
    </row>
    <row r="2522" spans="1:7" ht="15" x14ac:dyDescent="0.2">
      <c r="A2522" s="583" t="s">
        <v>17125</v>
      </c>
      <c r="B2522" s="605" t="s">
        <v>17126</v>
      </c>
      <c r="C2522" s="606" t="s">
        <v>12375</v>
      </c>
      <c r="D2522" s="607">
        <v>652.84</v>
      </c>
      <c r="E2522" s="607">
        <v>20.100000000000001</v>
      </c>
      <c r="F2522" s="607">
        <v>672.94</v>
      </c>
      <c r="G2522" s="584">
        <v>15</v>
      </c>
    </row>
    <row r="2523" spans="1:7" ht="15" x14ac:dyDescent="0.2">
      <c r="A2523" s="583" t="s">
        <v>17127</v>
      </c>
      <c r="B2523" s="605" t="s">
        <v>17128</v>
      </c>
      <c r="C2523" s="606" t="s">
        <v>12375</v>
      </c>
      <c r="D2523" s="607">
        <v>323.5</v>
      </c>
      <c r="E2523" s="607">
        <v>20.100000000000001</v>
      </c>
      <c r="F2523" s="607">
        <v>343.6</v>
      </c>
      <c r="G2523" s="584">
        <v>15</v>
      </c>
    </row>
    <row r="2524" spans="1:7" ht="15" x14ac:dyDescent="0.2">
      <c r="A2524" s="583" t="s">
        <v>17129</v>
      </c>
      <c r="B2524" s="605" t="s">
        <v>17130</v>
      </c>
      <c r="C2524" s="606" t="s">
        <v>12375</v>
      </c>
      <c r="D2524" s="607">
        <v>175.91</v>
      </c>
      <c r="E2524" s="607">
        <v>20.100000000000001</v>
      </c>
      <c r="F2524" s="607">
        <v>196.01</v>
      </c>
      <c r="G2524" s="584">
        <v>15</v>
      </c>
    </row>
    <row r="2525" spans="1:7" ht="15" x14ac:dyDescent="0.2">
      <c r="A2525" s="583" t="s">
        <v>17131</v>
      </c>
      <c r="B2525" s="605" t="s">
        <v>17132</v>
      </c>
      <c r="C2525" s="606" t="s">
        <v>12375</v>
      </c>
      <c r="D2525" s="607">
        <v>459.1</v>
      </c>
      <c r="E2525" s="607">
        <v>20.100000000000001</v>
      </c>
      <c r="F2525" s="607">
        <v>479.2</v>
      </c>
      <c r="G2525" s="584">
        <v>15</v>
      </c>
    </row>
    <row r="2526" spans="1:7" ht="15" x14ac:dyDescent="0.25">
      <c r="A2526" s="583" t="s">
        <v>17133</v>
      </c>
      <c r="B2526" s="605" t="s">
        <v>17134</v>
      </c>
      <c r="C2526" s="606"/>
      <c r="D2526" s="607"/>
      <c r="E2526" s="607"/>
      <c r="F2526" s="607"/>
      <c r="G2526" s="582"/>
    </row>
    <row r="2527" spans="1:7" ht="15" x14ac:dyDescent="0.2">
      <c r="A2527" s="583" t="s">
        <v>17135</v>
      </c>
      <c r="B2527" s="605" t="s">
        <v>17136</v>
      </c>
      <c r="C2527" s="606" t="s">
        <v>12375</v>
      </c>
      <c r="D2527" s="607">
        <v>166.5</v>
      </c>
      <c r="E2527" s="607">
        <v>20.100000000000001</v>
      </c>
      <c r="F2527" s="607">
        <v>186.6</v>
      </c>
      <c r="G2527" s="584">
        <v>15</v>
      </c>
    </row>
    <row r="2528" spans="1:7" ht="30" x14ac:dyDescent="0.2">
      <c r="A2528" s="583" t="s">
        <v>17137</v>
      </c>
      <c r="B2528" s="605" t="s">
        <v>17138</v>
      </c>
      <c r="C2528" s="606" t="s">
        <v>12375</v>
      </c>
      <c r="D2528" s="607">
        <v>402.18</v>
      </c>
      <c r="E2528" s="607">
        <v>12.56</v>
      </c>
      <c r="F2528" s="607">
        <v>414.74</v>
      </c>
      <c r="G2528" s="584">
        <v>15</v>
      </c>
    </row>
    <row r="2529" spans="1:7" ht="15" x14ac:dyDescent="0.25">
      <c r="A2529" s="583" t="s">
        <v>17139</v>
      </c>
      <c r="B2529" s="605" t="s">
        <v>17140</v>
      </c>
      <c r="C2529" s="606"/>
      <c r="D2529" s="607"/>
      <c r="E2529" s="607"/>
      <c r="F2529" s="607"/>
      <c r="G2529" s="582"/>
    </row>
    <row r="2530" spans="1:7" ht="15" x14ac:dyDescent="0.2">
      <c r="A2530" s="583" t="s">
        <v>17141</v>
      </c>
      <c r="B2530" s="605" t="s">
        <v>17142</v>
      </c>
      <c r="C2530" s="606" t="s">
        <v>12375</v>
      </c>
      <c r="D2530" s="607">
        <v>139.06</v>
      </c>
      <c r="E2530" s="607">
        <v>20.100000000000001</v>
      </c>
      <c r="F2530" s="607">
        <v>159.16</v>
      </c>
      <c r="G2530" s="584">
        <v>15</v>
      </c>
    </row>
    <row r="2531" spans="1:7" ht="30" x14ac:dyDescent="0.2">
      <c r="A2531" s="583" t="s">
        <v>17143</v>
      </c>
      <c r="B2531" s="605" t="s">
        <v>17144</v>
      </c>
      <c r="C2531" s="606" t="s">
        <v>12375</v>
      </c>
      <c r="D2531" s="607">
        <v>139.59</v>
      </c>
      <c r="E2531" s="607">
        <v>25.12</v>
      </c>
      <c r="F2531" s="607">
        <v>164.71</v>
      </c>
      <c r="G2531" s="584">
        <v>15</v>
      </c>
    </row>
    <row r="2532" spans="1:7" ht="15" x14ac:dyDescent="0.25">
      <c r="A2532" s="583" t="s">
        <v>17145</v>
      </c>
      <c r="B2532" s="605" t="s">
        <v>17146</v>
      </c>
      <c r="C2532" s="606"/>
      <c r="D2532" s="607"/>
      <c r="E2532" s="607"/>
      <c r="F2532" s="607"/>
      <c r="G2532" s="582"/>
    </row>
    <row r="2533" spans="1:7" ht="15" x14ac:dyDescent="0.2">
      <c r="A2533" s="583" t="s">
        <v>17147</v>
      </c>
      <c r="B2533" s="605" t="s">
        <v>17148</v>
      </c>
      <c r="C2533" s="606" t="s">
        <v>12375</v>
      </c>
      <c r="D2533" s="607">
        <v>66.72</v>
      </c>
      <c r="E2533" s="607">
        <v>40.19</v>
      </c>
      <c r="F2533" s="607">
        <v>106.91</v>
      </c>
      <c r="G2533" s="584">
        <v>15</v>
      </c>
    </row>
    <row r="2534" spans="1:7" ht="15" x14ac:dyDescent="0.2">
      <c r="A2534" s="583" t="s">
        <v>17149</v>
      </c>
      <c r="B2534" s="605" t="s">
        <v>17150</v>
      </c>
      <c r="C2534" s="606" t="s">
        <v>12375</v>
      </c>
      <c r="D2534" s="607">
        <v>54.2</v>
      </c>
      <c r="E2534" s="607">
        <v>40.19</v>
      </c>
      <c r="F2534" s="607">
        <v>94.39</v>
      </c>
      <c r="G2534" s="584">
        <v>15</v>
      </c>
    </row>
    <row r="2535" spans="1:7" ht="15" x14ac:dyDescent="0.2">
      <c r="A2535" s="583" t="s">
        <v>17151</v>
      </c>
      <c r="B2535" s="605" t="s">
        <v>17152</v>
      </c>
      <c r="C2535" s="606" t="s">
        <v>12375</v>
      </c>
      <c r="D2535" s="607">
        <v>37.72</v>
      </c>
      <c r="E2535" s="607">
        <v>15.07</v>
      </c>
      <c r="F2535" s="607">
        <v>52.79</v>
      </c>
      <c r="G2535" s="584">
        <v>15</v>
      </c>
    </row>
    <row r="2536" spans="1:7" ht="15" x14ac:dyDescent="0.2">
      <c r="A2536" s="583" t="s">
        <v>17153</v>
      </c>
      <c r="B2536" s="605" t="s">
        <v>17154</v>
      </c>
      <c r="C2536" s="606" t="s">
        <v>12375</v>
      </c>
      <c r="D2536" s="607">
        <v>121.35</v>
      </c>
      <c r="E2536" s="607">
        <v>15.07</v>
      </c>
      <c r="F2536" s="607">
        <v>136.41999999999999</v>
      </c>
      <c r="G2536" s="584">
        <v>15</v>
      </c>
    </row>
    <row r="2537" spans="1:7" ht="15" x14ac:dyDescent="0.2">
      <c r="A2537" s="583" t="s">
        <v>17155</v>
      </c>
      <c r="B2537" s="605" t="s">
        <v>17156</v>
      </c>
      <c r="C2537" s="606" t="s">
        <v>12375</v>
      </c>
      <c r="D2537" s="607">
        <v>458.73</v>
      </c>
      <c r="E2537" s="607">
        <v>15.07</v>
      </c>
      <c r="F2537" s="607">
        <v>473.8</v>
      </c>
      <c r="G2537" s="584">
        <v>15</v>
      </c>
    </row>
    <row r="2538" spans="1:7" ht="15" x14ac:dyDescent="0.2">
      <c r="A2538" s="583" t="s">
        <v>17157</v>
      </c>
      <c r="B2538" s="605" t="s">
        <v>17158</v>
      </c>
      <c r="C2538" s="606" t="s">
        <v>12375</v>
      </c>
      <c r="D2538" s="607">
        <v>4.22</v>
      </c>
      <c r="E2538" s="607">
        <v>1.64</v>
      </c>
      <c r="F2538" s="607">
        <v>5.86</v>
      </c>
      <c r="G2538" s="584">
        <v>15</v>
      </c>
    </row>
    <row r="2539" spans="1:7" ht="15" x14ac:dyDescent="0.2">
      <c r="A2539" s="583" t="s">
        <v>17159</v>
      </c>
      <c r="B2539" s="605" t="s">
        <v>17160</v>
      </c>
      <c r="C2539" s="606" t="s">
        <v>12375</v>
      </c>
      <c r="D2539" s="607">
        <v>9.76</v>
      </c>
      <c r="E2539" s="607">
        <v>1.64</v>
      </c>
      <c r="F2539" s="607">
        <v>11.4</v>
      </c>
      <c r="G2539" s="584">
        <v>15</v>
      </c>
    </row>
    <row r="2540" spans="1:7" ht="15" x14ac:dyDescent="0.2">
      <c r="A2540" s="583" t="s">
        <v>17161</v>
      </c>
      <c r="B2540" s="605" t="s">
        <v>17162</v>
      </c>
      <c r="C2540" s="606" t="s">
        <v>12375</v>
      </c>
      <c r="D2540" s="607">
        <v>45.65</v>
      </c>
      <c r="E2540" s="607">
        <v>20.100000000000001</v>
      </c>
      <c r="F2540" s="607">
        <v>65.75</v>
      </c>
      <c r="G2540" s="584">
        <v>15</v>
      </c>
    </row>
    <row r="2541" spans="1:7" ht="15" x14ac:dyDescent="0.2">
      <c r="A2541" s="583" t="s">
        <v>17163</v>
      </c>
      <c r="B2541" s="605" t="s">
        <v>17164</v>
      </c>
      <c r="C2541" s="606" t="s">
        <v>12375</v>
      </c>
      <c r="D2541" s="607">
        <v>9.26</v>
      </c>
      <c r="E2541" s="607">
        <v>10.050000000000001</v>
      </c>
      <c r="F2541" s="607">
        <v>19.309999999999999</v>
      </c>
      <c r="G2541" s="584">
        <v>15</v>
      </c>
    </row>
    <row r="2542" spans="1:7" ht="15" x14ac:dyDescent="0.2">
      <c r="A2542" s="583" t="s">
        <v>17165</v>
      </c>
      <c r="B2542" s="605" t="s">
        <v>17166</v>
      </c>
      <c r="C2542" s="606" t="s">
        <v>12375</v>
      </c>
      <c r="D2542" s="607">
        <v>10.67</v>
      </c>
      <c r="E2542" s="607">
        <v>10.050000000000001</v>
      </c>
      <c r="F2542" s="607">
        <v>20.72</v>
      </c>
      <c r="G2542" s="584">
        <v>15</v>
      </c>
    </row>
    <row r="2543" spans="1:7" ht="30" x14ac:dyDescent="0.2">
      <c r="A2543" s="583" t="s">
        <v>17167</v>
      </c>
      <c r="B2543" s="605" t="s">
        <v>17168</v>
      </c>
      <c r="C2543" s="606" t="s">
        <v>12375</v>
      </c>
      <c r="D2543" s="607">
        <v>456.54</v>
      </c>
      <c r="E2543" s="607">
        <v>50.24</v>
      </c>
      <c r="F2543" s="607">
        <v>506.78</v>
      </c>
      <c r="G2543" s="584">
        <v>15</v>
      </c>
    </row>
    <row r="2544" spans="1:7" ht="30" x14ac:dyDescent="0.2">
      <c r="A2544" s="583" t="s">
        <v>20212</v>
      </c>
      <c r="B2544" s="605" t="s">
        <v>20213</v>
      </c>
      <c r="C2544" s="606" t="s">
        <v>12375</v>
      </c>
      <c r="D2544" s="607">
        <v>104.01</v>
      </c>
      <c r="E2544" s="607">
        <v>15.07</v>
      </c>
      <c r="F2544" s="607">
        <v>119.08</v>
      </c>
      <c r="G2544" s="584">
        <v>15</v>
      </c>
    </row>
    <row r="2545" spans="1:7" ht="30" x14ac:dyDescent="0.2">
      <c r="A2545" s="583" t="s">
        <v>17169</v>
      </c>
      <c r="B2545" s="605" t="s">
        <v>17170</v>
      </c>
      <c r="C2545" s="606" t="s">
        <v>12375</v>
      </c>
      <c r="D2545" s="607">
        <v>53.98</v>
      </c>
      <c r="E2545" s="607">
        <v>22.82</v>
      </c>
      <c r="F2545" s="607">
        <v>76.8</v>
      </c>
      <c r="G2545" s="584">
        <v>15</v>
      </c>
    </row>
    <row r="2546" spans="1:7" ht="30" x14ac:dyDescent="0.2">
      <c r="A2546" s="583" t="s">
        <v>17171</v>
      </c>
      <c r="B2546" s="605" t="s">
        <v>17172</v>
      </c>
      <c r="C2546" s="606" t="s">
        <v>12375</v>
      </c>
      <c r="D2546" s="607">
        <v>46.62</v>
      </c>
      <c r="E2546" s="607">
        <v>22.82</v>
      </c>
      <c r="F2546" s="607">
        <v>69.44</v>
      </c>
      <c r="G2546" s="584">
        <v>15</v>
      </c>
    </row>
    <row r="2547" spans="1:7" ht="15" x14ac:dyDescent="0.25">
      <c r="A2547" s="583" t="s">
        <v>17173</v>
      </c>
      <c r="B2547" s="605" t="s">
        <v>17174</v>
      </c>
      <c r="C2547" s="606"/>
      <c r="D2547" s="607"/>
      <c r="E2547" s="607"/>
      <c r="F2547" s="607"/>
      <c r="G2547" s="582"/>
    </row>
    <row r="2548" spans="1:7" ht="15" x14ac:dyDescent="0.25">
      <c r="A2548" s="583" t="s">
        <v>17175</v>
      </c>
      <c r="B2548" s="605" t="s">
        <v>17176</v>
      </c>
      <c r="C2548" s="606"/>
      <c r="D2548" s="607"/>
      <c r="E2548" s="607"/>
      <c r="F2548" s="607"/>
      <c r="G2548" s="582"/>
    </row>
    <row r="2549" spans="1:7" ht="30" x14ac:dyDescent="0.2">
      <c r="A2549" s="583" t="s">
        <v>17177</v>
      </c>
      <c r="B2549" s="605" t="s">
        <v>20083</v>
      </c>
      <c r="C2549" s="606" t="s">
        <v>12375</v>
      </c>
      <c r="D2549" s="607">
        <v>15.93</v>
      </c>
      <c r="E2549" s="607">
        <v>4.09</v>
      </c>
      <c r="F2549" s="607">
        <v>20.02</v>
      </c>
      <c r="G2549" s="584">
        <v>15</v>
      </c>
    </row>
    <row r="2550" spans="1:7" ht="30" x14ac:dyDescent="0.2">
      <c r="A2550" s="583" t="s">
        <v>17178</v>
      </c>
      <c r="B2550" s="605" t="s">
        <v>20084</v>
      </c>
      <c r="C2550" s="606" t="s">
        <v>12375</v>
      </c>
      <c r="D2550" s="607">
        <v>18.32</v>
      </c>
      <c r="E2550" s="607">
        <v>4.09</v>
      </c>
      <c r="F2550" s="607">
        <v>22.41</v>
      </c>
      <c r="G2550" s="584">
        <v>15</v>
      </c>
    </row>
    <row r="2551" spans="1:7" ht="30" x14ac:dyDescent="0.2">
      <c r="A2551" s="583" t="s">
        <v>17179</v>
      </c>
      <c r="B2551" s="605" t="s">
        <v>20085</v>
      </c>
      <c r="C2551" s="606" t="s">
        <v>12375</v>
      </c>
      <c r="D2551" s="607">
        <v>55.65</v>
      </c>
      <c r="E2551" s="607">
        <v>4.09</v>
      </c>
      <c r="F2551" s="607">
        <v>59.74</v>
      </c>
      <c r="G2551" s="584">
        <v>15</v>
      </c>
    </row>
    <row r="2552" spans="1:7" ht="15" x14ac:dyDescent="0.2">
      <c r="A2552" s="583" t="s">
        <v>17180</v>
      </c>
      <c r="B2552" s="605" t="s">
        <v>20214</v>
      </c>
      <c r="C2552" s="606" t="s">
        <v>12375</v>
      </c>
      <c r="D2552" s="607">
        <v>14.85</v>
      </c>
      <c r="E2552" s="607">
        <v>4.09</v>
      </c>
      <c r="F2552" s="607">
        <v>18.940000000000001</v>
      </c>
      <c r="G2552" s="584">
        <v>15</v>
      </c>
    </row>
    <row r="2553" spans="1:7" ht="15" x14ac:dyDescent="0.25">
      <c r="A2553" s="583" t="s">
        <v>17181</v>
      </c>
      <c r="B2553" s="605" t="s">
        <v>17182</v>
      </c>
      <c r="C2553" s="606"/>
      <c r="D2553" s="607"/>
      <c r="E2553" s="607"/>
      <c r="F2553" s="607"/>
      <c r="G2553" s="582"/>
    </row>
    <row r="2554" spans="1:7" ht="30" x14ac:dyDescent="0.2">
      <c r="A2554" s="583" t="s">
        <v>17183</v>
      </c>
      <c r="B2554" s="605" t="s">
        <v>17184</v>
      </c>
      <c r="C2554" s="606" t="s">
        <v>12375</v>
      </c>
      <c r="D2554" s="607">
        <v>7.13</v>
      </c>
      <c r="E2554" s="607">
        <v>4</v>
      </c>
      <c r="F2554" s="607">
        <v>11.13</v>
      </c>
      <c r="G2554" s="584">
        <v>15</v>
      </c>
    </row>
    <row r="2555" spans="1:7" ht="30" x14ac:dyDescent="0.2">
      <c r="A2555" s="583" t="s">
        <v>17185</v>
      </c>
      <c r="B2555" s="605" t="s">
        <v>17186</v>
      </c>
      <c r="C2555" s="606" t="s">
        <v>12483</v>
      </c>
      <c r="D2555" s="607">
        <v>86.11</v>
      </c>
      <c r="E2555" s="607">
        <v>20.100000000000001</v>
      </c>
      <c r="F2555" s="607">
        <v>106.21</v>
      </c>
      <c r="G2555" s="584">
        <v>15</v>
      </c>
    </row>
    <row r="2556" spans="1:7" ht="15" x14ac:dyDescent="0.25">
      <c r="A2556" s="583" t="s">
        <v>17187</v>
      </c>
      <c r="B2556" s="605" t="s">
        <v>17188</v>
      </c>
      <c r="C2556" s="606"/>
      <c r="D2556" s="607"/>
      <c r="E2556" s="607"/>
      <c r="F2556" s="607"/>
      <c r="G2556" s="582"/>
    </row>
    <row r="2557" spans="1:7" ht="15" x14ac:dyDescent="0.2">
      <c r="A2557" s="583" t="s">
        <v>17189</v>
      </c>
      <c r="B2557" s="605" t="s">
        <v>17190</v>
      </c>
      <c r="C2557" s="606" t="s">
        <v>12375</v>
      </c>
      <c r="D2557" s="607">
        <v>21.77</v>
      </c>
      <c r="E2557" s="607">
        <v>4.09</v>
      </c>
      <c r="F2557" s="607">
        <v>25.86</v>
      </c>
      <c r="G2557" s="584">
        <v>15</v>
      </c>
    </row>
    <row r="2558" spans="1:7" ht="15" x14ac:dyDescent="0.2">
      <c r="A2558" s="583" t="s">
        <v>17191</v>
      </c>
      <c r="B2558" s="605" t="s">
        <v>17192</v>
      </c>
      <c r="C2558" s="606" t="s">
        <v>12375</v>
      </c>
      <c r="D2558" s="607">
        <v>7.99</v>
      </c>
      <c r="E2558" s="607">
        <v>4.09</v>
      </c>
      <c r="F2558" s="607">
        <v>12.08</v>
      </c>
      <c r="G2558" s="584">
        <v>15</v>
      </c>
    </row>
    <row r="2559" spans="1:7" ht="30" x14ac:dyDescent="0.2">
      <c r="A2559" s="583" t="s">
        <v>17193</v>
      </c>
      <c r="B2559" s="605" t="s">
        <v>17194</v>
      </c>
      <c r="C2559" s="606" t="s">
        <v>12375</v>
      </c>
      <c r="D2559" s="607">
        <v>10.93</v>
      </c>
      <c r="E2559" s="607">
        <v>4.09</v>
      </c>
      <c r="F2559" s="607">
        <v>15.02</v>
      </c>
      <c r="G2559" s="584">
        <v>15</v>
      </c>
    </row>
    <row r="2560" spans="1:7" ht="15" x14ac:dyDescent="0.25">
      <c r="A2560" s="583" t="s">
        <v>17195</v>
      </c>
      <c r="B2560" s="605" t="s">
        <v>17196</v>
      </c>
      <c r="C2560" s="606"/>
      <c r="D2560" s="607"/>
      <c r="E2560" s="607"/>
      <c r="F2560" s="607"/>
      <c r="G2560" s="582"/>
    </row>
    <row r="2561" spans="1:7" ht="15" x14ac:dyDescent="0.2">
      <c r="A2561" s="583" t="s">
        <v>17197</v>
      </c>
      <c r="B2561" s="605" t="s">
        <v>17198</v>
      </c>
      <c r="C2561" s="606" t="s">
        <v>12375</v>
      </c>
      <c r="D2561" s="607">
        <v>18.07</v>
      </c>
      <c r="E2561" s="607">
        <v>4.09</v>
      </c>
      <c r="F2561" s="607">
        <v>22.16</v>
      </c>
      <c r="G2561" s="584">
        <v>15</v>
      </c>
    </row>
    <row r="2562" spans="1:7" ht="15" x14ac:dyDescent="0.2">
      <c r="A2562" s="583" t="s">
        <v>17199</v>
      </c>
      <c r="B2562" s="605" t="s">
        <v>17200</v>
      </c>
      <c r="C2562" s="606" t="s">
        <v>12375</v>
      </c>
      <c r="D2562" s="607">
        <v>11.13</v>
      </c>
      <c r="E2562" s="607">
        <v>4.09</v>
      </c>
      <c r="F2562" s="607">
        <v>15.22</v>
      </c>
      <c r="G2562" s="584">
        <v>15</v>
      </c>
    </row>
    <row r="2563" spans="1:7" ht="15" x14ac:dyDescent="0.2">
      <c r="A2563" s="583" t="s">
        <v>17201</v>
      </c>
      <c r="B2563" s="605" t="s">
        <v>17202</v>
      </c>
      <c r="C2563" s="606" t="s">
        <v>12375</v>
      </c>
      <c r="D2563" s="607">
        <v>17.71</v>
      </c>
      <c r="E2563" s="607">
        <v>4.09</v>
      </c>
      <c r="F2563" s="607">
        <v>21.8</v>
      </c>
      <c r="G2563" s="584">
        <v>15</v>
      </c>
    </row>
    <row r="2564" spans="1:7" ht="15" x14ac:dyDescent="0.2">
      <c r="A2564" s="583" t="s">
        <v>17203</v>
      </c>
      <c r="B2564" s="605" t="s">
        <v>17204</v>
      </c>
      <c r="C2564" s="606" t="s">
        <v>12375</v>
      </c>
      <c r="D2564" s="607">
        <v>17.61</v>
      </c>
      <c r="E2564" s="607">
        <v>4.09</v>
      </c>
      <c r="F2564" s="607">
        <v>21.7</v>
      </c>
      <c r="G2564" s="584">
        <v>15</v>
      </c>
    </row>
    <row r="2565" spans="1:7" ht="30" x14ac:dyDescent="0.2">
      <c r="A2565" s="583" t="s">
        <v>17205</v>
      </c>
      <c r="B2565" s="605" t="s">
        <v>17206</v>
      </c>
      <c r="C2565" s="606" t="s">
        <v>12375</v>
      </c>
      <c r="D2565" s="607">
        <v>24.01</v>
      </c>
      <c r="E2565" s="607">
        <v>4.09</v>
      </c>
      <c r="F2565" s="607">
        <v>28.1</v>
      </c>
      <c r="G2565" s="584">
        <v>15</v>
      </c>
    </row>
    <row r="2566" spans="1:7" ht="30" x14ac:dyDescent="0.2">
      <c r="A2566" s="583" t="s">
        <v>17207</v>
      </c>
      <c r="B2566" s="605" t="s">
        <v>17208</v>
      </c>
      <c r="C2566" s="606" t="s">
        <v>12375</v>
      </c>
      <c r="D2566" s="607">
        <v>14.8</v>
      </c>
      <c r="E2566" s="607">
        <v>4.09</v>
      </c>
      <c r="F2566" s="607">
        <v>18.89</v>
      </c>
      <c r="G2566" s="584">
        <v>15</v>
      </c>
    </row>
    <row r="2567" spans="1:7" ht="30" x14ac:dyDescent="0.2">
      <c r="A2567" s="583" t="s">
        <v>17209</v>
      </c>
      <c r="B2567" s="605" t="s">
        <v>17210</v>
      </c>
      <c r="C2567" s="606" t="s">
        <v>12375</v>
      </c>
      <c r="D2567" s="607">
        <v>15.89</v>
      </c>
      <c r="E2567" s="607">
        <v>4.09</v>
      </c>
      <c r="F2567" s="607">
        <v>19.98</v>
      </c>
      <c r="G2567" s="584">
        <v>15</v>
      </c>
    </row>
    <row r="2568" spans="1:7" ht="15" x14ac:dyDescent="0.2">
      <c r="A2568" s="583" t="s">
        <v>17211</v>
      </c>
      <c r="B2568" s="605" t="s">
        <v>17212</v>
      </c>
      <c r="C2568" s="606" t="s">
        <v>12375</v>
      </c>
      <c r="D2568" s="607">
        <v>18.73</v>
      </c>
      <c r="E2568" s="607">
        <v>4.09</v>
      </c>
      <c r="F2568" s="607">
        <v>22.82</v>
      </c>
      <c r="G2568" s="584">
        <v>15</v>
      </c>
    </row>
    <row r="2569" spans="1:7" ht="15" x14ac:dyDescent="0.2">
      <c r="A2569" s="583" t="s">
        <v>17213</v>
      </c>
      <c r="B2569" s="605" t="s">
        <v>17214</v>
      </c>
      <c r="C2569" s="606" t="s">
        <v>12375</v>
      </c>
      <c r="D2569" s="607">
        <v>15.54</v>
      </c>
      <c r="E2569" s="607">
        <v>4.09</v>
      </c>
      <c r="F2569" s="607">
        <v>19.63</v>
      </c>
      <c r="G2569" s="584">
        <v>15</v>
      </c>
    </row>
    <row r="2570" spans="1:7" ht="15" x14ac:dyDescent="0.2">
      <c r="A2570" s="583" t="s">
        <v>17215</v>
      </c>
      <c r="B2570" s="605" t="s">
        <v>17216</v>
      </c>
      <c r="C2570" s="606" t="s">
        <v>12375</v>
      </c>
      <c r="D2570" s="607">
        <v>15.9</v>
      </c>
      <c r="E2570" s="607">
        <v>4.09</v>
      </c>
      <c r="F2570" s="607">
        <v>19.989999999999998</v>
      </c>
      <c r="G2570" s="584">
        <v>15</v>
      </c>
    </row>
    <row r="2571" spans="1:7" ht="15" x14ac:dyDescent="0.2">
      <c r="A2571" s="583" t="s">
        <v>17217</v>
      </c>
      <c r="B2571" s="605" t="s">
        <v>20297</v>
      </c>
      <c r="C2571" s="606" t="s">
        <v>12375</v>
      </c>
      <c r="D2571" s="607">
        <v>14.2</v>
      </c>
      <c r="E2571" s="607">
        <v>4.09</v>
      </c>
      <c r="F2571" s="607">
        <v>18.29</v>
      </c>
      <c r="G2571" s="584">
        <v>15</v>
      </c>
    </row>
    <row r="2572" spans="1:7" ht="30" x14ac:dyDescent="0.25">
      <c r="A2572" s="583" t="s">
        <v>17218</v>
      </c>
      <c r="B2572" s="605" t="s">
        <v>17219</v>
      </c>
      <c r="C2572" s="606"/>
      <c r="D2572" s="607"/>
      <c r="E2572" s="607"/>
      <c r="F2572" s="607"/>
      <c r="G2572" s="582"/>
    </row>
    <row r="2573" spans="1:7" ht="30" x14ac:dyDescent="0.2">
      <c r="A2573" s="583" t="s">
        <v>17220</v>
      </c>
      <c r="B2573" s="605" t="s">
        <v>17221</v>
      </c>
      <c r="C2573" s="606" t="s">
        <v>12375</v>
      </c>
      <c r="D2573" s="607">
        <v>34.840000000000003</v>
      </c>
      <c r="E2573" s="607">
        <v>10.050000000000001</v>
      </c>
      <c r="F2573" s="607">
        <v>44.89</v>
      </c>
      <c r="G2573" s="584">
        <v>15</v>
      </c>
    </row>
    <row r="2574" spans="1:7" ht="15" x14ac:dyDescent="0.25">
      <c r="A2574" s="583" t="s">
        <v>17222</v>
      </c>
      <c r="B2574" s="605" t="s">
        <v>17223</v>
      </c>
      <c r="C2574" s="606"/>
      <c r="D2574" s="607"/>
      <c r="E2574" s="607"/>
      <c r="F2574" s="607"/>
      <c r="G2574" s="582"/>
    </row>
    <row r="2575" spans="1:7" ht="45" x14ac:dyDescent="0.2">
      <c r="A2575" s="583" t="s">
        <v>17224</v>
      </c>
      <c r="B2575" s="605" t="s">
        <v>20215</v>
      </c>
      <c r="C2575" s="606" t="s">
        <v>12375</v>
      </c>
      <c r="D2575" s="607">
        <v>54.88</v>
      </c>
      <c r="E2575" s="607">
        <v>20.100000000000001</v>
      </c>
      <c r="F2575" s="607">
        <v>74.98</v>
      </c>
      <c r="G2575" s="584">
        <v>15</v>
      </c>
    </row>
    <row r="2576" spans="1:7" ht="45" x14ac:dyDescent="0.2">
      <c r="A2576" s="583" t="s">
        <v>17225</v>
      </c>
      <c r="B2576" s="605" t="s">
        <v>20216</v>
      </c>
      <c r="C2576" s="606" t="s">
        <v>12375</v>
      </c>
      <c r="D2576" s="607">
        <v>102.26</v>
      </c>
      <c r="E2576" s="607">
        <v>10.050000000000001</v>
      </c>
      <c r="F2576" s="607">
        <v>112.31</v>
      </c>
      <c r="G2576" s="584">
        <v>15</v>
      </c>
    </row>
    <row r="2577" spans="1:7" ht="45" x14ac:dyDescent="0.2">
      <c r="A2577" s="583" t="s">
        <v>17226</v>
      </c>
      <c r="B2577" s="605" t="s">
        <v>20217</v>
      </c>
      <c r="C2577" s="606" t="s">
        <v>12375</v>
      </c>
      <c r="D2577" s="607">
        <v>46.26</v>
      </c>
      <c r="E2577" s="607">
        <v>20.100000000000001</v>
      </c>
      <c r="F2577" s="607">
        <v>66.36</v>
      </c>
      <c r="G2577" s="584">
        <v>15</v>
      </c>
    </row>
    <row r="2578" spans="1:7" ht="45" x14ac:dyDescent="0.2">
      <c r="A2578" s="583" t="s">
        <v>17227</v>
      </c>
      <c r="B2578" s="605" t="s">
        <v>20218</v>
      </c>
      <c r="C2578" s="606" t="s">
        <v>12375</v>
      </c>
      <c r="D2578" s="607">
        <v>86.45</v>
      </c>
      <c r="E2578" s="607">
        <v>20.100000000000001</v>
      </c>
      <c r="F2578" s="607">
        <v>106.55</v>
      </c>
      <c r="G2578" s="584">
        <v>15</v>
      </c>
    </row>
    <row r="2579" spans="1:7" ht="45" x14ac:dyDescent="0.2">
      <c r="A2579" s="583" t="s">
        <v>17228</v>
      </c>
      <c r="B2579" s="605" t="s">
        <v>17229</v>
      </c>
      <c r="C2579" s="606" t="s">
        <v>12375</v>
      </c>
      <c r="D2579" s="607">
        <v>55.2</v>
      </c>
      <c r="E2579" s="607">
        <v>10.050000000000001</v>
      </c>
      <c r="F2579" s="607">
        <v>65.25</v>
      </c>
      <c r="G2579" s="584">
        <v>15</v>
      </c>
    </row>
    <row r="2580" spans="1:7" ht="45" x14ac:dyDescent="0.2">
      <c r="A2580" s="583" t="s">
        <v>17230</v>
      </c>
      <c r="B2580" s="605" t="s">
        <v>20219</v>
      </c>
      <c r="C2580" s="606" t="s">
        <v>12375</v>
      </c>
      <c r="D2580" s="607">
        <v>60.94</v>
      </c>
      <c r="E2580" s="607">
        <v>20.100000000000001</v>
      </c>
      <c r="F2580" s="607">
        <v>81.040000000000006</v>
      </c>
      <c r="G2580" s="584">
        <v>15</v>
      </c>
    </row>
    <row r="2581" spans="1:7" ht="15" x14ac:dyDescent="0.25">
      <c r="A2581" s="583" t="s">
        <v>17231</v>
      </c>
      <c r="B2581" s="605" t="s">
        <v>17232</v>
      </c>
      <c r="C2581" s="606"/>
      <c r="D2581" s="607"/>
      <c r="E2581" s="607"/>
      <c r="F2581" s="607"/>
      <c r="G2581" s="582"/>
    </row>
    <row r="2582" spans="1:7" ht="30" x14ac:dyDescent="0.2">
      <c r="A2582" s="583" t="s">
        <v>17233</v>
      </c>
      <c r="B2582" s="605" t="s">
        <v>20086</v>
      </c>
      <c r="C2582" s="606" t="s">
        <v>12375</v>
      </c>
      <c r="D2582" s="607">
        <v>48.39</v>
      </c>
      <c r="E2582" s="607">
        <v>70.680000000000007</v>
      </c>
      <c r="F2582" s="607">
        <v>119.07</v>
      </c>
      <c r="G2582" s="584">
        <v>15</v>
      </c>
    </row>
    <row r="2583" spans="1:7" ht="30" x14ac:dyDescent="0.2">
      <c r="A2583" s="583" t="s">
        <v>17234</v>
      </c>
      <c r="B2583" s="605" t="s">
        <v>17235</v>
      </c>
      <c r="C2583" s="606" t="s">
        <v>12375</v>
      </c>
      <c r="D2583" s="607">
        <v>665.48</v>
      </c>
      <c r="E2583" s="607">
        <v>70.680000000000007</v>
      </c>
      <c r="F2583" s="607">
        <v>736.16</v>
      </c>
      <c r="G2583" s="584">
        <v>15</v>
      </c>
    </row>
    <row r="2584" spans="1:7" ht="30" x14ac:dyDescent="0.2">
      <c r="A2584" s="583" t="s">
        <v>17236</v>
      </c>
      <c r="B2584" s="605" t="s">
        <v>17237</v>
      </c>
      <c r="C2584" s="606" t="s">
        <v>12375</v>
      </c>
      <c r="D2584" s="607">
        <v>503.75</v>
      </c>
      <c r="E2584" s="607">
        <v>70.680000000000007</v>
      </c>
      <c r="F2584" s="607">
        <v>574.42999999999995</v>
      </c>
      <c r="G2584" s="584">
        <v>15</v>
      </c>
    </row>
    <row r="2585" spans="1:7" ht="30" x14ac:dyDescent="0.2">
      <c r="A2585" s="583" t="s">
        <v>17238</v>
      </c>
      <c r="B2585" s="605" t="s">
        <v>17239</v>
      </c>
      <c r="C2585" s="606" t="s">
        <v>12375</v>
      </c>
      <c r="D2585" s="607">
        <v>2023.66</v>
      </c>
      <c r="E2585" s="607">
        <v>306.86</v>
      </c>
      <c r="F2585" s="607">
        <v>2330.52</v>
      </c>
      <c r="G2585" s="584">
        <v>15</v>
      </c>
    </row>
    <row r="2586" spans="1:7" ht="30" x14ac:dyDescent="0.2">
      <c r="A2586" s="583" t="s">
        <v>17240</v>
      </c>
      <c r="B2586" s="605" t="s">
        <v>17241</v>
      </c>
      <c r="C2586" s="606" t="s">
        <v>12375</v>
      </c>
      <c r="D2586" s="607">
        <v>2391.11</v>
      </c>
      <c r="E2586" s="607">
        <v>113.53</v>
      </c>
      <c r="F2586" s="607">
        <v>2504.64</v>
      </c>
      <c r="G2586" s="584">
        <v>15</v>
      </c>
    </row>
    <row r="2587" spans="1:7" ht="30" x14ac:dyDescent="0.2">
      <c r="A2587" s="583" t="s">
        <v>17242</v>
      </c>
      <c r="B2587" s="605" t="s">
        <v>17243</v>
      </c>
      <c r="C2587" s="606" t="s">
        <v>12375</v>
      </c>
      <c r="D2587" s="607">
        <v>2006.15</v>
      </c>
      <c r="E2587" s="607">
        <v>113.53</v>
      </c>
      <c r="F2587" s="607">
        <v>2119.6799999999998</v>
      </c>
      <c r="G2587" s="584">
        <v>15</v>
      </c>
    </row>
    <row r="2588" spans="1:7" ht="30" x14ac:dyDescent="0.2">
      <c r="A2588" s="583" t="s">
        <v>17244</v>
      </c>
      <c r="B2588" s="605" t="s">
        <v>17245</v>
      </c>
      <c r="C2588" s="606" t="s">
        <v>12375</v>
      </c>
      <c r="D2588" s="607">
        <v>620.37</v>
      </c>
      <c r="E2588" s="607">
        <v>73.2</v>
      </c>
      <c r="F2588" s="607">
        <v>693.57</v>
      </c>
      <c r="G2588" s="584">
        <v>15</v>
      </c>
    </row>
    <row r="2589" spans="1:7" ht="30" x14ac:dyDescent="0.2">
      <c r="A2589" s="583" t="s">
        <v>17246</v>
      </c>
      <c r="B2589" s="605" t="s">
        <v>17247</v>
      </c>
      <c r="C2589" s="606" t="s">
        <v>12375</v>
      </c>
      <c r="D2589" s="607">
        <v>654.82000000000005</v>
      </c>
      <c r="E2589" s="607">
        <v>73.2</v>
      </c>
      <c r="F2589" s="607">
        <v>728.02</v>
      </c>
      <c r="G2589" s="584">
        <v>15</v>
      </c>
    </row>
    <row r="2590" spans="1:7" ht="30" x14ac:dyDescent="0.2">
      <c r="A2590" s="583" t="s">
        <v>17248</v>
      </c>
      <c r="B2590" s="605" t="s">
        <v>17249</v>
      </c>
      <c r="C2590" s="606" t="s">
        <v>12375</v>
      </c>
      <c r="D2590" s="607">
        <v>1519.58</v>
      </c>
      <c r="E2590" s="607">
        <v>113.53</v>
      </c>
      <c r="F2590" s="607">
        <v>1633.11</v>
      </c>
      <c r="G2590" s="584">
        <v>15</v>
      </c>
    </row>
    <row r="2591" spans="1:7" ht="30" x14ac:dyDescent="0.2">
      <c r="A2591" s="583" t="s">
        <v>17250</v>
      </c>
      <c r="B2591" s="605" t="s">
        <v>17251</v>
      </c>
      <c r="C2591" s="606" t="s">
        <v>12375</v>
      </c>
      <c r="D2591" s="607">
        <v>1431.6</v>
      </c>
      <c r="E2591" s="607">
        <v>508.08</v>
      </c>
      <c r="F2591" s="607">
        <v>1939.68</v>
      </c>
      <c r="G2591" s="584">
        <v>15</v>
      </c>
    </row>
    <row r="2592" spans="1:7" ht="30" x14ac:dyDescent="0.2">
      <c r="A2592" s="583" t="s">
        <v>17252</v>
      </c>
      <c r="B2592" s="605" t="s">
        <v>17253</v>
      </c>
      <c r="C2592" s="606" t="s">
        <v>12375</v>
      </c>
      <c r="D2592" s="607">
        <v>1020.8</v>
      </c>
      <c r="E2592" s="607">
        <v>113.53</v>
      </c>
      <c r="F2592" s="607">
        <v>1134.33</v>
      </c>
      <c r="G2592" s="584">
        <v>15</v>
      </c>
    </row>
    <row r="2593" spans="1:7" ht="15" x14ac:dyDescent="0.25">
      <c r="A2593" s="583" t="s">
        <v>17254</v>
      </c>
      <c r="B2593" s="605" t="s">
        <v>17255</v>
      </c>
      <c r="C2593" s="606"/>
      <c r="D2593" s="607"/>
      <c r="E2593" s="607"/>
      <c r="F2593" s="607"/>
      <c r="G2593" s="582"/>
    </row>
    <row r="2594" spans="1:7" ht="15" x14ac:dyDescent="0.2">
      <c r="A2594" s="583" t="s">
        <v>17256</v>
      </c>
      <c r="B2594" s="605" t="s">
        <v>17257</v>
      </c>
      <c r="C2594" s="606" t="s">
        <v>12375</v>
      </c>
      <c r="D2594" s="607">
        <v>489.52</v>
      </c>
      <c r="E2594" s="607">
        <v>35.340000000000003</v>
      </c>
      <c r="F2594" s="607">
        <v>524.86</v>
      </c>
      <c r="G2594" s="584">
        <v>15</v>
      </c>
    </row>
    <row r="2595" spans="1:7" ht="30" x14ac:dyDescent="0.2">
      <c r="A2595" s="583" t="s">
        <v>20220</v>
      </c>
      <c r="B2595" s="605" t="s">
        <v>20221</v>
      </c>
      <c r="C2595" s="606" t="s">
        <v>12375</v>
      </c>
      <c r="D2595" s="607">
        <v>113.13</v>
      </c>
      <c r="E2595" s="607">
        <v>15.07</v>
      </c>
      <c r="F2595" s="607">
        <v>128.19999999999999</v>
      </c>
      <c r="G2595" s="584">
        <v>15</v>
      </c>
    </row>
    <row r="2596" spans="1:7" ht="30" x14ac:dyDescent="0.2">
      <c r="A2596" s="583" t="s">
        <v>17258</v>
      </c>
      <c r="B2596" s="605" t="s">
        <v>20087</v>
      </c>
      <c r="C2596" s="606" t="s">
        <v>12375</v>
      </c>
      <c r="D2596" s="607">
        <v>34.21</v>
      </c>
      <c r="E2596" s="607">
        <v>15.07</v>
      </c>
      <c r="F2596" s="607">
        <v>49.28</v>
      </c>
      <c r="G2596" s="584">
        <v>15</v>
      </c>
    </row>
    <row r="2597" spans="1:7" ht="30" x14ac:dyDescent="0.2">
      <c r="A2597" s="583" t="s">
        <v>17259</v>
      </c>
      <c r="B2597" s="605" t="s">
        <v>17260</v>
      </c>
      <c r="C2597" s="606" t="s">
        <v>12375</v>
      </c>
      <c r="D2597" s="607">
        <v>384.24</v>
      </c>
      <c r="E2597" s="607">
        <v>35.340000000000003</v>
      </c>
      <c r="F2597" s="607">
        <v>419.58</v>
      </c>
      <c r="G2597" s="584">
        <v>15</v>
      </c>
    </row>
    <row r="2598" spans="1:7" ht="30" x14ac:dyDescent="0.2">
      <c r="A2598" s="583" t="s">
        <v>17261</v>
      </c>
      <c r="B2598" s="605" t="s">
        <v>17262</v>
      </c>
      <c r="C2598" s="606" t="s">
        <v>12375</v>
      </c>
      <c r="D2598" s="607">
        <v>362.85</v>
      </c>
      <c r="E2598" s="607">
        <v>35.340000000000003</v>
      </c>
      <c r="F2598" s="607">
        <v>398.19</v>
      </c>
      <c r="G2598" s="584">
        <v>15</v>
      </c>
    </row>
    <row r="2599" spans="1:7" ht="30" x14ac:dyDescent="0.2">
      <c r="A2599" s="583" t="s">
        <v>20088</v>
      </c>
      <c r="B2599" s="605" t="s">
        <v>20089</v>
      </c>
      <c r="C2599" s="606" t="s">
        <v>12375</v>
      </c>
      <c r="D2599" s="607">
        <v>114.97</v>
      </c>
      <c r="E2599" s="607">
        <v>25.12</v>
      </c>
      <c r="F2599" s="607">
        <v>140.09</v>
      </c>
      <c r="G2599" s="584">
        <v>15</v>
      </c>
    </row>
    <row r="2600" spans="1:7" ht="30" x14ac:dyDescent="0.2">
      <c r="A2600" s="583" t="s">
        <v>20298</v>
      </c>
      <c r="B2600" s="605" t="s">
        <v>20299</v>
      </c>
      <c r="C2600" s="606" t="s">
        <v>12375</v>
      </c>
      <c r="D2600" s="607">
        <v>235.62</v>
      </c>
      <c r="E2600" s="607">
        <v>35.340000000000003</v>
      </c>
      <c r="F2600" s="607">
        <v>270.95999999999998</v>
      </c>
      <c r="G2600" s="584">
        <v>15</v>
      </c>
    </row>
    <row r="2601" spans="1:7" ht="30" x14ac:dyDescent="0.2">
      <c r="A2601" s="583" t="s">
        <v>17263</v>
      </c>
      <c r="B2601" s="605" t="s">
        <v>17264</v>
      </c>
      <c r="C2601" s="606" t="s">
        <v>12375</v>
      </c>
      <c r="D2601" s="607">
        <v>68.69</v>
      </c>
      <c r="E2601" s="607">
        <v>15.07</v>
      </c>
      <c r="F2601" s="607">
        <v>83.76</v>
      </c>
      <c r="G2601" s="584">
        <v>15</v>
      </c>
    </row>
    <row r="2602" spans="1:7" ht="30" x14ac:dyDescent="0.2">
      <c r="A2602" s="583" t="s">
        <v>17265</v>
      </c>
      <c r="B2602" s="605" t="s">
        <v>17266</v>
      </c>
      <c r="C2602" s="606" t="s">
        <v>12375</v>
      </c>
      <c r="D2602" s="607">
        <v>94.83</v>
      </c>
      <c r="E2602" s="607">
        <v>15.07</v>
      </c>
      <c r="F2602" s="607">
        <v>109.9</v>
      </c>
      <c r="G2602" s="584">
        <v>15</v>
      </c>
    </row>
    <row r="2603" spans="1:7" ht="30" x14ac:dyDescent="0.2">
      <c r="A2603" s="583" t="s">
        <v>17267</v>
      </c>
      <c r="B2603" s="605" t="s">
        <v>20090</v>
      </c>
      <c r="C2603" s="606" t="s">
        <v>12375</v>
      </c>
      <c r="D2603" s="607">
        <v>7861.69</v>
      </c>
      <c r="E2603" s="607">
        <v>35.340000000000003</v>
      </c>
      <c r="F2603" s="607">
        <v>7897.03</v>
      </c>
      <c r="G2603" s="584">
        <v>15</v>
      </c>
    </row>
    <row r="2604" spans="1:7" ht="45" x14ac:dyDescent="0.2">
      <c r="A2604" s="583" t="s">
        <v>17268</v>
      </c>
      <c r="B2604" s="605" t="s">
        <v>20397</v>
      </c>
      <c r="C2604" s="606" t="s">
        <v>12375</v>
      </c>
      <c r="D2604" s="607">
        <v>669.83</v>
      </c>
      <c r="E2604" s="607">
        <v>35.340000000000003</v>
      </c>
      <c r="F2604" s="607">
        <v>705.17</v>
      </c>
      <c r="G2604" s="584">
        <v>15</v>
      </c>
    </row>
    <row r="2605" spans="1:7" ht="30" x14ac:dyDescent="0.2">
      <c r="A2605" s="583" t="s">
        <v>20091</v>
      </c>
      <c r="B2605" s="605" t="s">
        <v>21426</v>
      </c>
      <c r="C2605" s="606" t="s">
        <v>12375</v>
      </c>
      <c r="D2605" s="607">
        <v>612.9</v>
      </c>
      <c r="E2605" s="607">
        <v>35.340000000000003</v>
      </c>
      <c r="F2605" s="607">
        <v>648.24</v>
      </c>
      <c r="G2605" s="584">
        <v>15</v>
      </c>
    </row>
    <row r="2606" spans="1:7" ht="30" x14ac:dyDescent="0.2">
      <c r="A2606" s="583" t="s">
        <v>20092</v>
      </c>
      <c r="B2606" s="605" t="s">
        <v>21427</v>
      </c>
      <c r="C2606" s="606" t="s">
        <v>12375</v>
      </c>
      <c r="D2606" s="607">
        <v>984.82</v>
      </c>
      <c r="E2606" s="607">
        <v>35.340000000000003</v>
      </c>
      <c r="F2606" s="607">
        <v>1020.16</v>
      </c>
      <c r="G2606" s="584">
        <v>15</v>
      </c>
    </row>
    <row r="2607" spans="1:7" ht="45" x14ac:dyDescent="0.2">
      <c r="A2607" s="583" t="s">
        <v>17269</v>
      </c>
      <c r="B2607" s="605" t="s">
        <v>20093</v>
      </c>
      <c r="C2607" s="606" t="s">
        <v>12375</v>
      </c>
      <c r="D2607" s="607">
        <v>323.14</v>
      </c>
      <c r="E2607" s="607">
        <v>35.340000000000003</v>
      </c>
      <c r="F2607" s="607">
        <v>358.48</v>
      </c>
      <c r="G2607" s="584">
        <v>15</v>
      </c>
    </row>
    <row r="2608" spans="1:7" ht="30" x14ac:dyDescent="0.2">
      <c r="A2608" s="583" t="s">
        <v>17270</v>
      </c>
      <c r="B2608" s="605" t="s">
        <v>20222</v>
      </c>
      <c r="C2608" s="606" t="s">
        <v>12375</v>
      </c>
      <c r="D2608" s="607">
        <v>62.07</v>
      </c>
      <c r="E2608" s="607">
        <v>35.340000000000003</v>
      </c>
      <c r="F2608" s="607">
        <v>97.41</v>
      </c>
      <c r="G2608" s="584">
        <v>15</v>
      </c>
    </row>
    <row r="2609" spans="1:7" ht="45" x14ac:dyDescent="0.2">
      <c r="A2609" s="583" t="s">
        <v>17271</v>
      </c>
      <c r="B2609" s="605" t="s">
        <v>20398</v>
      </c>
      <c r="C2609" s="606" t="s">
        <v>12375</v>
      </c>
      <c r="D2609" s="607">
        <v>414.14</v>
      </c>
      <c r="E2609" s="607">
        <v>35.340000000000003</v>
      </c>
      <c r="F2609" s="607">
        <v>449.48</v>
      </c>
      <c r="G2609" s="584">
        <v>15</v>
      </c>
    </row>
    <row r="2610" spans="1:7" ht="15" x14ac:dyDescent="0.25">
      <c r="A2610" s="583" t="s">
        <v>17272</v>
      </c>
      <c r="B2610" s="605" t="s">
        <v>17273</v>
      </c>
      <c r="C2610" s="606"/>
      <c r="D2610" s="607"/>
      <c r="E2610" s="607"/>
      <c r="F2610" s="607"/>
      <c r="G2610" s="582"/>
    </row>
    <row r="2611" spans="1:7" ht="30" x14ac:dyDescent="0.2">
      <c r="A2611" s="583" t="s">
        <v>17274</v>
      </c>
      <c r="B2611" s="605" t="s">
        <v>20094</v>
      </c>
      <c r="C2611" s="606" t="s">
        <v>12375</v>
      </c>
      <c r="D2611" s="607">
        <v>964.71</v>
      </c>
      <c r="E2611" s="607">
        <v>25.12</v>
      </c>
      <c r="F2611" s="607">
        <v>989.83</v>
      </c>
      <c r="G2611" s="584">
        <v>15</v>
      </c>
    </row>
    <row r="2612" spans="1:7" ht="15" x14ac:dyDescent="0.25">
      <c r="A2612" s="583" t="s">
        <v>17275</v>
      </c>
      <c r="B2612" s="605" t="s">
        <v>17276</v>
      </c>
      <c r="C2612" s="606"/>
      <c r="D2612" s="607"/>
      <c r="E2612" s="607"/>
      <c r="F2612" s="607"/>
      <c r="G2612" s="582"/>
    </row>
    <row r="2613" spans="1:7" ht="30" x14ac:dyDescent="0.2">
      <c r="A2613" s="583" t="s">
        <v>17277</v>
      </c>
      <c r="B2613" s="605" t="s">
        <v>174</v>
      </c>
      <c r="C2613" s="606" t="s">
        <v>12375</v>
      </c>
      <c r="D2613" s="607">
        <v>236.36</v>
      </c>
      <c r="E2613" s="607">
        <v>20.100000000000001</v>
      </c>
      <c r="F2613" s="607">
        <v>256.45999999999998</v>
      </c>
      <c r="G2613" s="584">
        <v>15</v>
      </c>
    </row>
    <row r="2614" spans="1:7" ht="30" x14ac:dyDescent="0.2">
      <c r="A2614" s="583" t="s">
        <v>17278</v>
      </c>
      <c r="B2614" s="605" t="s">
        <v>17279</v>
      </c>
      <c r="C2614" s="606" t="s">
        <v>12375</v>
      </c>
      <c r="D2614" s="607">
        <v>274.39999999999998</v>
      </c>
      <c r="E2614" s="607">
        <v>20.100000000000001</v>
      </c>
      <c r="F2614" s="607">
        <v>294.5</v>
      </c>
      <c r="G2614" s="584">
        <v>15</v>
      </c>
    </row>
    <row r="2615" spans="1:7" ht="30" x14ac:dyDescent="0.2">
      <c r="A2615" s="583" t="s">
        <v>17280</v>
      </c>
      <c r="B2615" s="605" t="s">
        <v>175</v>
      </c>
      <c r="C2615" s="606" t="s">
        <v>12375</v>
      </c>
      <c r="D2615" s="607">
        <v>159.51</v>
      </c>
      <c r="E2615" s="607">
        <v>20.100000000000001</v>
      </c>
      <c r="F2615" s="607">
        <v>179.61</v>
      </c>
      <c r="G2615" s="584">
        <v>15</v>
      </c>
    </row>
    <row r="2616" spans="1:7" ht="15" x14ac:dyDescent="0.25">
      <c r="A2616" s="583" t="s">
        <v>17281</v>
      </c>
      <c r="B2616" s="605" t="s">
        <v>17282</v>
      </c>
      <c r="C2616" s="606"/>
      <c r="D2616" s="607"/>
      <c r="E2616" s="607"/>
      <c r="F2616" s="607"/>
      <c r="G2616" s="582"/>
    </row>
    <row r="2617" spans="1:7" ht="45" x14ac:dyDescent="0.2">
      <c r="A2617" s="583" t="s">
        <v>17283</v>
      </c>
      <c r="B2617" s="605" t="s">
        <v>17284</v>
      </c>
      <c r="C2617" s="606" t="s">
        <v>12375</v>
      </c>
      <c r="D2617" s="607">
        <v>153.58000000000001</v>
      </c>
      <c r="E2617" s="607">
        <v>20.100000000000001</v>
      </c>
      <c r="F2617" s="607">
        <v>173.68</v>
      </c>
      <c r="G2617" s="584">
        <v>15</v>
      </c>
    </row>
    <row r="2618" spans="1:7" ht="30" x14ac:dyDescent="0.2">
      <c r="A2618" s="583" t="s">
        <v>17285</v>
      </c>
      <c r="B2618" s="605" t="s">
        <v>17286</v>
      </c>
      <c r="C2618" s="606" t="s">
        <v>12375</v>
      </c>
      <c r="D2618" s="607">
        <v>48.91</v>
      </c>
      <c r="E2618" s="607">
        <v>20.100000000000001</v>
      </c>
      <c r="F2618" s="607">
        <v>69.010000000000005</v>
      </c>
      <c r="G2618" s="584">
        <v>15</v>
      </c>
    </row>
    <row r="2619" spans="1:7" ht="45" x14ac:dyDescent="0.2">
      <c r="A2619" s="583" t="s">
        <v>17287</v>
      </c>
      <c r="B2619" s="605" t="s">
        <v>17288</v>
      </c>
      <c r="C2619" s="606" t="s">
        <v>12375</v>
      </c>
      <c r="D2619" s="607">
        <v>134.82</v>
      </c>
      <c r="E2619" s="607">
        <v>20.100000000000001</v>
      </c>
      <c r="F2619" s="607">
        <v>154.91999999999999</v>
      </c>
      <c r="G2619" s="584">
        <v>15</v>
      </c>
    </row>
    <row r="2620" spans="1:7" ht="30" x14ac:dyDescent="0.2">
      <c r="A2620" s="583" t="s">
        <v>17289</v>
      </c>
      <c r="B2620" s="605" t="s">
        <v>17290</v>
      </c>
      <c r="C2620" s="606" t="s">
        <v>12375</v>
      </c>
      <c r="D2620" s="607">
        <v>88.94</v>
      </c>
      <c r="E2620" s="607">
        <v>25.12</v>
      </c>
      <c r="F2620" s="607">
        <v>114.06</v>
      </c>
      <c r="G2620" s="584">
        <v>15</v>
      </c>
    </row>
    <row r="2621" spans="1:7" ht="45" x14ac:dyDescent="0.2">
      <c r="A2621" s="583" t="s">
        <v>17291</v>
      </c>
      <c r="B2621" s="605" t="s">
        <v>21428</v>
      </c>
      <c r="C2621" s="606" t="s">
        <v>12375</v>
      </c>
      <c r="D2621" s="607">
        <v>124.15</v>
      </c>
      <c r="E2621" s="607">
        <v>20.100000000000001</v>
      </c>
      <c r="F2621" s="607">
        <v>144.25</v>
      </c>
      <c r="G2621" s="584">
        <v>15</v>
      </c>
    </row>
    <row r="2622" spans="1:7" ht="45" x14ac:dyDescent="0.2">
      <c r="A2622" s="583" t="s">
        <v>17292</v>
      </c>
      <c r="B2622" s="605" t="s">
        <v>17293</v>
      </c>
      <c r="C2622" s="606" t="s">
        <v>12375</v>
      </c>
      <c r="D2622" s="607">
        <v>176.49</v>
      </c>
      <c r="E2622" s="607">
        <v>20.100000000000001</v>
      </c>
      <c r="F2622" s="607">
        <v>196.59</v>
      </c>
      <c r="G2622" s="584">
        <v>15</v>
      </c>
    </row>
    <row r="2623" spans="1:7" ht="45" x14ac:dyDescent="0.2">
      <c r="A2623" s="583" t="s">
        <v>17294</v>
      </c>
      <c r="B2623" s="605" t="s">
        <v>20095</v>
      </c>
      <c r="C2623" s="606" t="s">
        <v>12375</v>
      </c>
      <c r="D2623" s="607">
        <v>119.69</v>
      </c>
      <c r="E2623" s="607">
        <v>15.07</v>
      </c>
      <c r="F2623" s="607">
        <v>134.76</v>
      </c>
      <c r="G2623" s="584">
        <v>15</v>
      </c>
    </row>
    <row r="2624" spans="1:7" ht="45" x14ac:dyDescent="0.2">
      <c r="A2624" s="583" t="s">
        <v>17295</v>
      </c>
      <c r="B2624" s="605" t="s">
        <v>20096</v>
      </c>
      <c r="C2624" s="606" t="s">
        <v>12375</v>
      </c>
      <c r="D2624" s="607">
        <v>148.38</v>
      </c>
      <c r="E2624" s="607">
        <v>20.100000000000001</v>
      </c>
      <c r="F2624" s="607">
        <v>168.48</v>
      </c>
      <c r="G2624" s="584">
        <v>15</v>
      </c>
    </row>
    <row r="2625" spans="1:7" ht="30" x14ac:dyDescent="0.2">
      <c r="A2625" s="583" t="s">
        <v>17296</v>
      </c>
      <c r="B2625" s="605" t="s">
        <v>20097</v>
      </c>
      <c r="C2625" s="606" t="s">
        <v>12375</v>
      </c>
      <c r="D2625" s="607">
        <v>85.85</v>
      </c>
      <c r="E2625" s="607">
        <v>25.12</v>
      </c>
      <c r="F2625" s="607">
        <v>110.97</v>
      </c>
      <c r="G2625" s="584">
        <v>15</v>
      </c>
    </row>
    <row r="2626" spans="1:7" ht="30" x14ac:dyDescent="0.2">
      <c r="A2626" s="583" t="s">
        <v>17297</v>
      </c>
      <c r="B2626" s="605" t="s">
        <v>21429</v>
      </c>
      <c r="C2626" s="606" t="s">
        <v>12375</v>
      </c>
      <c r="D2626" s="607">
        <v>118.37</v>
      </c>
      <c r="E2626" s="607">
        <v>25.12</v>
      </c>
      <c r="F2626" s="607">
        <v>143.49</v>
      </c>
      <c r="G2626" s="584">
        <v>15</v>
      </c>
    </row>
    <row r="2627" spans="1:7" ht="45" x14ac:dyDescent="0.2">
      <c r="A2627" s="583" t="s">
        <v>17298</v>
      </c>
      <c r="B2627" s="605" t="s">
        <v>20098</v>
      </c>
      <c r="C2627" s="606" t="s">
        <v>12375</v>
      </c>
      <c r="D2627" s="607">
        <v>211.19</v>
      </c>
      <c r="E2627" s="607">
        <v>25.12</v>
      </c>
      <c r="F2627" s="607">
        <v>236.31</v>
      </c>
      <c r="G2627" s="584">
        <v>15</v>
      </c>
    </row>
    <row r="2628" spans="1:7" ht="45" x14ac:dyDescent="0.2">
      <c r="A2628" s="583" t="s">
        <v>17299</v>
      </c>
      <c r="B2628" s="605" t="s">
        <v>21430</v>
      </c>
      <c r="C2628" s="606" t="s">
        <v>12375</v>
      </c>
      <c r="D2628" s="607">
        <v>143.77000000000001</v>
      </c>
      <c r="E2628" s="607">
        <v>25.12</v>
      </c>
      <c r="F2628" s="607">
        <v>168.89</v>
      </c>
      <c r="G2628" s="584">
        <v>15</v>
      </c>
    </row>
    <row r="2629" spans="1:7" ht="30" x14ac:dyDescent="0.2">
      <c r="A2629" s="583" t="s">
        <v>17300</v>
      </c>
      <c r="B2629" s="605" t="s">
        <v>20099</v>
      </c>
      <c r="C2629" s="606" t="s">
        <v>12375</v>
      </c>
      <c r="D2629" s="607">
        <v>71.94</v>
      </c>
      <c r="E2629" s="607">
        <v>25.12</v>
      </c>
      <c r="F2629" s="607">
        <v>97.06</v>
      </c>
      <c r="G2629" s="584">
        <v>15</v>
      </c>
    </row>
    <row r="2630" spans="1:7" ht="45" x14ac:dyDescent="0.2">
      <c r="A2630" s="583" t="s">
        <v>17301</v>
      </c>
      <c r="B2630" s="605" t="s">
        <v>20100</v>
      </c>
      <c r="C2630" s="606" t="s">
        <v>12375</v>
      </c>
      <c r="D2630" s="607">
        <v>62.38</v>
      </c>
      <c r="E2630" s="607">
        <v>20.100000000000001</v>
      </c>
      <c r="F2630" s="607">
        <v>82.48</v>
      </c>
      <c r="G2630" s="584">
        <v>15</v>
      </c>
    </row>
    <row r="2631" spans="1:7" ht="30" x14ac:dyDescent="0.2">
      <c r="A2631" s="583" t="s">
        <v>17302</v>
      </c>
      <c r="B2631" s="605" t="s">
        <v>20101</v>
      </c>
      <c r="C2631" s="606" t="s">
        <v>12375</v>
      </c>
      <c r="D2631" s="607">
        <v>100.81</v>
      </c>
      <c r="E2631" s="607">
        <v>20.100000000000001</v>
      </c>
      <c r="F2631" s="607">
        <v>120.91</v>
      </c>
      <c r="G2631" s="584">
        <v>15</v>
      </c>
    </row>
    <row r="2632" spans="1:7" ht="45" x14ac:dyDescent="0.2">
      <c r="A2632" s="583" t="s">
        <v>17303</v>
      </c>
      <c r="B2632" s="605" t="s">
        <v>20399</v>
      </c>
      <c r="C2632" s="606" t="s">
        <v>12375</v>
      </c>
      <c r="D2632" s="607">
        <v>84.81</v>
      </c>
      <c r="E2632" s="607">
        <v>20.100000000000001</v>
      </c>
      <c r="F2632" s="607">
        <v>104.91</v>
      </c>
      <c r="G2632" s="584">
        <v>15</v>
      </c>
    </row>
    <row r="2633" spans="1:7" ht="30" x14ac:dyDescent="0.2">
      <c r="A2633" s="583" t="s">
        <v>20223</v>
      </c>
      <c r="B2633" s="605" t="s">
        <v>20300</v>
      </c>
      <c r="C2633" s="606" t="s">
        <v>12375</v>
      </c>
      <c r="D2633" s="607">
        <v>115.42</v>
      </c>
      <c r="E2633" s="607">
        <v>20.100000000000001</v>
      </c>
      <c r="F2633" s="607">
        <v>135.52000000000001</v>
      </c>
      <c r="G2633" s="584">
        <v>15</v>
      </c>
    </row>
    <row r="2634" spans="1:7" ht="15" x14ac:dyDescent="0.25">
      <c r="A2634" s="583" t="s">
        <v>17304</v>
      </c>
      <c r="B2634" s="605" t="s">
        <v>17305</v>
      </c>
      <c r="C2634" s="606"/>
      <c r="D2634" s="607"/>
      <c r="E2634" s="607"/>
      <c r="F2634" s="607"/>
      <c r="G2634" s="582"/>
    </row>
    <row r="2635" spans="1:7" ht="30" x14ac:dyDescent="0.2">
      <c r="A2635" s="583" t="s">
        <v>17306</v>
      </c>
      <c r="B2635" s="605" t="s">
        <v>17307</v>
      </c>
      <c r="C2635" s="606" t="s">
        <v>12375</v>
      </c>
      <c r="D2635" s="607">
        <v>43.67</v>
      </c>
      <c r="E2635" s="607">
        <v>15.07</v>
      </c>
      <c r="F2635" s="607">
        <v>58.74</v>
      </c>
      <c r="G2635" s="584">
        <v>15</v>
      </c>
    </row>
    <row r="2636" spans="1:7" ht="15" x14ac:dyDescent="0.25">
      <c r="A2636" s="583" t="s">
        <v>17308</v>
      </c>
      <c r="B2636" s="605" t="s">
        <v>17309</v>
      </c>
      <c r="C2636" s="606"/>
      <c r="D2636" s="607"/>
      <c r="E2636" s="607"/>
      <c r="F2636" s="607"/>
      <c r="G2636" s="582"/>
    </row>
    <row r="2637" spans="1:7" ht="30" x14ac:dyDescent="0.2">
      <c r="A2637" s="583" t="s">
        <v>17310</v>
      </c>
      <c r="B2637" s="605" t="s">
        <v>17311</v>
      </c>
      <c r="C2637" s="606" t="s">
        <v>12375</v>
      </c>
      <c r="D2637" s="607">
        <v>0.48</v>
      </c>
      <c r="E2637" s="607">
        <v>20.100000000000001</v>
      </c>
      <c r="F2637" s="607">
        <v>20.58</v>
      </c>
      <c r="G2637" s="584">
        <v>15</v>
      </c>
    </row>
    <row r="2638" spans="1:7" ht="30" x14ac:dyDescent="0.2">
      <c r="A2638" s="583" t="s">
        <v>17312</v>
      </c>
      <c r="B2638" s="605" t="s">
        <v>17313</v>
      </c>
      <c r="C2638" s="606" t="s">
        <v>12375</v>
      </c>
      <c r="D2638" s="607">
        <v>7.44</v>
      </c>
      <c r="E2638" s="607">
        <v>4.09</v>
      </c>
      <c r="F2638" s="607">
        <v>11.53</v>
      </c>
      <c r="G2638" s="584">
        <v>15</v>
      </c>
    </row>
    <row r="2639" spans="1:7" ht="15" x14ac:dyDescent="0.2">
      <c r="A2639" s="583" t="s">
        <v>17314</v>
      </c>
      <c r="B2639" s="605" t="s">
        <v>17315</v>
      </c>
      <c r="C2639" s="606" t="s">
        <v>12375</v>
      </c>
      <c r="D2639" s="607"/>
      <c r="E2639" s="607">
        <v>20.100000000000001</v>
      </c>
      <c r="F2639" s="607">
        <v>20.100000000000001</v>
      </c>
      <c r="G2639" s="584">
        <v>15</v>
      </c>
    </row>
    <row r="2640" spans="1:7" ht="15" x14ac:dyDescent="0.2">
      <c r="A2640" s="583" t="s">
        <v>17316</v>
      </c>
      <c r="B2640" s="605" t="s">
        <v>17317</v>
      </c>
      <c r="C2640" s="606" t="s">
        <v>12375</v>
      </c>
      <c r="D2640" s="607"/>
      <c r="E2640" s="607">
        <v>4.09</v>
      </c>
      <c r="F2640" s="607">
        <v>4.09</v>
      </c>
      <c r="G2640" s="584">
        <v>15</v>
      </c>
    </row>
    <row r="2641" spans="1:7" ht="15" x14ac:dyDescent="0.25">
      <c r="A2641" s="583" t="s">
        <v>17318</v>
      </c>
      <c r="B2641" s="605" t="s">
        <v>20102</v>
      </c>
      <c r="C2641" s="606"/>
      <c r="D2641" s="607"/>
      <c r="E2641" s="607"/>
      <c r="F2641" s="607"/>
      <c r="G2641" s="582"/>
    </row>
    <row r="2642" spans="1:7" ht="45" x14ac:dyDescent="0.2">
      <c r="A2642" s="583" t="s">
        <v>17319</v>
      </c>
      <c r="B2642" s="605" t="s">
        <v>20301</v>
      </c>
      <c r="C2642" s="606" t="s">
        <v>12375</v>
      </c>
      <c r="D2642" s="607">
        <v>334.87</v>
      </c>
      <c r="E2642" s="607">
        <v>20.100000000000001</v>
      </c>
      <c r="F2642" s="607">
        <v>354.97</v>
      </c>
      <c r="G2642" s="584">
        <v>15</v>
      </c>
    </row>
    <row r="2643" spans="1:7" ht="45" x14ac:dyDescent="0.2">
      <c r="A2643" s="583" t="s">
        <v>17320</v>
      </c>
      <c r="B2643" s="605" t="s">
        <v>20103</v>
      </c>
      <c r="C2643" s="606" t="s">
        <v>12375</v>
      </c>
      <c r="D2643" s="607">
        <v>211.3</v>
      </c>
      <c r="E2643" s="607">
        <v>15.07</v>
      </c>
      <c r="F2643" s="607">
        <v>226.37</v>
      </c>
      <c r="G2643" s="584">
        <v>15</v>
      </c>
    </row>
    <row r="2644" spans="1:7" ht="30" x14ac:dyDescent="0.2">
      <c r="A2644" s="583" t="s">
        <v>17321</v>
      </c>
      <c r="B2644" s="605" t="s">
        <v>20104</v>
      </c>
      <c r="C2644" s="606" t="s">
        <v>12375</v>
      </c>
      <c r="D2644" s="607">
        <v>152.35</v>
      </c>
      <c r="E2644" s="607">
        <v>20.100000000000001</v>
      </c>
      <c r="F2644" s="607">
        <v>172.45</v>
      </c>
      <c r="G2644" s="584">
        <v>15</v>
      </c>
    </row>
    <row r="2645" spans="1:7" ht="45" x14ac:dyDescent="0.2">
      <c r="A2645" s="583" t="s">
        <v>17322</v>
      </c>
      <c r="B2645" s="605" t="s">
        <v>21431</v>
      </c>
      <c r="C2645" s="606" t="s">
        <v>12375</v>
      </c>
      <c r="D2645" s="607">
        <v>262.64999999999998</v>
      </c>
      <c r="E2645" s="607">
        <v>15.07</v>
      </c>
      <c r="F2645" s="607">
        <v>277.72000000000003</v>
      </c>
      <c r="G2645" s="584">
        <v>15</v>
      </c>
    </row>
    <row r="2646" spans="1:7" ht="30" x14ac:dyDescent="0.2">
      <c r="A2646" s="583" t="s">
        <v>20105</v>
      </c>
      <c r="B2646" s="605" t="s">
        <v>20106</v>
      </c>
      <c r="C2646" s="606" t="s">
        <v>12375</v>
      </c>
      <c r="D2646" s="607">
        <v>78.67</v>
      </c>
      <c r="E2646" s="607">
        <v>25.12</v>
      </c>
      <c r="F2646" s="607">
        <v>103.79</v>
      </c>
      <c r="G2646" s="584">
        <v>15</v>
      </c>
    </row>
    <row r="2647" spans="1:7" ht="15" x14ac:dyDescent="0.25">
      <c r="A2647" s="583" t="s">
        <v>17323</v>
      </c>
      <c r="B2647" s="605" t="s">
        <v>17324</v>
      </c>
      <c r="C2647" s="606"/>
      <c r="D2647" s="607"/>
      <c r="E2647" s="607"/>
      <c r="F2647" s="607"/>
      <c r="G2647" s="582"/>
    </row>
    <row r="2648" spans="1:7" ht="15" x14ac:dyDescent="0.25">
      <c r="A2648" s="583" t="s">
        <v>17325</v>
      </c>
      <c r="B2648" s="605" t="s">
        <v>17326</v>
      </c>
      <c r="C2648" s="606"/>
      <c r="D2648" s="607"/>
      <c r="E2648" s="607"/>
      <c r="F2648" s="607"/>
      <c r="G2648" s="582"/>
    </row>
    <row r="2649" spans="1:7" ht="30" x14ac:dyDescent="0.2">
      <c r="A2649" s="583" t="s">
        <v>17327</v>
      </c>
      <c r="B2649" s="605" t="s">
        <v>17328</v>
      </c>
      <c r="C2649" s="606" t="s">
        <v>12375</v>
      </c>
      <c r="D2649" s="607">
        <v>86.7</v>
      </c>
      <c r="E2649" s="607">
        <v>12.56</v>
      </c>
      <c r="F2649" s="607">
        <v>99.26</v>
      </c>
      <c r="G2649" s="584">
        <v>15</v>
      </c>
    </row>
    <row r="2650" spans="1:7" ht="30" x14ac:dyDescent="0.2">
      <c r="A2650" s="583" t="s">
        <v>17329</v>
      </c>
      <c r="B2650" s="605" t="s">
        <v>17330</v>
      </c>
      <c r="C2650" s="606" t="s">
        <v>12375</v>
      </c>
      <c r="D2650" s="607">
        <v>90.35</v>
      </c>
      <c r="E2650" s="607">
        <v>12.56</v>
      </c>
      <c r="F2650" s="607">
        <v>102.91</v>
      </c>
      <c r="G2650" s="584">
        <v>15</v>
      </c>
    </row>
    <row r="2651" spans="1:7" ht="15" x14ac:dyDescent="0.2">
      <c r="A2651" s="583" t="s">
        <v>17331</v>
      </c>
      <c r="B2651" s="605" t="s">
        <v>17332</v>
      </c>
      <c r="C2651" s="606" t="s">
        <v>12375</v>
      </c>
      <c r="D2651" s="607">
        <v>71.099999999999994</v>
      </c>
      <c r="E2651" s="607">
        <v>12.56</v>
      </c>
      <c r="F2651" s="607">
        <v>83.66</v>
      </c>
      <c r="G2651" s="584">
        <v>15</v>
      </c>
    </row>
    <row r="2652" spans="1:7" ht="15" x14ac:dyDescent="0.2">
      <c r="A2652" s="583" t="s">
        <v>17333</v>
      </c>
      <c r="B2652" s="605" t="s">
        <v>17334</v>
      </c>
      <c r="C2652" s="606" t="s">
        <v>12375</v>
      </c>
      <c r="D2652" s="607">
        <v>47.01</v>
      </c>
      <c r="E2652" s="607">
        <v>12.56</v>
      </c>
      <c r="F2652" s="607">
        <v>59.57</v>
      </c>
      <c r="G2652" s="584">
        <v>15</v>
      </c>
    </row>
    <row r="2653" spans="1:7" ht="15" x14ac:dyDescent="0.2">
      <c r="A2653" s="583" t="s">
        <v>17335</v>
      </c>
      <c r="B2653" s="605" t="s">
        <v>17336</v>
      </c>
      <c r="C2653" s="606" t="s">
        <v>12375</v>
      </c>
      <c r="D2653" s="607">
        <v>4.22</v>
      </c>
      <c r="E2653" s="607">
        <v>12.56</v>
      </c>
      <c r="F2653" s="607">
        <v>16.78</v>
      </c>
      <c r="G2653" s="584">
        <v>15</v>
      </c>
    </row>
    <row r="2654" spans="1:7" ht="30" x14ac:dyDescent="0.2">
      <c r="A2654" s="583" t="s">
        <v>17337</v>
      </c>
      <c r="B2654" s="605" t="s">
        <v>17338</v>
      </c>
      <c r="C2654" s="606" t="s">
        <v>12375</v>
      </c>
      <c r="D2654" s="607">
        <v>29.22</v>
      </c>
      <c r="E2654" s="607">
        <v>12.56</v>
      </c>
      <c r="F2654" s="607">
        <v>41.78</v>
      </c>
      <c r="G2654" s="584">
        <v>15</v>
      </c>
    </row>
    <row r="2655" spans="1:7" ht="30" x14ac:dyDescent="0.2">
      <c r="A2655" s="583" t="s">
        <v>17339</v>
      </c>
      <c r="B2655" s="605" t="s">
        <v>17340</v>
      </c>
      <c r="C2655" s="606" t="s">
        <v>12375</v>
      </c>
      <c r="D2655" s="607">
        <v>9.27</v>
      </c>
      <c r="E2655" s="607">
        <v>12.56</v>
      </c>
      <c r="F2655" s="607">
        <v>21.83</v>
      </c>
      <c r="G2655" s="584">
        <v>15</v>
      </c>
    </row>
    <row r="2656" spans="1:7" ht="30" x14ac:dyDescent="0.2">
      <c r="A2656" s="583" t="s">
        <v>17341</v>
      </c>
      <c r="B2656" s="605" t="s">
        <v>17342</v>
      </c>
      <c r="C2656" s="606" t="s">
        <v>12375</v>
      </c>
      <c r="D2656" s="607">
        <v>15.12</v>
      </c>
      <c r="E2656" s="607">
        <v>12.56</v>
      </c>
      <c r="F2656" s="607">
        <v>27.68</v>
      </c>
      <c r="G2656" s="584">
        <v>15</v>
      </c>
    </row>
    <row r="2657" spans="1:7" ht="15" x14ac:dyDescent="0.25">
      <c r="A2657" s="583" t="s">
        <v>17343</v>
      </c>
      <c r="B2657" s="605" t="s">
        <v>17344</v>
      </c>
      <c r="C2657" s="606"/>
      <c r="D2657" s="607"/>
      <c r="E2657" s="607"/>
      <c r="F2657" s="607"/>
      <c r="G2657" s="582"/>
    </row>
    <row r="2658" spans="1:7" ht="15" x14ac:dyDescent="0.2">
      <c r="A2658" s="583" t="s">
        <v>17345</v>
      </c>
      <c r="B2658" s="605" t="s">
        <v>17346</v>
      </c>
      <c r="C2658" s="606" t="s">
        <v>12375</v>
      </c>
      <c r="D2658" s="607">
        <v>6.19</v>
      </c>
      <c r="E2658" s="607">
        <v>12.56</v>
      </c>
      <c r="F2658" s="607">
        <v>18.75</v>
      </c>
      <c r="G2658" s="584">
        <v>15</v>
      </c>
    </row>
    <row r="2659" spans="1:7" ht="15" x14ac:dyDescent="0.2">
      <c r="A2659" s="583" t="s">
        <v>17347</v>
      </c>
      <c r="B2659" s="605" t="s">
        <v>17348</v>
      </c>
      <c r="C2659" s="606" t="s">
        <v>12375</v>
      </c>
      <c r="D2659" s="607">
        <v>17.36</v>
      </c>
      <c r="E2659" s="607">
        <v>12.56</v>
      </c>
      <c r="F2659" s="607">
        <v>29.92</v>
      </c>
      <c r="G2659" s="584">
        <v>15</v>
      </c>
    </row>
    <row r="2660" spans="1:7" ht="15" x14ac:dyDescent="0.2">
      <c r="A2660" s="583" t="s">
        <v>17349</v>
      </c>
      <c r="B2660" s="605" t="s">
        <v>17350</v>
      </c>
      <c r="C2660" s="606" t="s">
        <v>12375</v>
      </c>
      <c r="D2660" s="607">
        <v>5.99</v>
      </c>
      <c r="E2660" s="607">
        <v>12.56</v>
      </c>
      <c r="F2660" s="607">
        <v>18.55</v>
      </c>
      <c r="G2660" s="584">
        <v>15</v>
      </c>
    </row>
    <row r="2661" spans="1:7" ht="15" x14ac:dyDescent="0.2">
      <c r="A2661" s="583" t="s">
        <v>17351</v>
      </c>
      <c r="B2661" s="605" t="s">
        <v>17352</v>
      </c>
      <c r="C2661" s="606" t="s">
        <v>12375</v>
      </c>
      <c r="D2661" s="607">
        <v>9.0399999999999991</v>
      </c>
      <c r="E2661" s="607">
        <v>12.56</v>
      </c>
      <c r="F2661" s="607">
        <v>21.6</v>
      </c>
      <c r="G2661" s="584">
        <v>15</v>
      </c>
    </row>
    <row r="2662" spans="1:7" ht="30" x14ac:dyDescent="0.2">
      <c r="A2662" s="583" t="s">
        <v>17353</v>
      </c>
      <c r="B2662" s="605" t="s">
        <v>17354</v>
      </c>
      <c r="C2662" s="606" t="s">
        <v>12375</v>
      </c>
      <c r="D2662" s="607">
        <v>14.81</v>
      </c>
      <c r="E2662" s="607">
        <v>12.56</v>
      </c>
      <c r="F2662" s="607">
        <v>27.37</v>
      </c>
      <c r="G2662" s="584">
        <v>15</v>
      </c>
    </row>
    <row r="2663" spans="1:7" ht="30" x14ac:dyDescent="0.2">
      <c r="A2663" s="583" t="s">
        <v>17355</v>
      </c>
      <c r="B2663" s="605" t="s">
        <v>17356</v>
      </c>
      <c r="C2663" s="606" t="s">
        <v>12375</v>
      </c>
      <c r="D2663" s="607">
        <v>18.82</v>
      </c>
      <c r="E2663" s="607">
        <v>12.56</v>
      </c>
      <c r="F2663" s="607">
        <v>31.38</v>
      </c>
      <c r="G2663" s="584">
        <v>15</v>
      </c>
    </row>
    <row r="2664" spans="1:7" ht="15" x14ac:dyDescent="0.25">
      <c r="A2664" s="583" t="s">
        <v>17357</v>
      </c>
      <c r="B2664" s="605" t="s">
        <v>17358</v>
      </c>
      <c r="C2664" s="606"/>
      <c r="D2664" s="607"/>
      <c r="E2664" s="607"/>
      <c r="F2664" s="607"/>
      <c r="G2664" s="582"/>
    </row>
    <row r="2665" spans="1:7" ht="30" x14ac:dyDescent="0.2">
      <c r="A2665" s="583" t="s">
        <v>17359</v>
      </c>
      <c r="B2665" s="605" t="s">
        <v>17360</v>
      </c>
      <c r="C2665" s="606" t="s">
        <v>12375</v>
      </c>
      <c r="D2665" s="607">
        <v>11.31</v>
      </c>
      <c r="E2665" s="607">
        <v>12.56</v>
      </c>
      <c r="F2665" s="607">
        <v>23.87</v>
      </c>
      <c r="G2665" s="584">
        <v>15</v>
      </c>
    </row>
    <row r="2666" spans="1:7" ht="30" x14ac:dyDescent="0.2">
      <c r="A2666" s="583" t="s">
        <v>17361</v>
      </c>
      <c r="B2666" s="605" t="s">
        <v>17362</v>
      </c>
      <c r="C2666" s="606" t="s">
        <v>12375</v>
      </c>
      <c r="D2666" s="607">
        <v>17.2</v>
      </c>
      <c r="E2666" s="607">
        <v>12.56</v>
      </c>
      <c r="F2666" s="607">
        <v>29.76</v>
      </c>
      <c r="G2666" s="584">
        <v>15</v>
      </c>
    </row>
    <row r="2667" spans="1:7" ht="30" x14ac:dyDescent="0.2">
      <c r="A2667" s="583" t="s">
        <v>17363</v>
      </c>
      <c r="B2667" s="605" t="s">
        <v>17364</v>
      </c>
      <c r="C2667" s="606" t="s">
        <v>12375</v>
      </c>
      <c r="D2667" s="607">
        <v>15.34</v>
      </c>
      <c r="E2667" s="607">
        <v>12.56</v>
      </c>
      <c r="F2667" s="607">
        <v>27.9</v>
      </c>
      <c r="G2667" s="584">
        <v>15</v>
      </c>
    </row>
    <row r="2668" spans="1:7" ht="30" x14ac:dyDescent="0.2">
      <c r="A2668" s="583" t="s">
        <v>17365</v>
      </c>
      <c r="B2668" s="605" t="s">
        <v>17366</v>
      </c>
      <c r="C2668" s="606" t="s">
        <v>12375</v>
      </c>
      <c r="D2668" s="607">
        <v>19.55</v>
      </c>
      <c r="E2668" s="607">
        <v>12.56</v>
      </c>
      <c r="F2668" s="607">
        <v>32.11</v>
      </c>
      <c r="G2668" s="584">
        <v>15</v>
      </c>
    </row>
    <row r="2669" spans="1:7" ht="15" x14ac:dyDescent="0.25">
      <c r="A2669" s="583" t="s">
        <v>17367</v>
      </c>
      <c r="B2669" s="605" t="s">
        <v>17368</v>
      </c>
      <c r="C2669" s="606"/>
      <c r="D2669" s="607"/>
      <c r="E2669" s="607"/>
      <c r="F2669" s="607"/>
      <c r="G2669" s="582"/>
    </row>
    <row r="2670" spans="1:7" ht="15" x14ac:dyDescent="0.2">
      <c r="A2670" s="583" t="s">
        <v>17369</v>
      </c>
      <c r="B2670" s="605" t="s">
        <v>17370</v>
      </c>
      <c r="C2670" s="606" t="s">
        <v>12375</v>
      </c>
      <c r="D2670" s="607">
        <v>12.94</v>
      </c>
      <c r="E2670" s="607">
        <v>12.56</v>
      </c>
      <c r="F2670" s="607">
        <v>25.5</v>
      </c>
      <c r="G2670" s="584">
        <v>15</v>
      </c>
    </row>
    <row r="2671" spans="1:7" ht="15" x14ac:dyDescent="0.2">
      <c r="A2671" s="583" t="s">
        <v>17371</v>
      </c>
      <c r="B2671" s="605" t="s">
        <v>17372</v>
      </c>
      <c r="C2671" s="606" t="s">
        <v>12375</v>
      </c>
      <c r="D2671" s="607">
        <v>11.82</v>
      </c>
      <c r="E2671" s="607">
        <v>12.56</v>
      </c>
      <c r="F2671" s="607">
        <v>24.38</v>
      </c>
      <c r="G2671" s="584">
        <v>15</v>
      </c>
    </row>
    <row r="2672" spans="1:7" ht="15" x14ac:dyDescent="0.2">
      <c r="A2672" s="583" t="s">
        <v>17373</v>
      </c>
      <c r="B2672" s="605" t="s">
        <v>17374</v>
      </c>
      <c r="C2672" s="606" t="s">
        <v>12375</v>
      </c>
      <c r="D2672" s="607">
        <v>54.12</v>
      </c>
      <c r="E2672" s="607">
        <v>12.56</v>
      </c>
      <c r="F2672" s="607">
        <v>66.680000000000007</v>
      </c>
      <c r="G2672" s="584">
        <v>15</v>
      </c>
    </row>
    <row r="2673" spans="1:7" ht="15" x14ac:dyDescent="0.2">
      <c r="A2673" s="583" t="s">
        <v>17375</v>
      </c>
      <c r="B2673" s="605" t="s">
        <v>17376</v>
      </c>
      <c r="C2673" s="606" t="s">
        <v>12375</v>
      </c>
      <c r="D2673" s="607">
        <v>148.4</v>
      </c>
      <c r="E2673" s="607">
        <v>15.07</v>
      </c>
      <c r="F2673" s="607">
        <v>163.47</v>
      </c>
      <c r="G2673" s="584">
        <v>15</v>
      </c>
    </row>
    <row r="2674" spans="1:7" ht="15" x14ac:dyDescent="0.2">
      <c r="A2674" s="583" t="s">
        <v>17377</v>
      </c>
      <c r="B2674" s="605" t="s">
        <v>17378</v>
      </c>
      <c r="C2674" s="606" t="s">
        <v>12483</v>
      </c>
      <c r="D2674" s="607">
        <v>71.209999999999994</v>
      </c>
      <c r="E2674" s="607">
        <v>15.07</v>
      </c>
      <c r="F2674" s="607">
        <v>86.28</v>
      </c>
      <c r="G2674" s="584">
        <v>15</v>
      </c>
    </row>
    <row r="2675" spans="1:7" ht="15" x14ac:dyDescent="0.2">
      <c r="A2675" s="583" t="s">
        <v>17379</v>
      </c>
      <c r="B2675" s="605" t="s">
        <v>17380</v>
      </c>
      <c r="C2675" s="606" t="s">
        <v>12375</v>
      </c>
      <c r="D2675" s="607">
        <v>17.52</v>
      </c>
      <c r="E2675" s="607">
        <v>12.56</v>
      </c>
      <c r="F2675" s="607">
        <v>30.08</v>
      </c>
      <c r="G2675" s="584">
        <v>15</v>
      </c>
    </row>
    <row r="2676" spans="1:7" ht="15" x14ac:dyDescent="0.2">
      <c r="A2676" s="583" t="s">
        <v>17381</v>
      </c>
      <c r="B2676" s="605" t="s">
        <v>17382</v>
      </c>
      <c r="C2676" s="606" t="s">
        <v>12375</v>
      </c>
      <c r="D2676" s="607">
        <v>30.14</v>
      </c>
      <c r="E2676" s="607">
        <v>12.56</v>
      </c>
      <c r="F2676" s="607">
        <v>42.7</v>
      </c>
      <c r="G2676" s="584">
        <v>15</v>
      </c>
    </row>
    <row r="2677" spans="1:7" ht="15" x14ac:dyDescent="0.25">
      <c r="A2677" s="583" t="s">
        <v>17383</v>
      </c>
      <c r="B2677" s="605" t="s">
        <v>17384</v>
      </c>
      <c r="C2677" s="606"/>
      <c r="D2677" s="607"/>
      <c r="E2677" s="607"/>
      <c r="F2677" s="607"/>
      <c r="G2677" s="582"/>
    </row>
    <row r="2678" spans="1:7" ht="15" x14ac:dyDescent="0.2">
      <c r="A2678" s="583" t="s">
        <v>17385</v>
      </c>
      <c r="B2678" s="605" t="s">
        <v>17386</v>
      </c>
      <c r="C2678" s="606" t="s">
        <v>12375</v>
      </c>
      <c r="D2678" s="607">
        <v>37.43</v>
      </c>
      <c r="E2678" s="607">
        <v>12.56</v>
      </c>
      <c r="F2678" s="607">
        <v>49.99</v>
      </c>
      <c r="G2678" s="584">
        <v>15</v>
      </c>
    </row>
    <row r="2679" spans="1:7" ht="30" x14ac:dyDescent="0.2">
      <c r="A2679" s="583" t="s">
        <v>17387</v>
      </c>
      <c r="B2679" s="605" t="s">
        <v>17388</v>
      </c>
      <c r="C2679" s="606" t="s">
        <v>12375</v>
      </c>
      <c r="D2679" s="607">
        <v>15.4</v>
      </c>
      <c r="E2679" s="607">
        <v>12.56</v>
      </c>
      <c r="F2679" s="607">
        <v>27.96</v>
      </c>
      <c r="G2679" s="584">
        <v>15</v>
      </c>
    </row>
    <row r="2680" spans="1:7" ht="15" x14ac:dyDescent="0.2">
      <c r="A2680" s="583" t="s">
        <v>17389</v>
      </c>
      <c r="B2680" s="605" t="s">
        <v>17390</v>
      </c>
      <c r="C2680" s="606" t="s">
        <v>12375</v>
      </c>
      <c r="D2680" s="607">
        <v>87.54</v>
      </c>
      <c r="E2680" s="607">
        <v>12.56</v>
      </c>
      <c r="F2680" s="607">
        <v>100.1</v>
      </c>
      <c r="G2680" s="584">
        <v>15</v>
      </c>
    </row>
    <row r="2681" spans="1:7" ht="15" x14ac:dyDescent="0.2">
      <c r="A2681" s="583" t="s">
        <v>17391</v>
      </c>
      <c r="B2681" s="605" t="s">
        <v>17392</v>
      </c>
      <c r="C2681" s="606" t="s">
        <v>12375</v>
      </c>
      <c r="D2681" s="607">
        <v>64.47</v>
      </c>
      <c r="E2681" s="607">
        <v>12.56</v>
      </c>
      <c r="F2681" s="607">
        <v>77.03</v>
      </c>
      <c r="G2681" s="584">
        <v>15</v>
      </c>
    </row>
    <row r="2682" spans="1:7" ht="15" x14ac:dyDescent="0.2">
      <c r="A2682" s="583" t="s">
        <v>17393</v>
      </c>
      <c r="B2682" s="605" t="s">
        <v>17394</v>
      </c>
      <c r="C2682" s="606" t="s">
        <v>12375</v>
      </c>
      <c r="D2682" s="607">
        <v>146.97999999999999</v>
      </c>
      <c r="E2682" s="607">
        <v>12.56</v>
      </c>
      <c r="F2682" s="607">
        <v>159.54</v>
      </c>
      <c r="G2682" s="584">
        <v>15</v>
      </c>
    </row>
    <row r="2683" spans="1:7" ht="15" x14ac:dyDescent="0.2">
      <c r="A2683" s="583" t="s">
        <v>17395</v>
      </c>
      <c r="B2683" s="605" t="s">
        <v>17396</v>
      </c>
      <c r="C2683" s="606" t="s">
        <v>12375</v>
      </c>
      <c r="D2683" s="607">
        <v>20.93</v>
      </c>
      <c r="E2683" s="607">
        <v>50.24</v>
      </c>
      <c r="F2683" s="607">
        <v>71.17</v>
      </c>
      <c r="G2683" s="584">
        <v>15</v>
      </c>
    </row>
    <row r="2684" spans="1:7" ht="15" x14ac:dyDescent="0.2">
      <c r="A2684" s="583" t="s">
        <v>17397</v>
      </c>
      <c r="B2684" s="605" t="s">
        <v>17398</v>
      </c>
      <c r="C2684" s="606" t="s">
        <v>12375</v>
      </c>
      <c r="D2684" s="607">
        <v>20.149999999999999</v>
      </c>
      <c r="E2684" s="607">
        <v>5.0199999999999996</v>
      </c>
      <c r="F2684" s="607">
        <v>25.17</v>
      </c>
      <c r="G2684" s="584">
        <v>15</v>
      </c>
    </row>
    <row r="2685" spans="1:7" ht="30" x14ac:dyDescent="0.2">
      <c r="A2685" s="583" t="s">
        <v>17399</v>
      </c>
      <c r="B2685" s="605" t="s">
        <v>17400</v>
      </c>
      <c r="C2685" s="606" t="s">
        <v>12375</v>
      </c>
      <c r="D2685" s="607">
        <v>26.31</v>
      </c>
      <c r="E2685" s="607">
        <v>5.0199999999999996</v>
      </c>
      <c r="F2685" s="607">
        <v>31.33</v>
      </c>
      <c r="G2685" s="584">
        <v>15</v>
      </c>
    </row>
    <row r="2686" spans="1:7" ht="15" x14ac:dyDescent="0.2">
      <c r="A2686" s="583" t="s">
        <v>17401</v>
      </c>
      <c r="B2686" s="605" t="s">
        <v>17402</v>
      </c>
      <c r="C2686" s="606" t="s">
        <v>12375</v>
      </c>
      <c r="D2686" s="607">
        <v>18.260000000000002</v>
      </c>
      <c r="E2686" s="607">
        <v>5.0199999999999996</v>
      </c>
      <c r="F2686" s="607">
        <v>23.28</v>
      </c>
      <c r="G2686" s="584">
        <v>15</v>
      </c>
    </row>
    <row r="2687" spans="1:7" ht="15" x14ac:dyDescent="0.2">
      <c r="A2687" s="583" t="s">
        <v>17403</v>
      </c>
      <c r="B2687" s="605" t="s">
        <v>17404</v>
      </c>
      <c r="C2687" s="606" t="s">
        <v>12375</v>
      </c>
      <c r="D2687" s="607">
        <v>3.76</v>
      </c>
      <c r="E2687" s="607">
        <v>5.0199999999999996</v>
      </c>
      <c r="F2687" s="607">
        <v>8.7799999999999994</v>
      </c>
      <c r="G2687" s="584">
        <v>15</v>
      </c>
    </row>
    <row r="2688" spans="1:7" ht="15" x14ac:dyDescent="0.2">
      <c r="A2688" s="583" t="s">
        <v>17405</v>
      </c>
      <c r="B2688" s="605" t="s">
        <v>17406</v>
      </c>
      <c r="C2688" s="606" t="s">
        <v>12483</v>
      </c>
      <c r="D2688" s="607">
        <v>13.36</v>
      </c>
      <c r="E2688" s="607">
        <v>20.100000000000001</v>
      </c>
      <c r="F2688" s="607">
        <v>33.46</v>
      </c>
      <c r="G2688" s="584">
        <v>15</v>
      </c>
    </row>
    <row r="2689" spans="1:7" ht="15" x14ac:dyDescent="0.2">
      <c r="A2689" s="583" t="s">
        <v>17407</v>
      </c>
      <c r="B2689" s="605" t="s">
        <v>17408</v>
      </c>
      <c r="C2689" s="606" t="s">
        <v>12375</v>
      </c>
      <c r="D2689" s="607">
        <v>20.350000000000001</v>
      </c>
      <c r="E2689" s="607">
        <v>12.56</v>
      </c>
      <c r="F2689" s="607">
        <v>32.909999999999997</v>
      </c>
      <c r="G2689" s="584">
        <v>15</v>
      </c>
    </row>
    <row r="2690" spans="1:7" ht="15" x14ac:dyDescent="0.2">
      <c r="A2690" s="583" t="s">
        <v>17409</v>
      </c>
      <c r="B2690" s="605" t="s">
        <v>20224</v>
      </c>
      <c r="C2690" s="606" t="s">
        <v>12375</v>
      </c>
      <c r="D2690" s="607">
        <v>279.74</v>
      </c>
      <c r="E2690" s="607">
        <v>25.12</v>
      </c>
      <c r="F2690" s="607">
        <v>304.86</v>
      </c>
      <c r="G2690" s="584">
        <v>15</v>
      </c>
    </row>
    <row r="2691" spans="1:7" ht="15" x14ac:dyDescent="0.2">
      <c r="A2691" s="583" t="s">
        <v>17410</v>
      </c>
      <c r="B2691" s="605" t="s">
        <v>20302</v>
      </c>
      <c r="C2691" s="606" t="s">
        <v>12375</v>
      </c>
      <c r="D2691" s="607">
        <v>181.02</v>
      </c>
      <c r="E2691" s="607">
        <v>25.12</v>
      </c>
      <c r="F2691" s="607">
        <v>206.14</v>
      </c>
      <c r="G2691" s="584">
        <v>15</v>
      </c>
    </row>
    <row r="2692" spans="1:7" ht="15" x14ac:dyDescent="0.2">
      <c r="A2692" s="583" t="s">
        <v>17411</v>
      </c>
      <c r="B2692" s="605" t="s">
        <v>20225</v>
      </c>
      <c r="C2692" s="606" t="s">
        <v>12375</v>
      </c>
      <c r="D2692" s="607">
        <v>171.84</v>
      </c>
      <c r="E2692" s="607">
        <v>25.12</v>
      </c>
      <c r="F2692" s="607">
        <v>196.96</v>
      </c>
      <c r="G2692" s="584">
        <v>15</v>
      </c>
    </row>
    <row r="2693" spans="1:7" ht="15" x14ac:dyDescent="0.2">
      <c r="A2693" s="583" t="s">
        <v>17412</v>
      </c>
      <c r="B2693" s="605" t="s">
        <v>20226</v>
      </c>
      <c r="C2693" s="606" t="s">
        <v>12375</v>
      </c>
      <c r="D2693" s="607">
        <v>50.49</v>
      </c>
      <c r="E2693" s="607">
        <v>12.56</v>
      </c>
      <c r="F2693" s="607">
        <v>63.05</v>
      </c>
      <c r="G2693" s="584">
        <v>15</v>
      </c>
    </row>
    <row r="2694" spans="1:7" ht="15" x14ac:dyDescent="0.2">
      <c r="A2694" s="583" t="s">
        <v>17413</v>
      </c>
      <c r="B2694" s="605" t="s">
        <v>17414</v>
      </c>
      <c r="C2694" s="606" t="s">
        <v>12375</v>
      </c>
      <c r="D2694" s="607">
        <v>2.78</v>
      </c>
      <c r="E2694" s="607">
        <v>10.050000000000001</v>
      </c>
      <c r="F2694" s="607">
        <v>12.83</v>
      </c>
      <c r="G2694" s="584">
        <v>15</v>
      </c>
    </row>
    <row r="2695" spans="1:7" ht="30" x14ac:dyDescent="0.2">
      <c r="A2695" s="583" t="s">
        <v>17415</v>
      </c>
      <c r="B2695" s="605" t="s">
        <v>17416</v>
      </c>
      <c r="C2695" s="606" t="s">
        <v>12375</v>
      </c>
      <c r="D2695" s="607">
        <v>10.91</v>
      </c>
      <c r="E2695" s="607">
        <v>12.56</v>
      </c>
      <c r="F2695" s="607">
        <v>23.47</v>
      </c>
      <c r="G2695" s="584">
        <v>15</v>
      </c>
    </row>
    <row r="2696" spans="1:7" ht="30" x14ac:dyDescent="0.2">
      <c r="A2696" s="583" t="s">
        <v>17417</v>
      </c>
      <c r="B2696" s="605" t="s">
        <v>17418</v>
      </c>
      <c r="C2696" s="606" t="s">
        <v>12483</v>
      </c>
      <c r="D2696" s="607">
        <v>15.62</v>
      </c>
      <c r="E2696" s="607">
        <v>25.12</v>
      </c>
      <c r="F2696" s="607">
        <v>40.74</v>
      </c>
      <c r="G2696" s="584">
        <v>15</v>
      </c>
    </row>
    <row r="2697" spans="1:7" ht="30" x14ac:dyDescent="0.2">
      <c r="A2697" s="583" t="s">
        <v>17419</v>
      </c>
      <c r="B2697" s="605" t="s">
        <v>17420</v>
      </c>
      <c r="C2697" s="606" t="s">
        <v>12375</v>
      </c>
      <c r="D2697" s="607">
        <v>10.38</v>
      </c>
      <c r="E2697" s="607">
        <v>12.56</v>
      </c>
      <c r="F2697" s="607">
        <v>22.94</v>
      </c>
      <c r="G2697" s="584">
        <v>15</v>
      </c>
    </row>
    <row r="2698" spans="1:7" ht="30" x14ac:dyDescent="0.2">
      <c r="A2698" s="583" t="s">
        <v>17421</v>
      </c>
      <c r="B2698" s="605" t="s">
        <v>20227</v>
      </c>
      <c r="C2698" s="606" t="s">
        <v>12375</v>
      </c>
      <c r="D2698" s="607">
        <v>47.83</v>
      </c>
      <c r="E2698" s="607">
        <v>10.050000000000001</v>
      </c>
      <c r="F2698" s="607">
        <v>57.88</v>
      </c>
      <c r="G2698" s="584">
        <v>15</v>
      </c>
    </row>
    <row r="2699" spans="1:7" ht="30" x14ac:dyDescent="0.2">
      <c r="A2699" s="583" t="s">
        <v>17422</v>
      </c>
      <c r="B2699" s="605" t="s">
        <v>17423</v>
      </c>
      <c r="C2699" s="606" t="s">
        <v>12375</v>
      </c>
      <c r="D2699" s="607">
        <v>5.32</v>
      </c>
      <c r="E2699" s="607">
        <v>12.56</v>
      </c>
      <c r="F2699" s="607">
        <v>17.88</v>
      </c>
      <c r="G2699" s="584">
        <v>15</v>
      </c>
    </row>
    <row r="2700" spans="1:7" ht="15" x14ac:dyDescent="0.2">
      <c r="A2700" s="583" t="s">
        <v>17424</v>
      </c>
      <c r="B2700" s="605" t="s">
        <v>17425</v>
      </c>
      <c r="C2700" s="606" t="s">
        <v>12375</v>
      </c>
      <c r="D2700" s="607">
        <v>48.69</v>
      </c>
      <c r="E2700" s="607">
        <v>2.5099999999999998</v>
      </c>
      <c r="F2700" s="607">
        <v>51.2</v>
      </c>
      <c r="G2700" s="584">
        <v>15</v>
      </c>
    </row>
    <row r="2701" spans="1:7" ht="30" x14ac:dyDescent="0.2">
      <c r="A2701" s="583" t="s">
        <v>17426</v>
      </c>
      <c r="B2701" s="605" t="s">
        <v>17427</v>
      </c>
      <c r="C2701" s="606" t="s">
        <v>12375</v>
      </c>
      <c r="D2701" s="607">
        <v>18.829999999999998</v>
      </c>
      <c r="E2701" s="607">
        <v>12.56</v>
      </c>
      <c r="F2701" s="607">
        <v>31.39</v>
      </c>
      <c r="G2701" s="584">
        <v>15</v>
      </c>
    </row>
    <row r="2702" spans="1:7" ht="30" x14ac:dyDescent="0.2">
      <c r="A2702" s="583" t="s">
        <v>17428</v>
      </c>
      <c r="B2702" s="605" t="s">
        <v>17429</v>
      </c>
      <c r="C2702" s="606" t="s">
        <v>12375</v>
      </c>
      <c r="D2702" s="607">
        <v>32.82</v>
      </c>
      <c r="E2702" s="607">
        <v>12.56</v>
      </c>
      <c r="F2702" s="607">
        <v>45.38</v>
      </c>
      <c r="G2702" s="584">
        <v>15</v>
      </c>
    </row>
    <row r="2703" spans="1:7" ht="30" x14ac:dyDescent="0.2">
      <c r="A2703" s="583" t="s">
        <v>17430</v>
      </c>
      <c r="B2703" s="605" t="s">
        <v>17431</v>
      </c>
      <c r="C2703" s="606" t="s">
        <v>12375</v>
      </c>
      <c r="D2703" s="607">
        <v>56.18</v>
      </c>
      <c r="E2703" s="607">
        <v>12.56</v>
      </c>
      <c r="F2703" s="607">
        <v>68.739999999999995</v>
      </c>
      <c r="G2703" s="584">
        <v>15</v>
      </c>
    </row>
    <row r="2704" spans="1:7" ht="30" x14ac:dyDescent="0.2">
      <c r="A2704" s="583" t="s">
        <v>17432</v>
      </c>
      <c r="B2704" s="605" t="s">
        <v>17433</v>
      </c>
      <c r="C2704" s="606" t="s">
        <v>12483</v>
      </c>
      <c r="D2704" s="607">
        <v>201.03</v>
      </c>
      <c r="E2704" s="607">
        <v>25.12</v>
      </c>
      <c r="F2704" s="607">
        <v>226.15</v>
      </c>
      <c r="G2704" s="584">
        <v>15</v>
      </c>
    </row>
    <row r="2705" spans="1:7" ht="30" x14ac:dyDescent="0.2">
      <c r="A2705" s="583" t="s">
        <v>17434</v>
      </c>
      <c r="B2705" s="605" t="s">
        <v>17435</v>
      </c>
      <c r="C2705" s="606" t="s">
        <v>12375</v>
      </c>
      <c r="D2705" s="607">
        <v>434.78</v>
      </c>
      <c r="E2705" s="607">
        <v>50.24</v>
      </c>
      <c r="F2705" s="607">
        <v>485.02</v>
      </c>
      <c r="G2705" s="584">
        <v>15</v>
      </c>
    </row>
    <row r="2706" spans="1:7" ht="30" x14ac:dyDescent="0.2">
      <c r="A2706" s="583" t="s">
        <v>17436</v>
      </c>
      <c r="B2706" s="605" t="s">
        <v>17437</v>
      </c>
      <c r="C2706" s="606" t="s">
        <v>12375</v>
      </c>
      <c r="D2706" s="607">
        <v>293.44</v>
      </c>
      <c r="E2706" s="607">
        <v>50.24</v>
      </c>
      <c r="F2706" s="607">
        <v>343.68</v>
      </c>
      <c r="G2706" s="584">
        <v>15</v>
      </c>
    </row>
    <row r="2707" spans="1:7" ht="15" x14ac:dyDescent="0.2">
      <c r="A2707" s="583" t="s">
        <v>17438</v>
      </c>
      <c r="B2707" s="605" t="s">
        <v>17439</v>
      </c>
      <c r="C2707" s="606" t="s">
        <v>12375</v>
      </c>
      <c r="D2707" s="607">
        <v>1.0900000000000001</v>
      </c>
      <c r="E2707" s="607">
        <v>2.04</v>
      </c>
      <c r="F2707" s="607">
        <v>3.13</v>
      </c>
      <c r="G2707" s="584">
        <v>15</v>
      </c>
    </row>
    <row r="2708" spans="1:7" ht="30" x14ac:dyDescent="0.2">
      <c r="A2708" s="583" t="s">
        <v>17440</v>
      </c>
      <c r="B2708" s="605" t="s">
        <v>17441</v>
      </c>
      <c r="C2708" s="606" t="s">
        <v>12375</v>
      </c>
      <c r="D2708" s="607">
        <v>7.81</v>
      </c>
      <c r="E2708" s="607">
        <v>12.56</v>
      </c>
      <c r="F2708" s="607">
        <v>20.37</v>
      </c>
      <c r="G2708" s="584">
        <v>15</v>
      </c>
    </row>
    <row r="2709" spans="1:7" ht="30" x14ac:dyDescent="0.2">
      <c r="A2709" s="583" t="s">
        <v>17442</v>
      </c>
      <c r="B2709" s="605" t="s">
        <v>17443</v>
      </c>
      <c r="C2709" s="606" t="s">
        <v>12483</v>
      </c>
      <c r="D2709" s="607">
        <v>9.11</v>
      </c>
      <c r="E2709" s="607">
        <v>25.12</v>
      </c>
      <c r="F2709" s="607">
        <v>34.229999999999997</v>
      </c>
      <c r="G2709" s="584">
        <v>15</v>
      </c>
    </row>
    <row r="2710" spans="1:7" ht="30" x14ac:dyDescent="0.2">
      <c r="A2710" s="583" t="s">
        <v>17444</v>
      </c>
      <c r="B2710" s="605" t="s">
        <v>17445</v>
      </c>
      <c r="C2710" s="606" t="s">
        <v>12375</v>
      </c>
      <c r="D2710" s="607">
        <v>16.21</v>
      </c>
      <c r="E2710" s="607">
        <v>5.0199999999999996</v>
      </c>
      <c r="F2710" s="607">
        <v>21.23</v>
      </c>
      <c r="G2710" s="584">
        <v>15</v>
      </c>
    </row>
    <row r="2711" spans="1:7" ht="30" x14ac:dyDescent="0.2">
      <c r="A2711" s="583" t="s">
        <v>17446</v>
      </c>
      <c r="B2711" s="605" t="s">
        <v>20228</v>
      </c>
      <c r="C2711" s="606" t="s">
        <v>12375</v>
      </c>
      <c r="D2711" s="607">
        <v>7.66</v>
      </c>
      <c r="E2711" s="607">
        <v>12.56</v>
      </c>
      <c r="F2711" s="607">
        <v>20.22</v>
      </c>
      <c r="G2711" s="584">
        <v>15</v>
      </c>
    </row>
    <row r="2712" spans="1:7" ht="30" x14ac:dyDescent="0.2">
      <c r="A2712" s="583" t="s">
        <v>17447</v>
      </c>
      <c r="B2712" s="605" t="s">
        <v>20229</v>
      </c>
      <c r="C2712" s="606" t="s">
        <v>12375</v>
      </c>
      <c r="D2712" s="607">
        <v>6.77</v>
      </c>
      <c r="E2712" s="607">
        <v>12.56</v>
      </c>
      <c r="F2712" s="607">
        <v>19.329999999999998</v>
      </c>
      <c r="G2712" s="584">
        <v>15</v>
      </c>
    </row>
    <row r="2713" spans="1:7" ht="15" x14ac:dyDescent="0.2">
      <c r="A2713" s="583" t="s">
        <v>17448</v>
      </c>
      <c r="B2713" s="605" t="s">
        <v>21432</v>
      </c>
      <c r="C2713" s="606" t="s">
        <v>12483</v>
      </c>
      <c r="D2713" s="607">
        <v>61.42</v>
      </c>
      <c r="E2713" s="607">
        <v>12.56</v>
      </c>
      <c r="F2713" s="607">
        <v>73.98</v>
      </c>
      <c r="G2713" s="584">
        <v>15</v>
      </c>
    </row>
    <row r="2714" spans="1:7" ht="30" x14ac:dyDescent="0.2">
      <c r="A2714" s="583" t="s">
        <v>17449</v>
      </c>
      <c r="B2714" s="605" t="s">
        <v>17450</v>
      </c>
      <c r="C2714" s="606" t="s">
        <v>12375</v>
      </c>
      <c r="D2714" s="607">
        <v>46.94</v>
      </c>
      <c r="E2714" s="607">
        <v>12.56</v>
      </c>
      <c r="F2714" s="607">
        <v>59.5</v>
      </c>
      <c r="G2714" s="584">
        <v>15</v>
      </c>
    </row>
    <row r="2715" spans="1:7" ht="30" x14ac:dyDescent="0.2">
      <c r="A2715" s="583" t="s">
        <v>17451</v>
      </c>
      <c r="B2715" s="605" t="s">
        <v>17452</v>
      </c>
      <c r="C2715" s="606" t="s">
        <v>12375</v>
      </c>
      <c r="D2715" s="607">
        <v>55.36</v>
      </c>
      <c r="E2715" s="607">
        <v>12.56</v>
      </c>
      <c r="F2715" s="607">
        <v>67.92</v>
      </c>
      <c r="G2715" s="584">
        <v>15</v>
      </c>
    </row>
    <row r="2716" spans="1:7" ht="15" x14ac:dyDescent="0.2">
      <c r="A2716" s="583" t="s">
        <v>17453</v>
      </c>
      <c r="B2716" s="605" t="s">
        <v>17454</v>
      </c>
      <c r="C2716" s="606" t="s">
        <v>12375</v>
      </c>
      <c r="D2716" s="607">
        <v>4.3099999999999996</v>
      </c>
      <c r="E2716" s="607">
        <v>12.56</v>
      </c>
      <c r="F2716" s="607">
        <v>16.87</v>
      </c>
      <c r="G2716" s="584">
        <v>15</v>
      </c>
    </row>
    <row r="2717" spans="1:7" ht="15" x14ac:dyDescent="0.2">
      <c r="A2717" s="583" t="s">
        <v>17455</v>
      </c>
      <c r="B2717" s="605" t="s">
        <v>17456</v>
      </c>
      <c r="C2717" s="606" t="s">
        <v>12375</v>
      </c>
      <c r="D2717" s="607">
        <v>6.36</v>
      </c>
      <c r="E2717" s="607">
        <v>12.56</v>
      </c>
      <c r="F2717" s="607">
        <v>18.920000000000002</v>
      </c>
      <c r="G2717" s="584">
        <v>15</v>
      </c>
    </row>
    <row r="2718" spans="1:7" ht="15" x14ac:dyDescent="0.2">
      <c r="A2718" s="583" t="s">
        <v>17457</v>
      </c>
      <c r="B2718" s="605" t="s">
        <v>17458</v>
      </c>
      <c r="C2718" s="606" t="s">
        <v>12375</v>
      </c>
      <c r="D2718" s="607">
        <v>9.41</v>
      </c>
      <c r="E2718" s="607">
        <v>12.56</v>
      </c>
      <c r="F2718" s="607">
        <v>21.97</v>
      </c>
      <c r="G2718" s="584">
        <v>15</v>
      </c>
    </row>
    <row r="2719" spans="1:7" ht="15" x14ac:dyDescent="0.2">
      <c r="A2719" s="583" t="s">
        <v>17459</v>
      </c>
      <c r="B2719" s="605" t="s">
        <v>17460</v>
      </c>
      <c r="C2719" s="606" t="s">
        <v>12375</v>
      </c>
      <c r="D2719" s="607">
        <v>9.36</v>
      </c>
      <c r="E2719" s="607">
        <v>12.56</v>
      </c>
      <c r="F2719" s="607">
        <v>21.92</v>
      </c>
      <c r="G2719" s="584">
        <v>15</v>
      </c>
    </row>
    <row r="2720" spans="1:7" ht="30" x14ac:dyDescent="0.2">
      <c r="A2720" s="583" t="s">
        <v>17461</v>
      </c>
      <c r="B2720" s="605" t="s">
        <v>17462</v>
      </c>
      <c r="C2720" s="606" t="s">
        <v>12375</v>
      </c>
      <c r="D2720" s="607">
        <v>104.02</v>
      </c>
      <c r="E2720" s="607">
        <v>12.56</v>
      </c>
      <c r="F2720" s="607">
        <v>116.58</v>
      </c>
      <c r="G2720" s="584">
        <v>15</v>
      </c>
    </row>
    <row r="2721" spans="1:7" ht="30" x14ac:dyDescent="0.2">
      <c r="A2721" s="583" t="s">
        <v>17463</v>
      </c>
      <c r="B2721" s="605" t="s">
        <v>17464</v>
      </c>
      <c r="C2721" s="606" t="s">
        <v>12427</v>
      </c>
      <c r="D2721" s="607">
        <v>208.25</v>
      </c>
      <c r="E2721" s="607">
        <v>5.1100000000000003</v>
      </c>
      <c r="F2721" s="607">
        <v>213.36</v>
      </c>
      <c r="G2721" s="584">
        <v>15</v>
      </c>
    </row>
    <row r="2722" spans="1:7" ht="15" x14ac:dyDescent="0.25">
      <c r="A2722" s="583" t="s">
        <v>17465</v>
      </c>
      <c r="B2722" s="605" t="s">
        <v>17466</v>
      </c>
      <c r="C2722" s="606"/>
      <c r="D2722" s="607"/>
      <c r="E2722" s="607"/>
      <c r="F2722" s="607"/>
      <c r="G2722" s="582"/>
    </row>
    <row r="2723" spans="1:7" ht="30" x14ac:dyDescent="0.2">
      <c r="A2723" s="583" t="s">
        <v>17467</v>
      </c>
      <c r="B2723" s="605" t="s">
        <v>17468</v>
      </c>
      <c r="C2723" s="606" t="s">
        <v>12375</v>
      </c>
      <c r="D2723" s="607">
        <v>11.22</v>
      </c>
      <c r="E2723" s="607">
        <v>25.12</v>
      </c>
      <c r="F2723" s="607">
        <v>36.340000000000003</v>
      </c>
      <c r="G2723" s="584">
        <v>15</v>
      </c>
    </row>
    <row r="2724" spans="1:7" ht="30" x14ac:dyDescent="0.2">
      <c r="A2724" s="583" t="s">
        <v>17469</v>
      </c>
      <c r="B2724" s="605" t="s">
        <v>17470</v>
      </c>
      <c r="C2724" s="606" t="s">
        <v>12375</v>
      </c>
      <c r="D2724" s="607">
        <v>21.01</v>
      </c>
      <c r="E2724" s="607">
        <v>25.12</v>
      </c>
      <c r="F2724" s="607">
        <v>46.13</v>
      </c>
      <c r="G2724" s="584">
        <v>15</v>
      </c>
    </row>
    <row r="2725" spans="1:7" ht="30" x14ac:dyDescent="0.2">
      <c r="A2725" s="583" t="s">
        <v>17471</v>
      </c>
      <c r="B2725" s="605" t="s">
        <v>17472</v>
      </c>
      <c r="C2725" s="606" t="s">
        <v>12375</v>
      </c>
      <c r="D2725" s="607">
        <v>21.28</v>
      </c>
      <c r="E2725" s="607">
        <v>25.12</v>
      </c>
      <c r="F2725" s="607">
        <v>46.4</v>
      </c>
      <c r="G2725" s="584">
        <v>15</v>
      </c>
    </row>
    <row r="2726" spans="1:7" ht="30" x14ac:dyDescent="0.2">
      <c r="A2726" s="583" t="s">
        <v>17473</v>
      </c>
      <c r="B2726" s="605" t="s">
        <v>17474</v>
      </c>
      <c r="C2726" s="606" t="s">
        <v>12375</v>
      </c>
      <c r="D2726" s="607">
        <v>42.19</v>
      </c>
      <c r="E2726" s="607">
        <v>25.12</v>
      </c>
      <c r="F2726" s="607">
        <v>67.31</v>
      </c>
      <c r="G2726" s="584">
        <v>15</v>
      </c>
    </row>
    <row r="2727" spans="1:7" ht="30" x14ac:dyDescent="0.2">
      <c r="A2727" s="583" t="s">
        <v>17475</v>
      </c>
      <c r="B2727" s="605" t="s">
        <v>17476</v>
      </c>
      <c r="C2727" s="606" t="s">
        <v>12375</v>
      </c>
      <c r="D2727" s="607">
        <v>11.11</v>
      </c>
      <c r="E2727" s="607">
        <v>25.12</v>
      </c>
      <c r="F2727" s="607">
        <v>36.229999999999997</v>
      </c>
      <c r="G2727" s="584">
        <v>15</v>
      </c>
    </row>
    <row r="2728" spans="1:7" ht="30" x14ac:dyDescent="0.2">
      <c r="A2728" s="583" t="s">
        <v>17477</v>
      </c>
      <c r="B2728" s="605" t="s">
        <v>17478</v>
      </c>
      <c r="C2728" s="606" t="s">
        <v>12375</v>
      </c>
      <c r="D2728" s="607">
        <v>20.5</v>
      </c>
      <c r="E2728" s="607">
        <v>25.12</v>
      </c>
      <c r="F2728" s="607">
        <v>45.62</v>
      </c>
      <c r="G2728" s="584">
        <v>15</v>
      </c>
    </row>
    <row r="2729" spans="1:7" ht="30" x14ac:dyDescent="0.2">
      <c r="A2729" s="583" t="s">
        <v>17479</v>
      </c>
      <c r="B2729" s="605" t="s">
        <v>17480</v>
      </c>
      <c r="C2729" s="606" t="s">
        <v>12375</v>
      </c>
      <c r="D2729" s="607">
        <v>11.23</v>
      </c>
      <c r="E2729" s="607">
        <v>25.12</v>
      </c>
      <c r="F2729" s="607">
        <v>36.35</v>
      </c>
      <c r="G2729" s="584">
        <v>15</v>
      </c>
    </row>
    <row r="2730" spans="1:7" ht="30" x14ac:dyDescent="0.2">
      <c r="A2730" s="583" t="s">
        <v>17481</v>
      </c>
      <c r="B2730" s="605" t="s">
        <v>17482</v>
      </c>
      <c r="C2730" s="606" t="s">
        <v>12375</v>
      </c>
      <c r="D2730" s="607">
        <v>42.63</v>
      </c>
      <c r="E2730" s="607">
        <v>25.12</v>
      </c>
      <c r="F2730" s="607">
        <v>67.75</v>
      </c>
      <c r="G2730" s="584">
        <v>15</v>
      </c>
    </row>
    <row r="2731" spans="1:7" ht="30" x14ac:dyDescent="0.2">
      <c r="A2731" s="583" t="s">
        <v>17483</v>
      </c>
      <c r="B2731" s="605" t="s">
        <v>17484</v>
      </c>
      <c r="C2731" s="606" t="s">
        <v>12375</v>
      </c>
      <c r="D2731" s="607">
        <v>21.77</v>
      </c>
      <c r="E2731" s="607">
        <v>25.12</v>
      </c>
      <c r="F2731" s="607">
        <v>46.89</v>
      </c>
      <c r="G2731" s="584">
        <v>15</v>
      </c>
    </row>
    <row r="2732" spans="1:7" ht="30" x14ac:dyDescent="0.2">
      <c r="A2732" s="583" t="s">
        <v>17485</v>
      </c>
      <c r="B2732" s="605" t="s">
        <v>17486</v>
      </c>
      <c r="C2732" s="606" t="s">
        <v>12375</v>
      </c>
      <c r="D2732" s="607">
        <v>42.68</v>
      </c>
      <c r="E2732" s="607">
        <v>25.12</v>
      </c>
      <c r="F2732" s="607">
        <v>67.8</v>
      </c>
      <c r="G2732" s="584">
        <v>15</v>
      </c>
    </row>
    <row r="2733" spans="1:7" ht="30" x14ac:dyDescent="0.2">
      <c r="A2733" s="583" t="s">
        <v>17487</v>
      </c>
      <c r="B2733" s="605" t="s">
        <v>17488</v>
      </c>
      <c r="C2733" s="606" t="s">
        <v>12375</v>
      </c>
      <c r="D2733" s="607">
        <v>21.93</v>
      </c>
      <c r="E2733" s="607">
        <v>25.12</v>
      </c>
      <c r="F2733" s="607">
        <v>47.05</v>
      </c>
      <c r="G2733" s="584">
        <v>15</v>
      </c>
    </row>
    <row r="2734" spans="1:7" ht="30" x14ac:dyDescent="0.2">
      <c r="A2734" s="583" t="s">
        <v>17489</v>
      </c>
      <c r="B2734" s="605" t="s">
        <v>17490</v>
      </c>
      <c r="C2734" s="606" t="s">
        <v>12375</v>
      </c>
      <c r="D2734" s="607">
        <v>20.95</v>
      </c>
      <c r="E2734" s="607">
        <v>25.12</v>
      </c>
      <c r="F2734" s="607">
        <v>46.07</v>
      </c>
      <c r="G2734" s="584">
        <v>15</v>
      </c>
    </row>
    <row r="2735" spans="1:7" ht="30" x14ac:dyDescent="0.2">
      <c r="A2735" s="583" t="s">
        <v>17491</v>
      </c>
      <c r="B2735" s="605" t="s">
        <v>17492</v>
      </c>
      <c r="C2735" s="606" t="s">
        <v>12375</v>
      </c>
      <c r="D2735" s="607">
        <v>20.82</v>
      </c>
      <c r="E2735" s="607">
        <v>25.12</v>
      </c>
      <c r="F2735" s="607">
        <v>45.94</v>
      </c>
      <c r="G2735" s="584">
        <v>15</v>
      </c>
    </row>
    <row r="2736" spans="1:7" ht="30" x14ac:dyDescent="0.2">
      <c r="A2736" s="583" t="s">
        <v>17493</v>
      </c>
      <c r="B2736" s="605" t="s">
        <v>17494</v>
      </c>
      <c r="C2736" s="606" t="s">
        <v>12375</v>
      </c>
      <c r="D2736" s="607">
        <v>10.94</v>
      </c>
      <c r="E2736" s="607">
        <v>25.12</v>
      </c>
      <c r="F2736" s="607">
        <v>36.06</v>
      </c>
      <c r="G2736" s="584">
        <v>15</v>
      </c>
    </row>
    <row r="2737" spans="1:7" ht="45" x14ac:dyDescent="0.2">
      <c r="A2737" s="583" t="s">
        <v>17495</v>
      </c>
      <c r="B2737" s="605" t="s">
        <v>17496</v>
      </c>
      <c r="C2737" s="606" t="s">
        <v>12375</v>
      </c>
      <c r="D2737" s="607">
        <v>23.3</v>
      </c>
      <c r="E2737" s="607">
        <v>25.12</v>
      </c>
      <c r="F2737" s="607">
        <v>48.42</v>
      </c>
      <c r="G2737" s="584">
        <v>15</v>
      </c>
    </row>
    <row r="2738" spans="1:7" ht="45" x14ac:dyDescent="0.2">
      <c r="A2738" s="583" t="s">
        <v>17497</v>
      </c>
      <c r="B2738" s="605" t="s">
        <v>17498</v>
      </c>
      <c r="C2738" s="606" t="s">
        <v>12375</v>
      </c>
      <c r="D2738" s="607">
        <v>21.38</v>
      </c>
      <c r="E2738" s="607">
        <v>25.12</v>
      </c>
      <c r="F2738" s="607">
        <v>46.5</v>
      </c>
      <c r="G2738" s="584">
        <v>15</v>
      </c>
    </row>
    <row r="2739" spans="1:7" ht="45" x14ac:dyDescent="0.2">
      <c r="A2739" s="583" t="s">
        <v>17499</v>
      </c>
      <c r="B2739" s="605" t="s">
        <v>17500</v>
      </c>
      <c r="C2739" s="606" t="s">
        <v>12375</v>
      </c>
      <c r="D2739" s="607">
        <v>21.37</v>
      </c>
      <c r="E2739" s="607">
        <v>25.12</v>
      </c>
      <c r="F2739" s="607">
        <v>46.49</v>
      </c>
      <c r="G2739" s="584">
        <v>15</v>
      </c>
    </row>
    <row r="2740" spans="1:7" ht="30" x14ac:dyDescent="0.2">
      <c r="A2740" s="583" t="s">
        <v>17501</v>
      </c>
      <c r="B2740" s="605" t="s">
        <v>17502</v>
      </c>
      <c r="C2740" s="606" t="s">
        <v>12375</v>
      </c>
      <c r="D2740" s="607">
        <v>11.25</v>
      </c>
      <c r="E2740" s="607">
        <v>25.12</v>
      </c>
      <c r="F2740" s="607">
        <v>36.369999999999997</v>
      </c>
      <c r="G2740" s="584">
        <v>15</v>
      </c>
    </row>
    <row r="2741" spans="1:7" ht="30" x14ac:dyDescent="0.2">
      <c r="A2741" s="583" t="s">
        <v>17503</v>
      </c>
      <c r="B2741" s="605" t="s">
        <v>17504</v>
      </c>
      <c r="C2741" s="606" t="s">
        <v>12375</v>
      </c>
      <c r="D2741" s="607">
        <v>10.81</v>
      </c>
      <c r="E2741" s="607">
        <v>25.12</v>
      </c>
      <c r="F2741" s="607">
        <v>35.93</v>
      </c>
      <c r="G2741" s="584">
        <v>15</v>
      </c>
    </row>
    <row r="2742" spans="1:7" ht="30" x14ac:dyDescent="0.2">
      <c r="A2742" s="583" t="s">
        <v>17505</v>
      </c>
      <c r="B2742" s="605" t="s">
        <v>17506</v>
      </c>
      <c r="C2742" s="606" t="s">
        <v>12375</v>
      </c>
      <c r="D2742" s="607">
        <v>20.85</v>
      </c>
      <c r="E2742" s="607">
        <v>25.12</v>
      </c>
      <c r="F2742" s="607">
        <v>45.97</v>
      </c>
      <c r="G2742" s="584">
        <v>15</v>
      </c>
    </row>
    <row r="2743" spans="1:7" ht="15" x14ac:dyDescent="0.25">
      <c r="A2743" s="583" t="s">
        <v>17507</v>
      </c>
      <c r="B2743" s="605" t="s">
        <v>17508</v>
      </c>
      <c r="C2743" s="606"/>
      <c r="D2743" s="607"/>
      <c r="E2743" s="607"/>
      <c r="F2743" s="607"/>
      <c r="G2743" s="582"/>
    </row>
    <row r="2744" spans="1:7" ht="15" x14ac:dyDescent="0.25">
      <c r="A2744" s="583" t="s">
        <v>17509</v>
      </c>
      <c r="B2744" s="605" t="s">
        <v>17510</v>
      </c>
      <c r="C2744" s="606"/>
      <c r="D2744" s="607"/>
      <c r="E2744" s="607"/>
      <c r="F2744" s="607"/>
      <c r="G2744" s="582"/>
    </row>
    <row r="2745" spans="1:7" ht="45" x14ac:dyDescent="0.2">
      <c r="A2745" s="583" t="s">
        <v>17511</v>
      </c>
      <c r="B2745" s="605" t="s">
        <v>17512</v>
      </c>
      <c r="C2745" s="606" t="s">
        <v>12375</v>
      </c>
      <c r="D2745" s="607">
        <v>1305.68</v>
      </c>
      <c r="E2745" s="607">
        <v>70.680000000000007</v>
      </c>
      <c r="F2745" s="607">
        <v>1376.36</v>
      </c>
      <c r="G2745" s="584">
        <v>15</v>
      </c>
    </row>
    <row r="2746" spans="1:7" ht="45" x14ac:dyDescent="0.2">
      <c r="A2746" s="583" t="s">
        <v>17513</v>
      </c>
      <c r="B2746" s="605" t="s">
        <v>17514</v>
      </c>
      <c r="C2746" s="606" t="s">
        <v>12375</v>
      </c>
      <c r="D2746" s="607">
        <v>1671.92</v>
      </c>
      <c r="E2746" s="607">
        <v>70.680000000000007</v>
      </c>
      <c r="F2746" s="607">
        <v>1742.6</v>
      </c>
      <c r="G2746" s="584">
        <v>15</v>
      </c>
    </row>
    <row r="2747" spans="1:7" ht="15" x14ac:dyDescent="0.25">
      <c r="A2747" s="583" t="s">
        <v>17515</v>
      </c>
      <c r="B2747" s="605" t="s">
        <v>17516</v>
      </c>
      <c r="C2747" s="606"/>
      <c r="D2747" s="607"/>
      <c r="E2747" s="607"/>
      <c r="F2747" s="607"/>
      <c r="G2747" s="582"/>
    </row>
    <row r="2748" spans="1:7" ht="15" x14ac:dyDescent="0.2">
      <c r="A2748" s="583" t="s">
        <v>17517</v>
      </c>
      <c r="B2748" s="605" t="s">
        <v>17518</v>
      </c>
      <c r="C2748" s="606" t="s">
        <v>12375</v>
      </c>
      <c r="D2748" s="607">
        <v>25.92</v>
      </c>
      <c r="E2748" s="607">
        <v>25.12</v>
      </c>
      <c r="F2748" s="607">
        <v>51.04</v>
      </c>
      <c r="G2748" s="584">
        <v>15</v>
      </c>
    </row>
    <row r="2749" spans="1:7" ht="30" x14ac:dyDescent="0.2">
      <c r="A2749" s="583" t="s">
        <v>17519</v>
      </c>
      <c r="B2749" s="605" t="s">
        <v>17520</v>
      </c>
      <c r="C2749" s="606" t="s">
        <v>12375</v>
      </c>
      <c r="D2749" s="607">
        <v>1239.74</v>
      </c>
      <c r="E2749" s="607">
        <v>47.73</v>
      </c>
      <c r="F2749" s="607">
        <v>1287.47</v>
      </c>
      <c r="G2749" s="584">
        <v>15</v>
      </c>
    </row>
    <row r="2750" spans="1:7" ht="15" x14ac:dyDescent="0.2">
      <c r="A2750" s="583" t="s">
        <v>17521</v>
      </c>
      <c r="B2750" s="605" t="s">
        <v>17522</v>
      </c>
      <c r="C2750" s="606" t="s">
        <v>12375</v>
      </c>
      <c r="D2750" s="607">
        <v>305.3</v>
      </c>
      <c r="E2750" s="607">
        <v>40.020000000000003</v>
      </c>
      <c r="F2750" s="607">
        <v>345.32</v>
      </c>
      <c r="G2750" s="584">
        <v>15</v>
      </c>
    </row>
    <row r="2751" spans="1:7" ht="30" x14ac:dyDescent="0.2">
      <c r="A2751" s="583" t="s">
        <v>17523</v>
      </c>
      <c r="B2751" s="605" t="s">
        <v>17524</v>
      </c>
      <c r="C2751" s="606" t="s">
        <v>12375</v>
      </c>
      <c r="D2751" s="607">
        <v>162.47</v>
      </c>
      <c r="E2751" s="607">
        <v>25.12</v>
      </c>
      <c r="F2751" s="607">
        <v>187.59</v>
      </c>
      <c r="G2751" s="584">
        <v>15</v>
      </c>
    </row>
    <row r="2752" spans="1:7" ht="15" x14ac:dyDescent="0.2">
      <c r="A2752" s="583" t="s">
        <v>17525</v>
      </c>
      <c r="B2752" s="605" t="s">
        <v>17526</v>
      </c>
      <c r="C2752" s="606" t="s">
        <v>12375</v>
      </c>
      <c r="D2752" s="607">
        <v>15.98</v>
      </c>
      <c r="E2752" s="607">
        <v>30.23</v>
      </c>
      <c r="F2752" s="607">
        <v>46.21</v>
      </c>
      <c r="G2752" s="584">
        <v>15</v>
      </c>
    </row>
    <row r="2753" spans="1:7" ht="15" x14ac:dyDescent="0.2">
      <c r="A2753" s="583" t="s">
        <v>17527</v>
      </c>
      <c r="B2753" s="605" t="s">
        <v>17528</v>
      </c>
      <c r="C2753" s="606" t="s">
        <v>12375</v>
      </c>
      <c r="D2753" s="607">
        <v>92.9</v>
      </c>
      <c r="E2753" s="607">
        <v>40.020000000000003</v>
      </c>
      <c r="F2753" s="607">
        <v>132.91999999999999</v>
      </c>
      <c r="G2753" s="584">
        <v>15</v>
      </c>
    </row>
    <row r="2754" spans="1:7" ht="30" x14ac:dyDescent="0.2">
      <c r="A2754" s="583" t="s">
        <v>17529</v>
      </c>
      <c r="B2754" s="605" t="s">
        <v>17530</v>
      </c>
      <c r="C2754" s="606" t="s">
        <v>12375</v>
      </c>
      <c r="D2754" s="607">
        <v>2089.62</v>
      </c>
      <c r="E2754" s="607">
        <v>100.48</v>
      </c>
      <c r="F2754" s="607">
        <v>2190.1</v>
      </c>
      <c r="G2754" s="584">
        <v>15</v>
      </c>
    </row>
    <row r="2755" spans="1:7" ht="15" x14ac:dyDescent="0.2">
      <c r="A2755" s="583" t="s">
        <v>17531</v>
      </c>
      <c r="B2755" s="605" t="s">
        <v>17532</v>
      </c>
      <c r="C2755" s="606" t="s">
        <v>12375</v>
      </c>
      <c r="D2755" s="607">
        <v>165.77</v>
      </c>
      <c r="E2755" s="607">
        <v>40.020000000000003</v>
      </c>
      <c r="F2755" s="607">
        <v>205.79</v>
      </c>
      <c r="G2755" s="584">
        <v>15</v>
      </c>
    </row>
    <row r="2756" spans="1:7" ht="15" x14ac:dyDescent="0.25">
      <c r="A2756" s="583" t="s">
        <v>17533</v>
      </c>
      <c r="B2756" s="605" t="s">
        <v>17534</v>
      </c>
      <c r="C2756" s="606"/>
      <c r="D2756" s="607"/>
      <c r="E2756" s="607"/>
      <c r="F2756" s="607"/>
      <c r="G2756" s="582"/>
    </row>
    <row r="2757" spans="1:7" ht="15" x14ac:dyDescent="0.2">
      <c r="A2757" s="583" t="s">
        <v>17535</v>
      </c>
      <c r="B2757" s="605" t="s">
        <v>17536</v>
      </c>
      <c r="C2757" s="606" t="s">
        <v>12375</v>
      </c>
      <c r="D2757" s="607">
        <v>39849.949999999997</v>
      </c>
      <c r="E2757" s="607">
        <v>200.96</v>
      </c>
      <c r="F2757" s="607">
        <v>40050.910000000003</v>
      </c>
      <c r="G2757" s="584">
        <v>15</v>
      </c>
    </row>
    <row r="2758" spans="1:7" ht="15" x14ac:dyDescent="0.2">
      <c r="A2758" s="583" t="s">
        <v>17537</v>
      </c>
      <c r="B2758" s="605" t="s">
        <v>17538</v>
      </c>
      <c r="C2758" s="606" t="s">
        <v>12375</v>
      </c>
      <c r="D2758" s="607">
        <v>43145.8</v>
      </c>
      <c r="E2758" s="607">
        <v>226.08</v>
      </c>
      <c r="F2758" s="607">
        <v>43371.88</v>
      </c>
      <c r="G2758" s="584">
        <v>15</v>
      </c>
    </row>
    <row r="2759" spans="1:7" ht="30" x14ac:dyDescent="0.2">
      <c r="A2759" s="583" t="s">
        <v>17539</v>
      </c>
      <c r="B2759" s="605" t="s">
        <v>17540</v>
      </c>
      <c r="C2759" s="606" t="s">
        <v>12375</v>
      </c>
      <c r="D2759" s="607">
        <v>595.38</v>
      </c>
      <c r="E2759" s="607">
        <v>251.2</v>
      </c>
      <c r="F2759" s="607">
        <v>846.58</v>
      </c>
      <c r="G2759" s="584">
        <v>15</v>
      </c>
    </row>
    <row r="2760" spans="1:7" ht="30" x14ac:dyDescent="0.2">
      <c r="A2760" s="583" t="s">
        <v>17541</v>
      </c>
      <c r="B2760" s="605" t="s">
        <v>17542</v>
      </c>
      <c r="C2760" s="606" t="s">
        <v>12676</v>
      </c>
      <c r="D2760" s="607">
        <v>20877.580000000002</v>
      </c>
      <c r="E2760" s="607"/>
      <c r="F2760" s="607">
        <v>20877.580000000002</v>
      </c>
      <c r="G2760" s="584">
        <v>15</v>
      </c>
    </row>
    <row r="2761" spans="1:7" ht="30" x14ac:dyDescent="0.2">
      <c r="A2761" s="583" t="s">
        <v>21433</v>
      </c>
      <c r="B2761" s="605" t="s">
        <v>21434</v>
      </c>
      <c r="C2761" s="606" t="s">
        <v>12676</v>
      </c>
      <c r="D2761" s="607">
        <v>16122.48</v>
      </c>
      <c r="E2761" s="607"/>
      <c r="F2761" s="607">
        <v>16122.48</v>
      </c>
      <c r="G2761" s="584">
        <v>15</v>
      </c>
    </row>
    <row r="2762" spans="1:7" ht="30" x14ac:dyDescent="0.2">
      <c r="A2762" s="583" t="s">
        <v>17543</v>
      </c>
      <c r="B2762" s="605" t="s">
        <v>17544</v>
      </c>
      <c r="C2762" s="606" t="s">
        <v>12375</v>
      </c>
      <c r="D2762" s="607">
        <v>1260.8800000000001</v>
      </c>
      <c r="E2762" s="607">
        <v>52.11</v>
      </c>
      <c r="F2762" s="607">
        <v>1312.99</v>
      </c>
      <c r="G2762" s="584">
        <v>15</v>
      </c>
    </row>
    <row r="2763" spans="1:7" ht="30" x14ac:dyDescent="0.2">
      <c r="A2763" s="583" t="s">
        <v>17545</v>
      </c>
      <c r="B2763" s="605" t="s">
        <v>17546</v>
      </c>
      <c r="C2763" s="606" t="s">
        <v>12375</v>
      </c>
      <c r="D2763" s="607">
        <v>1852.11</v>
      </c>
      <c r="E2763" s="607">
        <v>65.14</v>
      </c>
      <c r="F2763" s="607">
        <v>1917.25</v>
      </c>
      <c r="G2763" s="584">
        <v>15</v>
      </c>
    </row>
    <row r="2764" spans="1:7" ht="30" x14ac:dyDescent="0.2">
      <c r="A2764" s="583" t="s">
        <v>17547</v>
      </c>
      <c r="B2764" s="605" t="s">
        <v>17548</v>
      </c>
      <c r="C2764" s="606" t="s">
        <v>12375</v>
      </c>
      <c r="D2764" s="607">
        <v>3516.53</v>
      </c>
      <c r="E2764" s="607">
        <v>70.680000000000007</v>
      </c>
      <c r="F2764" s="607">
        <v>3587.21</v>
      </c>
      <c r="G2764" s="584">
        <v>15</v>
      </c>
    </row>
    <row r="2765" spans="1:7" ht="15" x14ac:dyDescent="0.25">
      <c r="A2765" s="583" t="s">
        <v>17549</v>
      </c>
      <c r="B2765" s="605" t="s">
        <v>17550</v>
      </c>
      <c r="C2765" s="606"/>
      <c r="D2765" s="607"/>
      <c r="E2765" s="607"/>
      <c r="F2765" s="607"/>
      <c r="G2765" s="582"/>
    </row>
    <row r="2766" spans="1:7" ht="15" x14ac:dyDescent="0.2">
      <c r="A2766" s="583" t="s">
        <v>17551</v>
      </c>
      <c r="B2766" s="605" t="s">
        <v>17552</v>
      </c>
      <c r="C2766" s="606" t="s">
        <v>12375</v>
      </c>
      <c r="D2766" s="607">
        <v>207.23</v>
      </c>
      <c r="E2766" s="607">
        <v>40.020000000000003</v>
      </c>
      <c r="F2766" s="607">
        <v>247.25</v>
      </c>
      <c r="G2766" s="584">
        <v>15</v>
      </c>
    </row>
    <row r="2767" spans="1:7" ht="15" x14ac:dyDescent="0.25">
      <c r="A2767" s="583" t="s">
        <v>17553</v>
      </c>
      <c r="B2767" s="605" t="s">
        <v>17554</v>
      </c>
      <c r="C2767" s="606"/>
      <c r="D2767" s="607"/>
      <c r="E2767" s="607"/>
      <c r="F2767" s="607"/>
      <c r="G2767" s="582"/>
    </row>
    <row r="2768" spans="1:7" ht="15" x14ac:dyDescent="0.2">
      <c r="A2768" s="583" t="s">
        <v>17555</v>
      </c>
      <c r="B2768" s="605" t="s">
        <v>17556</v>
      </c>
      <c r="C2768" s="606" t="s">
        <v>12375</v>
      </c>
      <c r="D2768" s="607">
        <v>419.75</v>
      </c>
      <c r="E2768" s="607">
        <v>50.24</v>
      </c>
      <c r="F2768" s="607">
        <v>469.99</v>
      </c>
      <c r="G2768" s="584">
        <v>15</v>
      </c>
    </row>
    <row r="2769" spans="1:7" ht="30" x14ac:dyDescent="0.2">
      <c r="A2769" s="583" t="s">
        <v>17557</v>
      </c>
      <c r="B2769" s="605" t="s">
        <v>17558</v>
      </c>
      <c r="C2769" s="606" t="s">
        <v>12375</v>
      </c>
      <c r="D2769" s="607">
        <v>322.39999999999998</v>
      </c>
      <c r="E2769" s="607">
        <v>50.24</v>
      </c>
      <c r="F2769" s="607">
        <v>372.64</v>
      </c>
      <c r="G2769" s="584">
        <v>15</v>
      </c>
    </row>
    <row r="2770" spans="1:7" ht="15" x14ac:dyDescent="0.25">
      <c r="A2770" s="583" t="s">
        <v>17559</v>
      </c>
      <c r="B2770" s="605" t="s">
        <v>17560</v>
      </c>
      <c r="C2770" s="606"/>
      <c r="D2770" s="607"/>
      <c r="E2770" s="607"/>
      <c r="F2770" s="607"/>
      <c r="G2770" s="582"/>
    </row>
    <row r="2771" spans="1:7" ht="15" x14ac:dyDescent="0.2">
      <c r="A2771" s="583" t="s">
        <v>17561</v>
      </c>
      <c r="B2771" s="605" t="s">
        <v>17562</v>
      </c>
      <c r="C2771" s="606" t="s">
        <v>12375</v>
      </c>
      <c r="D2771" s="607">
        <v>39.15</v>
      </c>
      <c r="E2771" s="607">
        <v>25.12</v>
      </c>
      <c r="F2771" s="607">
        <v>64.27</v>
      </c>
      <c r="G2771" s="584">
        <v>15</v>
      </c>
    </row>
    <row r="2772" spans="1:7" ht="15" x14ac:dyDescent="0.25">
      <c r="A2772" s="583" t="s">
        <v>17563</v>
      </c>
      <c r="B2772" s="605" t="s">
        <v>17564</v>
      </c>
      <c r="C2772" s="606"/>
      <c r="D2772" s="607"/>
      <c r="E2772" s="607"/>
      <c r="F2772" s="607"/>
      <c r="G2772" s="582"/>
    </row>
    <row r="2773" spans="1:7" ht="30" x14ac:dyDescent="0.2">
      <c r="A2773" s="583" t="s">
        <v>17565</v>
      </c>
      <c r="B2773" s="605" t="s">
        <v>17566</v>
      </c>
      <c r="C2773" s="606" t="s">
        <v>12676</v>
      </c>
      <c r="D2773" s="607">
        <v>14770.14</v>
      </c>
      <c r="E2773" s="607">
        <v>407.75</v>
      </c>
      <c r="F2773" s="607">
        <v>15177.89</v>
      </c>
      <c r="G2773" s="584">
        <v>15</v>
      </c>
    </row>
    <row r="2774" spans="1:7" ht="30" x14ac:dyDescent="0.2">
      <c r="A2774" s="583" t="s">
        <v>17567</v>
      </c>
      <c r="B2774" s="605" t="s">
        <v>17568</v>
      </c>
      <c r="C2774" s="606" t="s">
        <v>12676</v>
      </c>
      <c r="D2774" s="607">
        <v>8730.01</v>
      </c>
      <c r="E2774" s="607">
        <v>394.95</v>
      </c>
      <c r="F2774" s="607">
        <v>9124.9599999999991</v>
      </c>
      <c r="G2774" s="584">
        <v>15</v>
      </c>
    </row>
    <row r="2775" spans="1:7" ht="30" x14ac:dyDescent="0.2">
      <c r="A2775" s="583" t="s">
        <v>17569</v>
      </c>
      <c r="B2775" s="605" t="s">
        <v>17570</v>
      </c>
      <c r="C2775" s="606" t="s">
        <v>12676</v>
      </c>
      <c r="D2775" s="607">
        <v>10435.969999999999</v>
      </c>
      <c r="E2775" s="607">
        <v>407.75</v>
      </c>
      <c r="F2775" s="607">
        <v>10843.72</v>
      </c>
      <c r="G2775" s="584">
        <v>15</v>
      </c>
    </row>
    <row r="2776" spans="1:7" ht="30" x14ac:dyDescent="0.2">
      <c r="A2776" s="583" t="s">
        <v>17571</v>
      </c>
      <c r="B2776" s="605" t="s">
        <v>17572</v>
      </c>
      <c r="C2776" s="606" t="s">
        <v>12676</v>
      </c>
      <c r="D2776" s="607">
        <v>14648.34</v>
      </c>
      <c r="E2776" s="607">
        <v>407.75</v>
      </c>
      <c r="F2776" s="607">
        <v>15056.09</v>
      </c>
      <c r="G2776" s="584">
        <v>15</v>
      </c>
    </row>
    <row r="2777" spans="1:7" ht="30" x14ac:dyDescent="0.2">
      <c r="A2777" s="583" t="s">
        <v>17573</v>
      </c>
      <c r="B2777" s="605" t="s">
        <v>17574</v>
      </c>
      <c r="C2777" s="606" t="s">
        <v>12676</v>
      </c>
      <c r="D2777" s="607">
        <v>3711.01</v>
      </c>
      <c r="E2777" s="607">
        <v>394.95</v>
      </c>
      <c r="F2777" s="607">
        <v>4105.96</v>
      </c>
      <c r="G2777" s="584">
        <v>15</v>
      </c>
    </row>
    <row r="2778" spans="1:7" ht="30" x14ac:dyDescent="0.2">
      <c r="A2778" s="583" t="s">
        <v>17575</v>
      </c>
      <c r="B2778" s="605" t="s">
        <v>17576</v>
      </c>
      <c r="C2778" s="606" t="s">
        <v>12676</v>
      </c>
      <c r="D2778" s="607">
        <v>5101.3500000000004</v>
      </c>
      <c r="E2778" s="607">
        <v>394.95</v>
      </c>
      <c r="F2778" s="607">
        <v>5496.3</v>
      </c>
      <c r="G2778" s="584">
        <v>15</v>
      </c>
    </row>
    <row r="2779" spans="1:7" ht="30" x14ac:dyDescent="0.2">
      <c r="A2779" s="583" t="s">
        <v>17577</v>
      </c>
      <c r="B2779" s="605" t="s">
        <v>17578</v>
      </c>
      <c r="C2779" s="606" t="s">
        <v>12676</v>
      </c>
      <c r="D2779" s="607">
        <v>8285.0400000000009</v>
      </c>
      <c r="E2779" s="607">
        <v>407.75</v>
      </c>
      <c r="F2779" s="607">
        <v>8692.7900000000009</v>
      </c>
      <c r="G2779" s="584">
        <v>15</v>
      </c>
    </row>
    <row r="2780" spans="1:7" ht="30" x14ac:dyDescent="0.2">
      <c r="A2780" s="583" t="s">
        <v>17579</v>
      </c>
      <c r="B2780" s="605" t="s">
        <v>17580</v>
      </c>
      <c r="C2780" s="606" t="s">
        <v>12676</v>
      </c>
      <c r="D2780" s="607">
        <v>8615.59</v>
      </c>
      <c r="E2780" s="607">
        <v>407.75</v>
      </c>
      <c r="F2780" s="607">
        <v>9023.34</v>
      </c>
      <c r="G2780" s="584">
        <v>15</v>
      </c>
    </row>
    <row r="2781" spans="1:7" ht="30" x14ac:dyDescent="0.2">
      <c r="A2781" s="583" t="s">
        <v>17581</v>
      </c>
      <c r="B2781" s="605" t="s">
        <v>17582</v>
      </c>
      <c r="C2781" s="606" t="s">
        <v>12676</v>
      </c>
      <c r="D2781" s="607">
        <v>7878.75</v>
      </c>
      <c r="E2781" s="607">
        <v>407.75</v>
      </c>
      <c r="F2781" s="607">
        <v>8286.5</v>
      </c>
      <c r="G2781" s="584">
        <v>15</v>
      </c>
    </row>
    <row r="2782" spans="1:7" ht="30" x14ac:dyDescent="0.2">
      <c r="A2782" s="583" t="s">
        <v>17583</v>
      </c>
      <c r="B2782" s="605" t="s">
        <v>17584</v>
      </c>
      <c r="C2782" s="606" t="s">
        <v>12676</v>
      </c>
      <c r="D2782" s="607">
        <v>11800.74</v>
      </c>
      <c r="E2782" s="607">
        <v>407.75</v>
      </c>
      <c r="F2782" s="607">
        <v>12208.49</v>
      </c>
      <c r="G2782" s="584">
        <v>15</v>
      </c>
    </row>
    <row r="2783" spans="1:7" ht="15" x14ac:dyDescent="0.25">
      <c r="A2783" s="583" t="s">
        <v>17585</v>
      </c>
      <c r="B2783" s="605" t="s">
        <v>17586</v>
      </c>
      <c r="C2783" s="606"/>
      <c r="D2783" s="607"/>
      <c r="E2783" s="607"/>
      <c r="F2783" s="607"/>
      <c r="G2783" s="582"/>
    </row>
    <row r="2784" spans="1:7" ht="30" x14ac:dyDescent="0.2">
      <c r="A2784" s="583" t="s">
        <v>17587</v>
      </c>
      <c r="B2784" s="605" t="s">
        <v>17588</v>
      </c>
      <c r="C2784" s="606" t="s">
        <v>12375</v>
      </c>
      <c r="D2784" s="607">
        <v>45653.72</v>
      </c>
      <c r="E2784" s="607">
        <v>922.16</v>
      </c>
      <c r="F2784" s="607">
        <v>46575.88</v>
      </c>
      <c r="G2784" s="584">
        <v>15</v>
      </c>
    </row>
    <row r="2785" spans="1:7" ht="30" x14ac:dyDescent="0.2">
      <c r="A2785" s="583" t="s">
        <v>17589</v>
      </c>
      <c r="B2785" s="605" t="s">
        <v>17590</v>
      </c>
      <c r="C2785" s="606" t="s">
        <v>12375</v>
      </c>
      <c r="D2785" s="607">
        <v>52773.67</v>
      </c>
      <c r="E2785" s="607">
        <v>922.16</v>
      </c>
      <c r="F2785" s="607">
        <v>53695.83</v>
      </c>
      <c r="G2785" s="584">
        <v>15</v>
      </c>
    </row>
    <row r="2786" spans="1:7" ht="30" x14ac:dyDescent="0.2">
      <c r="A2786" s="583" t="s">
        <v>17591</v>
      </c>
      <c r="B2786" s="605" t="s">
        <v>17592</v>
      </c>
      <c r="C2786" s="606" t="s">
        <v>12375</v>
      </c>
      <c r="D2786" s="607">
        <v>60976.09</v>
      </c>
      <c r="E2786" s="607">
        <v>922.16</v>
      </c>
      <c r="F2786" s="607">
        <v>61898.25</v>
      </c>
      <c r="G2786" s="584">
        <v>15</v>
      </c>
    </row>
    <row r="2787" spans="1:7" ht="30" x14ac:dyDescent="0.2">
      <c r="A2787" s="583" t="s">
        <v>17593</v>
      </c>
      <c r="B2787" s="605" t="s">
        <v>17594</v>
      </c>
      <c r="C2787" s="606" t="s">
        <v>12375</v>
      </c>
      <c r="D2787" s="607">
        <v>67950.960000000006</v>
      </c>
      <c r="E2787" s="607">
        <v>922.16</v>
      </c>
      <c r="F2787" s="607">
        <v>68873.119999999995</v>
      </c>
      <c r="G2787" s="584">
        <v>15</v>
      </c>
    </row>
    <row r="2788" spans="1:7" ht="30" x14ac:dyDescent="0.2">
      <c r="A2788" s="583" t="s">
        <v>17595</v>
      </c>
      <c r="B2788" s="605" t="s">
        <v>17596</v>
      </c>
      <c r="C2788" s="606" t="s">
        <v>12375</v>
      </c>
      <c r="D2788" s="607">
        <v>4389.62</v>
      </c>
      <c r="E2788" s="607">
        <v>806.89</v>
      </c>
      <c r="F2788" s="607">
        <v>5196.51</v>
      </c>
      <c r="G2788" s="584">
        <v>15</v>
      </c>
    </row>
    <row r="2789" spans="1:7" ht="30" x14ac:dyDescent="0.2">
      <c r="A2789" s="583" t="s">
        <v>17597</v>
      </c>
      <c r="B2789" s="605" t="s">
        <v>17598</v>
      </c>
      <c r="C2789" s="606" t="s">
        <v>12375</v>
      </c>
      <c r="D2789" s="607">
        <v>5675.02</v>
      </c>
      <c r="E2789" s="607">
        <v>806.89</v>
      </c>
      <c r="F2789" s="607">
        <v>6481.91</v>
      </c>
      <c r="G2789" s="584">
        <v>15</v>
      </c>
    </row>
    <row r="2790" spans="1:7" ht="30" x14ac:dyDescent="0.2">
      <c r="A2790" s="583" t="s">
        <v>17599</v>
      </c>
      <c r="B2790" s="605" t="s">
        <v>17600</v>
      </c>
      <c r="C2790" s="606" t="s">
        <v>12375</v>
      </c>
      <c r="D2790" s="607">
        <v>7630.65</v>
      </c>
      <c r="E2790" s="607">
        <v>806.89</v>
      </c>
      <c r="F2790" s="607">
        <v>8437.5400000000009</v>
      </c>
      <c r="G2790" s="584">
        <v>15</v>
      </c>
    </row>
    <row r="2791" spans="1:7" ht="30" x14ac:dyDescent="0.2">
      <c r="A2791" s="583" t="s">
        <v>17601</v>
      </c>
      <c r="B2791" s="605" t="s">
        <v>17602</v>
      </c>
      <c r="C2791" s="606" t="s">
        <v>12375</v>
      </c>
      <c r="D2791" s="607">
        <v>4886.66</v>
      </c>
      <c r="E2791" s="607">
        <v>806.89</v>
      </c>
      <c r="F2791" s="607">
        <v>5693.55</v>
      </c>
      <c r="G2791" s="584">
        <v>15</v>
      </c>
    </row>
    <row r="2792" spans="1:7" ht="30" x14ac:dyDescent="0.2">
      <c r="A2792" s="583" t="s">
        <v>17603</v>
      </c>
      <c r="B2792" s="605" t="s">
        <v>17604</v>
      </c>
      <c r="C2792" s="606" t="s">
        <v>12375</v>
      </c>
      <c r="D2792" s="607">
        <v>5626.81</v>
      </c>
      <c r="E2792" s="607">
        <v>806.89</v>
      </c>
      <c r="F2792" s="607">
        <v>6433.7</v>
      </c>
      <c r="G2792" s="584">
        <v>15</v>
      </c>
    </row>
    <row r="2793" spans="1:7" ht="30" x14ac:dyDescent="0.2">
      <c r="A2793" s="583" t="s">
        <v>17605</v>
      </c>
      <c r="B2793" s="605" t="s">
        <v>17606</v>
      </c>
      <c r="C2793" s="606" t="s">
        <v>12375</v>
      </c>
      <c r="D2793" s="607">
        <v>6680.42</v>
      </c>
      <c r="E2793" s="607">
        <v>806.89</v>
      </c>
      <c r="F2793" s="607">
        <v>7487.31</v>
      </c>
      <c r="G2793" s="584">
        <v>15</v>
      </c>
    </row>
    <row r="2794" spans="1:7" ht="30" x14ac:dyDescent="0.2">
      <c r="A2794" s="583" t="s">
        <v>17607</v>
      </c>
      <c r="B2794" s="605" t="s">
        <v>17608</v>
      </c>
      <c r="C2794" s="606" t="s">
        <v>12375</v>
      </c>
      <c r="D2794" s="607">
        <v>7737.41</v>
      </c>
      <c r="E2794" s="607">
        <v>806.89</v>
      </c>
      <c r="F2794" s="607">
        <v>8544.2999999999993</v>
      </c>
      <c r="G2794" s="584">
        <v>15</v>
      </c>
    </row>
    <row r="2795" spans="1:7" ht="30" x14ac:dyDescent="0.2">
      <c r="A2795" s="583" t="s">
        <v>17609</v>
      </c>
      <c r="B2795" s="605" t="s">
        <v>17610</v>
      </c>
      <c r="C2795" s="606" t="s">
        <v>12375</v>
      </c>
      <c r="D2795" s="607">
        <v>4509.9399999999996</v>
      </c>
      <c r="E2795" s="607">
        <v>806.89</v>
      </c>
      <c r="F2795" s="607">
        <v>5316.83</v>
      </c>
      <c r="G2795" s="584">
        <v>15</v>
      </c>
    </row>
    <row r="2796" spans="1:7" ht="30" x14ac:dyDescent="0.2">
      <c r="A2796" s="583" t="s">
        <v>17611</v>
      </c>
      <c r="B2796" s="605" t="s">
        <v>17612</v>
      </c>
      <c r="C2796" s="606" t="s">
        <v>12375</v>
      </c>
      <c r="D2796" s="607">
        <v>5123.88</v>
      </c>
      <c r="E2796" s="607">
        <v>806.89</v>
      </c>
      <c r="F2796" s="607">
        <v>5930.77</v>
      </c>
      <c r="G2796" s="584">
        <v>15</v>
      </c>
    </row>
    <row r="2797" spans="1:7" ht="30" x14ac:dyDescent="0.2">
      <c r="A2797" s="583" t="s">
        <v>17613</v>
      </c>
      <c r="B2797" s="605" t="s">
        <v>17614</v>
      </c>
      <c r="C2797" s="606" t="s">
        <v>12375</v>
      </c>
      <c r="D2797" s="607">
        <v>5561.41</v>
      </c>
      <c r="E2797" s="607">
        <v>806.89</v>
      </c>
      <c r="F2797" s="607">
        <v>6368.3</v>
      </c>
      <c r="G2797" s="584">
        <v>15</v>
      </c>
    </row>
    <row r="2798" spans="1:7" ht="30" x14ac:dyDescent="0.2">
      <c r="A2798" s="583" t="s">
        <v>17615</v>
      </c>
      <c r="B2798" s="605" t="s">
        <v>17616</v>
      </c>
      <c r="C2798" s="606" t="s">
        <v>12375</v>
      </c>
      <c r="D2798" s="607">
        <v>5743.82</v>
      </c>
      <c r="E2798" s="607">
        <v>806.89</v>
      </c>
      <c r="F2798" s="607">
        <v>6550.71</v>
      </c>
      <c r="G2798" s="584">
        <v>15</v>
      </c>
    </row>
    <row r="2799" spans="1:7" ht="15" x14ac:dyDescent="0.25">
      <c r="A2799" s="583" t="s">
        <v>17617</v>
      </c>
      <c r="B2799" s="605" t="s">
        <v>17618</v>
      </c>
      <c r="C2799" s="606"/>
      <c r="D2799" s="607"/>
      <c r="E2799" s="607"/>
      <c r="F2799" s="607"/>
      <c r="G2799" s="582"/>
    </row>
    <row r="2800" spans="1:7" ht="30" x14ac:dyDescent="0.2">
      <c r="A2800" s="583" t="s">
        <v>17619</v>
      </c>
      <c r="B2800" s="605" t="s">
        <v>17620</v>
      </c>
      <c r="C2800" s="606" t="s">
        <v>12375</v>
      </c>
      <c r="D2800" s="607">
        <v>11389.2</v>
      </c>
      <c r="E2800" s="607">
        <v>282.72000000000003</v>
      </c>
      <c r="F2800" s="607">
        <v>11671.92</v>
      </c>
      <c r="G2800" s="584">
        <v>15</v>
      </c>
    </row>
    <row r="2801" spans="1:7" ht="30" x14ac:dyDescent="0.2">
      <c r="A2801" s="583" t="s">
        <v>17621</v>
      </c>
      <c r="B2801" s="605" t="s">
        <v>17622</v>
      </c>
      <c r="C2801" s="606" t="s">
        <v>12375</v>
      </c>
      <c r="D2801" s="607">
        <v>19927.3</v>
      </c>
      <c r="E2801" s="607">
        <v>282.72000000000003</v>
      </c>
      <c r="F2801" s="607">
        <v>20210.02</v>
      </c>
      <c r="G2801" s="584">
        <v>15</v>
      </c>
    </row>
    <row r="2802" spans="1:7" ht="30" x14ac:dyDescent="0.2">
      <c r="A2802" s="583" t="s">
        <v>17623</v>
      </c>
      <c r="B2802" s="605" t="s">
        <v>17624</v>
      </c>
      <c r="C2802" s="606" t="s">
        <v>12375</v>
      </c>
      <c r="D2802" s="607">
        <v>5642.45</v>
      </c>
      <c r="E2802" s="607">
        <v>282.72000000000003</v>
      </c>
      <c r="F2802" s="607">
        <v>5925.17</v>
      </c>
      <c r="G2802" s="584">
        <v>15</v>
      </c>
    </row>
    <row r="2803" spans="1:7" ht="30" x14ac:dyDescent="0.2">
      <c r="A2803" s="583" t="s">
        <v>17625</v>
      </c>
      <c r="B2803" s="605" t="s">
        <v>17626</v>
      </c>
      <c r="C2803" s="606" t="s">
        <v>12375</v>
      </c>
      <c r="D2803" s="607">
        <v>2653.06</v>
      </c>
      <c r="E2803" s="607">
        <v>282.72000000000003</v>
      </c>
      <c r="F2803" s="607">
        <v>2935.78</v>
      </c>
      <c r="G2803" s="584">
        <v>15</v>
      </c>
    </row>
    <row r="2804" spans="1:7" ht="30" x14ac:dyDescent="0.2">
      <c r="A2804" s="583" t="s">
        <v>17627</v>
      </c>
      <c r="B2804" s="605" t="s">
        <v>17628</v>
      </c>
      <c r="C2804" s="606" t="s">
        <v>12375</v>
      </c>
      <c r="D2804" s="607">
        <v>49329.82</v>
      </c>
      <c r="E2804" s="607">
        <v>282.72000000000003</v>
      </c>
      <c r="F2804" s="607">
        <v>49612.54</v>
      </c>
      <c r="G2804" s="584">
        <v>15</v>
      </c>
    </row>
    <row r="2805" spans="1:7" ht="30" x14ac:dyDescent="0.2">
      <c r="A2805" s="583" t="s">
        <v>17629</v>
      </c>
      <c r="B2805" s="605" t="s">
        <v>17630</v>
      </c>
      <c r="C2805" s="606" t="s">
        <v>12375</v>
      </c>
      <c r="D2805" s="607">
        <v>3890.11</v>
      </c>
      <c r="E2805" s="607">
        <v>282.72000000000003</v>
      </c>
      <c r="F2805" s="607">
        <v>4172.83</v>
      </c>
      <c r="G2805" s="584">
        <v>15</v>
      </c>
    </row>
    <row r="2806" spans="1:7" ht="30" x14ac:dyDescent="0.2">
      <c r="A2806" s="583" t="s">
        <v>17631</v>
      </c>
      <c r="B2806" s="605" t="s">
        <v>17632</v>
      </c>
      <c r="C2806" s="606" t="s">
        <v>12375</v>
      </c>
      <c r="D2806" s="607">
        <v>12057.6</v>
      </c>
      <c r="E2806" s="607">
        <v>282.72000000000003</v>
      </c>
      <c r="F2806" s="607">
        <v>12340.32</v>
      </c>
      <c r="G2806" s="584">
        <v>15</v>
      </c>
    </row>
    <row r="2807" spans="1:7" ht="30" x14ac:dyDescent="0.2">
      <c r="A2807" s="583" t="s">
        <v>17633</v>
      </c>
      <c r="B2807" s="605" t="s">
        <v>17634</v>
      </c>
      <c r="C2807" s="606" t="s">
        <v>12375</v>
      </c>
      <c r="D2807" s="607">
        <v>5348.16</v>
      </c>
      <c r="E2807" s="607">
        <v>282.72000000000003</v>
      </c>
      <c r="F2807" s="607">
        <v>5630.88</v>
      </c>
      <c r="G2807" s="584">
        <v>15</v>
      </c>
    </row>
    <row r="2808" spans="1:7" ht="30" x14ac:dyDescent="0.2">
      <c r="A2808" s="583" t="s">
        <v>17635</v>
      </c>
      <c r="B2808" s="605" t="s">
        <v>17636</v>
      </c>
      <c r="C2808" s="606" t="s">
        <v>12375</v>
      </c>
      <c r="D2808" s="607">
        <v>18666.05</v>
      </c>
      <c r="E2808" s="607">
        <v>282.72000000000003</v>
      </c>
      <c r="F2808" s="607">
        <v>18948.77</v>
      </c>
      <c r="G2808" s="584">
        <v>15</v>
      </c>
    </row>
    <row r="2809" spans="1:7" ht="30" x14ac:dyDescent="0.2">
      <c r="A2809" s="583" t="s">
        <v>17637</v>
      </c>
      <c r="B2809" s="605" t="s">
        <v>17638</v>
      </c>
      <c r="C2809" s="606" t="s">
        <v>12375</v>
      </c>
      <c r="D2809" s="607">
        <v>3896.77</v>
      </c>
      <c r="E2809" s="607">
        <v>282.72000000000003</v>
      </c>
      <c r="F2809" s="607">
        <v>4179.49</v>
      </c>
      <c r="G2809" s="584">
        <v>15</v>
      </c>
    </row>
    <row r="2810" spans="1:7" ht="30" x14ac:dyDescent="0.2">
      <c r="A2810" s="583" t="s">
        <v>17639</v>
      </c>
      <c r="B2810" s="605" t="s">
        <v>17640</v>
      </c>
      <c r="C2810" s="606" t="s">
        <v>12375</v>
      </c>
      <c r="D2810" s="607">
        <v>6086.12</v>
      </c>
      <c r="E2810" s="607">
        <v>282.72000000000003</v>
      </c>
      <c r="F2810" s="607">
        <v>6368.84</v>
      </c>
      <c r="G2810" s="584">
        <v>15</v>
      </c>
    </row>
    <row r="2811" spans="1:7" ht="30" x14ac:dyDescent="0.2">
      <c r="A2811" s="583" t="s">
        <v>17641</v>
      </c>
      <c r="B2811" s="605" t="s">
        <v>17642</v>
      </c>
      <c r="C2811" s="606" t="s">
        <v>12375</v>
      </c>
      <c r="D2811" s="607">
        <v>6093.44</v>
      </c>
      <c r="E2811" s="607">
        <v>282.72000000000003</v>
      </c>
      <c r="F2811" s="607">
        <v>6376.16</v>
      </c>
      <c r="G2811" s="584">
        <v>15</v>
      </c>
    </row>
    <row r="2812" spans="1:7" ht="30" x14ac:dyDescent="0.2">
      <c r="A2812" s="583" t="s">
        <v>17643</v>
      </c>
      <c r="B2812" s="605" t="s">
        <v>17644</v>
      </c>
      <c r="C2812" s="606" t="s">
        <v>12375</v>
      </c>
      <c r="D2812" s="607">
        <v>9453.07</v>
      </c>
      <c r="E2812" s="607">
        <v>282.72000000000003</v>
      </c>
      <c r="F2812" s="607">
        <v>9735.7900000000009</v>
      </c>
      <c r="G2812" s="584">
        <v>15</v>
      </c>
    </row>
    <row r="2813" spans="1:7" ht="30" x14ac:dyDescent="0.2">
      <c r="A2813" s="583" t="s">
        <v>17645</v>
      </c>
      <c r="B2813" s="605" t="s">
        <v>17646</v>
      </c>
      <c r="C2813" s="606" t="s">
        <v>12375</v>
      </c>
      <c r="D2813" s="607">
        <v>6546.32</v>
      </c>
      <c r="E2813" s="607">
        <v>282.72000000000003</v>
      </c>
      <c r="F2813" s="607">
        <v>6829.04</v>
      </c>
      <c r="G2813" s="584">
        <v>15</v>
      </c>
    </row>
    <row r="2814" spans="1:7" ht="30" x14ac:dyDescent="0.2">
      <c r="A2814" s="583" t="s">
        <v>17647</v>
      </c>
      <c r="B2814" s="605" t="s">
        <v>17648</v>
      </c>
      <c r="C2814" s="606" t="s">
        <v>12375</v>
      </c>
      <c r="D2814" s="607">
        <v>2153.12</v>
      </c>
      <c r="E2814" s="607">
        <v>282.72000000000003</v>
      </c>
      <c r="F2814" s="607">
        <v>2435.84</v>
      </c>
      <c r="G2814" s="584">
        <v>15</v>
      </c>
    </row>
    <row r="2815" spans="1:7" ht="30" x14ac:dyDescent="0.2">
      <c r="A2815" s="583" t="s">
        <v>17649</v>
      </c>
      <c r="B2815" s="605" t="s">
        <v>17650</v>
      </c>
      <c r="C2815" s="606" t="s">
        <v>12375</v>
      </c>
      <c r="D2815" s="607">
        <v>1448.49</v>
      </c>
      <c r="E2815" s="607">
        <v>282.72000000000003</v>
      </c>
      <c r="F2815" s="607">
        <v>1731.21</v>
      </c>
      <c r="G2815" s="584">
        <v>15</v>
      </c>
    </row>
    <row r="2816" spans="1:7" ht="30" x14ac:dyDescent="0.2">
      <c r="A2816" s="583" t="s">
        <v>17651</v>
      </c>
      <c r="B2816" s="605" t="s">
        <v>17652</v>
      </c>
      <c r="C2816" s="606" t="s">
        <v>12375</v>
      </c>
      <c r="D2816" s="607">
        <v>22698.25</v>
      </c>
      <c r="E2816" s="607">
        <v>282.72000000000003</v>
      </c>
      <c r="F2816" s="607">
        <v>22980.97</v>
      </c>
      <c r="G2816" s="584">
        <v>15</v>
      </c>
    </row>
    <row r="2817" spans="1:7" ht="30" x14ac:dyDescent="0.2">
      <c r="A2817" s="583" t="s">
        <v>17653</v>
      </c>
      <c r="B2817" s="605" t="s">
        <v>17654</v>
      </c>
      <c r="C2817" s="606" t="s">
        <v>12375</v>
      </c>
      <c r="D2817" s="607">
        <v>16137.2</v>
      </c>
      <c r="E2817" s="607">
        <v>282.72000000000003</v>
      </c>
      <c r="F2817" s="607">
        <v>16419.919999999998</v>
      </c>
      <c r="G2817" s="584">
        <v>15</v>
      </c>
    </row>
    <row r="2818" spans="1:7" ht="30" x14ac:dyDescent="0.2">
      <c r="A2818" s="583" t="s">
        <v>17655</v>
      </c>
      <c r="B2818" s="605" t="s">
        <v>17656</v>
      </c>
      <c r="C2818" s="606" t="s">
        <v>12375</v>
      </c>
      <c r="D2818" s="607">
        <v>2759.73</v>
      </c>
      <c r="E2818" s="607">
        <v>282.72000000000003</v>
      </c>
      <c r="F2818" s="607">
        <v>3042.45</v>
      </c>
      <c r="G2818" s="584">
        <v>15</v>
      </c>
    </row>
    <row r="2819" spans="1:7" ht="30" x14ac:dyDescent="0.2">
      <c r="A2819" s="583" t="s">
        <v>17657</v>
      </c>
      <c r="B2819" s="605" t="s">
        <v>17658</v>
      </c>
      <c r="C2819" s="606" t="s">
        <v>12375</v>
      </c>
      <c r="D2819" s="607">
        <v>25082.45</v>
      </c>
      <c r="E2819" s="607">
        <v>282.72000000000003</v>
      </c>
      <c r="F2819" s="607">
        <v>25365.17</v>
      </c>
      <c r="G2819" s="584">
        <v>15</v>
      </c>
    </row>
    <row r="2820" spans="1:7" ht="30" x14ac:dyDescent="0.2">
      <c r="A2820" s="583" t="s">
        <v>17659</v>
      </c>
      <c r="B2820" s="605" t="s">
        <v>17660</v>
      </c>
      <c r="C2820" s="606" t="s">
        <v>12375</v>
      </c>
      <c r="D2820" s="607">
        <v>29695.03</v>
      </c>
      <c r="E2820" s="607">
        <v>282.72000000000003</v>
      </c>
      <c r="F2820" s="607">
        <v>29977.75</v>
      </c>
      <c r="G2820" s="584">
        <v>15</v>
      </c>
    </row>
    <row r="2821" spans="1:7" ht="30" x14ac:dyDescent="0.2">
      <c r="A2821" s="583" t="s">
        <v>17661</v>
      </c>
      <c r="B2821" s="605" t="s">
        <v>17662</v>
      </c>
      <c r="C2821" s="606" t="s">
        <v>12375</v>
      </c>
      <c r="D2821" s="607">
        <v>2126.14</v>
      </c>
      <c r="E2821" s="607">
        <v>282.72000000000003</v>
      </c>
      <c r="F2821" s="607">
        <v>2408.86</v>
      </c>
      <c r="G2821" s="584">
        <v>15</v>
      </c>
    </row>
    <row r="2822" spans="1:7" ht="30" x14ac:dyDescent="0.2">
      <c r="A2822" s="583" t="s">
        <v>17663</v>
      </c>
      <c r="B2822" s="605" t="s">
        <v>17664</v>
      </c>
      <c r="C2822" s="606" t="s">
        <v>12375</v>
      </c>
      <c r="D2822" s="607">
        <v>4656.82</v>
      </c>
      <c r="E2822" s="607">
        <v>282.72000000000003</v>
      </c>
      <c r="F2822" s="607">
        <v>4939.54</v>
      </c>
      <c r="G2822" s="584">
        <v>15</v>
      </c>
    </row>
    <row r="2823" spans="1:7" ht="15" x14ac:dyDescent="0.25">
      <c r="A2823" s="583" t="s">
        <v>17665</v>
      </c>
      <c r="B2823" s="605" t="s">
        <v>17666</v>
      </c>
      <c r="C2823" s="606"/>
      <c r="D2823" s="607"/>
      <c r="E2823" s="607"/>
      <c r="F2823" s="607"/>
      <c r="G2823" s="582"/>
    </row>
    <row r="2824" spans="1:7" ht="30" x14ac:dyDescent="0.2">
      <c r="A2824" s="583" t="s">
        <v>17667</v>
      </c>
      <c r="B2824" s="605" t="s">
        <v>17668</v>
      </c>
      <c r="C2824" s="606" t="s">
        <v>12375</v>
      </c>
      <c r="D2824" s="607">
        <v>11100.55</v>
      </c>
      <c r="E2824" s="607">
        <v>602.88</v>
      </c>
      <c r="F2824" s="607">
        <v>11703.43</v>
      </c>
      <c r="G2824" s="584">
        <v>15</v>
      </c>
    </row>
    <row r="2825" spans="1:7" ht="30" x14ac:dyDescent="0.2">
      <c r="A2825" s="583" t="s">
        <v>17669</v>
      </c>
      <c r="B2825" s="605" t="s">
        <v>17670</v>
      </c>
      <c r="C2825" s="606" t="s">
        <v>12375</v>
      </c>
      <c r="D2825" s="607">
        <v>10291.41</v>
      </c>
      <c r="E2825" s="607">
        <v>602.88</v>
      </c>
      <c r="F2825" s="607">
        <v>10894.29</v>
      </c>
      <c r="G2825" s="584">
        <v>15</v>
      </c>
    </row>
    <row r="2826" spans="1:7" ht="30" x14ac:dyDescent="0.2">
      <c r="A2826" s="583" t="s">
        <v>17671</v>
      </c>
      <c r="B2826" s="605" t="s">
        <v>17672</v>
      </c>
      <c r="C2826" s="606" t="s">
        <v>12375</v>
      </c>
      <c r="D2826" s="607">
        <v>18729.54</v>
      </c>
      <c r="E2826" s="607">
        <v>602.88</v>
      </c>
      <c r="F2826" s="607">
        <v>19332.419999999998</v>
      </c>
      <c r="G2826" s="584">
        <v>15</v>
      </c>
    </row>
    <row r="2827" spans="1:7" ht="30" x14ac:dyDescent="0.2">
      <c r="A2827" s="583" t="s">
        <v>17673</v>
      </c>
      <c r="B2827" s="605" t="s">
        <v>17674</v>
      </c>
      <c r="C2827" s="606" t="s">
        <v>12375</v>
      </c>
      <c r="D2827" s="607">
        <v>11037.26</v>
      </c>
      <c r="E2827" s="607">
        <v>602.88</v>
      </c>
      <c r="F2827" s="607">
        <v>11640.14</v>
      </c>
      <c r="G2827" s="584">
        <v>15</v>
      </c>
    </row>
    <row r="2828" spans="1:7" ht="30" x14ac:dyDescent="0.2">
      <c r="A2828" s="583" t="s">
        <v>17675</v>
      </c>
      <c r="B2828" s="605" t="s">
        <v>17676</v>
      </c>
      <c r="C2828" s="606" t="s">
        <v>12375</v>
      </c>
      <c r="D2828" s="607">
        <v>12665.6</v>
      </c>
      <c r="E2828" s="607">
        <v>602.88</v>
      </c>
      <c r="F2828" s="607">
        <v>13268.48</v>
      </c>
      <c r="G2828" s="584">
        <v>15</v>
      </c>
    </row>
    <row r="2829" spans="1:7" ht="30" x14ac:dyDescent="0.2">
      <c r="A2829" s="583" t="s">
        <v>17677</v>
      </c>
      <c r="B2829" s="605" t="s">
        <v>17678</v>
      </c>
      <c r="C2829" s="606" t="s">
        <v>12375</v>
      </c>
      <c r="D2829" s="607">
        <v>16859.669999999998</v>
      </c>
      <c r="E2829" s="607">
        <v>602.88</v>
      </c>
      <c r="F2829" s="607">
        <v>17462.55</v>
      </c>
      <c r="G2829" s="584">
        <v>15</v>
      </c>
    </row>
    <row r="2830" spans="1:7" ht="45" x14ac:dyDescent="0.2">
      <c r="A2830" s="583" t="s">
        <v>17679</v>
      </c>
      <c r="B2830" s="605" t="s">
        <v>17680</v>
      </c>
      <c r="C2830" s="606" t="s">
        <v>12375</v>
      </c>
      <c r="D2830" s="607">
        <v>8228.93</v>
      </c>
      <c r="E2830" s="607">
        <v>401.92</v>
      </c>
      <c r="F2830" s="607">
        <v>8630.85</v>
      </c>
      <c r="G2830" s="584">
        <v>15</v>
      </c>
    </row>
    <row r="2831" spans="1:7" ht="45" x14ac:dyDescent="0.2">
      <c r="A2831" s="583" t="s">
        <v>17681</v>
      </c>
      <c r="B2831" s="605" t="s">
        <v>17682</v>
      </c>
      <c r="C2831" s="606" t="s">
        <v>12375</v>
      </c>
      <c r="D2831" s="607">
        <v>11486.16</v>
      </c>
      <c r="E2831" s="607">
        <v>401.92</v>
      </c>
      <c r="F2831" s="607">
        <v>11888.08</v>
      </c>
      <c r="G2831" s="584">
        <v>15</v>
      </c>
    </row>
    <row r="2832" spans="1:7" ht="30" x14ac:dyDescent="0.2">
      <c r="A2832" s="583" t="s">
        <v>17683</v>
      </c>
      <c r="B2832" s="605" t="s">
        <v>17684</v>
      </c>
      <c r="C2832" s="606" t="s">
        <v>12375</v>
      </c>
      <c r="D2832" s="607">
        <v>2882.25</v>
      </c>
      <c r="E2832" s="607">
        <v>401.92</v>
      </c>
      <c r="F2832" s="607">
        <v>3284.17</v>
      </c>
      <c r="G2832" s="584">
        <v>15</v>
      </c>
    </row>
    <row r="2833" spans="1:7" ht="30" x14ac:dyDescent="0.2">
      <c r="A2833" s="583" t="s">
        <v>17685</v>
      </c>
      <c r="B2833" s="605" t="s">
        <v>17686</v>
      </c>
      <c r="C2833" s="606" t="s">
        <v>12375</v>
      </c>
      <c r="D2833" s="607">
        <v>3566.99</v>
      </c>
      <c r="E2833" s="607">
        <v>401.92</v>
      </c>
      <c r="F2833" s="607">
        <v>3968.91</v>
      </c>
      <c r="G2833" s="584">
        <v>15</v>
      </c>
    </row>
    <row r="2834" spans="1:7" ht="30" x14ac:dyDescent="0.2">
      <c r="A2834" s="583" t="s">
        <v>17687</v>
      </c>
      <c r="B2834" s="605" t="s">
        <v>17688</v>
      </c>
      <c r="C2834" s="606" t="s">
        <v>12375</v>
      </c>
      <c r="D2834" s="607">
        <v>6890.19</v>
      </c>
      <c r="E2834" s="607">
        <v>401.92</v>
      </c>
      <c r="F2834" s="607">
        <v>7292.11</v>
      </c>
      <c r="G2834" s="584">
        <v>15</v>
      </c>
    </row>
    <row r="2835" spans="1:7" ht="30" x14ac:dyDescent="0.2">
      <c r="A2835" s="583" t="s">
        <v>17689</v>
      </c>
      <c r="B2835" s="605" t="s">
        <v>17690</v>
      </c>
      <c r="C2835" s="606" t="s">
        <v>12375</v>
      </c>
      <c r="D2835" s="607">
        <v>4108.88</v>
      </c>
      <c r="E2835" s="607">
        <v>401.92</v>
      </c>
      <c r="F2835" s="607">
        <v>4510.8</v>
      </c>
      <c r="G2835" s="584">
        <v>15</v>
      </c>
    </row>
    <row r="2836" spans="1:7" ht="30" x14ac:dyDescent="0.2">
      <c r="A2836" s="583" t="s">
        <v>17691</v>
      </c>
      <c r="B2836" s="605" t="s">
        <v>17692</v>
      </c>
      <c r="C2836" s="606" t="s">
        <v>12375</v>
      </c>
      <c r="D2836" s="607">
        <v>13778.5</v>
      </c>
      <c r="E2836" s="607">
        <v>401.92</v>
      </c>
      <c r="F2836" s="607">
        <v>14180.42</v>
      </c>
      <c r="G2836" s="584">
        <v>15</v>
      </c>
    </row>
    <row r="2837" spans="1:7" ht="30" x14ac:dyDescent="0.2">
      <c r="A2837" s="583" t="s">
        <v>17693</v>
      </c>
      <c r="B2837" s="605" t="s">
        <v>17694</v>
      </c>
      <c r="C2837" s="606" t="s">
        <v>12375</v>
      </c>
      <c r="D2837" s="607">
        <v>28744.34</v>
      </c>
      <c r="E2837" s="607">
        <v>401.92</v>
      </c>
      <c r="F2837" s="607">
        <v>29146.26</v>
      </c>
      <c r="G2837" s="584">
        <v>15</v>
      </c>
    </row>
    <row r="2838" spans="1:7" ht="45" x14ac:dyDescent="0.2">
      <c r="A2838" s="583" t="s">
        <v>17695</v>
      </c>
      <c r="B2838" s="605" t="s">
        <v>17696</v>
      </c>
      <c r="C2838" s="606" t="s">
        <v>12375</v>
      </c>
      <c r="D2838" s="607">
        <v>8034.22</v>
      </c>
      <c r="E2838" s="607">
        <v>401.92</v>
      </c>
      <c r="F2838" s="607">
        <v>8436.14</v>
      </c>
      <c r="G2838" s="584">
        <v>15</v>
      </c>
    </row>
    <row r="2839" spans="1:7" ht="30" x14ac:dyDescent="0.2">
      <c r="A2839" s="583" t="s">
        <v>17697</v>
      </c>
      <c r="B2839" s="605" t="s">
        <v>17698</v>
      </c>
      <c r="C2839" s="606" t="s">
        <v>12375</v>
      </c>
      <c r="D2839" s="607">
        <v>32127.48</v>
      </c>
      <c r="E2839" s="607">
        <v>401.92</v>
      </c>
      <c r="F2839" s="607">
        <v>32529.4</v>
      </c>
      <c r="G2839" s="584">
        <v>15</v>
      </c>
    </row>
    <row r="2840" spans="1:7" ht="15" x14ac:dyDescent="0.25">
      <c r="A2840" s="583" t="s">
        <v>17699</v>
      </c>
      <c r="B2840" s="605" t="s">
        <v>17700</v>
      </c>
      <c r="C2840" s="606"/>
      <c r="D2840" s="607"/>
      <c r="E2840" s="607"/>
      <c r="F2840" s="607"/>
      <c r="G2840" s="582"/>
    </row>
    <row r="2841" spans="1:7" ht="15" x14ac:dyDescent="0.2">
      <c r="A2841" s="583" t="s">
        <v>17701</v>
      </c>
      <c r="B2841" s="605" t="s">
        <v>17702</v>
      </c>
      <c r="C2841" s="606" t="s">
        <v>12375</v>
      </c>
      <c r="D2841" s="607">
        <v>3804.47</v>
      </c>
      <c r="E2841" s="607">
        <v>141.36000000000001</v>
      </c>
      <c r="F2841" s="607">
        <v>3945.83</v>
      </c>
      <c r="G2841" s="584">
        <v>15</v>
      </c>
    </row>
    <row r="2842" spans="1:7" ht="15" x14ac:dyDescent="0.25">
      <c r="A2842" s="583" t="s">
        <v>17703</v>
      </c>
      <c r="B2842" s="605" t="s">
        <v>17704</v>
      </c>
      <c r="C2842" s="606"/>
      <c r="D2842" s="607"/>
      <c r="E2842" s="607"/>
      <c r="F2842" s="607"/>
      <c r="G2842" s="582"/>
    </row>
    <row r="2843" spans="1:7" ht="30" x14ac:dyDescent="0.2">
      <c r="A2843" s="583" t="s">
        <v>17705</v>
      </c>
      <c r="B2843" s="605" t="s">
        <v>17706</v>
      </c>
      <c r="C2843" s="606" t="s">
        <v>12375</v>
      </c>
      <c r="D2843" s="607">
        <v>29.19</v>
      </c>
      <c r="E2843" s="607">
        <v>13.59</v>
      </c>
      <c r="F2843" s="607">
        <v>42.78</v>
      </c>
      <c r="G2843" s="584">
        <v>15</v>
      </c>
    </row>
    <row r="2844" spans="1:7" ht="15" x14ac:dyDescent="0.2">
      <c r="A2844" s="583" t="s">
        <v>17707</v>
      </c>
      <c r="B2844" s="605" t="s">
        <v>17708</v>
      </c>
      <c r="C2844" s="606" t="s">
        <v>12375</v>
      </c>
      <c r="D2844" s="607">
        <v>601.85</v>
      </c>
      <c r="E2844" s="607">
        <v>50.24</v>
      </c>
      <c r="F2844" s="607">
        <v>652.09</v>
      </c>
      <c r="G2844" s="584">
        <v>15</v>
      </c>
    </row>
    <row r="2845" spans="1:7" ht="15" x14ac:dyDescent="0.2">
      <c r="A2845" s="583" t="s">
        <v>17709</v>
      </c>
      <c r="B2845" s="605" t="s">
        <v>20303</v>
      </c>
      <c r="C2845" s="606" t="s">
        <v>12375</v>
      </c>
      <c r="D2845" s="607">
        <v>209.38</v>
      </c>
      <c r="E2845" s="607">
        <v>25.12</v>
      </c>
      <c r="F2845" s="607">
        <v>234.5</v>
      </c>
      <c r="G2845" s="584">
        <v>15</v>
      </c>
    </row>
    <row r="2846" spans="1:7" ht="15" x14ac:dyDescent="0.2">
      <c r="A2846" s="583" t="s">
        <v>17710</v>
      </c>
      <c r="B2846" s="605" t="s">
        <v>17711</v>
      </c>
      <c r="C2846" s="606" t="s">
        <v>12375</v>
      </c>
      <c r="D2846" s="607">
        <v>609.46</v>
      </c>
      <c r="E2846" s="607">
        <v>25.12</v>
      </c>
      <c r="F2846" s="607">
        <v>634.58000000000004</v>
      </c>
      <c r="G2846" s="584">
        <v>15</v>
      </c>
    </row>
    <row r="2847" spans="1:7" ht="30" x14ac:dyDescent="0.2">
      <c r="A2847" s="583" t="s">
        <v>17712</v>
      </c>
      <c r="B2847" s="605" t="s">
        <v>17713</v>
      </c>
      <c r="C2847" s="606" t="s">
        <v>12375</v>
      </c>
      <c r="D2847" s="607">
        <v>85.05</v>
      </c>
      <c r="E2847" s="607">
        <v>10.050000000000001</v>
      </c>
      <c r="F2847" s="607">
        <v>95.1</v>
      </c>
      <c r="G2847" s="584">
        <v>15</v>
      </c>
    </row>
    <row r="2848" spans="1:7" ht="30" x14ac:dyDescent="0.2">
      <c r="A2848" s="583" t="s">
        <v>17714</v>
      </c>
      <c r="B2848" s="605" t="s">
        <v>17715</v>
      </c>
      <c r="C2848" s="606" t="s">
        <v>12375</v>
      </c>
      <c r="D2848" s="607">
        <v>432.13</v>
      </c>
      <c r="E2848" s="607">
        <v>25.12</v>
      </c>
      <c r="F2848" s="607">
        <v>457.25</v>
      </c>
      <c r="G2848" s="584">
        <v>15</v>
      </c>
    </row>
    <row r="2849" spans="1:7" ht="15" x14ac:dyDescent="0.25">
      <c r="A2849" s="583" t="s">
        <v>17716</v>
      </c>
      <c r="B2849" s="605" t="s">
        <v>17717</v>
      </c>
      <c r="C2849" s="606"/>
      <c r="D2849" s="607"/>
      <c r="E2849" s="607"/>
      <c r="F2849" s="607"/>
      <c r="G2849" s="582"/>
    </row>
    <row r="2850" spans="1:7" ht="15" x14ac:dyDescent="0.25">
      <c r="A2850" s="583" t="s">
        <v>17718</v>
      </c>
      <c r="B2850" s="605" t="s">
        <v>17719</v>
      </c>
      <c r="C2850" s="606"/>
      <c r="D2850" s="607"/>
      <c r="E2850" s="607"/>
      <c r="F2850" s="607"/>
      <c r="G2850" s="582"/>
    </row>
    <row r="2851" spans="1:7" ht="15" x14ac:dyDescent="0.2">
      <c r="A2851" s="583" t="s">
        <v>17720</v>
      </c>
      <c r="B2851" s="605" t="s">
        <v>17721</v>
      </c>
      <c r="C2851" s="606" t="s">
        <v>12375</v>
      </c>
      <c r="D2851" s="607">
        <v>833.11</v>
      </c>
      <c r="E2851" s="607">
        <v>60.46</v>
      </c>
      <c r="F2851" s="607">
        <v>893.57</v>
      </c>
      <c r="G2851" s="584">
        <v>15</v>
      </c>
    </row>
    <row r="2852" spans="1:7" ht="30" x14ac:dyDescent="0.2">
      <c r="A2852" s="583" t="s">
        <v>17722</v>
      </c>
      <c r="B2852" s="605" t="s">
        <v>17723</v>
      </c>
      <c r="C2852" s="606" t="s">
        <v>12375</v>
      </c>
      <c r="D2852" s="607">
        <v>1037.5</v>
      </c>
      <c r="E2852" s="607">
        <v>70.680000000000007</v>
      </c>
      <c r="F2852" s="607">
        <v>1108.18</v>
      </c>
      <c r="G2852" s="584">
        <v>15</v>
      </c>
    </row>
    <row r="2853" spans="1:7" ht="15" x14ac:dyDescent="0.2">
      <c r="A2853" s="583" t="s">
        <v>17724</v>
      </c>
      <c r="B2853" s="605" t="s">
        <v>17725</v>
      </c>
      <c r="C2853" s="606" t="s">
        <v>12375</v>
      </c>
      <c r="D2853" s="607">
        <v>259.05</v>
      </c>
      <c r="E2853" s="607">
        <v>60.46</v>
      </c>
      <c r="F2853" s="607">
        <v>319.51</v>
      </c>
      <c r="G2853" s="584">
        <v>15</v>
      </c>
    </row>
    <row r="2854" spans="1:7" ht="15" x14ac:dyDescent="0.2">
      <c r="A2854" s="583" t="s">
        <v>21435</v>
      </c>
      <c r="B2854" s="605" t="s">
        <v>21436</v>
      </c>
      <c r="C2854" s="606" t="s">
        <v>12375</v>
      </c>
      <c r="D2854" s="607">
        <v>297.77999999999997</v>
      </c>
      <c r="E2854" s="607">
        <v>63.53</v>
      </c>
      <c r="F2854" s="607">
        <v>361.31</v>
      </c>
      <c r="G2854" s="584">
        <v>15</v>
      </c>
    </row>
    <row r="2855" spans="1:7" ht="30" x14ac:dyDescent="0.2">
      <c r="A2855" s="583" t="s">
        <v>17726</v>
      </c>
      <c r="B2855" s="605" t="s">
        <v>21437</v>
      </c>
      <c r="C2855" s="606" t="s">
        <v>12375</v>
      </c>
      <c r="D2855" s="607">
        <v>452.77</v>
      </c>
      <c r="E2855" s="607">
        <v>60.46</v>
      </c>
      <c r="F2855" s="607">
        <v>513.23</v>
      </c>
      <c r="G2855" s="584">
        <v>15</v>
      </c>
    </row>
    <row r="2856" spans="1:7" ht="30" x14ac:dyDescent="0.2">
      <c r="A2856" s="583" t="s">
        <v>21438</v>
      </c>
      <c r="B2856" s="605" t="s">
        <v>21439</v>
      </c>
      <c r="C2856" s="606" t="s">
        <v>12375</v>
      </c>
      <c r="D2856" s="607">
        <v>491.5</v>
      </c>
      <c r="E2856" s="607">
        <v>63.53</v>
      </c>
      <c r="F2856" s="607">
        <v>555.03</v>
      </c>
      <c r="G2856" s="584">
        <v>15</v>
      </c>
    </row>
    <row r="2857" spans="1:7" ht="15" x14ac:dyDescent="0.2">
      <c r="A2857" s="583" t="s">
        <v>17727</v>
      </c>
      <c r="B2857" s="605" t="s">
        <v>17728</v>
      </c>
      <c r="C2857" s="606" t="s">
        <v>12375</v>
      </c>
      <c r="D2857" s="607">
        <v>99.92</v>
      </c>
      <c r="E2857" s="607">
        <v>70.680000000000007</v>
      </c>
      <c r="F2857" s="607">
        <v>170.6</v>
      </c>
      <c r="G2857" s="584">
        <v>15</v>
      </c>
    </row>
    <row r="2858" spans="1:7" ht="15" x14ac:dyDescent="0.2">
      <c r="A2858" s="583" t="s">
        <v>17729</v>
      </c>
      <c r="B2858" s="605" t="s">
        <v>17730</v>
      </c>
      <c r="C2858" s="606" t="s">
        <v>12375</v>
      </c>
      <c r="D2858" s="607">
        <v>492.72</v>
      </c>
      <c r="E2858" s="607">
        <v>70.680000000000007</v>
      </c>
      <c r="F2858" s="607">
        <v>563.4</v>
      </c>
      <c r="G2858" s="584">
        <v>15</v>
      </c>
    </row>
    <row r="2859" spans="1:7" ht="30" x14ac:dyDescent="0.2">
      <c r="A2859" s="583" t="s">
        <v>17731</v>
      </c>
      <c r="B2859" s="605" t="s">
        <v>17732</v>
      </c>
      <c r="C2859" s="606" t="s">
        <v>12375</v>
      </c>
      <c r="D2859" s="607">
        <v>971.96</v>
      </c>
      <c r="E2859" s="607">
        <v>70.680000000000007</v>
      </c>
      <c r="F2859" s="607">
        <v>1042.6400000000001</v>
      </c>
      <c r="G2859" s="584">
        <v>15</v>
      </c>
    </row>
    <row r="2860" spans="1:7" ht="15" x14ac:dyDescent="0.2">
      <c r="A2860" s="583" t="s">
        <v>17733</v>
      </c>
      <c r="B2860" s="605" t="s">
        <v>17734</v>
      </c>
      <c r="C2860" s="606" t="s">
        <v>12375</v>
      </c>
      <c r="D2860" s="607">
        <v>48.53</v>
      </c>
      <c r="E2860" s="607">
        <v>25.12</v>
      </c>
      <c r="F2860" s="607">
        <v>73.650000000000006</v>
      </c>
      <c r="G2860" s="584">
        <v>15</v>
      </c>
    </row>
    <row r="2861" spans="1:7" ht="15" x14ac:dyDescent="0.2">
      <c r="A2861" s="583" t="s">
        <v>17735</v>
      </c>
      <c r="B2861" s="605" t="s">
        <v>17736</v>
      </c>
      <c r="C2861" s="606" t="s">
        <v>12375</v>
      </c>
      <c r="D2861" s="607">
        <v>469.81</v>
      </c>
      <c r="E2861" s="607">
        <v>70.680000000000007</v>
      </c>
      <c r="F2861" s="607">
        <v>540.49</v>
      </c>
      <c r="G2861" s="584">
        <v>15</v>
      </c>
    </row>
    <row r="2862" spans="1:7" ht="15" x14ac:dyDescent="0.2">
      <c r="A2862" s="583" t="s">
        <v>17737</v>
      </c>
      <c r="B2862" s="605" t="s">
        <v>17738</v>
      </c>
      <c r="C2862" s="606" t="s">
        <v>12375</v>
      </c>
      <c r="D2862" s="607">
        <v>566.89</v>
      </c>
      <c r="E2862" s="607">
        <v>70.680000000000007</v>
      </c>
      <c r="F2862" s="607">
        <v>637.57000000000005</v>
      </c>
      <c r="G2862" s="584">
        <v>15</v>
      </c>
    </row>
    <row r="2863" spans="1:7" ht="15" x14ac:dyDescent="0.2">
      <c r="A2863" s="583" t="s">
        <v>17739</v>
      </c>
      <c r="B2863" s="605" t="s">
        <v>17740</v>
      </c>
      <c r="C2863" s="606" t="s">
        <v>12375</v>
      </c>
      <c r="D2863" s="607">
        <v>116.8</v>
      </c>
      <c r="E2863" s="607">
        <v>25.12</v>
      </c>
      <c r="F2863" s="607">
        <v>141.91999999999999</v>
      </c>
      <c r="G2863" s="584">
        <v>15</v>
      </c>
    </row>
    <row r="2864" spans="1:7" ht="15" x14ac:dyDescent="0.2">
      <c r="A2864" s="583" t="s">
        <v>17741</v>
      </c>
      <c r="B2864" s="605" t="s">
        <v>17742</v>
      </c>
      <c r="C2864" s="606" t="s">
        <v>12375</v>
      </c>
      <c r="D2864" s="607">
        <v>921.13</v>
      </c>
      <c r="E2864" s="607">
        <v>150.72</v>
      </c>
      <c r="F2864" s="607">
        <v>1071.8499999999999</v>
      </c>
      <c r="G2864" s="584">
        <v>15</v>
      </c>
    </row>
    <row r="2865" spans="1:7" ht="15" x14ac:dyDescent="0.2">
      <c r="A2865" s="583" t="s">
        <v>17743</v>
      </c>
      <c r="B2865" s="605" t="s">
        <v>17744</v>
      </c>
      <c r="C2865" s="606" t="s">
        <v>12375</v>
      </c>
      <c r="D2865" s="607">
        <v>603.84</v>
      </c>
      <c r="E2865" s="607">
        <v>150.72</v>
      </c>
      <c r="F2865" s="607">
        <v>754.56</v>
      </c>
      <c r="G2865" s="584">
        <v>15</v>
      </c>
    </row>
    <row r="2866" spans="1:7" ht="15" x14ac:dyDescent="0.2">
      <c r="A2866" s="583" t="s">
        <v>17745</v>
      </c>
      <c r="B2866" s="605" t="s">
        <v>17746</v>
      </c>
      <c r="C2866" s="606" t="s">
        <v>12375</v>
      </c>
      <c r="D2866" s="607">
        <v>206.14</v>
      </c>
      <c r="E2866" s="607">
        <v>50.24</v>
      </c>
      <c r="F2866" s="607">
        <v>256.38</v>
      </c>
      <c r="G2866" s="584">
        <v>15</v>
      </c>
    </row>
    <row r="2867" spans="1:7" ht="15" x14ac:dyDescent="0.2">
      <c r="A2867" s="583" t="s">
        <v>17747</v>
      </c>
      <c r="B2867" s="605" t="s">
        <v>17748</v>
      </c>
      <c r="C2867" s="606" t="s">
        <v>12375</v>
      </c>
      <c r="D2867" s="607">
        <v>245.34</v>
      </c>
      <c r="E2867" s="607">
        <v>25.12</v>
      </c>
      <c r="F2867" s="607">
        <v>270.45999999999998</v>
      </c>
      <c r="G2867" s="584">
        <v>15</v>
      </c>
    </row>
    <row r="2868" spans="1:7" ht="30" x14ac:dyDescent="0.2">
      <c r="A2868" s="583" t="s">
        <v>17749</v>
      </c>
      <c r="B2868" s="605" t="s">
        <v>17750</v>
      </c>
      <c r="C2868" s="606" t="s">
        <v>12375</v>
      </c>
      <c r="D2868" s="607">
        <v>81.83</v>
      </c>
      <c r="E2868" s="607">
        <v>16.579999999999998</v>
      </c>
      <c r="F2868" s="607">
        <v>98.41</v>
      </c>
      <c r="G2868" s="584">
        <v>15</v>
      </c>
    </row>
    <row r="2869" spans="1:7" ht="15" x14ac:dyDescent="0.2">
      <c r="A2869" s="583" t="s">
        <v>17751</v>
      </c>
      <c r="B2869" s="605" t="s">
        <v>17752</v>
      </c>
      <c r="C2869" s="606" t="s">
        <v>12375</v>
      </c>
      <c r="D2869" s="607">
        <v>763.73</v>
      </c>
      <c r="E2869" s="607">
        <v>150.72</v>
      </c>
      <c r="F2869" s="607">
        <v>914.45</v>
      </c>
      <c r="G2869" s="584">
        <v>15</v>
      </c>
    </row>
    <row r="2870" spans="1:7" ht="30" x14ac:dyDescent="0.2">
      <c r="A2870" s="583" t="s">
        <v>17753</v>
      </c>
      <c r="B2870" s="605" t="s">
        <v>17754</v>
      </c>
      <c r="C2870" s="606" t="s">
        <v>12375</v>
      </c>
      <c r="D2870" s="607">
        <v>1072.1400000000001</v>
      </c>
      <c r="E2870" s="607">
        <v>60.46</v>
      </c>
      <c r="F2870" s="607">
        <v>1132.5999999999999</v>
      </c>
      <c r="G2870" s="584">
        <v>15</v>
      </c>
    </row>
    <row r="2871" spans="1:7" ht="30" x14ac:dyDescent="0.2">
      <c r="A2871" s="583" t="s">
        <v>21440</v>
      </c>
      <c r="B2871" s="605" t="s">
        <v>21441</v>
      </c>
      <c r="C2871" s="606" t="s">
        <v>12375</v>
      </c>
      <c r="D2871" s="607">
        <v>1110.8699999999999</v>
      </c>
      <c r="E2871" s="607">
        <v>63.53</v>
      </c>
      <c r="F2871" s="607">
        <v>1174.4000000000001</v>
      </c>
      <c r="G2871" s="584">
        <v>15</v>
      </c>
    </row>
    <row r="2872" spans="1:7" ht="15" x14ac:dyDescent="0.2">
      <c r="A2872" s="583" t="s">
        <v>17755</v>
      </c>
      <c r="B2872" s="605" t="s">
        <v>17756</v>
      </c>
      <c r="C2872" s="606" t="s">
        <v>12375</v>
      </c>
      <c r="D2872" s="607">
        <v>106.87</v>
      </c>
      <c r="E2872" s="607">
        <v>25.12</v>
      </c>
      <c r="F2872" s="607">
        <v>131.99</v>
      </c>
      <c r="G2872" s="584">
        <v>15</v>
      </c>
    </row>
    <row r="2873" spans="1:7" ht="15" x14ac:dyDescent="0.25">
      <c r="A2873" s="583" t="s">
        <v>17757</v>
      </c>
      <c r="B2873" s="605" t="s">
        <v>17758</v>
      </c>
      <c r="C2873" s="606"/>
      <c r="D2873" s="607"/>
      <c r="E2873" s="607"/>
      <c r="F2873" s="607"/>
      <c r="G2873" s="582"/>
    </row>
    <row r="2874" spans="1:7" ht="30" x14ac:dyDescent="0.2">
      <c r="A2874" s="583" t="s">
        <v>17759</v>
      </c>
      <c r="B2874" s="605" t="s">
        <v>17760</v>
      </c>
      <c r="C2874" s="606" t="s">
        <v>12427</v>
      </c>
      <c r="D2874" s="607">
        <v>948.1</v>
      </c>
      <c r="E2874" s="607">
        <v>83.03</v>
      </c>
      <c r="F2874" s="607">
        <v>1031.1300000000001</v>
      </c>
      <c r="G2874" s="584">
        <v>15</v>
      </c>
    </row>
    <row r="2875" spans="1:7" ht="15" x14ac:dyDescent="0.2">
      <c r="A2875" s="583" t="s">
        <v>17761</v>
      </c>
      <c r="B2875" s="605" t="s">
        <v>17762</v>
      </c>
      <c r="C2875" s="606" t="s">
        <v>12427</v>
      </c>
      <c r="D2875" s="607">
        <v>1846.31</v>
      </c>
      <c r="E2875" s="607"/>
      <c r="F2875" s="607">
        <v>1846.31</v>
      </c>
      <c r="G2875" s="584">
        <v>15</v>
      </c>
    </row>
    <row r="2876" spans="1:7" ht="30" x14ac:dyDescent="0.2">
      <c r="A2876" s="583" t="s">
        <v>17763</v>
      </c>
      <c r="B2876" s="605" t="s">
        <v>17764</v>
      </c>
      <c r="C2876" s="606" t="s">
        <v>12427</v>
      </c>
      <c r="D2876" s="607">
        <v>1546.23</v>
      </c>
      <c r="E2876" s="607">
        <v>183.56</v>
      </c>
      <c r="F2876" s="607">
        <v>1729.79</v>
      </c>
      <c r="G2876" s="584">
        <v>15</v>
      </c>
    </row>
    <row r="2877" spans="1:7" ht="30" x14ac:dyDescent="0.2">
      <c r="A2877" s="583" t="s">
        <v>17765</v>
      </c>
      <c r="B2877" s="605" t="s">
        <v>17766</v>
      </c>
      <c r="C2877" s="606" t="s">
        <v>12427</v>
      </c>
      <c r="D2877" s="607">
        <v>2831.56</v>
      </c>
      <c r="E2877" s="607"/>
      <c r="F2877" s="607">
        <v>2831.56</v>
      </c>
      <c r="G2877" s="584">
        <v>15</v>
      </c>
    </row>
    <row r="2878" spans="1:7" ht="15" x14ac:dyDescent="0.25">
      <c r="A2878" s="583" t="s">
        <v>17767</v>
      </c>
      <c r="B2878" s="605" t="s">
        <v>17768</v>
      </c>
      <c r="C2878" s="606"/>
      <c r="D2878" s="607"/>
      <c r="E2878" s="607"/>
      <c r="F2878" s="607"/>
      <c r="G2878" s="582"/>
    </row>
    <row r="2879" spans="1:7" ht="30" x14ac:dyDescent="0.2">
      <c r="A2879" s="583" t="s">
        <v>17769</v>
      </c>
      <c r="B2879" s="605" t="s">
        <v>17770</v>
      </c>
      <c r="C2879" s="606" t="s">
        <v>12375</v>
      </c>
      <c r="D2879" s="607">
        <v>248.67</v>
      </c>
      <c r="E2879" s="607">
        <v>6.22</v>
      </c>
      <c r="F2879" s="607">
        <v>254.89</v>
      </c>
      <c r="G2879" s="584">
        <v>15</v>
      </c>
    </row>
    <row r="2880" spans="1:7" ht="15" x14ac:dyDescent="0.2">
      <c r="A2880" s="583" t="s">
        <v>17771</v>
      </c>
      <c r="B2880" s="605" t="s">
        <v>17772</v>
      </c>
      <c r="C2880" s="606" t="s">
        <v>12375</v>
      </c>
      <c r="D2880" s="607">
        <v>31.24</v>
      </c>
      <c r="E2880" s="607">
        <v>14.96</v>
      </c>
      <c r="F2880" s="607">
        <v>46.2</v>
      </c>
      <c r="G2880" s="584">
        <v>15</v>
      </c>
    </row>
    <row r="2881" spans="1:7" ht="30" x14ac:dyDescent="0.2">
      <c r="A2881" s="583" t="s">
        <v>17773</v>
      </c>
      <c r="B2881" s="605" t="s">
        <v>17774</v>
      </c>
      <c r="C2881" s="606" t="s">
        <v>12375</v>
      </c>
      <c r="D2881" s="607">
        <v>96.29</v>
      </c>
      <c r="E2881" s="607">
        <v>6.22</v>
      </c>
      <c r="F2881" s="607">
        <v>102.51</v>
      </c>
      <c r="G2881" s="584">
        <v>15</v>
      </c>
    </row>
    <row r="2882" spans="1:7" ht="15" x14ac:dyDescent="0.2">
      <c r="A2882" s="583" t="s">
        <v>17775</v>
      </c>
      <c r="B2882" s="605" t="s">
        <v>17776</v>
      </c>
      <c r="C2882" s="606" t="s">
        <v>12375</v>
      </c>
      <c r="D2882" s="607">
        <v>44.91</v>
      </c>
      <c r="E2882" s="607">
        <v>14.96</v>
      </c>
      <c r="F2882" s="607">
        <v>59.87</v>
      </c>
      <c r="G2882" s="584">
        <v>15</v>
      </c>
    </row>
    <row r="2883" spans="1:7" ht="30" x14ac:dyDescent="0.2">
      <c r="A2883" s="583" t="s">
        <v>17777</v>
      </c>
      <c r="B2883" s="605" t="s">
        <v>17778</v>
      </c>
      <c r="C2883" s="606" t="s">
        <v>12375</v>
      </c>
      <c r="D2883" s="607">
        <v>69.17</v>
      </c>
      <c r="E2883" s="607">
        <v>6.22</v>
      </c>
      <c r="F2883" s="607">
        <v>75.39</v>
      </c>
      <c r="G2883" s="584">
        <v>15</v>
      </c>
    </row>
    <row r="2884" spans="1:7" ht="15" x14ac:dyDescent="0.2">
      <c r="A2884" s="583" t="s">
        <v>17779</v>
      </c>
      <c r="B2884" s="605" t="s">
        <v>17780</v>
      </c>
      <c r="C2884" s="606" t="s">
        <v>12375</v>
      </c>
      <c r="D2884" s="607">
        <v>67.27</v>
      </c>
      <c r="E2884" s="607">
        <v>14.96</v>
      </c>
      <c r="F2884" s="607">
        <v>82.23</v>
      </c>
      <c r="G2884" s="584">
        <v>15</v>
      </c>
    </row>
    <row r="2885" spans="1:7" ht="15" x14ac:dyDescent="0.2">
      <c r="A2885" s="583" t="s">
        <v>17781</v>
      </c>
      <c r="B2885" s="605" t="s">
        <v>17782</v>
      </c>
      <c r="C2885" s="606" t="s">
        <v>12375</v>
      </c>
      <c r="D2885" s="607">
        <v>25.14</v>
      </c>
      <c r="E2885" s="607">
        <v>6.22</v>
      </c>
      <c r="F2885" s="607">
        <v>31.36</v>
      </c>
      <c r="G2885" s="584">
        <v>15</v>
      </c>
    </row>
    <row r="2886" spans="1:7" ht="15" x14ac:dyDescent="0.2">
      <c r="A2886" s="583" t="s">
        <v>17783</v>
      </c>
      <c r="B2886" s="605" t="s">
        <v>17784</v>
      </c>
      <c r="C2886" s="606" t="s">
        <v>12375</v>
      </c>
      <c r="D2886" s="607">
        <v>61.94</v>
      </c>
      <c r="E2886" s="607">
        <v>6.22</v>
      </c>
      <c r="F2886" s="607">
        <v>68.16</v>
      </c>
      <c r="G2886" s="584">
        <v>15</v>
      </c>
    </row>
    <row r="2887" spans="1:7" ht="15" x14ac:dyDescent="0.2">
      <c r="A2887" s="583" t="s">
        <v>17785</v>
      </c>
      <c r="B2887" s="605" t="s">
        <v>17786</v>
      </c>
      <c r="C2887" s="606" t="s">
        <v>12375</v>
      </c>
      <c r="D2887" s="607">
        <v>60.17</v>
      </c>
      <c r="E2887" s="607">
        <v>6.22</v>
      </c>
      <c r="F2887" s="607">
        <v>66.39</v>
      </c>
      <c r="G2887" s="584">
        <v>15</v>
      </c>
    </row>
    <row r="2888" spans="1:7" ht="15" x14ac:dyDescent="0.2">
      <c r="A2888" s="583" t="s">
        <v>17787</v>
      </c>
      <c r="B2888" s="605" t="s">
        <v>17788</v>
      </c>
      <c r="C2888" s="606" t="s">
        <v>12375</v>
      </c>
      <c r="D2888" s="607">
        <v>67.040000000000006</v>
      </c>
      <c r="E2888" s="607">
        <v>25.12</v>
      </c>
      <c r="F2888" s="607">
        <v>92.16</v>
      </c>
      <c r="G2888" s="584">
        <v>15</v>
      </c>
    </row>
    <row r="2889" spans="1:7" ht="15" x14ac:dyDescent="0.2">
      <c r="A2889" s="583" t="s">
        <v>17789</v>
      </c>
      <c r="B2889" s="605" t="s">
        <v>17790</v>
      </c>
      <c r="C2889" s="606" t="s">
        <v>12375</v>
      </c>
      <c r="D2889" s="607">
        <v>105.97</v>
      </c>
      <c r="E2889" s="607">
        <v>45.31</v>
      </c>
      <c r="F2889" s="607">
        <v>151.28</v>
      </c>
      <c r="G2889" s="584">
        <v>15</v>
      </c>
    </row>
    <row r="2890" spans="1:7" ht="15" x14ac:dyDescent="0.2">
      <c r="A2890" s="583" t="s">
        <v>17791</v>
      </c>
      <c r="B2890" s="605" t="s">
        <v>20304</v>
      </c>
      <c r="C2890" s="606" t="s">
        <v>12375</v>
      </c>
      <c r="D2890" s="607">
        <v>350.21</v>
      </c>
      <c r="E2890" s="607">
        <v>19.16</v>
      </c>
      <c r="F2890" s="607">
        <v>369.37</v>
      </c>
      <c r="G2890" s="584">
        <v>15</v>
      </c>
    </row>
    <row r="2891" spans="1:7" ht="15" x14ac:dyDescent="0.2">
      <c r="A2891" s="583" t="s">
        <v>17792</v>
      </c>
      <c r="B2891" s="605" t="s">
        <v>17793</v>
      </c>
      <c r="C2891" s="606" t="s">
        <v>12375</v>
      </c>
      <c r="D2891" s="607">
        <v>85.64</v>
      </c>
      <c r="E2891" s="607">
        <v>19.16</v>
      </c>
      <c r="F2891" s="607">
        <v>104.8</v>
      </c>
      <c r="G2891" s="584">
        <v>15</v>
      </c>
    </row>
    <row r="2892" spans="1:7" ht="30" x14ac:dyDescent="0.2">
      <c r="A2892" s="583" t="s">
        <v>17794</v>
      </c>
      <c r="B2892" s="605" t="s">
        <v>17795</v>
      </c>
      <c r="C2892" s="606" t="s">
        <v>12375</v>
      </c>
      <c r="D2892" s="607">
        <v>312.39</v>
      </c>
      <c r="E2892" s="607">
        <v>70.34</v>
      </c>
      <c r="F2892" s="607">
        <v>382.73</v>
      </c>
      <c r="G2892" s="584">
        <v>15</v>
      </c>
    </row>
    <row r="2893" spans="1:7" ht="15" x14ac:dyDescent="0.2">
      <c r="A2893" s="583" t="s">
        <v>17796</v>
      </c>
      <c r="B2893" s="605" t="s">
        <v>17797</v>
      </c>
      <c r="C2893" s="606" t="s">
        <v>12375</v>
      </c>
      <c r="D2893" s="607">
        <v>469</v>
      </c>
      <c r="E2893" s="607">
        <v>25.12</v>
      </c>
      <c r="F2893" s="607">
        <v>494.12</v>
      </c>
      <c r="G2893" s="584">
        <v>15</v>
      </c>
    </row>
    <row r="2894" spans="1:7" ht="30" x14ac:dyDescent="0.2">
      <c r="A2894" s="583" t="s">
        <v>17798</v>
      </c>
      <c r="B2894" s="605" t="s">
        <v>17799</v>
      </c>
      <c r="C2894" s="606" t="s">
        <v>12375</v>
      </c>
      <c r="D2894" s="607">
        <v>39.6</v>
      </c>
      <c r="E2894" s="607">
        <v>17.670000000000002</v>
      </c>
      <c r="F2894" s="607">
        <v>57.27</v>
      </c>
      <c r="G2894" s="584">
        <v>15</v>
      </c>
    </row>
    <row r="2895" spans="1:7" ht="30" x14ac:dyDescent="0.2">
      <c r="A2895" s="583" t="s">
        <v>17800</v>
      </c>
      <c r="B2895" s="605" t="s">
        <v>17801</v>
      </c>
      <c r="C2895" s="606" t="s">
        <v>12375</v>
      </c>
      <c r="D2895" s="607">
        <v>46.33</v>
      </c>
      <c r="E2895" s="607">
        <v>17.670000000000002</v>
      </c>
      <c r="F2895" s="607">
        <v>64</v>
      </c>
      <c r="G2895" s="584">
        <v>15</v>
      </c>
    </row>
    <row r="2896" spans="1:7" ht="30" x14ac:dyDescent="0.2">
      <c r="A2896" s="583" t="s">
        <v>17802</v>
      </c>
      <c r="B2896" s="605" t="s">
        <v>17803</v>
      </c>
      <c r="C2896" s="606" t="s">
        <v>12375</v>
      </c>
      <c r="D2896" s="607">
        <v>39.06</v>
      </c>
      <c r="E2896" s="607">
        <v>17.670000000000002</v>
      </c>
      <c r="F2896" s="607">
        <v>56.73</v>
      </c>
      <c r="G2896" s="584">
        <v>15</v>
      </c>
    </row>
    <row r="2897" spans="1:7" ht="30" x14ac:dyDescent="0.2">
      <c r="A2897" s="583" t="s">
        <v>17804</v>
      </c>
      <c r="B2897" s="605" t="s">
        <v>17805</v>
      </c>
      <c r="C2897" s="606" t="s">
        <v>12375</v>
      </c>
      <c r="D2897" s="607">
        <v>32.520000000000003</v>
      </c>
      <c r="E2897" s="607">
        <v>17.670000000000002</v>
      </c>
      <c r="F2897" s="607">
        <v>50.19</v>
      </c>
      <c r="G2897" s="584">
        <v>15</v>
      </c>
    </row>
    <row r="2898" spans="1:7" ht="30" x14ac:dyDescent="0.2">
      <c r="A2898" s="583" t="s">
        <v>17806</v>
      </c>
      <c r="B2898" s="605" t="s">
        <v>20305</v>
      </c>
      <c r="C2898" s="606" t="s">
        <v>12375</v>
      </c>
      <c r="D2898" s="607">
        <v>30.15</v>
      </c>
      <c r="E2898" s="607">
        <v>17.670000000000002</v>
      </c>
      <c r="F2898" s="607">
        <v>47.82</v>
      </c>
      <c r="G2898" s="584">
        <v>15</v>
      </c>
    </row>
    <row r="2899" spans="1:7" ht="30" x14ac:dyDescent="0.2">
      <c r="A2899" s="583" t="s">
        <v>17807</v>
      </c>
      <c r="B2899" s="605" t="s">
        <v>20306</v>
      </c>
      <c r="C2899" s="606" t="s">
        <v>12375</v>
      </c>
      <c r="D2899" s="607">
        <v>34.04</v>
      </c>
      <c r="E2899" s="607">
        <v>17.670000000000002</v>
      </c>
      <c r="F2899" s="607">
        <v>51.71</v>
      </c>
      <c r="G2899" s="584">
        <v>15</v>
      </c>
    </row>
    <row r="2900" spans="1:7" ht="30" x14ac:dyDescent="0.2">
      <c r="A2900" s="583" t="s">
        <v>17808</v>
      </c>
      <c r="B2900" s="605" t="s">
        <v>17809</v>
      </c>
      <c r="C2900" s="606" t="s">
        <v>12375</v>
      </c>
      <c r="D2900" s="607">
        <v>54.56</v>
      </c>
      <c r="E2900" s="607">
        <v>17.670000000000002</v>
      </c>
      <c r="F2900" s="607">
        <v>72.23</v>
      </c>
      <c r="G2900" s="584">
        <v>15</v>
      </c>
    </row>
    <row r="2901" spans="1:7" ht="30" x14ac:dyDescent="0.2">
      <c r="A2901" s="583" t="s">
        <v>17810</v>
      </c>
      <c r="B2901" s="605" t="s">
        <v>17811</v>
      </c>
      <c r="C2901" s="606" t="s">
        <v>12375</v>
      </c>
      <c r="D2901" s="607">
        <v>63.72</v>
      </c>
      <c r="E2901" s="607">
        <v>17.670000000000002</v>
      </c>
      <c r="F2901" s="607">
        <v>81.39</v>
      </c>
      <c r="G2901" s="584">
        <v>15</v>
      </c>
    </row>
    <row r="2902" spans="1:7" ht="30" x14ac:dyDescent="0.2">
      <c r="A2902" s="583" t="s">
        <v>17812</v>
      </c>
      <c r="B2902" s="605" t="s">
        <v>17813</v>
      </c>
      <c r="C2902" s="606" t="s">
        <v>12375</v>
      </c>
      <c r="D2902" s="607">
        <v>433.31</v>
      </c>
      <c r="E2902" s="607">
        <v>70.34</v>
      </c>
      <c r="F2902" s="607">
        <v>503.65</v>
      </c>
      <c r="G2902" s="584">
        <v>15</v>
      </c>
    </row>
    <row r="2903" spans="1:7" ht="15" x14ac:dyDescent="0.2">
      <c r="A2903" s="583" t="s">
        <v>17814</v>
      </c>
      <c r="B2903" s="605" t="s">
        <v>17815</v>
      </c>
      <c r="C2903" s="606" t="s">
        <v>12375</v>
      </c>
      <c r="D2903" s="607">
        <v>609.39</v>
      </c>
      <c r="E2903" s="607">
        <v>40.28</v>
      </c>
      <c r="F2903" s="607">
        <v>649.66999999999996</v>
      </c>
      <c r="G2903" s="584">
        <v>15</v>
      </c>
    </row>
    <row r="2904" spans="1:7" ht="30" x14ac:dyDescent="0.2">
      <c r="A2904" s="583" t="s">
        <v>17816</v>
      </c>
      <c r="B2904" s="605" t="s">
        <v>17817</v>
      </c>
      <c r="C2904" s="606" t="s">
        <v>12375</v>
      </c>
      <c r="D2904" s="607">
        <v>184.84</v>
      </c>
      <c r="E2904" s="607">
        <v>19.16</v>
      </c>
      <c r="F2904" s="607">
        <v>204</v>
      </c>
      <c r="G2904" s="584">
        <v>15</v>
      </c>
    </row>
    <row r="2905" spans="1:7" ht="30" x14ac:dyDescent="0.2">
      <c r="A2905" s="583" t="s">
        <v>17818</v>
      </c>
      <c r="B2905" s="605" t="s">
        <v>17819</v>
      </c>
      <c r="C2905" s="606" t="s">
        <v>12375</v>
      </c>
      <c r="D2905" s="607">
        <v>87.53</v>
      </c>
      <c r="E2905" s="607">
        <v>17.670000000000002</v>
      </c>
      <c r="F2905" s="607">
        <v>105.2</v>
      </c>
      <c r="G2905" s="584">
        <v>15</v>
      </c>
    </row>
    <row r="2906" spans="1:7" ht="30" x14ac:dyDescent="0.2">
      <c r="A2906" s="583" t="s">
        <v>17820</v>
      </c>
      <c r="B2906" s="605" t="s">
        <v>17821</v>
      </c>
      <c r="C2906" s="606" t="s">
        <v>12375</v>
      </c>
      <c r="D2906" s="607">
        <v>586.36</v>
      </c>
      <c r="E2906" s="607">
        <v>17.670000000000002</v>
      </c>
      <c r="F2906" s="607">
        <v>604.03</v>
      </c>
      <c r="G2906" s="584">
        <v>15</v>
      </c>
    </row>
    <row r="2907" spans="1:7" ht="30" x14ac:dyDescent="0.2">
      <c r="A2907" s="583" t="s">
        <v>20107</v>
      </c>
      <c r="B2907" s="605" t="s">
        <v>20230</v>
      </c>
      <c r="C2907" s="606" t="s">
        <v>12375</v>
      </c>
      <c r="D2907" s="607">
        <v>136.76</v>
      </c>
      <c r="E2907" s="607">
        <v>19.16</v>
      </c>
      <c r="F2907" s="607">
        <v>155.91999999999999</v>
      </c>
      <c r="G2907" s="584">
        <v>15</v>
      </c>
    </row>
    <row r="2908" spans="1:7" ht="15" x14ac:dyDescent="0.2">
      <c r="A2908" s="583" t="s">
        <v>17822</v>
      </c>
      <c r="B2908" s="605" t="s">
        <v>17823</v>
      </c>
      <c r="C2908" s="606" t="s">
        <v>12676</v>
      </c>
      <c r="D2908" s="607">
        <v>2153.64</v>
      </c>
      <c r="E2908" s="607">
        <v>70.430000000000007</v>
      </c>
      <c r="F2908" s="607">
        <v>2224.0700000000002</v>
      </c>
      <c r="G2908" s="584">
        <v>15</v>
      </c>
    </row>
    <row r="2909" spans="1:7" ht="15" x14ac:dyDescent="0.2">
      <c r="A2909" s="583" t="s">
        <v>17824</v>
      </c>
      <c r="B2909" s="605" t="s">
        <v>17825</v>
      </c>
      <c r="C2909" s="606" t="s">
        <v>12375</v>
      </c>
      <c r="D2909" s="607">
        <v>2.42</v>
      </c>
      <c r="E2909" s="607">
        <v>17.670000000000002</v>
      </c>
      <c r="F2909" s="607">
        <v>20.09</v>
      </c>
      <c r="G2909" s="584">
        <v>15</v>
      </c>
    </row>
    <row r="2910" spans="1:7" ht="15" x14ac:dyDescent="0.2">
      <c r="A2910" s="583" t="s">
        <v>17826</v>
      </c>
      <c r="B2910" s="605" t="s">
        <v>17827</v>
      </c>
      <c r="C2910" s="606" t="s">
        <v>12375</v>
      </c>
      <c r="D2910" s="607">
        <v>4.05</v>
      </c>
      <c r="E2910" s="607">
        <v>17.670000000000002</v>
      </c>
      <c r="F2910" s="607">
        <v>21.72</v>
      </c>
      <c r="G2910" s="584">
        <v>15</v>
      </c>
    </row>
    <row r="2911" spans="1:7" ht="45" x14ac:dyDescent="0.2">
      <c r="A2911" s="583" t="s">
        <v>17828</v>
      </c>
      <c r="B2911" s="605" t="s">
        <v>17829</v>
      </c>
      <c r="C2911" s="606" t="s">
        <v>12375</v>
      </c>
      <c r="D2911" s="607">
        <v>812.88</v>
      </c>
      <c r="E2911" s="607">
        <v>19.16</v>
      </c>
      <c r="F2911" s="607">
        <v>832.04</v>
      </c>
      <c r="G2911" s="584">
        <v>15</v>
      </c>
    </row>
    <row r="2912" spans="1:7" ht="30" x14ac:dyDescent="0.2">
      <c r="A2912" s="583" t="s">
        <v>17830</v>
      </c>
      <c r="B2912" s="605" t="s">
        <v>17831</v>
      </c>
      <c r="C2912" s="606" t="s">
        <v>12375</v>
      </c>
      <c r="D2912" s="607">
        <v>991.53</v>
      </c>
      <c r="E2912" s="607">
        <v>70.34</v>
      </c>
      <c r="F2912" s="607">
        <v>1061.8699999999999</v>
      </c>
      <c r="G2912" s="584">
        <v>15</v>
      </c>
    </row>
    <row r="2913" spans="1:7" ht="30" x14ac:dyDescent="0.2">
      <c r="A2913" s="583" t="s">
        <v>17832</v>
      </c>
      <c r="B2913" s="605" t="s">
        <v>17833</v>
      </c>
      <c r="C2913" s="606" t="s">
        <v>12375</v>
      </c>
      <c r="D2913" s="607">
        <v>3332.1</v>
      </c>
      <c r="E2913" s="607">
        <v>70.34</v>
      </c>
      <c r="F2913" s="607">
        <v>3402.44</v>
      </c>
      <c r="G2913" s="584">
        <v>15</v>
      </c>
    </row>
    <row r="2914" spans="1:7" ht="15" x14ac:dyDescent="0.2">
      <c r="A2914" s="583" t="s">
        <v>17834</v>
      </c>
      <c r="B2914" s="605" t="s">
        <v>17835</v>
      </c>
      <c r="C2914" s="606" t="s">
        <v>12375</v>
      </c>
      <c r="D2914" s="607">
        <v>1296.74</v>
      </c>
      <c r="E2914" s="607">
        <v>6.22</v>
      </c>
      <c r="F2914" s="607">
        <v>1302.96</v>
      </c>
      <c r="G2914" s="584">
        <v>15</v>
      </c>
    </row>
    <row r="2915" spans="1:7" ht="15" x14ac:dyDescent="0.2">
      <c r="A2915" s="583" t="s">
        <v>17836</v>
      </c>
      <c r="B2915" s="605" t="s">
        <v>17837</v>
      </c>
      <c r="C2915" s="606" t="s">
        <v>12375</v>
      </c>
      <c r="D2915" s="607">
        <v>231.58</v>
      </c>
      <c r="E2915" s="607">
        <v>25.12</v>
      </c>
      <c r="F2915" s="607">
        <v>256.7</v>
      </c>
      <c r="G2915" s="584">
        <v>15</v>
      </c>
    </row>
    <row r="2916" spans="1:7" ht="15" x14ac:dyDescent="0.2">
      <c r="A2916" s="583" t="s">
        <v>17838</v>
      </c>
      <c r="B2916" s="605" t="s">
        <v>17839</v>
      </c>
      <c r="C2916" s="606" t="s">
        <v>12375</v>
      </c>
      <c r="D2916" s="607">
        <v>47.95</v>
      </c>
      <c r="E2916" s="607">
        <v>29.8</v>
      </c>
      <c r="F2916" s="607">
        <v>77.75</v>
      </c>
      <c r="G2916" s="584">
        <v>15</v>
      </c>
    </row>
    <row r="2917" spans="1:7" ht="30" x14ac:dyDescent="0.2">
      <c r="A2917" s="583" t="s">
        <v>17840</v>
      </c>
      <c r="B2917" s="605" t="s">
        <v>17841</v>
      </c>
      <c r="C2917" s="606" t="s">
        <v>12375</v>
      </c>
      <c r="D2917" s="607">
        <v>307.33999999999997</v>
      </c>
      <c r="E2917" s="607">
        <v>25.12</v>
      </c>
      <c r="F2917" s="607">
        <v>332.46</v>
      </c>
      <c r="G2917" s="584">
        <v>15</v>
      </c>
    </row>
    <row r="2918" spans="1:7" ht="30" x14ac:dyDescent="0.2">
      <c r="A2918" s="583" t="s">
        <v>17842</v>
      </c>
      <c r="B2918" s="605" t="s">
        <v>17843</v>
      </c>
      <c r="C2918" s="606" t="s">
        <v>12375</v>
      </c>
      <c r="D2918" s="607">
        <v>491.07</v>
      </c>
      <c r="E2918" s="607">
        <v>25.12</v>
      </c>
      <c r="F2918" s="607">
        <v>516.19000000000005</v>
      </c>
      <c r="G2918" s="584">
        <v>15</v>
      </c>
    </row>
    <row r="2919" spans="1:7" ht="15" x14ac:dyDescent="0.25">
      <c r="A2919" s="583" t="s">
        <v>17844</v>
      </c>
      <c r="B2919" s="605" t="s">
        <v>17845</v>
      </c>
      <c r="C2919" s="606"/>
      <c r="D2919" s="607"/>
      <c r="E2919" s="607"/>
      <c r="F2919" s="607"/>
      <c r="G2919" s="582"/>
    </row>
    <row r="2920" spans="1:7" ht="15" x14ac:dyDescent="0.2">
      <c r="A2920" s="583" t="s">
        <v>17846</v>
      </c>
      <c r="B2920" s="605" t="s">
        <v>17847</v>
      </c>
      <c r="C2920" s="606" t="s">
        <v>12427</v>
      </c>
      <c r="D2920" s="607">
        <v>589.04</v>
      </c>
      <c r="E2920" s="607">
        <v>29.46</v>
      </c>
      <c r="F2920" s="607">
        <v>618.5</v>
      </c>
      <c r="G2920" s="584">
        <v>15</v>
      </c>
    </row>
    <row r="2921" spans="1:7" ht="15" x14ac:dyDescent="0.2">
      <c r="A2921" s="583" t="s">
        <v>17848</v>
      </c>
      <c r="B2921" s="605" t="s">
        <v>17849</v>
      </c>
      <c r="C2921" s="606" t="s">
        <v>12427</v>
      </c>
      <c r="D2921" s="607">
        <v>288.12</v>
      </c>
      <c r="E2921" s="607">
        <v>90.62</v>
      </c>
      <c r="F2921" s="607">
        <v>378.74</v>
      </c>
      <c r="G2921" s="584">
        <v>15</v>
      </c>
    </row>
    <row r="2922" spans="1:7" ht="15" x14ac:dyDescent="0.2">
      <c r="A2922" s="583" t="s">
        <v>17850</v>
      </c>
      <c r="B2922" s="605" t="s">
        <v>17851</v>
      </c>
      <c r="C2922" s="606" t="s">
        <v>12427</v>
      </c>
      <c r="D2922" s="607">
        <v>906.41</v>
      </c>
      <c r="E2922" s="607">
        <v>29.46</v>
      </c>
      <c r="F2922" s="607">
        <v>935.87</v>
      </c>
      <c r="G2922" s="584">
        <v>15</v>
      </c>
    </row>
    <row r="2923" spans="1:7" ht="15" x14ac:dyDescent="0.25">
      <c r="A2923" s="583" t="s">
        <v>17852</v>
      </c>
      <c r="B2923" s="605" t="s">
        <v>17853</v>
      </c>
      <c r="C2923" s="606"/>
      <c r="D2923" s="607"/>
      <c r="E2923" s="607"/>
      <c r="F2923" s="607"/>
      <c r="G2923" s="582"/>
    </row>
    <row r="2924" spans="1:7" ht="15" x14ac:dyDescent="0.2">
      <c r="A2924" s="583" t="s">
        <v>17854</v>
      </c>
      <c r="B2924" s="605" t="s">
        <v>17855</v>
      </c>
      <c r="C2924" s="606" t="s">
        <v>12483</v>
      </c>
      <c r="D2924" s="607">
        <v>2302.1999999999998</v>
      </c>
      <c r="E2924" s="607">
        <v>70.680000000000007</v>
      </c>
      <c r="F2924" s="607">
        <v>2372.88</v>
      </c>
      <c r="G2924" s="584">
        <v>15</v>
      </c>
    </row>
    <row r="2925" spans="1:7" ht="15" x14ac:dyDescent="0.2">
      <c r="A2925" s="583" t="s">
        <v>17856</v>
      </c>
      <c r="B2925" s="605" t="s">
        <v>17857</v>
      </c>
      <c r="C2925" s="606" t="s">
        <v>12483</v>
      </c>
      <c r="D2925" s="607">
        <v>780.5</v>
      </c>
      <c r="E2925" s="607">
        <v>70.680000000000007</v>
      </c>
      <c r="F2925" s="607">
        <v>851.18</v>
      </c>
      <c r="G2925" s="584">
        <v>15</v>
      </c>
    </row>
    <row r="2926" spans="1:7" ht="15" x14ac:dyDescent="0.2">
      <c r="A2926" s="583" t="s">
        <v>17858</v>
      </c>
      <c r="B2926" s="605" t="s">
        <v>17859</v>
      </c>
      <c r="C2926" s="606" t="s">
        <v>12375</v>
      </c>
      <c r="D2926" s="607">
        <v>1190.18</v>
      </c>
      <c r="E2926" s="607">
        <v>150.72</v>
      </c>
      <c r="F2926" s="607">
        <v>1340.9</v>
      </c>
      <c r="G2926" s="584">
        <v>15</v>
      </c>
    </row>
    <row r="2927" spans="1:7" ht="15" x14ac:dyDescent="0.2">
      <c r="A2927" s="583" t="s">
        <v>17860</v>
      </c>
      <c r="B2927" s="605" t="s">
        <v>17861</v>
      </c>
      <c r="C2927" s="606" t="s">
        <v>12375</v>
      </c>
      <c r="D2927" s="607">
        <v>216.57</v>
      </c>
      <c r="E2927" s="607">
        <v>25.12</v>
      </c>
      <c r="F2927" s="607">
        <v>241.69</v>
      </c>
      <c r="G2927" s="584">
        <v>15</v>
      </c>
    </row>
    <row r="2928" spans="1:7" ht="15" x14ac:dyDescent="0.2">
      <c r="A2928" s="583" t="s">
        <v>17862</v>
      </c>
      <c r="B2928" s="605" t="s">
        <v>17863</v>
      </c>
      <c r="C2928" s="606" t="s">
        <v>12375</v>
      </c>
      <c r="D2928" s="607">
        <v>267.69</v>
      </c>
      <c r="E2928" s="607">
        <v>25.12</v>
      </c>
      <c r="F2928" s="607">
        <v>292.81</v>
      </c>
      <c r="G2928" s="584">
        <v>15</v>
      </c>
    </row>
    <row r="2929" spans="1:7" ht="15" x14ac:dyDescent="0.2">
      <c r="A2929" s="583" t="s">
        <v>17864</v>
      </c>
      <c r="B2929" s="605" t="s">
        <v>17865</v>
      </c>
      <c r="C2929" s="606" t="s">
        <v>12375</v>
      </c>
      <c r="D2929" s="607">
        <v>291.26</v>
      </c>
      <c r="E2929" s="607">
        <v>25.12</v>
      </c>
      <c r="F2929" s="607">
        <v>316.38</v>
      </c>
      <c r="G2929" s="584">
        <v>15</v>
      </c>
    </row>
    <row r="2930" spans="1:7" ht="15" x14ac:dyDescent="0.2">
      <c r="A2930" s="583" t="s">
        <v>17866</v>
      </c>
      <c r="B2930" s="605" t="s">
        <v>17867</v>
      </c>
      <c r="C2930" s="606" t="s">
        <v>12375</v>
      </c>
      <c r="D2930" s="607">
        <v>435.13</v>
      </c>
      <c r="E2930" s="607">
        <v>25.12</v>
      </c>
      <c r="F2930" s="607">
        <v>460.25</v>
      </c>
      <c r="G2930" s="584">
        <v>15</v>
      </c>
    </row>
    <row r="2931" spans="1:7" ht="15" x14ac:dyDescent="0.2">
      <c r="A2931" s="583" t="s">
        <v>17868</v>
      </c>
      <c r="B2931" s="605" t="s">
        <v>17869</v>
      </c>
      <c r="C2931" s="606" t="s">
        <v>12375</v>
      </c>
      <c r="D2931" s="607">
        <v>986.55</v>
      </c>
      <c r="E2931" s="607">
        <v>25.12</v>
      </c>
      <c r="F2931" s="607">
        <v>1011.67</v>
      </c>
      <c r="G2931" s="584">
        <v>15</v>
      </c>
    </row>
    <row r="2932" spans="1:7" ht="15" x14ac:dyDescent="0.2">
      <c r="A2932" s="583" t="s">
        <v>17870</v>
      </c>
      <c r="B2932" s="605" t="s">
        <v>17871</v>
      </c>
      <c r="C2932" s="606" t="s">
        <v>12375</v>
      </c>
      <c r="D2932" s="607">
        <v>369.69</v>
      </c>
      <c r="E2932" s="607">
        <v>25.12</v>
      </c>
      <c r="F2932" s="607">
        <v>394.81</v>
      </c>
      <c r="G2932" s="584">
        <v>15</v>
      </c>
    </row>
    <row r="2933" spans="1:7" ht="15" x14ac:dyDescent="0.2">
      <c r="A2933" s="583" t="s">
        <v>17872</v>
      </c>
      <c r="B2933" s="605" t="s">
        <v>17873</v>
      </c>
      <c r="C2933" s="606" t="s">
        <v>12375</v>
      </c>
      <c r="D2933" s="607">
        <v>431.42</v>
      </c>
      <c r="E2933" s="607">
        <v>25.12</v>
      </c>
      <c r="F2933" s="607">
        <v>456.54</v>
      </c>
      <c r="G2933" s="584">
        <v>15</v>
      </c>
    </row>
    <row r="2934" spans="1:7" ht="15" x14ac:dyDescent="0.2">
      <c r="A2934" s="583" t="s">
        <v>17874</v>
      </c>
      <c r="B2934" s="605" t="s">
        <v>17875</v>
      </c>
      <c r="C2934" s="606" t="s">
        <v>12375</v>
      </c>
      <c r="D2934" s="607">
        <v>682.76</v>
      </c>
      <c r="E2934" s="607">
        <v>25.12</v>
      </c>
      <c r="F2934" s="607">
        <v>707.88</v>
      </c>
      <c r="G2934" s="584">
        <v>15</v>
      </c>
    </row>
    <row r="2935" spans="1:7" ht="15" x14ac:dyDescent="0.2">
      <c r="A2935" s="583" t="s">
        <v>17876</v>
      </c>
      <c r="B2935" s="605" t="s">
        <v>17877</v>
      </c>
      <c r="C2935" s="606" t="s">
        <v>12375</v>
      </c>
      <c r="D2935" s="607">
        <v>780.51</v>
      </c>
      <c r="E2935" s="607">
        <v>25.12</v>
      </c>
      <c r="F2935" s="607">
        <v>805.63</v>
      </c>
      <c r="G2935" s="584">
        <v>15</v>
      </c>
    </row>
    <row r="2936" spans="1:7" ht="15" x14ac:dyDescent="0.2">
      <c r="A2936" s="583" t="s">
        <v>17878</v>
      </c>
      <c r="B2936" s="605" t="s">
        <v>17879</v>
      </c>
      <c r="C2936" s="606" t="s">
        <v>12375</v>
      </c>
      <c r="D2936" s="607">
        <v>1383.13</v>
      </c>
      <c r="E2936" s="607">
        <v>25.12</v>
      </c>
      <c r="F2936" s="607">
        <v>1408.25</v>
      </c>
      <c r="G2936" s="584">
        <v>15</v>
      </c>
    </row>
    <row r="2937" spans="1:7" ht="15" x14ac:dyDescent="0.2">
      <c r="A2937" s="583" t="s">
        <v>17880</v>
      </c>
      <c r="B2937" s="605" t="s">
        <v>17881</v>
      </c>
      <c r="C2937" s="606" t="s">
        <v>12375</v>
      </c>
      <c r="D2937" s="607">
        <v>1495.58</v>
      </c>
      <c r="E2937" s="607">
        <v>25.12</v>
      </c>
      <c r="F2937" s="607">
        <v>1520.7</v>
      </c>
      <c r="G2937" s="584">
        <v>15</v>
      </c>
    </row>
    <row r="2938" spans="1:7" ht="15" x14ac:dyDescent="0.2">
      <c r="A2938" s="583" t="s">
        <v>17882</v>
      </c>
      <c r="B2938" s="605" t="s">
        <v>17883</v>
      </c>
      <c r="C2938" s="606" t="s">
        <v>12375</v>
      </c>
      <c r="D2938" s="607">
        <v>1548.15</v>
      </c>
      <c r="E2938" s="607">
        <v>25.12</v>
      </c>
      <c r="F2938" s="607">
        <v>1573.27</v>
      </c>
      <c r="G2938" s="584">
        <v>15</v>
      </c>
    </row>
    <row r="2939" spans="1:7" ht="15" x14ac:dyDescent="0.2">
      <c r="A2939" s="583" t="s">
        <v>17884</v>
      </c>
      <c r="B2939" s="605" t="s">
        <v>17885</v>
      </c>
      <c r="C2939" s="606" t="s">
        <v>12375</v>
      </c>
      <c r="D2939" s="607">
        <v>4878.9399999999996</v>
      </c>
      <c r="E2939" s="607">
        <v>25.12</v>
      </c>
      <c r="F2939" s="607">
        <v>4904.0600000000004</v>
      </c>
      <c r="G2939" s="584">
        <v>15</v>
      </c>
    </row>
    <row r="2940" spans="1:7" ht="15" x14ac:dyDescent="0.2">
      <c r="A2940" s="583" t="s">
        <v>17886</v>
      </c>
      <c r="B2940" s="605" t="s">
        <v>17887</v>
      </c>
      <c r="C2940" s="606" t="s">
        <v>12375</v>
      </c>
      <c r="D2940" s="607">
        <v>2162.2199999999998</v>
      </c>
      <c r="E2940" s="607">
        <v>25.12</v>
      </c>
      <c r="F2940" s="607">
        <v>2187.34</v>
      </c>
      <c r="G2940" s="584">
        <v>15</v>
      </c>
    </row>
    <row r="2941" spans="1:7" ht="15" x14ac:dyDescent="0.2">
      <c r="A2941" s="583" t="s">
        <v>17888</v>
      </c>
      <c r="B2941" s="605" t="s">
        <v>17889</v>
      </c>
      <c r="C2941" s="606" t="s">
        <v>12375</v>
      </c>
      <c r="D2941" s="607">
        <v>784.74</v>
      </c>
      <c r="E2941" s="607">
        <v>25.12</v>
      </c>
      <c r="F2941" s="607">
        <v>809.86</v>
      </c>
      <c r="G2941" s="584">
        <v>15</v>
      </c>
    </row>
    <row r="2942" spans="1:7" ht="15" x14ac:dyDescent="0.2">
      <c r="A2942" s="583" t="s">
        <v>17890</v>
      </c>
      <c r="B2942" s="605" t="s">
        <v>17891</v>
      </c>
      <c r="C2942" s="606" t="s">
        <v>12375</v>
      </c>
      <c r="D2942" s="607">
        <v>780.32</v>
      </c>
      <c r="E2942" s="607">
        <v>25.12</v>
      </c>
      <c r="F2942" s="607">
        <v>805.44</v>
      </c>
      <c r="G2942" s="584">
        <v>15</v>
      </c>
    </row>
    <row r="2943" spans="1:7" ht="15" x14ac:dyDescent="0.2">
      <c r="A2943" s="583" t="s">
        <v>17892</v>
      </c>
      <c r="B2943" s="605" t="s">
        <v>17893</v>
      </c>
      <c r="C2943" s="606" t="s">
        <v>12375</v>
      </c>
      <c r="D2943" s="607">
        <v>955.33</v>
      </c>
      <c r="E2943" s="607">
        <v>25.12</v>
      </c>
      <c r="F2943" s="607">
        <v>980.45</v>
      </c>
      <c r="G2943" s="584">
        <v>15</v>
      </c>
    </row>
    <row r="2944" spans="1:7" ht="15" x14ac:dyDescent="0.25">
      <c r="A2944" s="583" t="s">
        <v>17894</v>
      </c>
      <c r="B2944" s="605" t="s">
        <v>17895</v>
      </c>
      <c r="C2944" s="606"/>
      <c r="D2944" s="607"/>
      <c r="E2944" s="607"/>
      <c r="F2944" s="607"/>
      <c r="G2944" s="582"/>
    </row>
    <row r="2945" spans="1:7" ht="15" x14ac:dyDescent="0.2">
      <c r="A2945" s="583" t="s">
        <v>17896</v>
      </c>
      <c r="B2945" s="605" t="s">
        <v>17897</v>
      </c>
      <c r="C2945" s="606" t="s">
        <v>12375</v>
      </c>
      <c r="D2945" s="607">
        <v>10.07</v>
      </c>
      <c r="E2945" s="607">
        <v>20.100000000000001</v>
      </c>
      <c r="F2945" s="607">
        <v>30.17</v>
      </c>
      <c r="G2945" s="584">
        <v>15</v>
      </c>
    </row>
    <row r="2946" spans="1:7" ht="15" x14ac:dyDescent="0.2">
      <c r="A2946" s="583" t="s">
        <v>17898</v>
      </c>
      <c r="B2946" s="605" t="s">
        <v>17899</v>
      </c>
      <c r="C2946" s="606" t="s">
        <v>12375</v>
      </c>
      <c r="D2946" s="607">
        <v>0.05</v>
      </c>
      <c r="E2946" s="607">
        <v>25.12</v>
      </c>
      <c r="F2946" s="607">
        <v>25.17</v>
      </c>
      <c r="G2946" s="584">
        <v>15</v>
      </c>
    </row>
    <row r="2947" spans="1:7" ht="15" x14ac:dyDescent="0.2">
      <c r="A2947" s="583" t="s">
        <v>17900</v>
      </c>
      <c r="B2947" s="605" t="s">
        <v>17901</v>
      </c>
      <c r="C2947" s="606" t="s">
        <v>12375</v>
      </c>
      <c r="D2947" s="607">
        <v>0.06</v>
      </c>
      <c r="E2947" s="607">
        <v>25.12</v>
      </c>
      <c r="F2947" s="607">
        <v>25.18</v>
      </c>
      <c r="G2947" s="584">
        <v>15</v>
      </c>
    </row>
    <row r="2948" spans="1:7" ht="15" x14ac:dyDescent="0.2">
      <c r="A2948" s="583" t="s">
        <v>17902</v>
      </c>
      <c r="B2948" s="605" t="s">
        <v>17903</v>
      </c>
      <c r="C2948" s="606" t="s">
        <v>12375</v>
      </c>
      <c r="D2948" s="607">
        <v>1.82</v>
      </c>
      <c r="E2948" s="607">
        <v>70.680000000000007</v>
      </c>
      <c r="F2948" s="607">
        <v>72.5</v>
      </c>
      <c r="G2948" s="584">
        <v>15</v>
      </c>
    </row>
    <row r="2949" spans="1:7" ht="15" x14ac:dyDescent="0.2">
      <c r="A2949" s="583" t="s">
        <v>17904</v>
      </c>
      <c r="B2949" s="605" t="s">
        <v>17905</v>
      </c>
      <c r="C2949" s="606" t="s">
        <v>12375</v>
      </c>
      <c r="D2949" s="607"/>
      <c r="E2949" s="607">
        <v>125.6</v>
      </c>
      <c r="F2949" s="607">
        <v>125.6</v>
      </c>
      <c r="G2949" s="584">
        <v>15</v>
      </c>
    </row>
    <row r="2950" spans="1:7" ht="15" x14ac:dyDescent="0.2">
      <c r="A2950" s="583" t="s">
        <v>17906</v>
      </c>
      <c r="B2950" s="605" t="s">
        <v>17907</v>
      </c>
      <c r="C2950" s="606" t="s">
        <v>12375</v>
      </c>
      <c r="D2950" s="607">
        <v>26.08</v>
      </c>
      <c r="E2950" s="607">
        <v>6.13</v>
      </c>
      <c r="F2950" s="607">
        <v>32.21</v>
      </c>
      <c r="G2950" s="584">
        <v>15</v>
      </c>
    </row>
    <row r="2951" spans="1:7" ht="15" x14ac:dyDescent="0.2">
      <c r="A2951" s="583" t="s">
        <v>17908</v>
      </c>
      <c r="B2951" s="605" t="s">
        <v>17909</v>
      </c>
      <c r="C2951" s="606" t="s">
        <v>12375</v>
      </c>
      <c r="D2951" s="607">
        <v>7.53</v>
      </c>
      <c r="E2951" s="607">
        <v>6.13</v>
      </c>
      <c r="F2951" s="607">
        <v>13.66</v>
      </c>
      <c r="G2951" s="584">
        <v>15</v>
      </c>
    </row>
    <row r="2952" spans="1:7" ht="15" x14ac:dyDescent="0.2">
      <c r="A2952" s="583" t="s">
        <v>17910</v>
      </c>
      <c r="B2952" s="605" t="s">
        <v>17911</v>
      </c>
      <c r="C2952" s="606" t="s">
        <v>12375</v>
      </c>
      <c r="D2952" s="607">
        <v>127.29</v>
      </c>
      <c r="E2952" s="607">
        <v>3.47</v>
      </c>
      <c r="F2952" s="607">
        <v>130.76</v>
      </c>
      <c r="G2952" s="584">
        <v>15</v>
      </c>
    </row>
    <row r="2953" spans="1:7" ht="30" x14ac:dyDescent="0.2">
      <c r="A2953" s="583" t="s">
        <v>17912</v>
      </c>
      <c r="B2953" s="605" t="s">
        <v>17913</v>
      </c>
      <c r="C2953" s="606" t="s">
        <v>12375</v>
      </c>
      <c r="D2953" s="607">
        <v>47.71</v>
      </c>
      <c r="E2953" s="607">
        <v>2.04</v>
      </c>
      <c r="F2953" s="607">
        <v>49.75</v>
      </c>
      <c r="G2953" s="584">
        <v>15</v>
      </c>
    </row>
    <row r="2954" spans="1:7" ht="15" x14ac:dyDescent="0.2">
      <c r="A2954" s="583" t="s">
        <v>17914</v>
      </c>
      <c r="B2954" s="605" t="s">
        <v>17915</v>
      </c>
      <c r="C2954" s="606" t="s">
        <v>12375</v>
      </c>
      <c r="D2954" s="607">
        <v>78.510000000000005</v>
      </c>
      <c r="E2954" s="607">
        <v>6.13</v>
      </c>
      <c r="F2954" s="607">
        <v>84.64</v>
      </c>
      <c r="G2954" s="584">
        <v>15</v>
      </c>
    </row>
    <row r="2955" spans="1:7" ht="15" x14ac:dyDescent="0.2">
      <c r="A2955" s="583" t="s">
        <v>17916</v>
      </c>
      <c r="B2955" s="605" t="s">
        <v>17917</v>
      </c>
      <c r="C2955" s="606" t="s">
        <v>12375</v>
      </c>
      <c r="D2955" s="607">
        <v>54.58</v>
      </c>
      <c r="E2955" s="607">
        <v>3.47</v>
      </c>
      <c r="F2955" s="607">
        <v>58.05</v>
      </c>
      <c r="G2955" s="584">
        <v>15</v>
      </c>
    </row>
    <row r="2956" spans="1:7" ht="15" x14ac:dyDescent="0.2">
      <c r="A2956" s="583" t="s">
        <v>17918</v>
      </c>
      <c r="B2956" s="605" t="s">
        <v>17919</v>
      </c>
      <c r="C2956" s="606" t="s">
        <v>12375</v>
      </c>
      <c r="D2956" s="607">
        <v>46.78</v>
      </c>
      <c r="E2956" s="607">
        <v>3.47</v>
      </c>
      <c r="F2956" s="607">
        <v>50.25</v>
      </c>
      <c r="G2956" s="584">
        <v>15</v>
      </c>
    </row>
    <row r="2957" spans="1:7" ht="15" x14ac:dyDescent="0.2">
      <c r="A2957" s="583" t="s">
        <v>17920</v>
      </c>
      <c r="B2957" s="605" t="s">
        <v>17921</v>
      </c>
      <c r="C2957" s="606" t="s">
        <v>12375</v>
      </c>
      <c r="D2957" s="607">
        <v>74.67</v>
      </c>
      <c r="E2957" s="607">
        <v>45.22</v>
      </c>
      <c r="F2957" s="607">
        <v>119.89</v>
      </c>
      <c r="G2957" s="584">
        <v>15</v>
      </c>
    </row>
    <row r="2958" spans="1:7" ht="15" x14ac:dyDescent="0.2">
      <c r="A2958" s="583" t="s">
        <v>17922</v>
      </c>
      <c r="B2958" s="605" t="s">
        <v>17923</v>
      </c>
      <c r="C2958" s="606" t="s">
        <v>12375</v>
      </c>
      <c r="D2958" s="607">
        <v>156.4</v>
      </c>
      <c r="E2958" s="607">
        <v>25.12</v>
      </c>
      <c r="F2958" s="607">
        <v>181.52</v>
      </c>
      <c r="G2958" s="584">
        <v>15</v>
      </c>
    </row>
    <row r="2959" spans="1:7" ht="15" x14ac:dyDescent="0.2">
      <c r="A2959" s="583" t="s">
        <v>17924</v>
      </c>
      <c r="B2959" s="605" t="s">
        <v>17925</v>
      </c>
      <c r="C2959" s="606" t="s">
        <v>12375</v>
      </c>
      <c r="D2959" s="607">
        <v>162.38999999999999</v>
      </c>
      <c r="E2959" s="607">
        <v>25.12</v>
      </c>
      <c r="F2959" s="607">
        <v>187.51</v>
      </c>
      <c r="G2959" s="584">
        <v>15</v>
      </c>
    </row>
    <row r="2960" spans="1:7" ht="15" x14ac:dyDescent="0.2">
      <c r="A2960" s="583" t="s">
        <v>17926</v>
      </c>
      <c r="B2960" s="605" t="s">
        <v>17927</v>
      </c>
      <c r="C2960" s="606" t="s">
        <v>12375</v>
      </c>
      <c r="D2960" s="607">
        <v>32.520000000000003</v>
      </c>
      <c r="E2960" s="607">
        <v>6.13</v>
      </c>
      <c r="F2960" s="607">
        <v>38.65</v>
      </c>
      <c r="G2960" s="584">
        <v>15</v>
      </c>
    </row>
    <row r="2961" spans="1:7" ht="15" x14ac:dyDescent="0.2">
      <c r="A2961" s="583" t="s">
        <v>17928</v>
      </c>
      <c r="B2961" s="605" t="s">
        <v>17929</v>
      </c>
      <c r="C2961" s="606" t="s">
        <v>12375</v>
      </c>
      <c r="D2961" s="607">
        <v>8.31</v>
      </c>
      <c r="E2961" s="607">
        <v>20.100000000000001</v>
      </c>
      <c r="F2961" s="607">
        <v>28.41</v>
      </c>
      <c r="G2961" s="584">
        <v>15</v>
      </c>
    </row>
    <row r="2962" spans="1:7" ht="15" x14ac:dyDescent="0.2">
      <c r="A2962" s="583" t="s">
        <v>17930</v>
      </c>
      <c r="B2962" s="605" t="s">
        <v>17931</v>
      </c>
      <c r="C2962" s="606" t="s">
        <v>12375</v>
      </c>
      <c r="D2962" s="607">
        <v>14.46</v>
      </c>
      <c r="E2962" s="607">
        <v>20.100000000000001</v>
      </c>
      <c r="F2962" s="607">
        <v>34.56</v>
      </c>
      <c r="G2962" s="584">
        <v>15</v>
      </c>
    </row>
    <row r="2963" spans="1:7" ht="15" x14ac:dyDescent="0.2">
      <c r="A2963" s="583" t="s">
        <v>17932</v>
      </c>
      <c r="B2963" s="605" t="s">
        <v>17933</v>
      </c>
      <c r="C2963" s="606" t="s">
        <v>12375</v>
      </c>
      <c r="D2963" s="607">
        <v>38.729999999999997</v>
      </c>
      <c r="E2963" s="607">
        <v>3.07</v>
      </c>
      <c r="F2963" s="607">
        <v>41.8</v>
      </c>
      <c r="G2963" s="584">
        <v>15</v>
      </c>
    </row>
    <row r="2964" spans="1:7" ht="15" x14ac:dyDescent="0.2">
      <c r="A2964" s="583" t="s">
        <v>17934</v>
      </c>
      <c r="B2964" s="605" t="s">
        <v>17935</v>
      </c>
      <c r="C2964" s="606" t="s">
        <v>12375</v>
      </c>
      <c r="D2964" s="607">
        <v>9.26</v>
      </c>
      <c r="E2964" s="607">
        <v>8.5399999999999991</v>
      </c>
      <c r="F2964" s="607">
        <v>17.8</v>
      </c>
      <c r="G2964" s="584">
        <v>15</v>
      </c>
    </row>
    <row r="2965" spans="1:7" ht="15" x14ac:dyDescent="0.2">
      <c r="A2965" s="583" t="s">
        <v>17936</v>
      </c>
      <c r="B2965" s="605" t="s">
        <v>17937</v>
      </c>
      <c r="C2965" s="606" t="s">
        <v>12375</v>
      </c>
      <c r="D2965" s="607">
        <v>430.24</v>
      </c>
      <c r="E2965" s="607">
        <v>35.340000000000003</v>
      </c>
      <c r="F2965" s="607">
        <v>465.58</v>
      </c>
      <c r="G2965" s="584">
        <v>15</v>
      </c>
    </row>
    <row r="2966" spans="1:7" ht="15" x14ac:dyDescent="0.2">
      <c r="A2966" s="583" t="s">
        <v>17938</v>
      </c>
      <c r="B2966" s="605" t="s">
        <v>17939</v>
      </c>
      <c r="C2966" s="606" t="s">
        <v>12375</v>
      </c>
      <c r="D2966" s="607">
        <v>7.81</v>
      </c>
      <c r="E2966" s="607">
        <v>2.04</v>
      </c>
      <c r="F2966" s="607">
        <v>9.85</v>
      </c>
      <c r="G2966" s="584">
        <v>15</v>
      </c>
    </row>
    <row r="2967" spans="1:7" ht="15" x14ac:dyDescent="0.2">
      <c r="A2967" s="583" t="s">
        <v>17940</v>
      </c>
      <c r="B2967" s="605" t="s">
        <v>17941</v>
      </c>
      <c r="C2967" s="606" t="s">
        <v>12375</v>
      </c>
      <c r="D2967" s="607">
        <v>62.76</v>
      </c>
      <c r="E2967" s="607">
        <v>2.04</v>
      </c>
      <c r="F2967" s="607">
        <v>64.8</v>
      </c>
      <c r="G2967" s="584">
        <v>15</v>
      </c>
    </row>
    <row r="2968" spans="1:7" ht="15" x14ac:dyDescent="0.2">
      <c r="A2968" s="583" t="s">
        <v>17942</v>
      </c>
      <c r="B2968" s="605" t="s">
        <v>17943</v>
      </c>
      <c r="C2968" s="606" t="s">
        <v>12375</v>
      </c>
      <c r="D2968" s="607">
        <v>86.09</v>
      </c>
      <c r="E2968" s="607">
        <v>10.050000000000001</v>
      </c>
      <c r="F2968" s="607">
        <v>96.14</v>
      </c>
      <c r="G2968" s="584">
        <v>15</v>
      </c>
    </row>
    <row r="2969" spans="1:7" ht="15" x14ac:dyDescent="0.2">
      <c r="A2969" s="583" t="s">
        <v>17944</v>
      </c>
      <c r="B2969" s="605" t="s">
        <v>17945</v>
      </c>
      <c r="C2969" s="606" t="s">
        <v>12375</v>
      </c>
      <c r="D2969" s="607">
        <v>31.34</v>
      </c>
      <c r="E2969" s="607">
        <v>10.050000000000001</v>
      </c>
      <c r="F2969" s="607">
        <v>41.39</v>
      </c>
      <c r="G2969" s="584">
        <v>15</v>
      </c>
    </row>
    <row r="2970" spans="1:7" ht="15" x14ac:dyDescent="0.25">
      <c r="A2970" s="583" t="s">
        <v>17946</v>
      </c>
      <c r="B2970" s="605" t="s">
        <v>17947</v>
      </c>
      <c r="C2970" s="606"/>
      <c r="D2970" s="607"/>
      <c r="E2970" s="607"/>
      <c r="F2970" s="607"/>
      <c r="G2970" s="582"/>
    </row>
    <row r="2971" spans="1:7" ht="15" x14ac:dyDescent="0.25">
      <c r="A2971" s="583" t="s">
        <v>17948</v>
      </c>
      <c r="B2971" s="605" t="s">
        <v>17949</v>
      </c>
      <c r="C2971" s="606"/>
      <c r="D2971" s="607"/>
      <c r="E2971" s="607"/>
      <c r="F2971" s="607"/>
      <c r="G2971" s="582"/>
    </row>
    <row r="2972" spans="1:7" ht="30" x14ac:dyDescent="0.2">
      <c r="A2972" s="583" t="s">
        <v>17950</v>
      </c>
      <c r="B2972" s="605" t="s">
        <v>17951</v>
      </c>
      <c r="C2972" s="606" t="s">
        <v>12375</v>
      </c>
      <c r="D2972" s="607">
        <v>851.03</v>
      </c>
      <c r="E2972" s="607">
        <v>618.21</v>
      </c>
      <c r="F2972" s="607">
        <v>1469.24</v>
      </c>
      <c r="G2972" s="584">
        <v>15</v>
      </c>
    </row>
    <row r="2973" spans="1:7" ht="30" x14ac:dyDescent="0.2">
      <c r="A2973" s="583" t="s">
        <v>17952</v>
      </c>
      <c r="B2973" s="605" t="s">
        <v>17953</v>
      </c>
      <c r="C2973" s="606" t="s">
        <v>12375</v>
      </c>
      <c r="D2973" s="607">
        <v>886.95</v>
      </c>
      <c r="E2973" s="607">
        <v>618.21</v>
      </c>
      <c r="F2973" s="607">
        <v>1505.16</v>
      </c>
      <c r="G2973" s="584">
        <v>15</v>
      </c>
    </row>
    <row r="2974" spans="1:7" ht="30" x14ac:dyDescent="0.2">
      <c r="A2974" s="583" t="s">
        <v>17954</v>
      </c>
      <c r="B2974" s="605" t="s">
        <v>17955</v>
      </c>
      <c r="C2974" s="606" t="s">
        <v>12375</v>
      </c>
      <c r="D2974" s="607">
        <v>2527.88</v>
      </c>
      <c r="E2974" s="607">
        <v>1090.19</v>
      </c>
      <c r="F2974" s="607">
        <v>3618.07</v>
      </c>
      <c r="G2974" s="584">
        <v>15</v>
      </c>
    </row>
    <row r="2975" spans="1:7" ht="30" x14ac:dyDescent="0.2">
      <c r="A2975" s="583" t="s">
        <v>17956</v>
      </c>
      <c r="B2975" s="605" t="s">
        <v>17957</v>
      </c>
      <c r="C2975" s="606" t="s">
        <v>12375</v>
      </c>
      <c r="D2975" s="607">
        <v>2675.62</v>
      </c>
      <c r="E2975" s="607">
        <v>1090.19</v>
      </c>
      <c r="F2975" s="607">
        <v>3765.81</v>
      </c>
      <c r="G2975" s="584">
        <v>15</v>
      </c>
    </row>
    <row r="2976" spans="1:7" ht="30" x14ac:dyDescent="0.2">
      <c r="A2976" s="583" t="s">
        <v>17958</v>
      </c>
      <c r="B2976" s="605" t="s">
        <v>17959</v>
      </c>
      <c r="C2976" s="606" t="s">
        <v>12375</v>
      </c>
      <c r="D2976" s="607">
        <v>2963.15</v>
      </c>
      <c r="E2976" s="607">
        <v>1090.19</v>
      </c>
      <c r="F2976" s="607">
        <v>4053.34</v>
      </c>
      <c r="G2976" s="584">
        <v>15</v>
      </c>
    </row>
    <row r="2977" spans="1:7" ht="30" x14ac:dyDescent="0.2">
      <c r="A2977" s="583" t="s">
        <v>17960</v>
      </c>
      <c r="B2977" s="605" t="s">
        <v>17961</v>
      </c>
      <c r="C2977" s="606" t="s">
        <v>12375</v>
      </c>
      <c r="D2977" s="607">
        <v>3300.56</v>
      </c>
      <c r="E2977" s="607">
        <v>1090.19</v>
      </c>
      <c r="F2977" s="607">
        <v>4390.75</v>
      </c>
      <c r="G2977" s="584">
        <v>15</v>
      </c>
    </row>
    <row r="2978" spans="1:7" ht="15" x14ac:dyDescent="0.25">
      <c r="A2978" s="583" t="s">
        <v>17962</v>
      </c>
      <c r="B2978" s="605" t="s">
        <v>17963</v>
      </c>
      <c r="C2978" s="606"/>
      <c r="D2978" s="607"/>
      <c r="E2978" s="607"/>
      <c r="F2978" s="607"/>
      <c r="G2978" s="582"/>
    </row>
    <row r="2979" spans="1:7" ht="15" x14ac:dyDescent="0.2">
      <c r="A2979" s="583" t="s">
        <v>17964</v>
      </c>
      <c r="B2979" s="605" t="s">
        <v>21442</v>
      </c>
      <c r="C2979" s="606" t="s">
        <v>12375</v>
      </c>
      <c r="D2979" s="607">
        <v>2450.67</v>
      </c>
      <c r="E2979" s="607">
        <v>788.07</v>
      </c>
      <c r="F2979" s="607">
        <v>3238.74</v>
      </c>
      <c r="G2979" s="584">
        <v>15</v>
      </c>
    </row>
    <row r="2980" spans="1:7" ht="15" x14ac:dyDescent="0.2">
      <c r="A2980" s="583" t="s">
        <v>17965</v>
      </c>
      <c r="B2980" s="605" t="s">
        <v>17966</v>
      </c>
      <c r="C2980" s="606" t="s">
        <v>12375</v>
      </c>
      <c r="D2980" s="607">
        <v>5840.91</v>
      </c>
      <c r="E2980" s="607">
        <v>1683.42</v>
      </c>
      <c r="F2980" s="607">
        <v>7524.33</v>
      </c>
      <c r="G2980" s="584">
        <v>15</v>
      </c>
    </row>
    <row r="2981" spans="1:7" ht="15" x14ac:dyDescent="0.2">
      <c r="A2981" s="583" t="s">
        <v>17967</v>
      </c>
      <c r="B2981" s="605" t="s">
        <v>17968</v>
      </c>
      <c r="C2981" s="606" t="s">
        <v>12375</v>
      </c>
      <c r="D2981" s="607">
        <v>9688.76</v>
      </c>
      <c r="E2981" s="607">
        <v>2219.0100000000002</v>
      </c>
      <c r="F2981" s="607">
        <v>11907.77</v>
      </c>
      <c r="G2981" s="584">
        <v>15</v>
      </c>
    </row>
    <row r="2982" spans="1:7" ht="15" x14ac:dyDescent="0.2">
      <c r="A2982" s="583" t="s">
        <v>17969</v>
      </c>
      <c r="B2982" s="605" t="s">
        <v>17970</v>
      </c>
      <c r="C2982" s="606" t="s">
        <v>12375</v>
      </c>
      <c r="D2982" s="607">
        <v>13518.33</v>
      </c>
      <c r="E2982" s="607">
        <v>2690.37</v>
      </c>
      <c r="F2982" s="607">
        <v>16208.7</v>
      </c>
      <c r="G2982" s="584">
        <v>15</v>
      </c>
    </row>
    <row r="2983" spans="1:7" ht="15" x14ac:dyDescent="0.2">
      <c r="A2983" s="583" t="s">
        <v>17971</v>
      </c>
      <c r="B2983" s="605" t="s">
        <v>17972</v>
      </c>
      <c r="C2983" s="606" t="s">
        <v>12375</v>
      </c>
      <c r="D2983" s="607">
        <v>593.95000000000005</v>
      </c>
      <c r="E2983" s="607">
        <v>535.47</v>
      </c>
      <c r="F2983" s="607">
        <v>1129.42</v>
      </c>
      <c r="G2983" s="584">
        <v>15</v>
      </c>
    </row>
    <row r="2984" spans="1:7" ht="15" x14ac:dyDescent="0.25">
      <c r="A2984" s="583" t="s">
        <v>17973</v>
      </c>
      <c r="B2984" s="605" t="s">
        <v>17974</v>
      </c>
      <c r="C2984" s="606"/>
      <c r="D2984" s="607"/>
      <c r="E2984" s="607"/>
      <c r="F2984" s="607"/>
      <c r="G2984" s="582"/>
    </row>
    <row r="2985" spans="1:7" ht="15" x14ac:dyDescent="0.2">
      <c r="A2985" s="583" t="s">
        <v>17975</v>
      </c>
      <c r="B2985" s="605" t="s">
        <v>17976</v>
      </c>
      <c r="C2985" s="606" t="s">
        <v>12375</v>
      </c>
      <c r="D2985" s="607">
        <v>1879.86</v>
      </c>
      <c r="E2985" s="607">
        <v>37.68</v>
      </c>
      <c r="F2985" s="607">
        <v>1917.54</v>
      </c>
      <c r="G2985" s="584">
        <v>15</v>
      </c>
    </row>
    <row r="2986" spans="1:7" ht="15" x14ac:dyDescent="0.2">
      <c r="A2986" s="583" t="s">
        <v>17977</v>
      </c>
      <c r="B2986" s="605" t="s">
        <v>17978</v>
      </c>
      <c r="C2986" s="606" t="s">
        <v>12375</v>
      </c>
      <c r="D2986" s="607">
        <v>3339.59</v>
      </c>
      <c r="E2986" s="607">
        <v>37.68</v>
      </c>
      <c r="F2986" s="607">
        <v>3377.27</v>
      </c>
      <c r="G2986" s="584">
        <v>15</v>
      </c>
    </row>
    <row r="2987" spans="1:7" ht="15" x14ac:dyDescent="0.2">
      <c r="A2987" s="583" t="s">
        <v>17979</v>
      </c>
      <c r="B2987" s="605" t="s">
        <v>17980</v>
      </c>
      <c r="C2987" s="606" t="s">
        <v>12375</v>
      </c>
      <c r="D2987" s="607">
        <v>558.54999999999995</v>
      </c>
      <c r="E2987" s="607">
        <v>60.29</v>
      </c>
      <c r="F2987" s="607">
        <v>618.84</v>
      </c>
      <c r="G2987" s="584">
        <v>15</v>
      </c>
    </row>
    <row r="2988" spans="1:7" ht="15" x14ac:dyDescent="0.2">
      <c r="A2988" s="583" t="s">
        <v>17981</v>
      </c>
      <c r="B2988" s="605" t="s">
        <v>17982</v>
      </c>
      <c r="C2988" s="606" t="s">
        <v>12375</v>
      </c>
      <c r="D2988" s="607">
        <v>931.22</v>
      </c>
      <c r="E2988" s="607">
        <v>60.29</v>
      </c>
      <c r="F2988" s="607">
        <v>991.51</v>
      </c>
      <c r="G2988" s="584">
        <v>15</v>
      </c>
    </row>
    <row r="2989" spans="1:7" ht="15" x14ac:dyDescent="0.2">
      <c r="A2989" s="583" t="s">
        <v>17983</v>
      </c>
      <c r="B2989" s="605" t="s">
        <v>17984</v>
      </c>
      <c r="C2989" s="606" t="s">
        <v>12375</v>
      </c>
      <c r="D2989" s="607">
        <v>2471.08</v>
      </c>
      <c r="E2989" s="607">
        <v>37.68</v>
      </c>
      <c r="F2989" s="607">
        <v>2508.7600000000002</v>
      </c>
      <c r="G2989" s="584">
        <v>15</v>
      </c>
    </row>
    <row r="2990" spans="1:7" ht="15" x14ac:dyDescent="0.25">
      <c r="A2990" s="583" t="s">
        <v>17985</v>
      </c>
      <c r="B2990" s="605" t="s">
        <v>17986</v>
      </c>
      <c r="C2990" s="606"/>
      <c r="D2990" s="607"/>
      <c r="E2990" s="607"/>
      <c r="F2990" s="607"/>
      <c r="G2990" s="582"/>
    </row>
    <row r="2991" spans="1:7" ht="15" x14ac:dyDescent="0.2">
      <c r="A2991" s="583" t="s">
        <v>17987</v>
      </c>
      <c r="B2991" s="605" t="s">
        <v>17988</v>
      </c>
      <c r="C2991" s="606" t="s">
        <v>12375</v>
      </c>
      <c r="D2991" s="607">
        <v>1076.3800000000001</v>
      </c>
      <c r="E2991" s="607"/>
      <c r="F2991" s="607">
        <v>1076.3800000000001</v>
      </c>
      <c r="G2991" s="584">
        <v>15</v>
      </c>
    </row>
    <row r="2992" spans="1:7" ht="15" x14ac:dyDescent="0.25">
      <c r="A2992" s="583" t="s">
        <v>17989</v>
      </c>
      <c r="B2992" s="605" t="s">
        <v>17990</v>
      </c>
      <c r="C2992" s="606"/>
      <c r="D2992" s="607"/>
      <c r="E2992" s="607"/>
      <c r="F2992" s="607"/>
      <c r="G2992" s="582"/>
    </row>
    <row r="2993" spans="1:7" ht="30" x14ac:dyDescent="0.25">
      <c r="A2993" s="583" t="s">
        <v>17991</v>
      </c>
      <c r="B2993" s="605" t="s">
        <v>17992</v>
      </c>
      <c r="C2993" s="606"/>
      <c r="D2993" s="607"/>
      <c r="E2993" s="607"/>
      <c r="F2993" s="607"/>
      <c r="G2993" s="582"/>
    </row>
    <row r="2994" spans="1:7" ht="30" x14ac:dyDescent="0.2">
      <c r="A2994" s="583" t="s">
        <v>17993</v>
      </c>
      <c r="B2994" s="605" t="s">
        <v>17994</v>
      </c>
      <c r="C2994" s="606" t="s">
        <v>12483</v>
      </c>
      <c r="D2994" s="607">
        <v>6.06</v>
      </c>
      <c r="E2994" s="607">
        <v>25.12</v>
      </c>
      <c r="F2994" s="607">
        <v>31.18</v>
      </c>
      <c r="G2994" s="584">
        <v>15</v>
      </c>
    </row>
    <row r="2995" spans="1:7" ht="30" x14ac:dyDescent="0.2">
      <c r="A2995" s="583" t="s">
        <v>17995</v>
      </c>
      <c r="B2995" s="605" t="s">
        <v>17996</v>
      </c>
      <c r="C2995" s="606" t="s">
        <v>12483</v>
      </c>
      <c r="D2995" s="607">
        <v>5.99</v>
      </c>
      <c r="E2995" s="607">
        <v>25.12</v>
      </c>
      <c r="F2995" s="607">
        <v>31.11</v>
      </c>
      <c r="G2995" s="584">
        <v>15</v>
      </c>
    </row>
    <row r="2996" spans="1:7" ht="30" x14ac:dyDescent="0.2">
      <c r="A2996" s="583" t="s">
        <v>17997</v>
      </c>
      <c r="B2996" s="605" t="s">
        <v>17998</v>
      </c>
      <c r="C2996" s="606" t="s">
        <v>12483</v>
      </c>
      <c r="D2996" s="607">
        <v>13.78</v>
      </c>
      <c r="E2996" s="607">
        <v>25.12</v>
      </c>
      <c r="F2996" s="607">
        <v>38.9</v>
      </c>
      <c r="G2996" s="584">
        <v>15</v>
      </c>
    </row>
    <row r="2997" spans="1:7" ht="30" x14ac:dyDescent="0.2">
      <c r="A2997" s="583" t="s">
        <v>17999</v>
      </c>
      <c r="B2997" s="605" t="s">
        <v>18000</v>
      </c>
      <c r="C2997" s="606" t="s">
        <v>12483</v>
      </c>
      <c r="D2997" s="607">
        <v>23.78</v>
      </c>
      <c r="E2997" s="607">
        <v>25.12</v>
      </c>
      <c r="F2997" s="607">
        <v>48.9</v>
      </c>
      <c r="G2997" s="584">
        <v>15</v>
      </c>
    </row>
    <row r="2998" spans="1:7" ht="30" x14ac:dyDescent="0.2">
      <c r="A2998" s="583" t="s">
        <v>18001</v>
      </c>
      <c r="B2998" s="605" t="s">
        <v>18002</v>
      </c>
      <c r="C2998" s="606" t="s">
        <v>12483</v>
      </c>
      <c r="D2998" s="607">
        <v>20.88</v>
      </c>
      <c r="E2998" s="607">
        <v>30.14</v>
      </c>
      <c r="F2998" s="607">
        <v>51.02</v>
      </c>
      <c r="G2998" s="584">
        <v>15</v>
      </c>
    </row>
    <row r="2999" spans="1:7" ht="30" x14ac:dyDescent="0.2">
      <c r="A2999" s="583" t="s">
        <v>18003</v>
      </c>
      <c r="B2999" s="605" t="s">
        <v>18004</v>
      </c>
      <c r="C2999" s="606" t="s">
        <v>12483</v>
      </c>
      <c r="D2999" s="607">
        <v>44.49</v>
      </c>
      <c r="E2999" s="607">
        <v>35.17</v>
      </c>
      <c r="F2999" s="607">
        <v>79.66</v>
      </c>
      <c r="G2999" s="584">
        <v>15</v>
      </c>
    </row>
    <row r="3000" spans="1:7" ht="30" x14ac:dyDescent="0.2">
      <c r="A3000" s="583" t="s">
        <v>18005</v>
      </c>
      <c r="B3000" s="605" t="s">
        <v>18006</v>
      </c>
      <c r="C3000" s="606" t="s">
        <v>12483</v>
      </c>
      <c r="D3000" s="607">
        <v>68.930000000000007</v>
      </c>
      <c r="E3000" s="607">
        <v>45.22</v>
      </c>
      <c r="F3000" s="607">
        <v>114.15</v>
      </c>
      <c r="G3000" s="584">
        <v>15</v>
      </c>
    </row>
    <row r="3001" spans="1:7" ht="30" x14ac:dyDescent="0.2">
      <c r="A3001" s="583" t="s">
        <v>18007</v>
      </c>
      <c r="B3001" s="605" t="s">
        <v>18008</v>
      </c>
      <c r="C3001" s="606" t="s">
        <v>12483</v>
      </c>
      <c r="D3001" s="607">
        <v>84.03</v>
      </c>
      <c r="E3001" s="607">
        <v>50.24</v>
      </c>
      <c r="F3001" s="607">
        <v>134.27000000000001</v>
      </c>
      <c r="G3001" s="584">
        <v>15</v>
      </c>
    </row>
    <row r="3002" spans="1:7" ht="30" x14ac:dyDescent="0.2">
      <c r="A3002" s="583" t="s">
        <v>18009</v>
      </c>
      <c r="B3002" s="605" t="s">
        <v>18010</v>
      </c>
      <c r="C3002" s="606" t="s">
        <v>12483</v>
      </c>
      <c r="D3002" s="607">
        <v>154.61000000000001</v>
      </c>
      <c r="E3002" s="607">
        <v>55.26</v>
      </c>
      <c r="F3002" s="607">
        <v>209.87</v>
      </c>
      <c r="G3002" s="584">
        <v>15</v>
      </c>
    </row>
    <row r="3003" spans="1:7" ht="15" x14ac:dyDescent="0.25">
      <c r="A3003" s="583" t="s">
        <v>18011</v>
      </c>
      <c r="B3003" s="605" t="s">
        <v>18012</v>
      </c>
      <c r="C3003" s="606"/>
      <c r="D3003" s="607"/>
      <c r="E3003" s="607"/>
      <c r="F3003" s="607"/>
      <c r="G3003" s="582"/>
    </row>
    <row r="3004" spans="1:7" ht="30" x14ac:dyDescent="0.2">
      <c r="A3004" s="583" t="s">
        <v>18013</v>
      </c>
      <c r="B3004" s="605" t="s">
        <v>18014</v>
      </c>
      <c r="C3004" s="606" t="s">
        <v>12483</v>
      </c>
      <c r="D3004" s="607">
        <v>12.6</v>
      </c>
      <c r="E3004" s="607">
        <v>25.12</v>
      </c>
      <c r="F3004" s="607">
        <v>37.72</v>
      </c>
      <c r="G3004" s="584">
        <v>15</v>
      </c>
    </row>
    <row r="3005" spans="1:7" ht="30" x14ac:dyDescent="0.2">
      <c r="A3005" s="583" t="s">
        <v>18015</v>
      </c>
      <c r="B3005" s="605" t="s">
        <v>18016</v>
      </c>
      <c r="C3005" s="606" t="s">
        <v>12483</v>
      </c>
      <c r="D3005" s="607">
        <v>16.39</v>
      </c>
      <c r="E3005" s="607">
        <v>30.14</v>
      </c>
      <c r="F3005" s="607">
        <v>46.53</v>
      </c>
      <c r="G3005" s="584">
        <v>15</v>
      </c>
    </row>
    <row r="3006" spans="1:7" ht="30" x14ac:dyDescent="0.2">
      <c r="A3006" s="583" t="s">
        <v>18017</v>
      </c>
      <c r="B3006" s="605" t="s">
        <v>18018</v>
      </c>
      <c r="C3006" s="606" t="s">
        <v>12483</v>
      </c>
      <c r="D3006" s="607">
        <v>28.27</v>
      </c>
      <c r="E3006" s="607">
        <v>45.22</v>
      </c>
      <c r="F3006" s="607">
        <v>73.489999999999995</v>
      </c>
      <c r="G3006" s="584">
        <v>15</v>
      </c>
    </row>
    <row r="3007" spans="1:7" ht="30" x14ac:dyDescent="0.2">
      <c r="A3007" s="583" t="s">
        <v>18019</v>
      </c>
      <c r="B3007" s="605" t="s">
        <v>18020</v>
      </c>
      <c r="C3007" s="606" t="s">
        <v>12483</v>
      </c>
      <c r="D3007" s="607">
        <v>24.51</v>
      </c>
      <c r="E3007" s="607">
        <v>55.26</v>
      </c>
      <c r="F3007" s="607">
        <v>79.77</v>
      </c>
      <c r="G3007" s="584">
        <v>15</v>
      </c>
    </row>
    <row r="3008" spans="1:7" ht="30" x14ac:dyDescent="0.25">
      <c r="A3008" s="583" t="s">
        <v>18021</v>
      </c>
      <c r="B3008" s="605" t="s">
        <v>18022</v>
      </c>
      <c r="C3008" s="606"/>
      <c r="D3008" s="607"/>
      <c r="E3008" s="607"/>
      <c r="F3008" s="607"/>
      <c r="G3008" s="582"/>
    </row>
    <row r="3009" spans="1:7" ht="30" x14ac:dyDescent="0.2">
      <c r="A3009" s="583" t="s">
        <v>18023</v>
      </c>
      <c r="B3009" s="605" t="s">
        <v>18024</v>
      </c>
      <c r="C3009" s="606" t="s">
        <v>12483</v>
      </c>
      <c r="D3009" s="607">
        <v>24.89</v>
      </c>
      <c r="E3009" s="607">
        <v>30.14</v>
      </c>
      <c r="F3009" s="607">
        <v>55.03</v>
      </c>
      <c r="G3009" s="584">
        <v>15</v>
      </c>
    </row>
    <row r="3010" spans="1:7" ht="30" x14ac:dyDescent="0.2">
      <c r="A3010" s="583" t="s">
        <v>18025</v>
      </c>
      <c r="B3010" s="605" t="s">
        <v>18026</v>
      </c>
      <c r="C3010" s="606" t="s">
        <v>12483</v>
      </c>
      <c r="D3010" s="607">
        <v>45.14</v>
      </c>
      <c r="E3010" s="607">
        <v>45.22</v>
      </c>
      <c r="F3010" s="607">
        <v>90.36</v>
      </c>
      <c r="G3010" s="584">
        <v>15</v>
      </c>
    </row>
    <row r="3011" spans="1:7" ht="30" x14ac:dyDescent="0.2">
      <c r="A3011" s="583" t="s">
        <v>18027</v>
      </c>
      <c r="B3011" s="605" t="s">
        <v>18028</v>
      </c>
      <c r="C3011" s="606" t="s">
        <v>12483</v>
      </c>
      <c r="D3011" s="607">
        <v>59.17</v>
      </c>
      <c r="E3011" s="607">
        <v>55.26</v>
      </c>
      <c r="F3011" s="607">
        <v>114.43</v>
      </c>
      <c r="G3011" s="584">
        <v>15</v>
      </c>
    </row>
    <row r="3012" spans="1:7" ht="30" x14ac:dyDescent="0.2">
      <c r="A3012" s="583" t="s">
        <v>18029</v>
      </c>
      <c r="B3012" s="605" t="s">
        <v>18030</v>
      </c>
      <c r="C3012" s="606" t="s">
        <v>12483</v>
      </c>
      <c r="D3012" s="607">
        <v>121.5</v>
      </c>
      <c r="E3012" s="607">
        <v>55.26</v>
      </c>
      <c r="F3012" s="607">
        <v>176.76</v>
      </c>
      <c r="G3012" s="584">
        <v>15</v>
      </c>
    </row>
    <row r="3013" spans="1:7" ht="30" x14ac:dyDescent="0.2">
      <c r="A3013" s="583" t="s">
        <v>18031</v>
      </c>
      <c r="B3013" s="605" t="s">
        <v>18032</v>
      </c>
      <c r="C3013" s="606" t="s">
        <v>12483</v>
      </c>
      <c r="D3013" s="607">
        <v>21.58</v>
      </c>
      <c r="E3013" s="607">
        <v>25.12</v>
      </c>
      <c r="F3013" s="607">
        <v>46.7</v>
      </c>
      <c r="G3013" s="584">
        <v>15</v>
      </c>
    </row>
    <row r="3014" spans="1:7" ht="30" x14ac:dyDescent="0.25">
      <c r="A3014" s="583" t="s">
        <v>18033</v>
      </c>
      <c r="B3014" s="605" t="s">
        <v>18034</v>
      </c>
      <c r="C3014" s="606"/>
      <c r="D3014" s="607"/>
      <c r="E3014" s="607"/>
      <c r="F3014" s="607"/>
      <c r="G3014" s="582"/>
    </row>
    <row r="3015" spans="1:7" ht="30" x14ac:dyDescent="0.2">
      <c r="A3015" s="583" t="s">
        <v>18035</v>
      </c>
      <c r="B3015" s="605" t="s">
        <v>18036</v>
      </c>
      <c r="C3015" s="606" t="s">
        <v>12483</v>
      </c>
      <c r="D3015" s="607">
        <v>27.41</v>
      </c>
      <c r="E3015" s="607">
        <v>17.670000000000002</v>
      </c>
      <c r="F3015" s="607">
        <v>45.08</v>
      </c>
      <c r="G3015" s="584">
        <v>15</v>
      </c>
    </row>
    <row r="3016" spans="1:7" ht="30" x14ac:dyDescent="0.2">
      <c r="A3016" s="583" t="s">
        <v>18037</v>
      </c>
      <c r="B3016" s="605" t="s">
        <v>18038</v>
      </c>
      <c r="C3016" s="606" t="s">
        <v>12483</v>
      </c>
      <c r="D3016" s="607">
        <v>52.69</v>
      </c>
      <c r="E3016" s="607">
        <v>17.670000000000002</v>
      </c>
      <c r="F3016" s="607">
        <v>70.36</v>
      </c>
      <c r="G3016" s="584">
        <v>15</v>
      </c>
    </row>
    <row r="3017" spans="1:7" ht="30" x14ac:dyDescent="0.2">
      <c r="A3017" s="583" t="s">
        <v>18039</v>
      </c>
      <c r="B3017" s="605" t="s">
        <v>18040</v>
      </c>
      <c r="C3017" s="606" t="s">
        <v>12483</v>
      </c>
      <c r="D3017" s="607">
        <v>99.66</v>
      </c>
      <c r="E3017" s="607">
        <v>17.670000000000002</v>
      </c>
      <c r="F3017" s="607">
        <v>117.33</v>
      </c>
      <c r="G3017" s="584">
        <v>15</v>
      </c>
    </row>
    <row r="3018" spans="1:7" ht="30" x14ac:dyDescent="0.2">
      <c r="A3018" s="583" t="s">
        <v>18041</v>
      </c>
      <c r="B3018" s="605" t="s">
        <v>18042</v>
      </c>
      <c r="C3018" s="606" t="s">
        <v>12483</v>
      </c>
      <c r="D3018" s="607">
        <v>81.55</v>
      </c>
      <c r="E3018" s="607">
        <v>17.670000000000002</v>
      </c>
      <c r="F3018" s="607">
        <v>99.22</v>
      </c>
      <c r="G3018" s="584">
        <v>15</v>
      </c>
    </row>
    <row r="3019" spans="1:7" ht="30" x14ac:dyDescent="0.2">
      <c r="A3019" s="583" t="s">
        <v>18043</v>
      </c>
      <c r="B3019" s="605" t="s">
        <v>18044</v>
      </c>
      <c r="C3019" s="606" t="s">
        <v>12483</v>
      </c>
      <c r="D3019" s="607">
        <v>149.71</v>
      </c>
      <c r="E3019" s="607">
        <v>17.670000000000002</v>
      </c>
      <c r="F3019" s="607">
        <v>167.38</v>
      </c>
      <c r="G3019" s="584">
        <v>15</v>
      </c>
    </row>
    <row r="3020" spans="1:7" ht="30" x14ac:dyDescent="0.2">
      <c r="A3020" s="583" t="s">
        <v>18045</v>
      </c>
      <c r="B3020" s="605" t="s">
        <v>18046</v>
      </c>
      <c r="C3020" s="606" t="s">
        <v>12483</v>
      </c>
      <c r="D3020" s="607">
        <v>246.27</v>
      </c>
      <c r="E3020" s="607">
        <v>35.340000000000003</v>
      </c>
      <c r="F3020" s="607">
        <v>281.61</v>
      </c>
      <c r="G3020" s="584">
        <v>15</v>
      </c>
    </row>
    <row r="3021" spans="1:7" ht="30" x14ac:dyDescent="0.2">
      <c r="A3021" s="583" t="s">
        <v>18047</v>
      </c>
      <c r="B3021" s="605" t="s">
        <v>18048</v>
      </c>
      <c r="C3021" s="606" t="s">
        <v>12483</v>
      </c>
      <c r="D3021" s="607">
        <v>394.56</v>
      </c>
      <c r="E3021" s="607">
        <v>35.340000000000003</v>
      </c>
      <c r="F3021" s="607">
        <v>429.9</v>
      </c>
      <c r="G3021" s="584">
        <v>15</v>
      </c>
    </row>
    <row r="3022" spans="1:7" ht="30" x14ac:dyDescent="0.2">
      <c r="A3022" s="583" t="s">
        <v>18049</v>
      </c>
      <c r="B3022" s="605" t="s">
        <v>18050</v>
      </c>
      <c r="C3022" s="606" t="s">
        <v>12483</v>
      </c>
      <c r="D3022" s="607">
        <v>510.64</v>
      </c>
      <c r="E3022" s="607">
        <v>35.340000000000003</v>
      </c>
      <c r="F3022" s="607">
        <v>545.98</v>
      </c>
      <c r="G3022" s="584">
        <v>15</v>
      </c>
    </row>
    <row r="3023" spans="1:7" ht="15" x14ac:dyDescent="0.25">
      <c r="A3023" s="583" t="s">
        <v>18051</v>
      </c>
      <c r="B3023" s="605" t="s">
        <v>18052</v>
      </c>
      <c r="C3023" s="606"/>
      <c r="D3023" s="607"/>
      <c r="E3023" s="607"/>
      <c r="F3023" s="607"/>
      <c r="G3023" s="582"/>
    </row>
    <row r="3024" spans="1:7" ht="30" x14ac:dyDescent="0.2">
      <c r="A3024" s="583" t="s">
        <v>18053</v>
      </c>
      <c r="B3024" s="605" t="s">
        <v>18054</v>
      </c>
      <c r="C3024" s="606" t="s">
        <v>12483</v>
      </c>
      <c r="D3024" s="607">
        <v>27.95</v>
      </c>
      <c r="E3024" s="607">
        <v>17.670000000000002</v>
      </c>
      <c r="F3024" s="607">
        <v>45.62</v>
      </c>
      <c r="G3024" s="584">
        <v>15</v>
      </c>
    </row>
    <row r="3025" spans="1:7" ht="30" x14ac:dyDescent="0.2">
      <c r="A3025" s="583" t="s">
        <v>18055</v>
      </c>
      <c r="B3025" s="605" t="s">
        <v>18056</v>
      </c>
      <c r="C3025" s="606" t="s">
        <v>12483</v>
      </c>
      <c r="D3025" s="607">
        <v>56.46</v>
      </c>
      <c r="E3025" s="607">
        <v>17.670000000000002</v>
      </c>
      <c r="F3025" s="607">
        <v>74.13</v>
      </c>
      <c r="G3025" s="584">
        <v>15</v>
      </c>
    </row>
    <row r="3026" spans="1:7" ht="30" x14ac:dyDescent="0.2">
      <c r="A3026" s="583" t="s">
        <v>18057</v>
      </c>
      <c r="B3026" s="605" t="s">
        <v>18058</v>
      </c>
      <c r="C3026" s="606" t="s">
        <v>12483</v>
      </c>
      <c r="D3026" s="607">
        <v>89.7</v>
      </c>
      <c r="E3026" s="607">
        <v>35.340000000000003</v>
      </c>
      <c r="F3026" s="607">
        <v>125.04</v>
      </c>
      <c r="G3026" s="584">
        <v>15</v>
      </c>
    </row>
    <row r="3027" spans="1:7" ht="30" x14ac:dyDescent="0.2">
      <c r="A3027" s="583" t="s">
        <v>18059</v>
      </c>
      <c r="B3027" s="605" t="s">
        <v>18060</v>
      </c>
      <c r="C3027" s="606" t="s">
        <v>12483</v>
      </c>
      <c r="D3027" s="607">
        <v>156.96</v>
      </c>
      <c r="E3027" s="607">
        <v>35.340000000000003</v>
      </c>
      <c r="F3027" s="607">
        <v>192.3</v>
      </c>
      <c r="G3027" s="584">
        <v>15</v>
      </c>
    </row>
    <row r="3028" spans="1:7" ht="30" x14ac:dyDescent="0.2">
      <c r="A3028" s="583" t="s">
        <v>18061</v>
      </c>
      <c r="B3028" s="605" t="s">
        <v>18062</v>
      </c>
      <c r="C3028" s="606" t="s">
        <v>12483</v>
      </c>
      <c r="D3028" s="607">
        <v>235.75</v>
      </c>
      <c r="E3028" s="607">
        <v>35.340000000000003</v>
      </c>
      <c r="F3028" s="607">
        <v>271.08999999999997</v>
      </c>
      <c r="G3028" s="584">
        <v>15</v>
      </c>
    </row>
    <row r="3029" spans="1:7" ht="30" x14ac:dyDescent="0.2">
      <c r="A3029" s="583" t="s">
        <v>18063</v>
      </c>
      <c r="B3029" s="605" t="s">
        <v>18064</v>
      </c>
      <c r="C3029" s="606" t="s">
        <v>12483</v>
      </c>
      <c r="D3029" s="607">
        <v>416.67</v>
      </c>
      <c r="E3029" s="607">
        <v>35.340000000000003</v>
      </c>
      <c r="F3029" s="607">
        <v>452.01</v>
      </c>
      <c r="G3029" s="584">
        <v>15</v>
      </c>
    </row>
    <row r="3030" spans="1:7" ht="15" x14ac:dyDescent="0.25">
      <c r="A3030" s="583" t="s">
        <v>18065</v>
      </c>
      <c r="B3030" s="605" t="s">
        <v>18066</v>
      </c>
      <c r="C3030" s="606"/>
      <c r="D3030" s="607"/>
      <c r="E3030" s="607"/>
      <c r="F3030" s="607"/>
      <c r="G3030" s="582"/>
    </row>
    <row r="3031" spans="1:7" ht="15" x14ac:dyDescent="0.2">
      <c r="A3031" s="583" t="s">
        <v>18067</v>
      </c>
      <c r="B3031" s="605" t="s">
        <v>18068</v>
      </c>
      <c r="C3031" s="606" t="s">
        <v>12483</v>
      </c>
      <c r="D3031" s="607">
        <v>34.74</v>
      </c>
      <c r="E3031" s="607">
        <v>50.24</v>
      </c>
      <c r="F3031" s="607">
        <v>84.98</v>
      </c>
      <c r="G3031" s="584">
        <v>15</v>
      </c>
    </row>
    <row r="3032" spans="1:7" ht="15" x14ac:dyDescent="0.2">
      <c r="A3032" s="583" t="s">
        <v>18069</v>
      </c>
      <c r="B3032" s="605" t="s">
        <v>18070</v>
      </c>
      <c r="C3032" s="606" t="s">
        <v>12483</v>
      </c>
      <c r="D3032" s="607">
        <v>39.15</v>
      </c>
      <c r="E3032" s="607">
        <v>55.26</v>
      </c>
      <c r="F3032" s="607">
        <v>94.41</v>
      </c>
      <c r="G3032" s="584">
        <v>15</v>
      </c>
    </row>
    <row r="3033" spans="1:7" ht="15" x14ac:dyDescent="0.2">
      <c r="A3033" s="583" t="s">
        <v>18071</v>
      </c>
      <c r="B3033" s="605" t="s">
        <v>18072</v>
      </c>
      <c r="C3033" s="606" t="s">
        <v>12483</v>
      </c>
      <c r="D3033" s="607">
        <v>54.06</v>
      </c>
      <c r="E3033" s="607">
        <v>65.31</v>
      </c>
      <c r="F3033" s="607">
        <v>119.37</v>
      </c>
      <c r="G3033" s="584">
        <v>15</v>
      </c>
    </row>
    <row r="3034" spans="1:7" ht="15" x14ac:dyDescent="0.2">
      <c r="A3034" s="583" t="s">
        <v>18073</v>
      </c>
      <c r="B3034" s="605" t="s">
        <v>18074</v>
      </c>
      <c r="C3034" s="606" t="s">
        <v>12483</v>
      </c>
      <c r="D3034" s="607">
        <v>70</v>
      </c>
      <c r="E3034" s="607">
        <v>70.34</v>
      </c>
      <c r="F3034" s="607">
        <v>140.34</v>
      </c>
      <c r="G3034" s="584">
        <v>15</v>
      </c>
    </row>
    <row r="3035" spans="1:7" ht="15" x14ac:dyDescent="0.2">
      <c r="A3035" s="583" t="s">
        <v>18075</v>
      </c>
      <c r="B3035" s="605" t="s">
        <v>18076</v>
      </c>
      <c r="C3035" s="606" t="s">
        <v>12483</v>
      </c>
      <c r="D3035" s="607">
        <v>78.22</v>
      </c>
      <c r="E3035" s="607">
        <v>80.38</v>
      </c>
      <c r="F3035" s="607">
        <v>158.6</v>
      </c>
      <c r="G3035" s="584">
        <v>15</v>
      </c>
    </row>
    <row r="3036" spans="1:7" ht="15" x14ac:dyDescent="0.2">
      <c r="A3036" s="583" t="s">
        <v>18077</v>
      </c>
      <c r="B3036" s="605" t="s">
        <v>18078</v>
      </c>
      <c r="C3036" s="606" t="s">
        <v>12483</v>
      </c>
      <c r="D3036" s="607">
        <v>105.38</v>
      </c>
      <c r="E3036" s="607">
        <v>90.43</v>
      </c>
      <c r="F3036" s="607">
        <v>195.81</v>
      </c>
      <c r="G3036" s="584">
        <v>15</v>
      </c>
    </row>
    <row r="3037" spans="1:7" ht="15" x14ac:dyDescent="0.2">
      <c r="A3037" s="583" t="s">
        <v>18079</v>
      </c>
      <c r="B3037" s="605" t="s">
        <v>18080</v>
      </c>
      <c r="C3037" s="606" t="s">
        <v>12483</v>
      </c>
      <c r="D3037" s="607">
        <v>134.72</v>
      </c>
      <c r="E3037" s="607">
        <v>100.48</v>
      </c>
      <c r="F3037" s="607">
        <v>235.2</v>
      </c>
      <c r="G3037" s="584">
        <v>15</v>
      </c>
    </row>
    <row r="3038" spans="1:7" ht="15" x14ac:dyDescent="0.2">
      <c r="A3038" s="583" t="s">
        <v>18081</v>
      </c>
      <c r="B3038" s="605" t="s">
        <v>18082</v>
      </c>
      <c r="C3038" s="606" t="s">
        <v>12483</v>
      </c>
      <c r="D3038" s="607">
        <v>149.57</v>
      </c>
      <c r="E3038" s="607">
        <v>113.04</v>
      </c>
      <c r="F3038" s="607">
        <v>262.61</v>
      </c>
      <c r="G3038" s="584">
        <v>15</v>
      </c>
    </row>
    <row r="3039" spans="1:7" ht="15" x14ac:dyDescent="0.2">
      <c r="A3039" s="583" t="s">
        <v>18083</v>
      </c>
      <c r="B3039" s="605" t="s">
        <v>18084</v>
      </c>
      <c r="C3039" s="606" t="s">
        <v>12483</v>
      </c>
      <c r="D3039" s="607">
        <v>222.31</v>
      </c>
      <c r="E3039" s="607">
        <v>125.6</v>
      </c>
      <c r="F3039" s="607">
        <v>347.91</v>
      </c>
      <c r="G3039" s="584">
        <v>15</v>
      </c>
    </row>
    <row r="3040" spans="1:7" ht="15" x14ac:dyDescent="0.2">
      <c r="A3040" s="583" t="s">
        <v>18085</v>
      </c>
      <c r="B3040" s="605" t="s">
        <v>18086</v>
      </c>
      <c r="C3040" s="606" t="s">
        <v>12483</v>
      </c>
      <c r="D3040" s="607">
        <v>370.21</v>
      </c>
      <c r="E3040" s="607">
        <v>138.16</v>
      </c>
      <c r="F3040" s="607">
        <v>508.37</v>
      </c>
      <c r="G3040" s="584">
        <v>15</v>
      </c>
    </row>
    <row r="3041" spans="1:7" ht="15" x14ac:dyDescent="0.25">
      <c r="A3041" s="583" t="s">
        <v>18087</v>
      </c>
      <c r="B3041" s="605" t="s">
        <v>18088</v>
      </c>
      <c r="C3041" s="606"/>
      <c r="D3041" s="607"/>
      <c r="E3041" s="607"/>
      <c r="F3041" s="607"/>
      <c r="G3041" s="582"/>
    </row>
    <row r="3042" spans="1:7" ht="30" x14ac:dyDescent="0.2">
      <c r="A3042" s="583" t="s">
        <v>18089</v>
      </c>
      <c r="B3042" s="605" t="s">
        <v>18090</v>
      </c>
      <c r="C3042" s="606" t="s">
        <v>12483</v>
      </c>
      <c r="D3042" s="607">
        <v>68.5</v>
      </c>
      <c r="E3042" s="607">
        <v>50.24</v>
      </c>
      <c r="F3042" s="607">
        <v>118.74</v>
      </c>
      <c r="G3042" s="584">
        <v>15</v>
      </c>
    </row>
    <row r="3043" spans="1:7" ht="30" x14ac:dyDescent="0.2">
      <c r="A3043" s="583" t="s">
        <v>18091</v>
      </c>
      <c r="B3043" s="605" t="s">
        <v>18092</v>
      </c>
      <c r="C3043" s="606" t="s">
        <v>12483</v>
      </c>
      <c r="D3043" s="607">
        <v>88.43</v>
      </c>
      <c r="E3043" s="607">
        <v>55.26</v>
      </c>
      <c r="F3043" s="607">
        <v>143.69</v>
      </c>
      <c r="G3043" s="584">
        <v>15</v>
      </c>
    </row>
    <row r="3044" spans="1:7" ht="30" x14ac:dyDescent="0.2">
      <c r="A3044" s="583" t="s">
        <v>18093</v>
      </c>
      <c r="B3044" s="605" t="s">
        <v>18094</v>
      </c>
      <c r="C3044" s="606" t="s">
        <v>12483</v>
      </c>
      <c r="D3044" s="607">
        <v>92.28</v>
      </c>
      <c r="E3044" s="607">
        <v>65.31</v>
      </c>
      <c r="F3044" s="607">
        <v>157.59</v>
      </c>
      <c r="G3044" s="584">
        <v>15</v>
      </c>
    </row>
    <row r="3045" spans="1:7" ht="30" x14ac:dyDescent="0.2">
      <c r="A3045" s="583" t="s">
        <v>18095</v>
      </c>
      <c r="B3045" s="605" t="s">
        <v>18096</v>
      </c>
      <c r="C3045" s="606" t="s">
        <v>12483</v>
      </c>
      <c r="D3045" s="607">
        <v>129.66999999999999</v>
      </c>
      <c r="E3045" s="607">
        <v>70.34</v>
      </c>
      <c r="F3045" s="607">
        <v>200.01</v>
      </c>
      <c r="G3045" s="584">
        <v>15</v>
      </c>
    </row>
    <row r="3046" spans="1:7" ht="30" x14ac:dyDescent="0.2">
      <c r="A3046" s="583" t="s">
        <v>18097</v>
      </c>
      <c r="B3046" s="605" t="s">
        <v>18098</v>
      </c>
      <c r="C3046" s="606" t="s">
        <v>12483</v>
      </c>
      <c r="D3046" s="607">
        <v>130.68</v>
      </c>
      <c r="E3046" s="607">
        <v>80.38</v>
      </c>
      <c r="F3046" s="607">
        <v>211.06</v>
      </c>
      <c r="G3046" s="584">
        <v>15</v>
      </c>
    </row>
    <row r="3047" spans="1:7" ht="30" x14ac:dyDescent="0.2">
      <c r="A3047" s="583" t="s">
        <v>18099</v>
      </c>
      <c r="B3047" s="605" t="s">
        <v>18100</v>
      </c>
      <c r="C3047" s="606" t="s">
        <v>12483</v>
      </c>
      <c r="D3047" s="607">
        <v>154.12</v>
      </c>
      <c r="E3047" s="607">
        <v>90.43</v>
      </c>
      <c r="F3047" s="607">
        <v>244.55</v>
      </c>
      <c r="G3047" s="584">
        <v>15</v>
      </c>
    </row>
    <row r="3048" spans="1:7" ht="30" x14ac:dyDescent="0.2">
      <c r="A3048" s="583" t="s">
        <v>18101</v>
      </c>
      <c r="B3048" s="605" t="s">
        <v>18102</v>
      </c>
      <c r="C3048" s="606" t="s">
        <v>12483</v>
      </c>
      <c r="D3048" s="607">
        <v>245.06</v>
      </c>
      <c r="E3048" s="607">
        <v>100.48</v>
      </c>
      <c r="F3048" s="607">
        <v>345.54</v>
      </c>
      <c r="G3048" s="584">
        <v>15</v>
      </c>
    </row>
    <row r="3049" spans="1:7" ht="30" x14ac:dyDescent="0.2">
      <c r="A3049" s="583" t="s">
        <v>18103</v>
      </c>
      <c r="B3049" s="605" t="s">
        <v>18104</v>
      </c>
      <c r="C3049" s="606" t="s">
        <v>12483</v>
      </c>
      <c r="D3049" s="607">
        <v>287.98</v>
      </c>
      <c r="E3049" s="607">
        <v>113.04</v>
      </c>
      <c r="F3049" s="607">
        <v>401.02</v>
      </c>
      <c r="G3049" s="584">
        <v>15</v>
      </c>
    </row>
    <row r="3050" spans="1:7" ht="30" x14ac:dyDescent="0.2">
      <c r="A3050" s="583" t="s">
        <v>18105</v>
      </c>
      <c r="B3050" s="605" t="s">
        <v>18106</v>
      </c>
      <c r="C3050" s="606" t="s">
        <v>12483</v>
      </c>
      <c r="D3050" s="607">
        <v>398.74</v>
      </c>
      <c r="E3050" s="607">
        <v>125.6</v>
      </c>
      <c r="F3050" s="607">
        <v>524.34</v>
      </c>
      <c r="G3050" s="584">
        <v>15</v>
      </c>
    </row>
    <row r="3051" spans="1:7" ht="30" x14ac:dyDescent="0.2">
      <c r="A3051" s="583" t="s">
        <v>18107</v>
      </c>
      <c r="B3051" s="605" t="s">
        <v>18108</v>
      </c>
      <c r="C3051" s="606" t="s">
        <v>12483</v>
      </c>
      <c r="D3051" s="607">
        <v>682.79</v>
      </c>
      <c r="E3051" s="607">
        <v>138.16</v>
      </c>
      <c r="F3051" s="607">
        <v>820.95</v>
      </c>
      <c r="G3051" s="584">
        <v>15</v>
      </c>
    </row>
    <row r="3052" spans="1:7" ht="30" x14ac:dyDescent="0.25">
      <c r="A3052" s="583" t="s">
        <v>18109</v>
      </c>
      <c r="B3052" s="605" t="s">
        <v>18110</v>
      </c>
      <c r="C3052" s="606"/>
      <c r="D3052" s="607"/>
      <c r="E3052" s="607"/>
      <c r="F3052" s="607"/>
      <c r="G3052" s="582"/>
    </row>
    <row r="3053" spans="1:7" ht="30" x14ac:dyDescent="0.2">
      <c r="A3053" s="583" t="s">
        <v>18111</v>
      </c>
      <c r="B3053" s="605" t="s">
        <v>18112</v>
      </c>
      <c r="C3053" s="606" t="s">
        <v>12375</v>
      </c>
      <c r="D3053" s="607">
        <v>88.06</v>
      </c>
      <c r="E3053" s="607">
        <v>15.07</v>
      </c>
      <c r="F3053" s="607">
        <v>103.13</v>
      </c>
      <c r="G3053" s="584">
        <v>15</v>
      </c>
    </row>
    <row r="3054" spans="1:7" ht="30" x14ac:dyDescent="0.2">
      <c r="A3054" s="583" t="s">
        <v>18113</v>
      </c>
      <c r="B3054" s="605" t="s">
        <v>18114</v>
      </c>
      <c r="C3054" s="606" t="s">
        <v>12375</v>
      </c>
      <c r="D3054" s="607">
        <v>126.48</v>
      </c>
      <c r="E3054" s="607">
        <v>15.07</v>
      </c>
      <c r="F3054" s="607">
        <v>141.55000000000001</v>
      </c>
      <c r="G3054" s="584">
        <v>15</v>
      </c>
    </row>
    <row r="3055" spans="1:7" ht="30" x14ac:dyDescent="0.2">
      <c r="A3055" s="583" t="s">
        <v>18115</v>
      </c>
      <c r="B3055" s="605" t="s">
        <v>18116</v>
      </c>
      <c r="C3055" s="606" t="s">
        <v>12375</v>
      </c>
      <c r="D3055" s="607">
        <v>138.66</v>
      </c>
      <c r="E3055" s="607">
        <v>20.100000000000001</v>
      </c>
      <c r="F3055" s="607">
        <v>158.76</v>
      </c>
      <c r="G3055" s="584">
        <v>15</v>
      </c>
    </row>
    <row r="3056" spans="1:7" ht="30" x14ac:dyDescent="0.2">
      <c r="A3056" s="583" t="s">
        <v>18117</v>
      </c>
      <c r="B3056" s="605" t="s">
        <v>18118</v>
      </c>
      <c r="C3056" s="606" t="s">
        <v>12375</v>
      </c>
      <c r="D3056" s="607">
        <v>246.77</v>
      </c>
      <c r="E3056" s="607">
        <v>20.100000000000001</v>
      </c>
      <c r="F3056" s="607">
        <v>266.87</v>
      </c>
      <c r="G3056" s="584">
        <v>15</v>
      </c>
    </row>
    <row r="3057" spans="1:7" ht="30" x14ac:dyDescent="0.2">
      <c r="A3057" s="583" t="s">
        <v>18119</v>
      </c>
      <c r="B3057" s="605" t="s">
        <v>18120</v>
      </c>
      <c r="C3057" s="606" t="s">
        <v>12375</v>
      </c>
      <c r="D3057" s="607">
        <v>120.56</v>
      </c>
      <c r="E3057" s="607">
        <v>15.07</v>
      </c>
      <c r="F3057" s="607">
        <v>135.63</v>
      </c>
      <c r="G3057" s="584">
        <v>15</v>
      </c>
    </row>
    <row r="3058" spans="1:7" ht="30" x14ac:dyDescent="0.2">
      <c r="A3058" s="583" t="s">
        <v>18121</v>
      </c>
      <c r="B3058" s="605" t="s">
        <v>18122</v>
      </c>
      <c r="C3058" s="606" t="s">
        <v>12375</v>
      </c>
      <c r="D3058" s="607">
        <v>175.61</v>
      </c>
      <c r="E3058" s="607">
        <v>15.07</v>
      </c>
      <c r="F3058" s="607">
        <v>190.68</v>
      </c>
      <c r="G3058" s="584">
        <v>15</v>
      </c>
    </row>
    <row r="3059" spans="1:7" ht="30" x14ac:dyDescent="0.2">
      <c r="A3059" s="583" t="s">
        <v>18123</v>
      </c>
      <c r="B3059" s="605" t="s">
        <v>18124</v>
      </c>
      <c r="C3059" s="606" t="s">
        <v>12375</v>
      </c>
      <c r="D3059" s="607">
        <v>221.09</v>
      </c>
      <c r="E3059" s="607">
        <v>20.100000000000001</v>
      </c>
      <c r="F3059" s="607">
        <v>241.19</v>
      </c>
      <c r="G3059" s="584">
        <v>15</v>
      </c>
    </row>
    <row r="3060" spans="1:7" ht="30" x14ac:dyDescent="0.2">
      <c r="A3060" s="583" t="s">
        <v>18125</v>
      </c>
      <c r="B3060" s="605" t="s">
        <v>18126</v>
      </c>
      <c r="C3060" s="606" t="s">
        <v>12375</v>
      </c>
      <c r="D3060" s="607">
        <v>376.01</v>
      </c>
      <c r="E3060" s="607">
        <v>20.100000000000001</v>
      </c>
      <c r="F3060" s="607">
        <v>396.11</v>
      </c>
      <c r="G3060" s="584">
        <v>15</v>
      </c>
    </row>
    <row r="3061" spans="1:7" ht="30" x14ac:dyDescent="0.2">
      <c r="A3061" s="583" t="s">
        <v>18127</v>
      </c>
      <c r="B3061" s="605" t="s">
        <v>18128</v>
      </c>
      <c r="C3061" s="606" t="s">
        <v>12375</v>
      </c>
      <c r="D3061" s="607">
        <v>83.22</v>
      </c>
      <c r="E3061" s="607">
        <v>15.07</v>
      </c>
      <c r="F3061" s="607">
        <v>98.29</v>
      </c>
      <c r="G3061" s="584">
        <v>15</v>
      </c>
    </row>
    <row r="3062" spans="1:7" ht="30" x14ac:dyDescent="0.2">
      <c r="A3062" s="583" t="s">
        <v>18129</v>
      </c>
      <c r="B3062" s="605" t="s">
        <v>18130</v>
      </c>
      <c r="C3062" s="606" t="s">
        <v>12375</v>
      </c>
      <c r="D3062" s="607">
        <v>90.34</v>
      </c>
      <c r="E3062" s="607">
        <v>15.07</v>
      </c>
      <c r="F3062" s="607">
        <v>105.41</v>
      </c>
      <c r="G3062" s="584">
        <v>15</v>
      </c>
    </row>
    <row r="3063" spans="1:7" ht="30" x14ac:dyDescent="0.2">
      <c r="A3063" s="583" t="s">
        <v>18131</v>
      </c>
      <c r="B3063" s="605" t="s">
        <v>18132</v>
      </c>
      <c r="C3063" s="606" t="s">
        <v>12375</v>
      </c>
      <c r="D3063" s="607">
        <v>122.75</v>
      </c>
      <c r="E3063" s="607">
        <v>20.100000000000001</v>
      </c>
      <c r="F3063" s="607">
        <v>142.85</v>
      </c>
      <c r="G3063" s="584">
        <v>15</v>
      </c>
    </row>
    <row r="3064" spans="1:7" ht="30" x14ac:dyDescent="0.2">
      <c r="A3064" s="583" t="s">
        <v>18133</v>
      </c>
      <c r="B3064" s="605" t="s">
        <v>18134</v>
      </c>
      <c r="C3064" s="606" t="s">
        <v>12375</v>
      </c>
      <c r="D3064" s="607">
        <v>171.06</v>
      </c>
      <c r="E3064" s="607">
        <v>20.100000000000001</v>
      </c>
      <c r="F3064" s="607">
        <v>191.16</v>
      </c>
      <c r="G3064" s="584">
        <v>15</v>
      </c>
    </row>
    <row r="3065" spans="1:7" ht="30" x14ac:dyDescent="0.2">
      <c r="A3065" s="583" t="s">
        <v>18135</v>
      </c>
      <c r="B3065" s="605" t="s">
        <v>18136</v>
      </c>
      <c r="C3065" s="606" t="s">
        <v>12375</v>
      </c>
      <c r="D3065" s="607">
        <v>64.53</v>
      </c>
      <c r="E3065" s="607">
        <v>15.07</v>
      </c>
      <c r="F3065" s="607">
        <v>79.599999999999994</v>
      </c>
      <c r="G3065" s="584">
        <v>15</v>
      </c>
    </row>
    <row r="3066" spans="1:7" ht="30" x14ac:dyDescent="0.2">
      <c r="A3066" s="583" t="s">
        <v>18137</v>
      </c>
      <c r="B3066" s="605" t="s">
        <v>18138</v>
      </c>
      <c r="C3066" s="606" t="s">
        <v>12375</v>
      </c>
      <c r="D3066" s="607">
        <v>87.22</v>
      </c>
      <c r="E3066" s="607">
        <v>20.100000000000001</v>
      </c>
      <c r="F3066" s="607">
        <v>107.32</v>
      </c>
      <c r="G3066" s="584">
        <v>15</v>
      </c>
    </row>
    <row r="3067" spans="1:7" ht="30" x14ac:dyDescent="0.2">
      <c r="A3067" s="583" t="s">
        <v>18139</v>
      </c>
      <c r="B3067" s="605" t="s">
        <v>18140</v>
      </c>
      <c r="C3067" s="606" t="s">
        <v>12375</v>
      </c>
      <c r="D3067" s="607">
        <v>148.16</v>
      </c>
      <c r="E3067" s="607">
        <v>15.07</v>
      </c>
      <c r="F3067" s="607">
        <v>163.22999999999999</v>
      </c>
      <c r="G3067" s="584">
        <v>15</v>
      </c>
    </row>
    <row r="3068" spans="1:7" ht="30" x14ac:dyDescent="0.2">
      <c r="A3068" s="583" t="s">
        <v>18141</v>
      </c>
      <c r="B3068" s="605" t="s">
        <v>18142</v>
      </c>
      <c r="C3068" s="606" t="s">
        <v>12375</v>
      </c>
      <c r="D3068" s="607">
        <v>185.09</v>
      </c>
      <c r="E3068" s="607">
        <v>20.100000000000001</v>
      </c>
      <c r="F3068" s="607">
        <v>205.19</v>
      </c>
      <c r="G3068" s="584">
        <v>15</v>
      </c>
    </row>
    <row r="3069" spans="1:7" ht="30" x14ac:dyDescent="0.2">
      <c r="A3069" s="583" t="s">
        <v>18143</v>
      </c>
      <c r="B3069" s="605" t="s">
        <v>18144</v>
      </c>
      <c r="C3069" s="606" t="s">
        <v>12375</v>
      </c>
      <c r="D3069" s="607">
        <v>201.03</v>
      </c>
      <c r="E3069" s="607">
        <v>20.100000000000001</v>
      </c>
      <c r="F3069" s="607">
        <v>221.13</v>
      </c>
      <c r="G3069" s="584">
        <v>15</v>
      </c>
    </row>
    <row r="3070" spans="1:7" ht="30" x14ac:dyDescent="0.2">
      <c r="A3070" s="583" t="s">
        <v>18145</v>
      </c>
      <c r="B3070" s="605" t="s">
        <v>18146</v>
      </c>
      <c r="C3070" s="606" t="s">
        <v>12375</v>
      </c>
      <c r="D3070" s="607">
        <v>218.69</v>
      </c>
      <c r="E3070" s="607">
        <v>20.100000000000001</v>
      </c>
      <c r="F3070" s="607">
        <v>238.79</v>
      </c>
      <c r="G3070" s="584">
        <v>15</v>
      </c>
    </row>
    <row r="3071" spans="1:7" ht="30" x14ac:dyDescent="0.2">
      <c r="A3071" s="583" t="s">
        <v>18147</v>
      </c>
      <c r="B3071" s="605" t="s">
        <v>18148</v>
      </c>
      <c r="C3071" s="606" t="s">
        <v>12375</v>
      </c>
      <c r="D3071" s="607">
        <v>250.02</v>
      </c>
      <c r="E3071" s="607">
        <v>20.100000000000001</v>
      </c>
      <c r="F3071" s="607">
        <v>270.12</v>
      </c>
      <c r="G3071" s="584">
        <v>15</v>
      </c>
    </row>
    <row r="3072" spans="1:7" ht="30" x14ac:dyDescent="0.2">
      <c r="A3072" s="583" t="s">
        <v>18149</v>
      </c>
      <c r="B3072" s="605" t="s">
        <v>18150</v>
      </c>
      <c r="C3072" s="606" t="s">
        <v>12375</v>
      </c>
      <c r="D3072" s="607">
        <v>262.68</v>
      </c>
      <c r="E3072" s="607">
        <v>20.100000000000001</v>
      </c>
      <c r="F3072" s="607">
        <v>282.77999999999997</v>
      </c>
      <c r="G3072" s="584">
        <v>15</v>
      </c>
    </row>
    <row r="3073" spans="1:7" ht="30" x14ac:dyDescent="0.2">
      <c r="A3073" s="583" t="s">
        <v>18151</v>
      </c>
      <c r="B3073" s="605" t="s">
        <v>18152</v>
      </c>
      <c r="C3073" s="606" t="s">
        <v>12375</v>
      </c>
      <c r="D3073" s="607">
        <v>371.77</v>
      </c>
      <c r="E3073" s="607">
        <v>25.12</v>
      </c>
      <c r="F3073" s="607">
        <v>396.89</v>
      </c>
      <c r="G3073" s="584">
        <v>15</v>
      </c>
    </row>
    <row r="3074" spans="1:7" ht="30" x14ac:dyDescent="0.2">
      <c r="A3074" s="583" t="s">
        <v>18153</v>
      </c>
      <c r="B3074" s="605" t="s">
        <v>18154</v>
      </c>
      <c r="C3074" s="606" t="s">
        <v>12375</v>
      </c>
      <c r="D3074" s="607">
        <v>296.06</v>
      </c>
      <c r="E3074" s="607">
        <v>20.100000000000001</v>
      </c>
      <c r="F3074" s="607">
        <v>316.16000000000003</v>
      </c>
      <c r="G3074" s="584">
        <v>15</v>
      </c>
    </row>
    <row r="3075" spans="1:7" ht="30" x14ac:dyDescent="0.2">
      <c r="A3075" s="583" t="s">
        <v>18155</v>
      </c>
      <c r="B3075" s="605" t="s">
        <v>18156</v>
      </c>
      <c r="C3075" s="606" t="s">
        <v>12375</v>
      </c>
      <c r="D3075" s="607">
        <v>149.16</v>
      </c>
      <c r="E3075" s="607">
        <v>15.07</v>
      </c>
      <c r="F3075" s="607">
        <v>164.23</v>
      </c>
      <c r="G3075" s="584">
        <v>15</v>
      </c>
    </row>
    <row r="3076" spans="1:7" ht="30" x14ac:dyDescent="0.2">
      <c r="A3076" s="583" t="s">
        <v>18157</v>
      </c>
      <c r="B3076" s="605" t="s">
        <v>18158</v>
      </c>
      <c r="C3076" s="606" t="s">
        <v>12375</v>
      </c>
      <c r="D3076" s="607">
        <v>186.71</v>
      </c>
      <c r="E3076" s="607">
        <v>20.100000000000001</v>
      </c>
      <c r="F3076" s="607">
        <v>206.81</v>
      </c>
      <c r="G3076" s="584">
        <v>15</v>
      </c>
    </row>
    <row r="3077" spans="1:7" ht="30" x14ac:dyDescent="0.2">
      <c r="A3077" s="583" t="s">
        <v>18159</v>
      </c>
      <c r="B3077" s="605" t="s">
        <v>18160</v>
      </c>
      <c r="C3077" s="606" t="s">
        <v>12375</v>
      </c>
      <c r="D3077" s="607">
        <v>218.7</v>
      </c>
      <c r="E3077" s="607">
        <v>20.100000000000001</v>
      </c>
      <c r="F3077" s="607">
        <v>238.8</v>
      </c>
      <c r="G3077" s="584">
        <v>15</v>
      </c>
    </row>
    <row r="3078" spans="1:7" ht="30" x14ac:dyDescent="0.2">
      <c r="A3078" s="583" t="s">
        <v>18161</v>
      </c>
      <c r="B3078" s="605" t="s">
        <v>18162</v>
      </c>
      <c r="C3078" s="606" t="s">
        <v>12375</v>
      </c>
      <c r="D3078" s="607">
        <v>232.18</v>
      </c>
      <c r="E3078" s="607">
        <v>20.100000000000001</v>
      </c>
      <c r="F3078" s="607">
        <v>252.28</v>
      </c>
      <c r="G3078" s="584">
        <v>15</v>
      </c>
    </row>
    <row r="3079" spans="1:7" ht="30" x14ac:dyDescent="0.2">
      <c r="A3079" s="583" t="s">
        <v>18163</v>
      </c>
      <c r="B3079" s="605" t="s">
        <v>18164</v>
      </c>
      <c r="C3079" s="606" t="s">
        <v>12375</v>
      </c>
      <c r="D3079" s="607">
        <v>237.38</v>
      </c>
      <c r="E3079" s="607">
        <v>20.100000000000001</v>
      </c>
      <c r="F3079" s="607">
        <v>257.48</v>
      </c>
      <c r="G3079" s="584">
        <v>15</v>
      </c>
    </row>
    <row r="3080" spans="1:7" ht="30" x14ac:dyDescent="0.2">
      <c r="A3080" s="583" t="s">
        <v>18165</v>
      </c>
      <c r="B3080" s="605" t="s">
        <v>18166</v>
      </c>
      <c r="C3080" s="606" t="s">
        <v>12375</v>
      </c>
      <c r="D3080" s="607">
        <v>294.27999999999997</v>
      </c>
      <c r="E3080" s="607">
        <v>20.100000000000001</v>
      </c>
      <c r="F3080" s="607">
        <v>314.38</v>
      </c>
      <c r="G3080" s="584">
        <v>15</v>
      </c>
    </row>
    <row r="3081" spans="1:7" ht="30" x14ac:dyDescent="0.2">
      <c r="A3081" s="583" t="s">
        <v>18167</v>
      </c>
      <c r="B3081" s="605" t="s">
        <v>18168</v>
      </c>
      <c r="C3081" s="606" t="s">
        <v>12375</v>
      </c>
      <c r="D3081" s="607">
        <v>57.27</v>
      </c>
      <c r="E3081" s="607">
        <v>20.100000000000001</v>
      </c>
      <c r="F3081" s="607">
        <v>77.37</v>
      </c>
      <c r="G3081" s="584">
        <v>15</v>
      </c>
    </row>
    <row r="3082" spans="1:7" ht="30" x14ac:dyDescent="0.2">
      <c r="A3082" s="583" t="s">
        <v>18169</v>
      </c>
      <c r="B3082" s="605" t="s">
        <v>18170</v>
      </c>
      <c r="C3082" s="606" t="s">
        <v>12375</v>
      </c>
      <c r="D3082" s="607">
        <v>65.66</v>
      </c>
      <c r="E3082" s="607">
        <v>20.100000000000001</v>
      </c>
      <c r="F3082" s="607">
        <v>85.76</v>
      </c>
      <c r="G3082" s="584">
        <v>15</v>
      </c>
    </row>
    <row r="3083" spans="1:7" ht="30" x14ac:dyDescent="0.2">
      <c r="A3083" s="583" t="s">
        <v>18171</v>
      </c>
      <c r="B3083" s="605" t="s">
        <v>18172</v>
      </c>
      <c r="C3083" s="606" t="s">
        <v>12375</v>
      </c>
      <c r="D3083" s="607">
        <v>164.33</v>
      </c>
      <c r="E3083" s="607">
        <v>25.12</v>
      </c>
      <c r="F3083" s="607">
        <v>189.45</v>
      </c>
      <c r="G3083" s="584">
        <v>15</v>
      </c>
    </row>
    <row r="3084" spans="1:7" ht="15" x14ac:dyDescent="0.25">
      <c r="A3084" s="583" t="s">
        <v>18173</v>
      </c>
      <c r="B3084" s="605" t="s">
        <v>18174</v>
      </c>
      <c r="C3084" s="606"/>
      <c r="D3084" s="607"/>
      <c r="E3084" s="607"/>
      <c r="F3084" s="607"/>
      <c r="G3084" s="582"/>
    </row>
    <row r="3085" spans="1:7" ht="15" x14ac:dyDescent="0.2">
      <c r="A3085" s="583" t="s">
        <v>18175</v>
      </c>
      <c r="B3085" s="605" t="s">
        <v>18176</v>
      </c>
      <c r="C3085" s="606" t="s">
        <v>12483</v>
      </c>
      <c r="D3085" s="607">
        <v>80.150000000000006</v>
      </c>
      <c r="E3085" s="607">
        <v>16.579999999999998</v>
      </c>
      <c r="F3085" s="607">
        <v>96.73</v>
      </c>
      <c r="G3085" s="584">
        <v>15</v>
      </c>
    </row>
    <row r="3086" spans="1:7" ht="15" x14ac:dyDescent="0.2">
      <c r="A3086" s="583" t="s">
        <v>18177</v>
      </c>
      <c r="B3086" s="605" t="s">
        <v>18178</v>
      </c>
      <c r="C3086" s="606" t="s">
        <v>12483</v>
      </c>
      <c r="D3086" s="607">
        <v>119.52</v>
      </c>
      <c r="E3086" s="607">
        <v>18.09</v>
      </c>
      <c r="F3086" s="607">
        <v>137.61000000000001</v>
      </c>
      <c r="G3086" s="584">
        <v>15</v>
      </c>
    </row>
    <row r="3087" spans="1:7" ht="15" x14ac:dyDescent="0.2">
      <c r="A3087" s="583" t="s">
        <v>18179</v>
      </c>
      <c r="B3087" s="605" t="s">
        <v>18180</v>
      </c>
      <c r="C3087" s="606" t="s">
        <v>12483</v>
      </c>
      <c r="D3087" s="607">
        <v>147.13</v>
      </c>
      <c r="E3087" s="607">
        <v>22.61</v>
      </c>
      <c r="F3087" s="607">
        <v>169.74</v>
      </c>
      <c r="G3087" s="584">
        <v>15</v>
      </c>
    </row>
    <row r="3088" spans="1:7" ht="15" x14ac:dyDescent="0.2">
      <c r="A3088" s="583" t="s">
        <v>18181</v>
      </c>
      <c r="B3088" s="605" t="s">
        <v>18182</v>
      </c>
      <c r="C3088" s="606" t="s">
        <v>12483</v>
      </c>
      <c r="D3088" s="607">
        <v>245.61</v>
      </c>
      <c r="E3088" s="607">
        <v>25.62</v>
      </c>
      <c r="F3088" s="607">
        <v>271.23</v>
      </c>
      <c r="G3088" s="584">
        <v>15</v>
      </c>
    </row>
    <row r="3089" spans="1:7" ht="15" x14ac:dyDescent="0.2">
      <c r="A3089" s="583" t="s">
        <v>18183</v>
      </c>
      <c r="B3089" s="605" t="s">
        <v>18184</v>
      </c>
      <c r="C3089" s="606" t="s">
        <v>12483</v>
      </c>
      <c r="D3089" s="607">
        <v>280.41000000000003</v>
      </c>
      <c r="E3089" s="607">
        <v>25.62</v>
      </c>
      <c r="F3089" s="607">
        <v>306.02999999999997</v>
      </c>
      <c r="G3089" s="584">
        <v>15</v>
      </c>
    </row>
    <row r="3090" spans="1:7" ht="15" x14ac:dyDescent="0.2">
      <c r="A3090" s="583" t="s">
        <v>18185</v>
      </c>
      <c r="B3090" s="605" t="s">
        <v>18186</v>
      </c>
      <c r="C3090" s="606" t="s">
        <v>12483</v>
      </c>
      <c r="D3090" s="607">
        <v>380.23</v>
      </c>
      <c r="E3090" s="607">
        <v>34.659999999999997</v>
      </c>
      <c r="F3090" s="607">
        <v>414.89</v>
      </c>
      <c r="G3090" s="584">
        <v>15</v>
      </c>
    </row>
    <row r="3091" spans="1:7" ht="15" x14ac:dyDescent="0.2">
      <c r="A3091" s="583" t="s">
        <v>18187</v>
      </c>
      <c r="B3091" s="605" t="s">
        <v>18188</v>
      </c>
      <c r="C3091" s="606" t="s">
        <v>12483</v>
      </c>
      <c r="D3091" s="607">
        <v>501.89</v>
      </c>
      <c r="E3091" s="607">
        <v>40.700000000000003</v>
      </c>
      <c r="F3091" s="607">
        <v>542.59</v>
      </c>
      <c r="G3091" s="584">
        <v>15</v>
      </c>
    </row>
    <row r="3092" spans="1:7" ht="15" x14ac:dyDescent="0.2">
      <c r="A3092" s="583" t="s">
        <v>18189</v>
      </c>
      <c r="B3092" s="605" t="s">
        <v>18190</v>
      </c>
      <c r="C3092" s="606" t="s">
        <v>12483</v>
      </c>
      <c r="D3092" s="607">
        <v>666.08</v>
      </c>
      <c r="E3092" s="607">
        <v>43.71</v>
      </c>
      <c r="F3092" s="607">
        <v>709.79</v>
      </c>
      <c r="G3092" s="584">
        <v>15</v>
      </c>
    </row>
    <row r="3093" spans="1:7" ht="15" x14ac:dyDescent="0.2">
      <c r="A3093" s="583" t="s">
        <v>18191</v>
      </c>
      <c r="B3093" s="605" t="s">
        <v>18192</v>
      </c>
      <c r="C3093" s="606" t="s">
        <v>12483</v>
      </c>
      <c r="D3093" s="607">
        <v>842.07</v>
      </c>
      <c r="E3093" s="607">
        <v>49.74</v>
      </c>
      <c r="F3093" s="607">
        <v>891.81</v>
      </c>
      <c r="G3093" s="584">
        <v>15</v>
      </c>
    </row>
    <row r="3094" spans="1:7" ht="15" x14ac:dyDescent="0.2">
      <c r="A3094" s="583" t="s">
        <v>18193</v>
      </c>
      <c r="B3094" s="605" t="s">
        <v>18194</v>
      </c>
      <c r="C3094" s="606" t="s">
        <v>12483</v>
      </c>
      <c r="D3094" s="607">
        <v>85.56</v>
      </c>
      <c r="E3094" s="607">
        <v>18.09</v>
      </c>
      <c r="F3094" s="607">
        <v>103.65</v>
      </c>
      <c r="G3094" s="584">
        <v>15</v>
      </c>
    </row>
    <row r="3095" spans="1:7" ht="15" x14ac:dyDescent="0.2">
      <c r="A3095" s="583" t="s">
        <v>18195</v>
      </c>
      <c r="B3095" s="605" t="s">
        <v>18196</v>
      </c>
      <c r="C3095" s="606" t="s">
        <v>12483</v>
      </c>
      <c r="D3095" s="607">
        <v>101.72</v>
      </c>
      <c r="E3095" s="607">
        <v>22.61</v>
      </c>
      <c r="F3095" s="607">
        <v>124.33</v>
      </c>
      <c r="G3095" s="584">
        <v>15</v>
      </c>
    </row>
    <row r="3096" spans="1:7" ht="15" x14ac:dyDescent="0.2">
      <c r="A3096" s="583" t="s">
        <v>18197</v>
      </c>
      <c r="B3096" s="605" t="s">
        <v>18198</v>
      </c>
      <c r="C3096" s="606" t="s">
        <v>12483</v>
      </c>
      <c r="D3096" s="607">
        <v>189.91</v>
      </c>
      <c r="E3096" s="607">
        <v>25.62</v>
      </c>
      <c r="F3096" s="607">
        <v>215.53</v>
      </c>
      <c r="G3096" s="584">
        <v>15</v>
      </c>
    </row>
    <row r="3097" spans="1:7" ht="15" x14ac:dyDescent="0.2">
      <c r="A3097" s="583" t="s">
        <v>18199</v>
      </c>
      <c r="B3097" s="605" t="s">
        <v>18200</v>
      </c>
      <c r="C3097" s="606" t="s">
        <v>12483</v>
      </c>
      <c r="D3097" s="607">
        <v>244.22</v>
      </c>
      <c r="E3097" s="607">
        <v>25.62</v>
      </c>
      <c r="F3097" s="607">
        <v>269.83999999999997</v>
      </c>
      <c r="G3097" s="584">
        <v>15</v>
      </c>
    </row>
    <row r="3098" spans="1:7" ht="15" x14ac:dyDescent="0.2">
      <c r="A3098" s="583" t="s">
        <v>18201</v>
      </c>
      <c r="B3098" s="605" t="s">
        <v>18202</v>
      </c>
      <c r="C3098" s="606" t="s">
        <v>12483</v>
      </c>
      <c r="D3098" s="607">
        <v>261.52</v>
      </c>
      <c r="E3098" s="607">
        <v>34.659999999999997</v>
      </c>
      <c r="F3098" s="607">
        <v>296.18</v>
      </c>
      <c r="G3098" s="584">
        <v>15</v>
      </c>
    </row>
    <row r="3099" spans="1:7" ht="15" x14ac:dyDescent="0.2">
      <c r="A3099" s="583" t="s">
        <v>18203</v>
      </c>
      <c r="B3099" s="605" t="s">
        <v>18204</v>
      </c>
      <c r="C3099" s="606" t="s">
        <v>12483</v>
      </c>
      <c r="D3099" s="607">
        <v>426.81</v>
      </c>
      <c r="E3099" s="607">
        <v>40.700000000000003</v>
      </c>
      <c r="F3099" s="607">
        <v>467.51</v>
      </c>
      <c r="G3099" s="584">
        <v>15</v>
      </c>
    </row>
    <row r="3100" spans="1:7" ht="15" x14ac:dyDescent="0.25">
      <c r="A3100" s="583" t="s">
        <v>18205</v>
      </c>
      <c r="B3100" s="605" t="s">
        <v>18206</v>
      </c>
      <c r="C3100" s="606"/>
      <c r="D3100" s="607"/>
      <c r="E3100" s="607"/>
      <c r="F3100" s="607"/>
      <c r="G3100" s="582"/>
    </row>
    <row r="3101" spans="1:7" ht="15" x14ac:dyDescent="0.2">
      <c r="A3101" s="583" t="s">
        <v>18207</v>
      </c>
      <c r="B3101" s="605" t="s">
        <v>18208</v>
      </c>
      <c r="C3101" s="606" t="s">
        <v>12483</v>
      </c>
      <c r="D3101" s="607">
        <v>73.650000000000006</v>
      </c>
      <c r="E3101" s="607">
        <v>33.229999999999997</v>
      </c>
      <c r="F3101" s="607">
        <v>106.88</v>
      </c>
      <c r="G3101" s="584">
        <v>15</v>
      </c>
    </row>
    <row r="3102" spans="1:7" ht="15" x14ac:dyDescent="0.2">
      <c r="A3102" s="583" t="s">
        <v>18209</v>
      </c>
      <c r="B3102" s="605" t="s">
        <v>18210</v>
      </c>
      <c r="C3102" s="606" t="s">
        <v>12483</v>
      </c>
      <c r="D3102" s="607">
        <v>93.48</v>
      </c>
      <c r="E3102" s="607">
        <v>38.57</v>
      </c>
      <c r="F3102" s="607">
        <v>132.05000000000001</v>
      </c>
      <c r="G3102" s="584">
        <v>15</v>
      </c>
    </row>
    <row r="3103" spans="1:7" ht="15" x14ac:dyDescent="0.2">
      <c r="A3103" s="583" t="s">
        <v>18211</v>
      </c>
      <c r="B3103" s="605" t="s">
        <v>18212</v>
      </c>
      <c r="C3103" s="606" t="s">
        <v>12483</v>
      </c>
      <c r="D3103" s="607">
        <v>76.47</v>
      </c>
      <c r="E3103" s="607">
        <v>33.229999999999997</v>
      </c>
      <c r="F3103" s="607">
        <v>109.7</v>
      </c>
      <c r="G3103" s="584">
        <v>15</v>
      </c>
    </row>
    <row r="3104" spans="1:7" ht="15" x14ac:dyDescent="0.2">
      <c r="A3104" s="583" t="s">
        <v>18213</v>
      </c>
      <c r="B3104" s="605" t="s">
        <v>18214</v>
      </c>
      <c r="C3104" s="606" t="s">
        <v>12483</v>
      </c>
      <c r="D3104" s="607">
        <v>94.28</v>
      </c>
      <c r="E3104" s="607">
        <v>38.57</v>
      </c>
      <c r="F3104" s="607">
        <v>132.85</v>
      </c>
      <c r="G3104" s="584">
        <v>15</v>
      </c>
    </row>
    <row r="3105" spans="1:7" ht="15" x14ac:dyDescent="0.2">
      <c r="A3105" s="583" t="s">
        <v>18215</v>
      </c>
      <c r="B3105" s="605" t="s">
        <v>18216</v>
      </c>
      <c r="C3105" s="606" t="s">
        <v>12483</v>
      </c>
      <c r="D3105" s="607">
        <v>130.87</v>
      </c>
      <c r="E3105" s="607">
        <v>47.62</v>
      </c>
      <c r="F3105" s="607">
        <v>178.49</v>
      </c>
      <c r="G3105" s="584">
        <v>15</v>
      </c>
    </row>
    <row r="3106" spans="1:7" ht="15" x14ac:dyDescent="0.2">
      <c r="A3106" s="583" t="s">
        <v>18217</v>
      </c>
      <c r="B3106" s="605" t="s">
        <v>18218</v>
      </c>
      <c r="C3106" s="606" t="s">
        <v>12483</v>
      </c>
      <c r="D3106" s="607">
        <v>264.87</v>
      </c>
      <c r="E3106" s="607">
        <v>54.2</v>
      </c>
      <c r="F3106" s="607">
        <v>319.07</v>
      </c>
      <c r="G3106" s="584">
        <v>15</v>
      </c>
    </row>
    <row r="3107" spans="1:7" ht="15" x14ac:dyDescent="0.2">
      <c r="A3107" s="583" t="s">
        <v>18219</v>
      </c>
      <c r="B3107" s="605" t="s">
        <v>18220</v>
      </c>
      <c r="C3107" s="606" t="s">
        <v>12483</v>
      </c>
      <c r="D3107" s="607">
        <v>402.2</v>
      </c>
      <c r="E3107" s="607">
        <v>69.84</v>
      </c>
      <c r="F3107" s="607">
        <v>472.04</v>
      </c>
      <c r="G3107" s="584">
        <v>15</v>
      </c>
    </row>
    <row r="3108" spans="1:7" ht="15" x14ac:dyDescent="0.2">
      <c r="A3108" s="583" t="s">
        <v>18221</v>
      </c>
      <c r="B3108" s="605" t="s">
        <v>18222</v>
      </c>
      <c r="C3108" s="606" t="s">
        <v>12483</v>
      </c>
      <c r="D3108" s="607">
        <v>550.64</v>
      </c>
      <c r="E3108" s="607">
        <v>87.96</v>
      </c>
      <c r="F3108" s="607">
        <v>638.6</v>
      </c>
      <c r="G3108" s="584">
        <v>15</v>
      </c>
    </row>
    <row r="3109" spans="1:7" ht="15" x14ac:dyDescent="0.2">
      <c r="A3109" s="583" t="s">
        <v>18223</v>
      </c>
      <c r="B3109" s="605" t="s">
        <v>18224</v>
      </c>
      <c r="C3109" s="606" t="s">
        <v>12483</v>
      </c>
      <c r="D3109" s="607">
        <v>829.92</v>
      </c>
      <c r="E3109" s="607">
        <v>131.5</v>
      </c>
      <c r="F3109" s="607">
        <v>961.42</v>
      </c>
      <c r="G3109" s="584">
        <v>15</v>
      </c>
    </row>
    <row r="3110" spans="1:7" ht="15" x14ac:dyDescent="0.2">
      <c r="A3110" s="583" t="s">
        <v>18225</v>
      </c>
      <c r="B3110" s="605" t="s">
        <v>18226</v>
      </c>
      <c r="C3110" s="606" t="s">
        <v>12483</v>
      </c>
      <c r="D3110" s="607">
        <v>199.66</v>
      </c>
      <c r="E3110" s="607">
        <v>54.2</v>
      </c>
      <c r="F3110" s="607">
        <v>253.86</v>
      </c>
      <c r="G3110" s="584">
        <v>15</v>
      </c>
    </row>
    <row r="3111" spans="1:7" ht="15" x14ac:dyDescent="0.2">
      <c r="A3111" s="583" t="s">
        <v>18227</v>
      </c>
      <c r="B3111" s="605" t="s">
        <v>18228</v>
      </c>
      <c r="C3111" s="606" t="s">
        <v>12483</v>
      </c>
      <c r="D3111" s="607">
        <v>395.22</v>
      </c>
      <c r="E3111" s="607">
        <v>69.84</v>
      </c>
      <c r="F3111" s="607">
        <v>465.06</v>
      </c>
      <c r="G3111" s="584">
        <v>15</v>
      </c>
    </row>
    <row r="3112" spans="1:7" ht="15" x14ac:dyDescent="0.2">
      <c r="A3112" s="583" t="s">
        <v>18229</v>
      </c>
      <c r="B3112" s="605" t="s">
        <v>18230</v>
      </c>
      <c r="C3112" s="606" t="s">
        <v>12483</v>
      </c>
      <c r="D3112" s="607">
        <v>551.19000000000005</v>
      </c>
      <c r="E3112" s="607">
        <v>87.96</v>
      </c>
      <c r="F3112" s="607">
        <v>639.15</v>
      </c>
      <c r="G3112" s="584">
        <v>15</v>
      </c>
    </row>
    <row r="3113" spans="1:7" ht="15" x14ac:dyDescent="0.2">
      <c r="A3113" s="583" t="s">
        <v>18231</v>
      </c>
      <c r="B3113" s="605" t="s">
        <v>18232</v>
      </c>
      <c r="C3113" s="606" t="s">
        <v>12483</v>
      </c>
      <c r="D3113" s="607">
        <v>307.11</v>
      </c>
      <c r="E3113" s="607">
        <v>54.2</v>
      </c>
      <c r="F3113" s="607">
        <v>361.31</v>
      </c>
      <c r="G3113" s="584">
        <v>15</v>
      </c>
    </row>
    <row r="3114" spans="1:7" ht="15" x14ac:dyDescent="0.2">
      <c r="A3114" s="583" t="s">
        <v>18233</v>
      </c>
      <c r="B3114" s="605" t="s">
        <v>18234</v>
      </c>
      <c r="C3114" s="606" t="s">
        <v>12483</v>
      </c>
      <c r="D3114" s="607">
        <v>489.48</v>
      </c>
      <c r="E3114" s="607">
        <v>69.84</v>
      </c>
      <c r="F3114" s="607">
        <v>559.32000000000005</v>
      </c>
      <c r="G3114" s="584">
        <v>15</v>
      </c>
    </row>
    <row r="3115" spans="1:7" ht="15" x14ac:dyDescent="0.2">
      <c r="A3115" s="583" t="s">
        <v>18235</v>
      </c>
      <c r="B3115" s="605" t="s">
        <v>18236</v>
      </c>
      <c r="C3115" s="606" t="s">
        <v>12483</v>
      </c>
      <c r="D3115" s="607">
        <v>714.82</v>
      </c>
      <c r="E3115" s="607">
        <v>87.96</v>
      </c>
      <c r="F3115" s="607">
        <v>802.78</v>
      </c>
      <c r="G3115" s="584">
        <v>15</v>
      </c>
    </row>
    <row r="3116" spans="1:7" ht="15" x14ac:dyDescent="0.2">
      <c r="A3116" s="583" t="s">
        <v>18237</v>
      </c>
      <c r="B3116" s="605" t="s">
        <v>18238</v>
      </c>
      <c r="C3116" s="606" t="s">
        <v>12483</v>
      </c>
      <c r="D3116" s="607">
        <v>36.42</v>
      </c>
      <c r="E3116" s="607">
        <v>32.19</v>
      </c>
      <c r="F3116" s="607">
        <v>68.61</v>
      </c>
      <c r="G3116" s="584">
        <v>15</v>
      </c>
    </row>
    <row r="3117" spans="1:7" ht="15" x14ac:dyDescent="0.2">
      <c r="A3117" s="583" t="s">
        <v>18239</v>
      </c>
      <c r="B3117" s="605" t="s">
        <v>18240</v>
      </c>
      <c r="C3117" s="606" t="s">
        <v>12483</v>
      </c>
      <c r="D3117" s="607">
        <v>49.37</v>
      </c>
      <c r="E3117" s="607">
        <v>41.02</v>
      </c>
      <c r="F3117" s="607">
        <v>90.39</v>
      </c>
      <c r="G3117" s="584">
        <v>15</v>
      </c>
    </row>
    <row r="3118" spans="1:7" ht="15" x14ac:dyDescent="0.2">
      <c r="A3118" s="583" t="s">
        <v>18241</v>
      </c>
      <c r="B3118" s="605" t="s">
        <v>18242</v>
      </c>
      <c r="C3118" s="606" t="s">
        <v>12483</v>
      </c>
      <c r="D3118" s="607">
        <v>87.7</v>
      </c>
      <c r="E3118" s="607">
        <v>69.33</v>
      </c>
      <c r="F3118" s="607">
        <v>157.03</v>
      </c>
      <c r="G3118" s="584">
        <v>15</v>
      </c>
    </row>
    <row r="3119" spans="1:7" ht="15" x14ac:dyDescent="0.2">
      <c r="A3119" s="583" t="s">
        <v>18243</v>
      </c>
      <c r="B3119" s="605" t="s">
        <v>18244</v>
      </c>
      <c r="C3119" s="606" t="s">
        <v>12483</v>
      </c>
      <c r="D3119" s="607">
        <v>1188.01</v>
      </c>
      <c r="E3119" s="607">
        <v>197.25</v>
      </c>
      <c r="F3119" s="607">
        <v>1385.26</v>
      </c>
      <c r="G3119" s="584">
        <v>15</v>
      </c>
    </row>
    <row r="3120" spans="1:7" ht="15" x14ac:dyDescent="0.2">
      <c r="A3120" s="583" t="s">
        <v>18245</v>
      </c>
      <c r="B3120" s="605" t="s">
        <v>18246</v>
      </c>
      <c r="C3120" s="606" t="s">
        <v>12483</v>
      </c>
      <c r="D3120" s="607">
        <v>145.1</v>
      </c>
      <c r="E3120" s="607">
        <v>38.57</v>
      </c>
      <c r="F3120" s="607">
        <v>183.67</v>
      </c>
      <c r="G3120" s="584">
        <v>15</v>
      </c>
    </row>
    <row r="3121" spans="1:7" ht="15" x14ac:dyDescent="0.2">
      <c r="A3121" s="583" t="s">
        <v>18247</v>
      </c>
      <c r="B3121" s="605" t="s">
        <v>18248</v>
      </c>
      <c r="C3121" s="606" t="s">
        <v>12483</v>
      </c>
      <c r="D3121" s="607">
        <v>116.67</v>
      </c>
      <c r="E3121" s="607">
        <v>38.57</v>
      </c>
      <c r="F3121" s="607">
        <v>155.24</v>
      </c>
      <c r="G3121" s="584">
        <v>15</v>
      </c>
    </row>
    <row r="3122" spans="1:7" ht="15" x14ac:dyDescent="0.2">
      <c r="A3122" s="583" t="s">
        <v>18249</v>
      </c>
      <c r="B3122" s="605" t="s">
        <v>18250</v>
      </c>
      <c r="C3122" s="606" t="s">
        <v>12483</v>
      </c>
      <c r="D3122" s="607">
        <v>154.82</v>
      </c>
      <c r="E3122" s="607">
        <v>38.57</v>
      </c>
      <c r="F3122" s="607">
        <v>193.39</v>
      </c>
      <c r="G3122" s="584">
        <v>15</v>
      </c>
    </row>
    <row r="3123" spans="1:7" ht="15" x14ac:dyDescent="0.2">
      <c r="A3123" s="583" t="s">
        <v>18251</v>
      </c>
      <c r="B3123" s="605" t="s">
        <v>18252</v>
      </c>
      <c r="C3123" s="606" t="s">
        <v>12483</v>
      </c>
      <c r="D3123" s="607">
        <v>258.95</v>
      </c>
      <c r="E3123" s="607">
        <v>60.78</v>
      </c>
      <c r="F3123" s="607">
        <v>319.73</v>
      </c>
      <c r="G3123" s="584">
        <v>15</v>
      </c>
    </row>
    <row r="3124" spans="1:7" ht="15" x14ac:dyDescent="0.2">
      <c r="A3124" s="583" t="s">
        <v>18253</v>
      </c>
      <c r="B3124" s="605" t="s">
        <v>18254</v>
      </c>
      <c r="C3124" s="606" t="s">
        <v>12483</v>
      </c>
      <c r="D3124" s="607">
        <v>157.96</v>
      </c>
      <c r="E3124" s="607">
        <v>47.62</v>
      </c>
      <c r="F3124" s="607">
        <v>205.58</v>
      </c>
      <c r="G3124" s="584">
        <v>15</v>
      </c>
    </row>
    <row r="3125" spans="1:7" ht="15" x14ac:dyDescent="0.2">
      <c r="A3125" s="583" t="s">
        <v>18255</v>
      </c>
      <c r="B3125" s="605" t="s">
        <v>18256</v>
      </c>
      <c r="C3125" s="606" t="s">
        <v>12483</v>
      </c>
      <c r="D3125" s="607">
        <v>470.66</v>
      </c>
      <c r="E3125" s="607">
        <v>78.900000000000006</v>
      </c>
      <c r="F3125" s="607">
        <v>549.55999999999995</v>
      </c>
      <c r="G3125" s="584">
        <v>15</v>
      </c>
    </row>
    <row r="3126" spans="1:7" ht="15" x14ac:dyDescent="0.2">
      <c r="A3126" s="583" t="s">
        <v>18257</v>
      </c>
      <c r="B3126" s="605" t="s">
        <v>18258</v>
      </c>
      <c r="C3126" s="606" t="s">
        <v>12483</v>
      </c>
      <c r="D3126" s="607">
        <v>116.16</v>
      </c>
      <c r="E3126" s="607">
        <v>33.229999999999997</v>
      </c>
      <c r="F3126" s="607">
        <v>149.38999999999999</v>
      </c>
      <c r="G3126" s="584">
        <v>15</v>
      </c>
    </row>
    <row r="3127" spans="1:7" ht="15" x14ac:dyDescent="0.2">
      <c r="A3127" s="583" t="s">
        <v>18259</v>
      </c>
      <c r="B3127" s="605" t="s">
        <v>18260</v>
      </c>
      <c r="C3127" s="606" t="s">
        <v>12483</v>
      </c>
      <c r="D3127" s="607">
        <v>104.97</v>
      </c>
      <c r="E3127" s="607">
        <v>33.229999999999997</v>
      </c>
      <c r="F3127" s="607">
        <v>138.19999999999999</v>
      </c>
      <c r="G3127" s="584">
        <v>15</v>
      </c>
    </row>
    <row r="3128" spans="1:7" ht="15" x14ac:dyDescent="0.2">
      <c r="A3128" s="583" t="s">
        <v>18261</v>
      </c>
      <c r="B3128" s="605" t="s">
        <v>18262</v>
      </c>
      <c r="C3128" s="606" t="s">
        <v>12483</v>
      </c>
      <c r="D3128" s="607">
        <v>25.28</v>
      </c>
      <c r="E3128" s="607">
        <v>11.72</v>
      </c>
      <c r="F3128" s="607">
        <v>37</v>
      </c>
      <c r="G3128" s="584">
        <v>15</v>
      </c>
    </row>
    <row r="3129" spans="1:7" ht="15" x14ac:dyDescent="0.25">
      <c r="A3129" s="583" t="s">
        <v>18263</v>
      </c>
      <c r="B3129" s="605" t="s">
        <v>18264</v>
      </c>
      <c r="C3129" s="606"/>
      <c r="D3129" s="607"/>
      <c r="E3129" s="607"/>
      <c r="F3129" s="607"/>
      <c r="G3129" s="582"/>
    </row>
    <row r="3130" spans="1:7" ht="30" x14ac:dyDescent="0.2">
      <c r="A3130" s="583" t="s">
        <v>18265</v>
      </c>
      <c r="B3130" s="605" t="s">
        <v>18266</v>
      </c>
      <c r="C3130" s="606" t="s">
        <v>12483</v>
      </c>
      <c r="D3130" s="607">
        <v>7.81</v>
      </c>
      <c r="E3130" s="607">
        <v>1.68</v>
      </c>
      <c r="F3130" s="607">
        <v>9.49</v>
      </c>
      <c r="G3130" s="584">
        <v>15</v>
      </c>
    </row>
    <row r="3131" spans="1:7" ht="30" x14ac:dyDescent="0.2">
      <c r="A3131" s="583" t="s">
        <v>18267</v>
      </c>
      <c r="B3131" s="605" t="s">
        <v>18268</v>
      </c>
      <c r="C3131" s="606" t="s">
        <v>12483</v>
      </c>
      <c r="D3131" s="607">
        <v>8.86</v>
      </c>
      <c r="E3131" s="607">
        <v>1.68</v>
      </c>
      <c r="F3131" s="607">
        <v>10.54</v>
      </c>
      <c r="G3131" s="584">
        <v>15</v>
      </c>
    </row>
    <row r="3132" spans="1:7" ht="30" x14ac:dyDescent="0.2">
      <c r="A3132" s="583" t="s">
        <v>18269</v>
      </c>
      <c r="B3132" s="605" t="s">
        <v>18270</v>
      </c>
      <c r="C3132" s="606" t="s">
        <v>12483</v>
      </c>
      <c r="D3132" s="607">
        <v>12.25</v>
      </c>
      <c r="E3132" s="607">
        <v>1.68</v>
      </c>
      <c r="F3132" s="607">
        <v>13.93</v>
      </c>
      <c r="G3132" s="584">
        <v>15</v>
      </c>
    </row>
    <row r="3133" spans="1:7" ht="30" x14ac:dyDescent="0.2">
      <c r="A3133" s="583" t="s">
        <v>18271</v>
      </c>
      <c r="B3133" s="605" t="s">
        <v>18272</v>
      </c>
      <c r="C3133" s="606" t="s">
        <v>12483</v>
      </c>
      <c r="D3133" s="607">
        <v>23.95</v>
      </c>
      <c r="E3133" s="607">
        <v>1.68</v>
      </c>
      <c r="F3133" s="607">
        <v>25.63</v>
      </c>
      <c r="G3133" s="584">
        <v>15</v>
      </c>
    </row>
    <row r="3134" spans="1:7" ht="30" x14ac:dyDescent="0.2">
      <c r="A3134" s="583" t="s">
        <v>18273</v>
      </c>
      <c r="B3134" s="605" t="s">
        <v>18274</v>
      </c>
      <c r="C3134" s="606" t="s">
        <v>12483</v>
      </c>
      <c r="D3134" s="607">
        <v>35.85</v>
      </c>
      <c r="E3134" s="607">
        <v>1.68</v>
      </c>
      <c r="F3134" s="607">
        <v>37.53</v>
      </c>
      <c r="G3134" s="584">
        <v>15</v>
      </c>
    </row>
    <row r="3135" spans="1:7" ht="30" x14ac:dyDescent="0.2">
      <c r="A3135" s="583" t="s">
        <v>18275</v>
      </c>
      <c r="B3135" s="605" t="s">
        <v>18276</v>
      </c>
      <c r="C3135" s="606" t="s">
        <v>12483</v>
      </c>
      <c r="D3135" s="607">
        <v>82.98</v>
      </c>
      <c r="E3135" s="607">
        <v>2.5099999999999998</v>
      </c>
      <c r="F3135" s="607">
        <v>85.49</v>
      </c>
      <c r="G3135" s="584">
        <v>15</v>
      </c>
    </row>
    <row r="3136" spans="1:7" ht="30" x14ac:dyDescent="0.2">
      <c r="A3136" s="583" t="s">
        <v>18277</v>
      </c>
      <c r="B3136" s="605" t="s">
        <v>18278</v>
      </c>
      <c r="C3136" s="606" t="s">
        <v>12483</v>
      </c>
      <c r="D3136" s="607">
        <v>112.87</v>
      </c>
      <c r="E3136" s="607">
        <v>2.5099999999999998</v>
      </c>
      <c r="F3136" s="607">
        <v>115.38</v>
      </c>
      <c r="G3136" s="584">
        <v>15</v>
      </c>
    </row>
    <row r="3137" spans="1:7" ht="30" x14ac:dyDescent="0.2">
      <c r="A3137" s="583" t="s">
        <v>18279</v>
      </c>
      <c r="B3137" s="605" t="s">
        <v>18280</v>
      </c>
      <c r="C3137" s="606" t="s">
        <v>12483</v>
      </c>
      <c r="D3137" s="607">
        <v>194.3</v>
      </c>
      <c r="E3137" s="607">
        <v>2.5099999999999998</v>
      </c>
      <c r="F3137" s="607">
        <v>196.81</v>
      </c>
      <c r="G3137" s="584">
        <v>15</v>
      </c>
    </row>
    <row r="3138" spans="1:7" ht="30" x14ac:dyDescent="0.2">
      <c r="A3138" s="583" t="s">
        <v>18281</v>
      </c>
      <c r="B3138" s="605" t="s">
        <v>18282</v>
      </c>
      <c r="C3138" s="606" t="s">
        <v>12483</v>
      </c>
      <c r="D3138" s="607">
        <v>325.39</v>
      </c>
      <c r="E3138" s="607">
        <v>2.5099999999999998</v>
      </c>
      <c r="F3138" s="607">
        <v>327.9</v>
      </c>
      <c r="G3138" s="584">
        <v>15</v>
      </c>
    </row>
    <row r="3139" spans="1:7" ht="30" x14ac:dyDescent="0.2">
      <c r="A3139" s="583" t="s">
        <v>18283</v>
      </c>
      <c r="B3139" s="605" t="s">
        <v>18284</v>
      </c>
      <c r="C3139" s="606" t="s">
        <v>12483</v>
      </c>
      <c r="D3139" s="607">
        <v>426.64</v>
      </c>
      <c r="E3139" s="607">
        <v>2.5099999999999998</v>
      </c>
      <c r="F3139" s="607">
        <v>429.15</v>
      </c>
      <c r="G3139" s="584">
        <v>15</v>
      </c>
    </row>
    <row r="3140" spans="1:7" ht="30" x14ac:dyDescent="0.2">
      <c r="A3140" s="583" t="s">
        <v>18285</v>
      </c>
      <c r="B3140" s="605" t="s">
        <v>18286</v>
      </c>
      <c r="C3140" s="606" t="s">
        <v>12483</v>
      </c>
      <c r="D3140" s="607">
        <v>688.07</v>
      </c>
      <c r="E3140" s="607">
        <v>2.5099999999999998</v>
      </c>
      <c r="F3140" s="607">
        <v>690.58</v>
      </c>
      <c r="G3140" s="584">
        <v>15</v>
      </c>
    </row>
    <row r="3141" spans="1:7" ht="30" x14ac:dyDescent="0.2">
      <c r="A3141" s="583" t="s">
        <v>18287</v>
      </c>
      <c r="B3141" s="605" t="s">
        <v>18288</v>
      </c>
      <c r="C3141" s="606" t="s">
        <v>12483</v>
      </c>
      <c r="D3141" s="607">
        <v>983.34</v>
      </c>
      <c r="E3141" s="607">
        <v>2.5099999999999998</v>
      </c>
      <c r="F3141" s="607">
        <v>985.85</v>
      </c>
      <c r="G3141" s="584">
        <v>15</v>
      </c>
    </row>
    <row r="3142" spans="1:7" ht="30" x14ac:dyDescent="0.2">
      <c r="A3142" s="583" t="s">
        <v>18289</v>
      </c>
      <c r="B3142" s="605" t="s">
        <v>18290</v>
      </c>
      <c r="C3142" s="606" t="s">
        <v>12483</v>
      </c>
      <c r="D3142" s="607">
        <v>1359.49</v>
      </c>
      <c r="E3142" s="607">
        <v>2.5099999999999998</v>
      </c>
      <c r="F3142" s="607">
        <v>1362</v>
      </c>
      <c r="G3142" s="584">
        <v>15</v>
      </c>
    </row>
    <row r="3143" spans="1:7" ht="15" x14ac:dyDescent="0.25">
      <c r="A3143" s="583" t="s">
        <v>18291</v>
      </c>
      <c r="B3143" s="605" t="s">
        <v>18292</v>
      </c>
      <c r="C3143" s="606"/>
      <c r="D3143" s="607"/>
      <c r="E3143" s="607"/>
      <c r="F3143" s="607"/>
      <c r="G3143" s="582"/>
    </row>
    <row r="3144" spans="1:7" ht="30" x14ac:dyDescent="0.2">
      <c r="A3144" s="583" t="s">
        <v>18293</v>
      </c>
      <c r="B3144" s="605" t="s">
        <v>18294</v>
      </c>
      <c r="C3144" s="606" t="s">
        <v>12483</v>
      </c>
      <c r="D3144" s="607">
        <v>593.66999999999996</v>
      </c>
      <c r="E3144" s="607">
        <v>35.340000000000003</v>
      </c>
      <c r="F3144" s="607">
        <v>629.01</v>
      </c>
      <c r="G3144" s="584">
        <v>15</v>
      </c>
    </row>
    <row r="3145" spans="1:7" ht="30" x14ac:dyDescent="0.2">
      <c r="A3145" s="583" t="s">
        <v>18295</v>
      </c>
      <c r="B3145" s="605" t="s">
        <v>18296</v>
      </c>
      <c r="C3145" s="606" t="s">
        <v>12483</v>
      </c>
      <c r="D3145" s="607">
        <v>689.17</v>
      </c>
      <c r="E3145" s="607">
        <v>35.340000000000003</v>
      </c>
      <c r="F3145" s="607">
        <v>724.51</v>
      </c>
      <c r="G3145" s="584">
        <v>15</v>
      </c>
    </row>
    <row r="3146" spans="1:7" ht="30" x14ac:dyDescent="0.2">
      <c r="A3146" s="583" t="s">
        <v>18297</v>
      </c>
      <c r="B3146" s="605" t="s">
        <v>18298</v>
      </c>
      <c r="C3146" s="606" t="s">
        <v>12483</v>
      </c>
      <c r="D3146" s="607">
        <v>880.53</v>
      </c>
      <c r="E3146" s="607">
        <v>35.340000000000003</v>
      </c>
      <c r="F3146" s="607">
        <v>915.87</v>
      </c>
      <c r="G3146" s="584">
        <v>15</v>
      </c>
    </row>
    <row r="3147" spans="1:7" ht="30" x14ac:dyDescent="0.2">
      <c r="A3147" s="583" t="s">
        <v>18299</v>
      </c>
      <c r="B3147" s="605" t="s">
        <v>18300</v>
      </c>
      <c r="C3147" s="606" t="s">
        <v>12483</v>
      </c>
      <c r="D3147" s="607">
        <v>1309.67</v>
      </c>
      <c r="E3147" s="607">
        <v>35.340000000000003</v>
      </c>
      <c r="F3147" s="607">
        <v>1345.01</v>
      </c>
      <c r="G3147" s="584">
        <v>15</v>
      </c>
    </row>
    <row r="3148" spans="1:7" ht="30" x14ac:dyDescent="0.2">
      <c r="A3148" s="583" t="s">
        <v>18301</v>
      </c>
      <c r="B3148" s="605" t="s">
        <v>18302</v>
      </c>
      <c r="C3148" s="606" t="s">
        <v>12483</v>
      </c>
      <c r="D3148" s="607">
        <v>1054.75</v>
      </c>
      <c r="E3148" s="607">
        <v>35.340000000000003</v>
      </c>
      <c r="F3148" s="607">
        <v>1090.0899999999999</v>
      </c>
      <c r="G3148" s="584">
        <v>15</v>
      </c>
    </row>
    <row r="3149" spans="1:7" ht="30" x14ac:dyDescent="0.2">
      <c r="A3149" s="583" t="s">
        <v>18303</v>
      </c>
      <c r="B3149" s="605" t="s">
        <v>18304</v>
      </c>
      <c r="C3149" s="606" t="s">
        <v>12483</v>
      </c>
      <c r="D3149" s="607">
        <v>530.42999999999995</v>
      </c>
      <c r="E3149" s="607">
        <v>35.340000000000003</v>
      </c>
      <c r="F3149" s="607">
        <v>565.77</v>
      </c>
      <c r="G3149" s="584">
        <v>15</v>
      </c>
    </row>
    <row r="3150" spans="1:7" ht="30" x14ac:dyDescent="0.2">
      <c r="A3150" s="583" t="s">
        <v>18305</v>
      </c>
      <c r="B3150" s="605" t="s">
        <v>18306</v>
      </c>
      <c r="C3150" s="606" t="s">
        <v>12483</v>
      </c>
      <c r="D3150" s="607">
        <v>544.29</v>
      </c>
      <c r="E3150" s="607">
        <v>35.340000000000003</v>
      </c>
      <c r="F3150" s="607">
        <v>579.63</v>
      </c>
      <c r="G3150" s="584">
        <v>15</v>
      </c>
    </row>
    <row r="3151" spans="1:7" ht="30" x14ac:dyDescent="0.2">
      <c r="A3151" s="583" t="s">
        <v>18307</v>
      </c>
      <c r="B3151" s="605" t="s">
        <v>18308</v>
      </c>
      <c r="C3151" s="606" t="s">
        <v>12483</v>
      </c>
      <c r="D3151" s="607">
        <v>638.39</v>
      </c>
      <c r="E3151" s="607">
        <v>35.340000000000003</v>
      </c>
      <c r="F3151" s="607">
        <v>673.73</v>
      </c>
      <c r="G3151" s="584">
        <v>15</v>
      </c>
    </row>
    <row r="3152" spans="1:7" ht="30" x14ac:dyDescent="0.2">
      <c r="A3152" s="583" t="s">
        <v>18309</v>
      </c>
      <c r="B3152" s="605" t="s">
        <v>18310</v>
      </c>
      <c r="C3152" s="606" t="s">
        <v>12483</v>
      </c>
      <c r="D3152" s="607">
        <v>774.13</v>
      </c>
      <c r="E3152" s="607">
        <v>35.340000000000003</v>
      </c>
      <c r="F3152" s="607">
        <v>809.47</v>
      </c>
      <c r="G3152" s="584">
        <v>15</v>
      </c>
    </row>
    <row r="3153" spans="1:7" ht="30" x14ac:dyDescent="0.2">
      <c r="A3153" s="583" t="s">
        <v>18311</v>
      </c>
      <c r="B3153" s="605" t="s">
        <v>18312</v>
      </c>
      <c r="C3153" s="606" t="s">
        <v>12483</v>
      </c>
      <c r="D3153" s="607">
        <v>968.8</v>
      </c>
      <c r="E3153" s="607">
        <v>35.340000000000003</v>
      </c>
      <c r="F3153" s="607">
        <v>1004.14</v>
      </c>
      <c r="G3153" s="584">
        <v>15</v>
      </c>
    </row>
    <row r="3154" spans="1:7" ht="30" x14ac:dyDescent="0.2">
      <c r="A3154" s="583" t="s">
        <v>18313</v>
      </c>
      <c r="B3154" s="605" t="s">
        <v>18314</v>
      </c>
      <c r="C3154" s="606" t="s">
        <v>12483</v>
      </c>
      <c r="D3154" s="607">
        <v>1160.08</v>
      </c>
      <c r="E3154" s="607">
        <v>35.340000000000003</v>
      </c>
      <c r="F3154" s="607">
        <v>1195.42</v>
      </c>
      <c r="G3154" s="584">
        <v>15</v>
      </c>
    </row>
    <row r="3155" spans="1:7" ht="30" x14ac:dyDescent="0.2">
      <c r="A3155" s="583" t="s">
        <v>18315</v>
      </c>
      <c r="B3155" s="605" t="s">
        <v>18316</v>
      </c>
      <c r="C3155" s="606" t="s">
        <v>12483</v>
      </c>
      <c r="D3155" s="607">
        <v>1500.05</v>
      </c>
      <c r="E3155" s="607">
        <v>35.340000000000003</v>
      </c>
      <c r="F3155" s="607">
        <v>1535.39</v>
      </c>
      <c r="G3155" s="584">
        <v>15</v>
      </c>
    </row>
    <row r="3156" spans="1:7" ht="15" x14ac:dyDescent="0.25">
      <c r="A3156" s="583" t="s">
        <v>18317</v>
      </c>
      <c r="B3156" s="605" t="s">
        <v>18318</v>
      </c>
      <c r="C3156" s="606"/>
      <c r="D3156" s="607"/>
      <c r="E3156" s="607"/>
      <c r="F3156" s="607"/>
      <c r="G3156" s="582"/>
    </row>
    <row r="3157" spans="1:7" ht="30" x14ac:dyDescent="0.2">
      <c r="A3157" s="583" t="s">
        <v>18319</v>
      </c>
      <c r="B3157" s="605" t="s">
        <v>18320</v>
      </c>
      <c r="C3157" s="606" t="s">
        <v>12483</v>
      </c>
      <c r="D3157" s="607">
        <v>125.1</v>
      </c>
      <c r="E3157" s="607">
        <v>21.2</v>
      </c>
      <c r="F3157" s="607">
        <v>146.30000000000001</v>
      </c>
      <c r="G3157" s="584">
        <v>15</v>
      </c>
    </row>
    <row r="3158" spans="1:7" ht="30" x14ac:dyDescent="0.2">
      <c r="A3158" s="583" t="s">
        <v>18321</v>
      </c>
      <c r="B3158" s="605" t="s">
        <v>18322</v>
      </c>
      <c r="C3158" s="606" t="s">
        <v>12483</v>
      </c>
      <c r="D3158" s="607">
        <v>193.35</v>
      </c>
      <c r="E3158" s="607">
        <v>28.27</v>
      </c>
      <c r="F3158" s="607">
        <v>221.62</v>
      </c>
      <c r="G3158" s="584">
        <v>15</v>
      </c>
    </row>
    <row r="3159" spans="1:7" ht="30" x14ac:dyDescent="0.2">
      <c r="A3159" s="583" t="s">
        <v>18323</v>
      </c>
      <c r="B3159" s="605" t="s">
        <v>18324</v>
      </c>
      <c r="C3159" s="606" t="s">
        <v>12483</v>
      </c>
      <c r="D3159" s="607">
        <v>221.98</v>
      </c>
      <c r="E3159" s="607">
        <v>28.27</v>
      </c>
      <c r="F3159" s="607">
        <v>250.25</v>
      </c>
      <c r="G3159" s="584">
        <v>15</v>
      </c>
    </row>
    <row r="3160" spans="1:7" ht="15" x14ac:dyDescent="0.25">
      <c r="A3160" s="583" t="s">
        <v>18325</v>
      </c>
      <c r="B3160" s="605" t="s">
        <v>18326</v>
      </c>
      <c r="C3160" s="606"/>
      <c r="D3160" s="607"/>
      <c r="E3160" s="607"/>
      <c r="F3160" s="607"/>
      <c r="G3160" s="582"/>
    </row>
    <row r="3161" spans="1:7" ht="30" x14ac:dyDescent="0.2">
      <c r="A3161" s="583" t="s">
        <v>18327</v>
      </c>
      <c r="B3161" s="605" t="s">
        <v>18328</v>
      </c>
      <c r="C3161" s="606" t="s">
        <v>12483</v>
      </c>
      <c r="D3161" s="607">
        <v>712.99</v>
      </c>
      <c r="E3161" s="607">
        <v>40.36</v>
      </c>
      <c r="F3161" s="607">
        <v>753.35</v>
      </c>
      <c r="G3161" s="584">
        <v>15</v>
      </c>
    </row>
    <row r="3162" spans="1:7" ht="30" x14ac:dyDescent="0.2">
      <c r="A3162" s="583" t="s">
        <v>18329</v>
      </c>
      <c r="B3162" s="605" t="s">
        <v>18330</v>
      </c>
      <c r="C3162" s="606" t="s">
        <v>12483</v>
      </c>
      <c r="D3162" s="607">
        <v>639.48</v>
      </c>
      <c r="E3162" s="607">
        <v>40.36</v>
      </c>
      <c r="F3162" s="607">
        <v>679.84</v>
      </c>
      <c r="G3162" s="584">
        <v>15</v>
      </c>
    </row>
    <row r="3163" spans="1:7" ht="30" x14ac:dyDescent="0.2">
      <c r="A3163" s="583" t="s">
        <v>18331</v>
      </c>
      <c r="B3163" s="605" t="s">
        <v>18332</v>
      </c>
      <c r="C3163" s="606" t="s">
        <v>12483</v>
      </c>
      <c r="D3163" s="607">
        <v>687.6</v>
      </c>
      <c r="E3163" s="607">
        <v>40.36</v>
      </c>
      <c r="F3163" s="607">
        <v>727.96</v>
      </c>
      <c r="G3163" s="584">
        <v>15</v>
      </c>
    </row>
    <row r="3164" spans="1:7" ht="30" x14ac:dyDescent="0.2">
      <c r="A3164" s="583" t="s">
        <v>18333</v>
      </c>
      <c r="B3164" s="605" t="s">
        <v>18334</v>
      </c>
      <c r="C3164" s="606" t="s">
        <v>12483</v>
      </c>
      <c r="D3164" s="607">
        <v>818.87</v>
      </c>
      <c r="E3164" s="607">
        <v>40.36</v>
      </c>
      <c r="F3164" s="607">
        <v>859.23</v>
      </c>
      <c r="G3164" s="584">
        <v>15</v>
      </c>
    </row>
    <row r="3165" spans="1:7" ht="30" x14ac:dyDescent="0.2">
      <c r="A3165" s="583" t="s">
        <v>18335</v>
      </c>
      <c r="B3165" s="605" t="s">
        <v>18336</v>
      </c>
      <c r="C3165" s="606" t="s">
        <v>12483</v>
      </c>
      <c r="D3165" s="607">
        <v>1095.6199999999999</v>
      </c>
      <c r="E3165" s="607">
        <v>43.38</v>
      </c>
      <c r="F3165" s="607">
        <v>1139</v>
      </c>
      <c r="G3165" s="584">
        <v>15</v>
      </c>
    </row>
    <row r="3166" spans="1:7" ht="30" x14ac:dyDescent="0.2">
      <c r="A3166" s="583" t="s">
        <v>18337</v>
      </c>
      <c r="B3166" s="605" t="s">
        <v>18338</v>
      </c>
      <c r="C3166" s="606" t="s">
        <v>12483</v>
      </c>
      <c r="D3166" s="607">
        <v>1250.51</v>
      </c>
      <c r="E3166" s="607">
        <v>43.38</v>
      </c>
      <c r="F3166" s="607">
        <v>1293.8900000000001</v>
      </c>
      <c r="G3166" s="584">
        <v>15</v>
      </c>
    </row>
    <row r="3167" spans="1:7" ht="15" x14ac:dyDescent="0.2">
      <c r="A3167" s="583" t="s">
        <v>18339</v>
      </c>
      <c r="B3167" s="605" t="s">
        <v>18340</v>
      </c>
      <c r="C3167" s="606" t="s">
        <v>12375</v>
      </c>
      <c r="D3167" s="607">
        <v>143.81</v>
      </c>
      <c r="E3167" s="607">
        <v>22.1</v>
      </c>
      <c r="F3167" s="607">
        <v>165.91</v>
      </c>
      <c r="G3167" s="584">
        <v>15</v>
      </c>
    </row>
    <row r="3168" spans="1:7" ht="15" x14ac:dyDescent="0.2">
      <c r="A3168" s="583" t="s">
        <v>18341</v>
      </c>
      <c r="B3168" s="605" t="s">
        <v>18342</v>
      </c>
      <c r="C3168" s="606" t="s">
        <v>12375</v>
      </c>
      <c r="D3168" s="607">
        <v>174.42</v>
      </c>
      <c r="E3168" s="607">
        <v>22.1</v>
      </c>
      <c r="F3168" s="607">
        <v>196.52</v>
      </c>
      <c r="G3168" s="584">
        <v>15</v>
      </c>
    </row>
    <row r="3169" spans="1:7" ht="15" x14ac:dyDescent="0.2">
      <c r="A3169" s="583" t="s">
        <v>18343</v>
      </c>
      <c r="B3169" s="605" t="s">
        <v>18344</v>
      </c>
      <c r="C3169" s="606" t="s">
        <v>12375</v>
      </c>
      <c r="D3169" s="607">
        <v>220.78</v>
      </c>
      <c r="E3169" s="607">
        <v>24.11</v>
      </c>
      <c r="F3169" s="607">
        <v>244.89</v>
      </c>
      <c r="G3169" s="584">
        <v>15</v>
      </c>
    </row>
    <row r="3170" spans="1:7" ht="15" x14ac:dyDescent="0.2">
      <c r="A3170" s="583" t="s">
        <v>18345</v>
      </c>
      <c r="B3170" s="605" t="s">
        <v>18346</v>
      </c>
      <c r="C3170" s="606" t="s">
        <v>12375</v>
      </c>
      <c r="D3170" s="607">
        <v>326.47000000000003</v>
      </c>
      <c r="E3170" s="607">
        <v>26.13</v>
      </c>
      <c r="F3170" s="607">
        <v>352.6</v>
      </c>
      <c r="G3170" s="584">
        <v>15</v>
      </c>
    </row>
    <row r="3171" spans="1:7" ht="15" x14ac:dyDescent="0.2">
      <c r="A3171" s="583" t="s">
        <v>18347</v>
      </c>
      <c r="B3171" s="605" t="s">
        <v>18348</v>
      </c>
      <c r="C3171" s="606" t="s">
        <v>12375</v>
      </c>
      <c r="D3171" s="607">
        <v>407.58</v>
      </c>
      <c r="E3171" s="607">
        <v>28.14</v>
      </c>
      <c r="F3171" s="607">
        <v>435.72</v>
      </c>
      <c r="G3171" s="584">
        <v>15</v>
      </c>
    </row>
    <row r="3172" spans="1:7" ht="15" x14ac:dyDescent="0.2">
      <c r="A3172" s="583" t="s">
        <v>18349</v>
      </c>
      <c r="B3172" s="605" t="s">
        <v>18350</v>
      </c>
      <c r="C3172" s="606" t="s">
        <v>12375</v>
      </c>
      <c r="D3172" s="607">
        <v>586.47</v>
      </c>
      <c r="E3172" s="607">
        <v>30.14</v>
      </c>
      <c r="F3172" s="607">
        <v>616.61</v>
      </c>
      <c r="G3172" s="584">
        <v>15</v>
      </c>
    </row>
    <row r="3173" spans="1:7" ht="15" x14ac:dyDescent="0.2">
      <c r="A3173" s="583" t="s">
        <v>18351</v>
      </c>
      <c r="B3173" s="605" t="s">
        <v>18352</v>
      </c>
      <c r="C3173" s="606" t="s">
        <v>12375</v>
      </c>
      <c r="D3173" s="607">
        <v>753.31</v>
      </c>
      <c r="E3173" s="607">
        <v>32.15</v>
      </c>
      <c r="F3173" s="607">
        <v>785.46</v>
      </c>
      <c r="G3173" s="584">
        <v>15</v>
      </c>
    </row>
    <row r="3174" spans="1:7" ht="30" x14ac:dyDescent="0.2">
      <c r="A3174" s="583" t="s">
        <v>18353</v>
      </c>
      <c r="B3174" s="605" t="s">
        <v>18354</v>
      </c>
      <c r="C3174" s="606" t="s">
        <v>12375</v>
      </c>
      <c r="D3174" s="607">
        <v>294.62</v>
      </c>
      <c r="E3174" s="607">
        <v>28.14</v>
      </c>
      <c r="F3174" s="607">
        <v>322.76</v>
      </c>
      <c r="G3174" s="584">
        <v>15</v>
      </c>
    </row>
    <row r="3175" spans="1:7" ht="30" x14ac:dyDescent="0.2">
      <c r="A3175" s="583" t="s">
        <v>18355</v>
      </c>
      <c r="B3175" s="605" t="s">
        <v>18356</v>
      </c>
      <c r="C3175" s="606" t="s">
        <v>12375</v>
      </c>
      <c r="D3175" s="607">
        <v>324.63</v>
      </c>
      <c r="E3175" s="607">
        <v>22.1</v>
      </c>
      <c r="F3175" s="607">
        <v>346.73</v>
      </c>
      <c r="G3175" s="584">
        <v>15</v>
      </c>
    </row>
    <row r="3176" spans="1:7" ht="30" x14ac:dyDescent="0.2">
      <c r="A3176" s="583" t="s">
        <v>18357</v>
      </c>
      <c r="B3176" s="605" t="s">
        <v>18358</v>
      </c>
      <c r="C3176" s="606" t="s">
        <v>12375</v>
      </c>
      <c r="D3176" s="607">
        <v>424.8</v>
      </c>
      <c r="E3176" s="607">
        <v>28.14</v>
      </c>
      <c r="F3176" s="607">
        <v>452.94</v>
      </c>
      <c r="G3176" s="584">
        <v>15</v>
      </c>
    </row>
    <row r="3177" spans="1:7" ht="30" x14ac:dyDescent="0.2">
      <c r="A3177" s="583" t="s">
        <v>18359</v>
      </c>
      <c r="B3177" s="605" t="s">
        <v>18360</v>
      </c>
      <c r="C3177" s="606" t="s">
        <v>12375</v>
      </c>
      <c r="D3177" s="607">
        <v>752.44</v>
      </c>
      <c r="E3177" s="607">
        <v>32.15</v>
      </c>
      <c r="F3177" s="607">
        <v>784.59</v>
      </c>
      <c r="G3177" s="584">
        <v>15</v>
      </c>
    </row>
    <row r="3178" spans="1:7" ht="30" x14ac:dyDescent="0.2">
      <c r="A3178" s="583" t="s">
        <v>18361</v>
      </c>
      <c r="B3178" s="605" t="s">
        <v>18362</v>
      </c>
      <c r="C3178" s="606" t="s">
        <v>12375</v>
      </c>
      <c r="D3178" s="607">
        <v>573.91</v>
      </c>
      <c r="E3178" s="607">
        <v>24.11</v>
      </c>
      <c r="F3178" s="607">
        <v>598.02</v>
      </c>
      <c r="G3178" s="584">
        <v>15</v>
      </c>
    </row>
    <row r="3179" spans="1:7" ht="30" x14ac:dyDescent="0.2">
      <c r="A3179" s="583" t="s">
        <v>18363</v>
      </c>
      <c r="B3179" s="605" t="s">
        <v>18364</v>
      </c>
      <c r="C3179" s="606" t="s">
        <v>12375</v>
      </c>
      <c r="D3179" s="607">
        <v>664.63</v>
      </c>
      <c r="E3179" s="607">
        <v>28.14</v>
      </c>
      <c r="F3179" s="607">
        <v>692.77</v>
      </c>
      <c r="G3179" s="584">
        <v>15</v>
      </c>
    </row>
    <row r="3180" spans="1:7" ht="30" x14ac:dyDescent="0.2">
      <c r="A3180" s="583" t="s">
        <v>18365</v>
      </c>
      <c r="B3180" s="605" t="s">
        <v>18366</v>
      </c>
      <c r="C3180" s="606" t="s">
        <v>12375</v>
      </c>
      <c r="D3180" s="607">
        <v>1118.3499999999999</v>
      </c>
      <c r="E3180" s="607">
        <v>32.15</v>
      </c>
      <c r="F3180" s="607">
        <v>1150.5</v>
      </c>
      <c r="G3180" s="584">
        <v>15</v>
      </c>
    </row>
    <row r="3181" spans="1:7" ht="15" x14ac:dyDescent="0.2">
      <c r="A3181" s="583" t="s">
        <v>18367</v>
      </c>
      <c r="B3181" s="605" t="s">
        <v>18368</v>
      </c>
      <c r="C3181" s="606" t="s">
        <v>12375</v>
      </c>
      <c r="D3181" s="607">
        <v>494.22</v>
      </c>
      <c r="E3181" s="607">
        <v>22.1</v>
      </c>
      <c r="F3181" s="607">
        <v>516.32000000000005</v>
      </c>
      <c r="G3181" s="584">
        <v>15</v>
      </c>
    </row>
    <row r="3182" spans="1:7" ht="15" x14ac:dyDescent="0.2">
      <c r="A3182" s="583" t="s">
        <v>18369</v>
      </c>
      <c r="B3182" s="605" t="s">
        <v>18370</v>
      </c>
      <c r="C3182" s="606" t="s">
        <v>12375</v>
      </c>
      <c r="D3182" s="607">
        <v>508.47</v>
      </c>
      <c r="E3182" s="607">
        <v>24.11</v>
      </c>
      <c r="F3182" s="607">
        <v>532.58000000000004</v>
      </c>
      <c r="G3182" s="584">
        <v>15</v>
      </c>
    </row>
    <row r="3183" spans="1:7" ht="30" x14ac:dyDescent="0.25">
      <c r="A3183" s="583" t="s">
        <v>18371</v>
      </c>
      <c r="B3183" s="605" t="s">
        <v>18372</v>
      </c>
      <c r="C3183" s="606"/>
      <c r="D3183" s="607"/>
      <c r="E3183" s="607"/>
      <c r="F3183" s="607"/>
      <c r="G3183" s="582"/>
    </row>
    <row r="3184" spans="1:7" ht="30" x14ac:dyDescent="0.2">
      <c r="A3184" s="583" t="s">
        <v>18373</v>
      </c>
      <c r="B3184" s="605" t="s">
        <v>18374</v>
      </c>
      <c r="C3184" s="606" t="s">
        <v>12375</v>
      </c>
      <c r="D3184" s="607">
        <v>443.12</v>
      </c>
      <c r="E3184" s="607">
        <v>28.14</v>
      </c>
      <c r="F3184" s="607">
        <v>471.26</v>
      </c>
      <c r="G3184" s="584">
        <v>15</v>
      </c>
    </row>
    <row r="3185" spans="1:7" ht="30" x14ac:dyDescent="0.2">
      <c r="A3185" s="583" t="s">
        <v>18375</v>
      </c>
      <c r="B3185" s="605" t="s">
        <v>18376</v>
      </c>
      <c r="C3185" s="606" t="s">
        <v>12375</v>
      </c>
      <c r="D3185" s="607">
        <v>651.41</v>
      </c>
      <c r="E3185" s="607">
        <v>32.15</v>
      </c>
      <c r="F3185" s="607">
        <v>683.56</v>
      </c>
      <c r="G3185" s="584">
        <v>15</v>
      </c>
    </row>
    <row r="3186" spans="1:7" ht="30" x14ac:dyDescent="0.2">
      <c r="A3186" s="583" t="s">
        <v>18377</v>
      </c>
      <c r="B3186" s="605" t="s">
        <v>18378</v>
      </c>
      <c r="C3186" s="606" t="s">
        <v>12375</v>
      </c>
      <c r="D3186" s="607">
        <v>965.21</v>
      </c>
      <c r="E3186" s="607">
        <v>36.18</v>
      </c>
      <c r="F3186" s="607">
        <v>1001.39</v>
      </c>
      <c r="G3186" s="584">
        <v>15</v>
      </c>
    </row>
    <row r="3187" spans="1:7" ht="30" x14ac:dyDescent="0.2">
      <c r="A3187" s="583" t="s">
        <v>18379</v>
      </c>
      <c r="B3187" s="605" t="s">
        <v>18380</v>
      </c>
      <c r="C3187" s="606" t="s">
        <v>12375</v>
      </c>
      <c r="D3187" s="607">
        <v>1539.69</v>
      </c>
      <c r="E3187" s="607">
        <v>40.19</v>
      </c>
      <c r="F3187" s="607">
        <v>1579.88</v>
      </c>
      <c r="G3187" s="584">
        <v>15</v>
      </c>
    </row>
    <row r="3188" spans="1:7" ht="30" x14ac:dyDescent="0.2">
      <c r="A3188" s="583" t="s">
        <v>18381</v>
      </c>
      <c r="B3188" s="605" t="s">
        <v>18382</v>
      </c>
      <c r="C3188" s="606" t="s">
        <v>12375</v>
      </c>
      <c r="D3188" s="607">
        <v>348.72</v>
      </c>
      <c r="E3188" s="607">
        <v>28.14</v>
      </c>
      <c r="F3188" s="607">
        <v>376.86</v>
      </c>
      <c r="G3188" s="584">
        <v>15</v>
      </c>
    </row>
    <row r="3189" spans="1:7" ht="30" x14ac:dyDescent="0.2">
      <c r="A3189" s="583" t="s">
        <v>18383</v>
      </c>
      <c r="B3189" s="605" t="s">
        <v>18384</v>
      </c>
      <c r="C3189" s="606" t="s">
        <v>12375</v>
      </c>
      <c r="D3189" s="607">
        <v>409.33</v>
      </c>
      <c r="E3189" s="607">
        <v>28.14</v>
      </c>
      <c r="F3189" s="607">
        <v>437.47</v>
      </c>
      <c r="G3189" s="584">
        <v>15</v>
      </c>
    </row>
    <row r="3190" spans="1:7" ht="30" x14ac:dyDescent="0.2">
      <c r="A3190" s="583" t="s">
        <v>18385</v>
      </c>
      <c r="B3190" s="605" t="s">
        <v>18386</v>
      </c>
      <c r="C3190" s="606" t="s">
        <v>12375</v>
      </c>
      <c r="D3190" s="607">
        <v>765.44</v>
      </c>
      <c r="E3190" s="607">
        <v>32.15</v>
      </c>
      <c r="F3190" s="607">
        <v>797.59</v>
      </c>
      <c r="G3190" s="584">
        <v>15</v>
      </c>
    </row>
    <row r="3191" spans="1:7" ht="30" x14ac:dyDescent="0.2">
      <c r="A3191" s="583" t="s">
        <v>18387</v>
      </c>
      <c r="B3191" s="605" t="s">
        <v>18388</v>
      </c>
      <c r="C3191" s="606" t="s">
        <v>12375</v>
      </c>
      <c r="D3191" s="607">
        <v>876.09</v>
      </c>
      <c r="E3191" s="607">
        <v>36.18</v>
      </c>
      <c r="F3191" s="607">
        <v>912.27</v>
      </c>
      <c r="G3191" s="584">
        <v>15</v>
      </c>
    </row>
    <row r="3192" spans="1:7" ht="30" x14ac:dyDescent="0.2">
      <c r="A3192" s="583" t="s">
        <v>18389</v>
      </c>
      <c r="B3192" s="605" t="s">
        <v>18390</v>
      </c>
      <c r="C3192" s="606" t="s">
        <v>12375</v>
      </c>
      <c r="D3192" s="607">
        <v>1376.65</v>
      </c>
      <c r="E3192" s="607">
        <v>40.19</v>
      </c>
      <c r="F3192" s="607">
        <v>1416.84</v>
      </c>
      <c r="G3192" s="584">
        <v>15</v>
      </c>
    </row>
    <row r="3193" spans="1:7" ht="15" x14ac:dyDescent="0.25">
      <c r="A3193" s="583" t="s">
        <v>18391</v>
      </c>
      <c r="B3193" s="605" t="s">
        <v>18392</v>
      </c>
      <c r="C3193" s="606"/>
      <c r="D3193" s="607"/>
      <c r="E3193" s="607"/>
      <c r="F3193" s="607"/>
      <c r="G3193" s="582"/>
    </row>
    <row r="3194" spans="1:7" ht="15" x14ac:dyDescent="0.2">
      <c r="A3194" s="583" t="s">
        <v>18393</v>
      </c>
      <c r="B3194" s="605" t="s">
        <v>18394</v>
      </c>
      <c r="C3194" s="606" t="s">
        <v>12483</v>
      </c>
      <c r="D3194" s="607">
        <v>1.89</v>
      </c>
      <c r="E3194" s="607">
        <v>69.33</v>
      </c>
      <c r="F3194" s="607">
        <v>71.22</v>
      </c>
      <c r="G3194" s="584">
        <v>15</v>
      </c>
    </row>
    <row r="3195" spans="1:7" ht="30" x14ac:dyDescent="0.2">
      <c r="A3195" s="583" t="s">
        <v>18395</v>
      </c>
      <c r="B3195" s="605" t="s">
        <v>18396</v>
      </c>
      <c r="C3195" s="606" t="s">
        <v>12483</v>
      </c>
      <c r="D3195" s="607">
        <v>71.11</v>
      </c>
      <c r="E3195" s="607">
        <v>40.340000000000003</v>
      </c>
      <c r="F3195" s="607">
        <v>111.45</v>
      </c>
      <c r="G3195" s="584">
        <v>15</v>
      </c>
    </row>
    <row r="3196" spans="1:7" ht="15" x14ac:dyDescent="0.25">
      <c r="A3196" s="583" t="s">
        <v>18397</v>
      </c>
      <c r="B3196" s="605" t="s">
        <v>18398</v>
      </c>
      <c r="C3196" s="606"/>
      <c r="D3196" s="607"/>
      <c r="E3196" s="607"/>
      <c r="F3196" s="607"/>
      <c r="G3196" s="582"/>
    </row>
    <row r="3197" spans="1:7" ht="30" x14ac:dyDescent="0.2">
      <c r="A3197" s="583" t="s">
        <v>18399</v>
      </c>
      <c r="B3197" s="605" t="s">
        <v>18400</v>
      </c>
      <c r="C3197" s="606" t="s">
        <v>12483</v>
      </c>
      <c r="D3197" s="607">
        <v>80.84</v>
      </c>
      <c r="E3197" s="607">
        <v>70.34</v>
      </c>
      <c r="F3197" s="607">
        <v>151.18</v>
      </c>
      <c r="G3197" s="584">
        <v>15</v>
      </c>
    </row>
    <row r="3198" spans="1:7" ht="30" x14ac:dyDescent="0.2">
      <c r="A3198" s="583" t="s">
        <v>18401</v>
      </c>
      <c r="B3198" s="605" t="s">
        <v>18402</v>
      </c>
      <c r="C3198" s="606" t="s">
        <v>12483</v>
      </c>
      <c r="D3198" s="607">
        <v>99.97</v>
      </c>
      <c r="E3198" s="607">
        <v>80.38</v>
      </c>
      <c r="F3198" s="607">
        <v>180.35</v>
      </c>
      <c r="G3198" s="584">
        <v>15</v>
      </c>
    </row>
    <row r="3199" spans="1:7" ht="30" x14ac:dyDescent="0.2">
      <c r="A3199" s="583" t="s">
        <v>18403</v>
      </c>
      <c r="B3199" s="605" t="s">
        <v>18404</v>
      </c>
      <c r="C3199" s="606" t="s">
        <v>12483</v>
      </c>
      <c r="D3199" s="607">
        <v>103.33</v>
      </c>
      <c r="E3199" s="607">
        <v>80.38</v>
      </c>
      <c r="F3199" s="607">
        <v>183.71</v>
      </c>
      <c r="G3199" s="584">
        <v>15</v>
      </c>
    </row>
    <row r="3200" spans="1:7" ht="30" x14ac:dyDescent="0.2">
      <c r="A3200" s="583" t="s">
        <v>18405</v>
      </c>
      <c r="B3200" s="605" t="s">
        <v>18406</v>
      </c>
      <c r="C3200" s="606" t="s">
        <v>12483</v>
      </c>
      <c r="D3200" s="607">
        <v>130.11000000000001</v>
      </c>
      <c r="E3200" s="607">
        <v>90.43</v>
      </c>
      <c r="F3200" s="607">
        <v>220.54</v>
      </c>
      <c r="G3200" s="584">
        <v>15</v>
      </c>
    </row>
    <row r="3201" spans="1:7" ht="30" x14ac:dyDescent="0.2">
      <c r="A3201" s="583" t="s">
        <v>18407</v>
      </c>
      <c r="B3201" s="605" t="s">
        <v>18408</v>
      </c>
      <c r="C3201" s="606" t="s">
        <v>12483</v>
      </c>
      <c r="D3201" s="607">
        <v>206.8</v>
      </c>
      <c r="E3201" s="607">
        <v>100.48</v>
      </c>
      <c r="F3201" s="607">
        <v>307.27999999999997</v>
      </c>
      <c r="G3201" s="584">
        <v>15</v>
      </c>
    </row>
    <row r="3202" spans="1:7" ht="30" x14ac:dyDescent="0.2">
      <c r="A3202" s="583" t="s">
        <v>18409</v>
      </c>
      <c r="B3202" s="605" t="s">
        <v>18410</v>
      </c>
      <c r="C3202" s="606" t="s">
        <v>12483</v>
      </c>
      <c r="D3202" s="607">
        <v>235.22</v>
      </c>
      <c r="E3202" s="607">
        <v>113.04</v>
      </c>
      <c r="F3202" s="607">
        <v>348.26</v>
      </c>
      <c r="G3202" s="584">
        <v>15</v>
      </c>
    </row>
    <row r="3203" spans="1:7" ht="30" x14ac:dyDescent="0.2">
      <c r="A3203" s="583" t="s">
        <v>18411</v>
      </c>
      <c r="B3203" s="605" t="s">
        <v>18412</v>
      </c>
      <c r="C3203" s="606" t="s">
        <v>12483</v>
      </c>
      <c r="D3203" s="607">
        <v>280.56</v>
      </c>
      <c r="E3203" s="607">
        <v>120.58</v>
      </c>
      <c r="F3203" s="607">
        <v>401.14</v>
      </c>
      <c r="G3203" s="584">
        <v>15</v>
      </c>
    </row>
    <row r="3204" spans="1:7" ht="30" x14ac:dyDescent="0.2">
      <c r="A3204" s="583" t="s">
        <v>18413</v>
      </c>
      <c r="B3204" s="605" t="s">
        <v>18414</v>
      </c>
      <c r="C3204" s="606" t="s">
        <v>12483</v>
      </c>
      <c r="D3204" s="607">
        <v>331.04</v>
      </c>
      <c r="E3204" s="607">
        <v>125.6</v>
      </c>
      <c r="F3204" s="607">
        <v>456.64</v>
      </c>
      <c r="G3204" s="584">
        <v>15</v>
      </c>
    </row>
    <row r="3205" spans="1:7" ht="30" x14ac:dyDescent="0.2">
      <c r="A3205" s="583" t="s">
        <v>18415</v>
      </c>
      <c r="B3205" s="605" t="s">
        <v>18416</v>
      </c>
      <c r="C3205" s="606" t="s">
        <v>12483</v>
      </c>
      <c r="D3205" s="607">
        <v>446.83</v>
      </c>
      <c r="E3205" s="607">
        <v>133.13999999999999</v>
      </c>
      <c r="F3205" s="607">
        <v>579.97</v>
      </c>
      <c r="G3205" s="584">
        <v>15</v>
      </c>
    </row>
    <row r="3206" spans="1:7" ht="30" x14ac:dyDescent="0.2">
      <c r="A3206" s="583" t="s">
        <v>18417</v>
      </c>
      <c r="B3206" s="605" t="s">
        <v>18418</v>
      </c>
      <c r="C3206" s="606" t="s">
        <v>12483</v>
      </c>
      <c r="D3206" s="607">
        <v>570.37</v>
      </c>
      <c r="E3206" s="607">
        <v>138.16</v>
      </c>
      <c r="F3206" s="607">
        <v>708.53</v>
      </c>
      <c r="G3206" s="584">
        <v>15</v>
      </c>
    </row>
    <row r="3207" spans="1:7" ht="30" x14ac:dyDescent="0.2">
      <c r="A3207" s="583" t="s">
        <v>18419</v>
      </c>
      <c r="B3207" s="605" t="s">
        <v>18420</v>
      </c>
      <c r="C3207" s="606" t="s">
        <v>12483</v>
      </c>
      <c r="D3207" s="607">
        <v>872.15</v>
      </c>
      <c r="E3207" s="607">
        <v>150.72</v>
      </c>
      <c r="F3207" s="607">
        <v>1022.87</v>
      </c>
      <c r="G3207" s="584">
        <v>15</v>
      </c>
    </row>
    <row r="3208" spans="1:7" ht="30" x14ac:dyDescent="0.2">
      <c r="A3208" s="583" t="s">
        <v>18421</v>
      </c>
      <c r="B3208" s="605" t="s">
        <v>18422</v>
      </c>
      <c r="C3208" s="606" t="s">
        <v>12483</v>
      </c>
      <c r="D3208" s="607">
        <v>742.03</v>
      </c>
      <c r="E3208" s="607">
        <v>165.79</v>
      </c>
      <c r="F3208" s="607">
        <v>907.82</v>
      </c>
      <c r="G3208" s="584">
        <v>15</v>
      </c>
    </row>
    <row r="3209" spans="1:7" ht="30" x14ac:dyDescent="0.2">
      <c r="A3209" s="583" t="s">
        <v>18423</v>
      </c>
      <c r="B3209" s="605" t="s">
        <v>18424</v>
      </c>
      <c r="C3209" s="606" t="s">
        <v>12483</v>
      </c>
      <c r="D3209" s="607">
        <v>993.95</v>
      </c>
      <c r="E3209" s="607">
        <v>175.84</v>
      </c>
      <c r="F3209" s="607">
        <v>1169.79</v>
      </c>
      <c r="G3209" s="584">
        <v>15</v>
      </c>
    </row>
    <row r="3210" spans="1:7" ht="15" x14ac:dyDescent="0.25">
      <c r="A3210" s="583" t="s">
        <v>18425</v>
      </c>
      <c r="B3210" s="605" t="s">
        <v>18426</v>
      </c>
      <c r="C3210" s="606"/>
      <c r="D3210" s="607"/>
      <c r="E3210" s="607"/>
      <c r="F3210" s="607"/>
      <c r="G3210" s="582"/>
    </row>
    <row r="3211" spans="1:7" ht="15" x14ac:dyDescent="0.2">
      <c r="A3211" s="583" t="s">
        <v>18427</v>
      </c>
      <c r="B3211" s="605" t="s">
        <v>18428</v>
      </c>
      <c r="C3211" s="606" t="s">
        <v>12483</v>
      </c>
      <c r="D3211" s="607">
        <v>145.63</v>
      </c>
      <c r="E3211" s="607">
        <v>16.350000000000001</v>
      </c>
      <c r="F3211" s="607">
        <v>161.97999999999999</v>
      </c>
      <c r="G3211" s="584">
        <v>15</v>
      </c>
    </row>
    <row r="3212" spans="1:7" ht="15" x14ac:dyDescent="0.2">
      <c r="A3212" s="583" t="s">
        <v>18429</v>
      </c>
      <c r="B3212" s="605" t="s">
        <v>18430</v>
      </c>
      <c r="C3212" s="606" t="s">
        <v>12483</v>
      </c>
      <c r="D3212" s="607">
        <v>201.9</v>
      </c>
      <c r="E3212" s="607">
        <v>24.53</v>
      </c>
      <c r="F3212" s="607">
        <v>226.43</v>
      </c>
      <c r="G3212" s="584">
        <v>15</v>
      </c>
    </row>
    <row r="3213" spans="1:7" ht="15" x14ac:dyDescent="0.2">
      <c r="A3213" s="583" t="s">
        <v>18431</v>
      </c>
      <c r="B3213" s="605" t="s">
        <v>18432</v>
      </c>
      <c r="C3213" s="606" t="s">
        <v>12483</v>
      </c>
      <c r="D3213" s="607">
        <v>318.25</v>
      </c>
      <c r="E3213" s="607">
        <v>28.62</v>
      </c>
      <c r="F3213" s="607">
        <v>346.87</v>
      </c>
      <c r="G3213" s="584">
        <v>15</v>
      </c>
    </row>
    <row r="3214" spans="1:7" ht="15" x14ac:dyDescent="0.2">
      <c r="A3214" s="583" t="s">
        <v>18433</v>
      </c>
      <c r="B3214" s="605" t="s">
        <v>18434</v>
      </c>
      <c r="C3214" s="606" t="s">
        <v>12483</v>
      </c>
      <c r="D3214" s="607">
        <v>440.71</v>
      </c>
      <c r="E3214" s="607">
        <v>32.700000000000003</v>
      </c>
      <c r="F3214" s="607">
        <v>473.41</v>
      </c>
      <c r="G3214" s="584">
        <v>15</v>
      </c>
    </row>
    <row r="3215" spans="1:7" ht="15" x14ac:dyDescent="0.2">
      <c r="A3215" s="583" t="s">
        <v>18435</v>
      </c>
      <c r="B3215" s="605" t="s">
        <v>18436</v>
      </c>
      <c r="C3215" s="606" t="s">
        <v>12483</v>
      </c>
      <c r="D3215" s="607">
        <v>536.13</v>
      </c>
      <c r="E3215" s="607">
        <v>40.880000000000003</v>
      </c>
      <c r="F3215" s="607">
        <v>577.01</v>
      </c>
      <c r="G3215" s="584">
        <v>15</v>
      </c>
    </row>
    <row r="3216" spans="1:7" ht="15" x14ac:dyDescent="0.2">
      <c r="A3216" s="583" t="s">
        <v>18437</v>
      </c>
      <c r="B3216" s="605" t="s">
        <v>18438</v>
      </c>
      <c r="C3216" s="606" t="s">
        <v>12483</v>
      </c>
      <c r="D3216" s="607">
        <v>839.24</v>
      </c>
      <c r="E3216" s="607">
        <v>49.06</v>
      </c>
      <c r="F3216" s="607">
        <v>888.3</v>
      </c>
      <c r="G3216" s="584">
        <v>15</v>
      </c>
    </row>
    <row r="3217" spans="1:7" ht="15" x14ac:dyDescent="0.2">
      <c r="A3217" s="583" t="s">
        <v>18439</v>
      </c>
      <c r="B3217" s="605" t="s">
        <v>18440</v>
      </c>
      <c r="C3217" s="606" t="s">
        <v>12483</v>
      </c>
      <c r="D3217" s="607">
        <v>799.94</v>
      </c>
      <c r="E3217" s="607">
        <v>61.32</v>
      </c>
      <c r="F3217" s="607">
        <v>861.26</v>
      </c>
      <c r="G3217" s="584">
        <v>15</v>
      </c>
    </row>
    <row r="3218" spans="1:7" ht="15" x14ac:dyDescent="0.2">
      <c r="A3218" s="583" t="s">
        <v>18441</v>
      </c>
      <c r="B3218" s="605" t="s">
        <v>18442</v>
      </c>
      <c r="C3218" s="606" t="s">
        <v>12483</v>
      </c>
      <c r="D3218" s="607">
        <v>1191.9000000000001</v>
      </c>
      <c r="E3218" s="607">
        <v>122.64</v>
      </c>
      <c r="F3218" s="607">
        <v>1314.54</v>
      </c>
      <c r="G3218" s="584">
        <v>15</v>
      </c>
    </row>
    <row r="3219" spans="1:7" ht="15" x14ac:dyDescent="0.25">
      <c r="A3219" s="583" t="s">
        <v>20108</v>
      </c>
      <c r="B3219" s="605" t="s">
        <v>20109</v>
      </c>
      <c r="C3219" s="606"/>
      <c r="D3219" s="607"/>
      <c r="E3219" s="607"/>
      <c r="F3219" s="607"/>
      <c r="G3219" s="582"/>
    </row>
    <row r="3220" spans="1:7" ht="15" x14ac:dyDescent="0.2">
      <c r="A3220" s="583" t="s">
        <v>20110</v>
      </c>
      <c r="B3220" s="605" t="s">
        <v>20111</v>
      </c>
      <c r="C3220" s="606" t="s">
        <v>12483</v>
      </c>
      <c r="D3220" s="607">
        <v>72.739999999999995</v>
      </c>
      <c r="E3220" s="607">
        <v>41.7</v>
      </c>
      <c r="F3220" s="607">
        <v>114.44</v>
      </c>
      <c r="G3220" s="584">
        <v>15</v>
      </c>
    </row>
    <row r="3221" spans="1:7" ht="15" x14ac:dyDescent="0.25">
      <c r="A3221" s="583" t="s">
        <v>18443</v>
      </c>
      <c r="B3221" s="605" t="s">
        <v>18444</v>
      </c>
      <c r="C3221" s="606"/>
      <c r="D3221" s="607"/>
      <c r="E3221" s="607"/>
      <c r="F3221" s="607"/>
      <c r="G3221" s="582"/>
    </row>
    <row r="3222" spans="1:7" ht="30" x14ac:dyDescent="0.2">
      <c r="A3222" s="583" t="s">
        <v>18445</v>
      </c>
      <c r="B3222" s="605" t="s">
        <v>18446</v>
      </c>
      <c r="C3222" s="606" t="s">
        <v>12483</v>
      </c>
      <c r="D3222" s="607">
        <v>172.03</v>
      </c>
      <c r="E3222" s="607">
        <v>25.12</v>
      </c>
      <c r="F3222" s="607">
        <v>197.15</v>
      </c>
      <c r="G3222" s="584">
        <v>15</v>
      </c>
    </row>
    <row r="3223" spans="1:7" ht="30" x14ac:dyDescent="0.2">
      <c r="A3223" s="583" t="s">
        <v>18447</v>
      </c>
      <c r="B3223" s="605" t="s">
        <v>18448</v>
      </c>
      <c r="C3223" s="606" t="s">
        <v>12483</v>
      </c>
      <c r="D3223" s="607">
        <v>254.53</v>
      </c>
      <c r="E3223" s="607">
        <v>25.12</v>
      </c>
      <c r="F3223" s="607">
        <v>279.64999999999998</v>
      </c>
      <c r="G3223" s="584">
        <v>15</v>
      </c>
    </row>
    <row r="3224" spans="1:7" ht="30" x14ac:dyDescent="0.2">
      <c r="A3224" s="583" t="s">
        <v>18449</v>
      </c>
      <c r="B3224" s="605" t="s">
        <v>18450</v>
      </c>
      <c r="C3224" s="606" t="s">
        <v>12483</v>
      </c>
      <c r="D3224" s="607">
        <v>268.86</v>
      </c>
      <c r="E3224" s="607">
        <v>35.340000000000003</v>
      </c>
      <c r="F3224" s="607">
        <v>304.2</v>
      </c>
      <c r="G3224" s="584">
        <v>15</v>
      </c>
    </row>
    <row r="3225" spans="1:7" ht="30" x14ac:dyDescent="0.2">
      <c r="A3225" s="583" t="s">
        <v>18451</v>
      </c>
      <c r="B3225" s="605" t="s">
        <v>18452</v>
      </c>
      <c r="C3225" s="606" t="s">
        <v>12483</v>
      </c>
      <c r="D3225" s="607">
        <v>365.7</v>
      </c>
      <c r="E3225" s="607">
        <v>35.340000000000003</v>
      </c>
      <c r="F3225" s="607">
        <v>401.04</v>
      </c>
      <c r="G3225" s="584">
        <v>15</v>
      </c>
    </row>
    <row r="3226" spans="1:7" ht="30" x14ac:dyDescent="0.2">
      <c r="A3226" s="583" t="s">
        <v>18453</v>
      </c>
      <c r="B3226" s="605" t="s">
        <v>18454</v>
      </c>
      <c r="C3226" s="606" t="s">
        <v>12483</v>
      </c>
      <c r="D3226" s="607">
        <v>632.36</v>
      </c>
      <c r="E3226" s="607">
        <v>35.340000000000003</v>
      </c>
      <c r="F3226" s="607">
        <v>667.7</v>
      </c>
      <c r="G3226" s="584">
        <v>15</v>
      </c>
    </row>
    <row r="3227" spans="1:7" ht="30" x14ac:dyDescent="0.2">
      <c r="A3227" s="583" t="s">
        <v>18455</v>
      </c>
      <c r="B3227" s="605" t="s">
        <v>18456</v>
      </c>
      <c r="C3227" s="606" t="s">
        <v>12375</v>
      </c>
      <c r="D3227" s="607">
        <v>64.55</v>
      </c>
      <c r="E3227" s="607">
        <v>20.100000000000001</v>
      </c>
      <c r="F3227" s="607">
        <v>84.65</v>
      </c>
      <c r="G3227" s="584">
        <v>15</v>
      </c>
    </row>
    <row r="3228" spans="1:7" ht="30" x14ac:dyDescent="0.2">
      <c r="A3228" s="583" t="s">
        <v>18457</v>
      </c>
      <c r="B3228" s="605" t="s">
        <v>18458</v>
      </c>
      <c r="C3228" s="606" t="s">
        <v>12375</v>
      </c>
      <c r="D3228" s="607">
        <v>74.22</v>
      </c>
      <c r="E3228" s="607">
        <v>20.100000000000001</v>
      </c>
      <c r="F3228" s="607">
        <v>94.32</v>
      </c>
      <c r="G3228" s="584">
        <v>15</v>
      </c>
    </row>
    <row r="3229" spans="1:7" ht="30" x14ac:dyDescent="0.2">
      <c r="A3229" s="583" t="s">
        <v>18459</v>
      </c>
      <c r="B3229" s="605" t="s">
        <v>18460</v>
      </c>
      <c r="C3229" s="606" t="s">
        <v>12375</v>
      </c>
      <c r="D3229" s="607">
        <v>94.74</v>
      </c>
      <c r="E3229" s="607">
        <v>25.12</v>
      </c>
      <c r="F3229" s="607">
        <v>119.86</v>
      </c>
      <c r="G3229" s="584">
        <v>15</v>
      </c>
    </row>
    <row r="3230" spans="1:7" ht="30" x14ac:dyDescent="0.2">
      <c r="A3230" s="583" t="s">
        <v>18461</v>
      </c>
      <c r="B3230" s="605" t="s">
        <v>18462</v>
      </c>
      <c r="C3230" s="606" t="s">
        <v>12375</v>
      </c>
      <c r="D3230" s="607">
        <v>150.31</v>
      </c>
      <c r="E3230" s="607">
        <v>25.12</v>
      </c>
      <c r="F3230" s="607">
        <v>175.43</v>
      </c>
      <c r="G3230" s="584">
        <v>15</v>
      </c>
    </row>
    <row r="3231" spans="1:7" ht="30" x14ac:dyDescent="0.2">
      <c r="A3231" s="583" t="s">
        <v>18463</v>
      </c>
      <c r="B3231" s="605" t="s">
        <v>18464</v>
      </c>
      <c r="C3231" s="606" t="s">
        <v>12375</v>
      </c>
      <c r="D3231" s="607">
        <v>213.03</v>
      </c>
      <c r="E3231" s="607">
        <v>25.12</v>
      </c>
      <c r="F3231" s="607">
        <v>238.15</v>
      </c>
      <c r="G3231" s="584">
        <v>15</v>
      </c>
    </row>
    <row r="3232" spans="1:7" ht="30" x14ac:dyDescent="0.2">
      <c r="A3232" s="583" t="s">
        <v>18465</v>
      </c>
      <c r="B3232" s="605" t="s">
        <v>18466</v>
      </c>
      <c r="C3232" s="606" t="s">
        <v>12676</v>
      </c>
      <c r="D3232" s="607">
        <v>980.82</v>
      </c>
      <c r="E3232" s="607">
        <v>20.100000000000001</v>
      </c>
      <c r="F3232" s="607">
        <v>1000.92</v>
      </c>
      <c r="G3232" s="584">
        <v>15</v>
      </c>
    </row>
    <row r="3233" spans="1:7" ht="30" x14ac:dyDescent="0.2">
      <c r="A3233" s="583" t="s">
        <v>18467</v>
      </c>
      <c r="B3233" s="605" t="s">
        <v>18468</v>
      </c>
      <c r="C3233" s="606" t="s">
        <v>12676</v>
      </c>
      <c r="D3233" s="607">
        <v>1030.51</v>
      </c>
      <c r="E3233" s="607">
        <v>20.100000000000001</v>
      </c>
      <c r="F3233" s="607">
        <v>1050.6099999999999</v>
      </c>
      <c r="G3233" s="584">
        <v>15</v>
      </c>
    </row>
    <row r="3234" spans="1:7" ht="30" x14ac:dyDescent="0.2">
      <c r="A3234" s="583" t="s">
        <v>18469</v>
      </c>
      <c r="B3234" s="605" t="s">
        <v>18470</v>
      </c>
      <c r="C3234" s="606" t="s">
        <v>12676</v>
      </c>
      <c r="D3234" s="607">
        <v>952.05</v>
      </c>
      <c r="E3234" s="607">
        <v>25.12</v>
      </c>
      <c r="F3234" s="607">
        <v>977.17</v>
      </c>
      <c r="G3234" s="584">
        <v>15</v>
      </c>
    </row>
    <row r="3235" spans="1:7" ht="30" x14ac:dyDescent="0.2">
      <c r="A3235" s="583" t="s">
        <v>18471</v>
      </c>
      <c r="B3235" s="605" t="s">
        <v>18472</v>
      </c>
      <c r="C3235" s="606" t="s">
        <v>12676</v>
      </c>
      <c r="D3235" s="607">
        <v>990.43</v>
      </c>
      <c r="E3235" s="607">
        <v>25.12</v>
      </c>
      <c r="F3235" s="607">
        <v>1015.55</v>
      </c>
      <c r="G3235" s="584">
        <v>15</v>
      </c>
    </row>
    <row r="3236" spans="1:7" ht="30" x14ac:dyDescent="0.2">
      <c r="A3236" s="583" t="s">
        <v>18473</v>
      </c>
      <c r="B3236" s="605" t="s">
        <v>18474</v>
      </c>
      <c r="C3236" s="606" t="s">
        <v>12676</v>
      </c>
      <c r="D3236" s="607">
        <v>1228.1099999999999</v>
      </c>
      <c r="E3236" s="607">
        <v>25.12</v>
      </c>
      <c r="F3236" s="607">
        <v>1253.23</v>
      </c>
      <c r="G3236" s="584">
        <v>15</v>
      </c>
    </row>
    <row r="3237" spans="1:7" ht="30" x14ac:dyDescent="0.2">
      <c r="A3237" s="583" t="s">
        <v>18475</v>
      </c>
      <c r="B3237" s="605" t="s">
        <v>18476</v>
      </c>
      <c r="C3237" s="606" t="s">
        <v>12676</v>
      </c>
      <c r="D3237" s="607">
        <v>1919.88</v>
      </c>
      <c r="E3237" s="607">
        <v>25.12</v>
      </c>
      <c r="F3237" s="607">
        <v>1945</v>
      </c>
      <c r="G3237" s="584">
        <v>15</v>
      </c>
    </row>
    <row r="3238" spans="1:7" ht="30" x14ac:dyDescent="0.2">
      <c r="A3238" s="583" t="s">
        <v>18477</v>
      </c>
      <c r="B3238" s="605" t="s">
        <v>18478</v>
      </c>
      <c r="C3238" s="606" t="s">
        <v>12483</v>
      </c>
      <c r="D3238" s="607">
        <v>356.83</v>
      </c>
      <c r="E3238" s="607">
        <v>35.340000000000003</v>
      </c>
      <c r="F3238" s="607">
        <v>392.17</v>
      </c>
      <c r="G3238" s="584">
        <v>15</v>
      </c>
    </row>
    <row r="3239" spans="1:7" ht="30" x14ac:dyDescent="0.2">
      <c r="A3239" s="583" t="s">
        <v>18479</v>
      </c>
      <c r="B3239" s="605" t="s">
        <v>18480</v>
      </c>
      <c r="C3239" s="606" t="s">
        <v>12483</v>
      </c>
      <c r="D3239" s="607">
        <v>1025.31</v>
      </c>
      <c r="E3239" s="607">
        <v>35.340000000000003</v>
      </c>
      <c r="F3239" s="607">
        <v>1060.6500000000001</v>
      </c>
      <c r="G3239" s="584">
        <v>15</v>
      </c>
    </row>
    <row r="3240" spans="1:7" ht="15" x14ac:dyDescent="0.2">
      <c r="A3240" s="583" t="s">
        <v>18481</v>
      </c>
      <c r="B3240" s="605" t="s">
        <v>18482</v>
      </c>
      <c r="C3240" s="606" t="s">
        <v>12375</v>
      </c>
      <c r="D3240" s="607">
        <v>104.63</v>
      </c>
      <c r="E3240" s="607">
        <v>20.100000000000001</v>
      </c>
      <c r="F3240" s="607">
        <v>124.73</v>
      </c>
      <c r="G3240" s="584">
        <v>15</v>
      </c>
    </row>
    <row r="3241" spans="1:7" ht="15" x14ac:dyDescent="0.2">
      <c r="A3241" s="583" t="s">
        <v>18483</v>
      </c>
      <c r="B3241" s="605" t="s">
        <v>18484</v>
      </c>
      <c r="C3241" s="606" t="s">
        <v>12375</v>
      </c>
      <c r="D3241" s="607">
        <v>146.04</v>
      </c>
      <c r="E3241" s="607">
        <v>20.100000000000001</v>
      </c>
      <c r="F3241" s="607">
        <v>166.14</v>
      </c>
      <c r="G3241" s="584">
        <v>15</v>
      </c>
    </row>
    <row r="3242" spans="1:7" ht="15" x14ac:dyDescent="0.2">
      <c r="A3242" s="583" t="s">
        <v>18485</v>
      </c>
      <c r="B3242" s="605" t="s">
        <v>18486</v>
      </c>
      <c r="C3242" s="606" t="s">
        <v>12375</v>
      </c>
      <c r="D3242" s="607">
        <v>156.44999999999999</v>
      </c>
      <c r="E3242" s="607">
        <v>25.12</v>
      </c>
      <c r="F3242" s="607">
        <v>181.57</v>
      </c>
      <c r="G3242" s="584">
        <v>15</v>
      </c>
    </row>
    <row r="3243" spans="1:7" ht="15" x14ac:dyDescent="0.2">
      <c r="A3243" s="583" t="s">
        <v>18487</v>
      </c>
      <c r="B3243" s="605" t="s">
        <v>18488</v>
      </c>
      <c r="C3243" s="606" t="s">
        <v>12375</v>
      </c>
      <c r="D3243" s="607">
        <v>271.54000000000002</v>
      </c>
      <c r="E3243" s="607">
        <v>25.12</v>
      </c>
      <c r="F3243" s="607">
        <v>296.66000000000003</v>
      </c>
      <c r="G3243" s="584">
        <v>15</v>
      </c>
    </row>
    <row r="3244" spans="1:7" ht="15" x14ac:dyDescent="0.2">
      <c r="A3244" s="583" t="s">
        <v>18489</v>
      </c>
      <c r="B3244" s="605" t="s">
        <v>18490</v>
      </c>
      <c r="C3244" s="606" t="s">
        <v>12375</v>
      </c>
      <c r="D3244" s="607">
        <v>289.25</v>
      </c>
      <c r="E3244" s="607">
        <v>25.12</v>
      </c>
      <c r="F3244" s="607">
        <v>314.37</v>
      </c>
      <c r="G3244" s="584">
        <v>15</v>
      </c>
    </row>
    <row r="3245" spans="1:7" ht="15" x14ac:dyDescent="0.2">
      <c r="A3245" s="583" t="s">
        <v>18491</v>
      </c>
      <c r="B3245" s="605" t="s">
        <v>18492</v>
      </c>
      <c r="C3245" s="606" t="s">
        <v>12375</v>
      </c>
      <c r="D3245" s="607">
        <v>601.13</v>
      </c>
      <c r="E3245" s="607">
        <v>25.12</v>
      </c>
      <c r="F3245" s="607">
        <v>626.25</v>
      </c>
      <c r="G3245" s="584">
        <v>15</v>
      </c>
    </row>
    <row r="3246" spans="1:7" ht="15" x14ac:dyDescent="0.2">
      <c r="A3246" s="583" t="s">
        <v>18493</v>
      </c>
      <c r="B3246" s="605" t="s">
        <v>18494</v>
      </c>
      <c r="C3246" s="606" t="s">
        <v>12375</v>
      </c>
      <c r="D3246" s="607">
        <v>175.32</v>
      </c>
      <c r="E3246" s="607">
        <v>20.100000000000001</v>
      </c>
      <c r="F3246" s="607">
        <v>195.42</v>
      </c>
      <c r="G3246" s="584">
        <v>15</v>
      </c>
    </row>
    <row r="3247" spans="1:7" ht="15" x14ac:dyDescent="0.2">
      <c r="A3247" s="583" t="s">
        <v>18495</v>
      </c>
      <c r="B3247" s="605" t="s">
        <v>18496</v>
      </c>
      <c r="C3247" s="606" t="s">
        <v>12375</v>
      </c>
      <c r="D3247" s="607">
        <v>177.06</v>
      </c>
      <c r="E3247" s="607">
        <v>20.100000000000001</v>
      </c>
      <c r="F3247" s="607">
        <v>197.16</v>
      </c>
      <c r="G3247" s="584">
        <v>15</v>
      </c>
    </row>
    <row r="3248" spans="1:7" ht="15" x14ac:dyDescent="0.2">
      <c r="A3248" s="583" t="s">
        <v>18497</v>
      </c>
      <c r="B3248" s="605" t="s">
        <v>18498</v>
      </c>
      <c r="C3248" s="606" t="s">
        <v>12375</v>
      </c>
      <c r="D3248" s="607">
        <v>183.27</v>
      </c>
      <c r="E3248" s="607">
        <v>25.12</v>
      </c>
      <c r="F3248" s="607">
        <v>208.39</v>
      </c>
      <c r="G3248" s="584">
        <v>15</v>
      </c>
    </row>
    <row r="3249" spans="1:7" ht="15" x14ac:dyDescent="0.2">
      <c r="A3249" s="583" t="s">
        <v>18499</v>
      </c>
      <c r="B3249" s="605" t="s">
        <v>18500</v>
      </c>
      <c r="C3249" s="606" t="s">
        <v>12375</v>
      </c>
      <c r="D3249" s="607">
        <v>240.65</v>
      </c>
      <c r="E3249" s="607">
        <v>25.12</v>
      </c>
      <c r="F3249" s="607">
        <v>265.77</v>
      </c>
      <c r="G3249" s="584">
        <v>15</v>
      </c>
    </row>
    <row r="3250" spans="1:7" ht="15" x14ac:dyDescent="0.2">
      <c r="A3250" s="583" t="s">
        <v>18501</v>
      </c>
      <c r="B3250" s="605" t="s">
        <v>18502</v>
      </c>
      <c r="C3250" s="606" t="s">
        <v>12375</v>
      </c>
      <c r="D3250" s="607">
        <v>399.27</v>
      </c>
      <c r="E3250" s="607">
        <v>25.12</v>
      </c>
      <c r="F3250" s="607">
        <v>424.39</v>
      </c>
      <c r="G3250" s="584">
        <v>15</v>
      </c>
    </row>
    <row r="3251" spans="1:7" ht="15" x14ac:dyDescent="0.2">
      <c r="A3251" s="583" t="s">
        <v>18503</v>
      </c>
      <c r="B3251" s="605" t="s">
        <v>18504</v>
      </c>
      <c r="C3251" s="606" t="s">
        <v>12375</v>
      </c>
      <c r="D3251" s="607">
        <v>134.25</v>
      </c>
      <c r="E3251" s="607">
        <v>20.100000000000001</v>
      </c>
      <c r="F3251" s="607">
        <v>154.35</v>
      </c>
      <c r="G3251" s="584">
        <v>15</v>
      </c>
    </row>
    <row r="3252" spans="1:7" ht="15" x14ac:dyDescent="0.2">
      <c r="A3252" s="583" t="s">
        <v>18505</v>
      </c>
      <c r="B3252" s="605" t="s">
        <v>18506</v>
      </c>
      <c r="C3252" s="606" t="s">
        <v>12375</v>
      </c>
      <c r="D3252" s="607">
        <v>205.57</v>
      </c>
      <c r="E3252" s="607">
        <v>20.100000000000001</v>
      </c>
      <c r="F3252" s="607">
        <v>225.67</v>
      </c>
      <c r="G3252" s="584">
        <v>15</v>
      </c>
    </row>
    <row r="3253" spans="1:7" ht="15" x14ac:dyDescent="0.2">
      <c r="A3253" s="583" t="s">
        <v>18507</v>
      </c>
      <c r="B3253" s="605" t="s">
        <v>18508</v>
      </c>
      <c r="C3253" s="606" t="s">
        <v>12375</v>
      </c>
      <c r="D3253" s="607">
        <v>246.15</v>
      </c>
      <c r="E3253" s="607">
        <v>20.100000000000001</v>
      </c>
      <c r="F3253" s="607">
        <v>266.25</v>
      </c>
      <c r="G3253" s="584">
        <v>15</v>
      </c>
    </row>
    <row r="3254" spans="1:7" ht="15" x14ac:dyDescent="0.2">
      <c r="A3254" s="583" t="s">
        <v>18509</v>
      </c>
      <c r="B3254" s="605" t="s">
        <v>18510</v>
      </c>
      <c r="C3254" s="606" t="s">
        <v>12375</v>
      </c>
      <c r="D3254" s="607">
        <v>295.2</v>
      </c>
      <c r="E3254" s="607">
        <v>25.12</v>
      </c>
      <c r="F3254" s="607">
        <v>320.32</v>
      </c>
      <c r="G3254" s="584">
        <v>15</v>
      </c>
    </row>
    <row r="3255" spans="1:7" ht="15" x14ac:dyDescent="0.2">
      <c r="A3255" s="583" t="s">
        <v>18511</v>
      </c>
      <c r="B3255" s="605" t="s">
        <v>18512</v>
      </c>
      <c r="C3255" s="606" t="s">
        <v>12375</v>
      </c>
      <c r="D3255" s="607">
        <v>339.96</v>
      </c>
      <c r="E3255" s="607">
        <v>25.12</v>
      </c>
      <c r="F3255" s="607">
        <v>365.08</v>
      </c>
      <c r="G3255" s="584">
        <v>15</v>
      </c>
    </row>
    <row r="3256" spans="1:7" ht="15" x14ac:dyDescent="0.2">
      <c r="A3256" s="583" t="s">
        <v>18513</v>
      </c>
      <c r="B3256" s="605" t="s">
        <v>18514</v>
      </c>
      <c r="C3256" s="606" t="s">
        <v>12375</v>
      </c>
      <c r="D3256" s="607">
        <v>943.39</v>
      </c>
      <c r="E3256" s="607">
        <v>25.12</v>
      </c>
      <c r="F3256" s="607">
        <v>968.51</v>
      </c>
      <c r="G3256" s="584">
        <v>15</v>
      </c>
    </row>
    <row r="3257" spans="1:7" ht="30" x14ac:dyDescent="0.2">
      <c r="A3257" s="583" t="s">
        <v>18515</v>
      </c>
      <c r="B3257" s="605" t="s">
        <v>18516</v>
      </c>
      <c r="C3257" s="606" t="s">
        <v>12375</v>
      </c>
      <c r="D3257" s="607">
        <v>121.93</v>
      </c>
      <c r="E3257" s="607">
        <v>25.12</v>
      </c>
      <c r="F3257" s="607">
        <v>147.05000000000001</v>
      </c>
      <c r="G3257" s="584">
        <v>15</v>
      </c>
    </row>
    <row r="3258" spans="1:7" ht="30" x14ac:dyDescent="0.2">
      <c r="A3258" s="583" t="s">
        <v>18517</v>
      </c>
      <c r="B3258" s="605" t="s">
        <v>18518</v>
      </c>
      <c r="C3258" s="606" t="s">
        <v>12375</v>
      </c>
      <c r="D3258" s="607">
        <v>623.34</v>
      </c>
      <c r="E3258" s="607">
        <v>25.12</v>
      </c>
      <c r="F3258" s="607">
        <v>648.46</v>
      </c>
      <c r="G3258" s="584">
        <v>15</v>
      </c>
    </row>
    <row r="3259" spans="1:7" ht="30" x14ac:dyDescent="0.2">
      <c r="A3259" s="583" t="s">
        <v>18519</v>
      </c>
      <c r="B3259" s="605" t="s">
        <v>18520</v>
      </c>
      <c r="C3259" s="606" t="s">
        <v>12375</v>
      </c>
      <c r="D3259" s="607">
        <v>137.87</v>
      </c>
      <c r="E3259" s="607">
        <v>20.100000000000001</v>
      </c>
      <c r="F3259" s="607">
        <v>157.97</v>
      </c>
      <c r="G3259" s="584">
        <v>15</v>
      </c>
    </row>
    <row r="3260" spans="1:7" ht="30" x14ac:dyDescent="0.2">
      <c r="A3260" s="583" t="s">
        <v>18521</v>
      </c>
      <c r="B3260" s="605" t="s">
        <v>18522</v>
      </c>
      <c r="C3260" s="606" t="s">
        <v>12375</v>
      </c>
      <c r="D3260" s="607">
        <v>208.72</v>
      </c>
      <c r="E3260" s="607">
        <v>25.12</v>
      </c>
      <c r="F3260" s="607">
        <v>233.84</v>
      </c>
      <c r="G3260" s="584">
        <v>15</v>
      </c>
    </row>
    <row r="3261" spans="1:7" ht="30" x14ac:dyDescent="0.2">
      <c r="A3261" s="583" t="s">
        <v>18523</v>
      </c>
      <c r="B3261" s="605" t="s">
        <v>18524</v>
      </c>
      <c r="C3261" s="606" t="s">
        <v>12375</v>
      </c>
      <c r="D3261" s="607">
        <v>238.87</v>
      </c>
      <c r="E3261" s="607">
        <v>25.12</v>
      </c>
      <c r="F3261" s="607">
        <v>263.99</v>
      </c>
      <c r="G3261" s="584">
        <v>15</v>
      </c>
    </row>
    <row r="3262" spans="1:7" ht="30" x14ac:dyDescent="0.2">
      <c r="A3262" s="583" t="s">
        <v>18525</v>
      </c>
      <c r="B3262" s="605" t="s">
        <v>18526</v>
      </c>
      <c r="C3262" s="606" t="s">
        <v>12375</v>
      </c>
      <c r="D3262" s="607">
        <v>236.6</v>
      </c>
      <c r="E3262" s="607">
        <v>25.12</v>
      </c>
      <c r="F3262" s="607">
        <v>261.72000000000003</v>
      </c>
      <c r="G3262" s="584">
        <v>15</v>
      </c>
    </row>
    <row r="3263" spans="1:7" ht="30" x14ac:dyDescent="0.2">
      <c r="A3263" s="583" t="s">
        <v>18527</v>
      </c>
      <c r="B3263" s="605" t="s">
        <v>18528</v>
      </c>
      <c r="C3263" s="606" t="s">
        <v>12375</v>
      </c>
      <c r="D3263" s="607">
        <v>501.55</v>
      </c>
      <c r="E3263" s="607">
        <v>25.12</v>
      </c>
      <c r="F3263" s="607">
        <v>526.66999999999996</v>
      </c>
      <c r="G3263" s="584">
        <v>15</v>
      </c>
    </row>
    <row r="3264" spans="1:7" ht="30" x14ac:dyDescent="0.2">
      <c r="A3264" s="583" t="s">
        <v>18529</v>
      </c>
      <c r="B3264" s="605" t="s">
        <v>18530</v>
      </c>
      <c r="C3264" s="606" t="s">
        <v>12375</v>
      </c>
      <c r="D3264" s="607">
        <v>516.82000000000005</v>
      </c>
      <c r="E3264" s="607">
        <v>25.12</v>
      </c>
      <c r="F3264" s="607">
        <v>541.94000000000005</v>
      </c>
      <c r="G3264" s="584">
        <v>15</v>
      </c>
    </row>
    <row r="3265" spans="1:7" ht="30" x14ac:dyDescent="0.2">
      <c r="A3265" s="583" t="s">
        <v>20112</v>
      </c>
      <c r="B3265" s="605" t="s">
        <v>20113</v>
      </c>
      <c r="C3265" s="606" t="s">
        <v>12375</v>
      </c>
      <c r="D3265" s="607">
        <v>549.35</v>
      </c>
      <c r="E3265" s="607">
        <v>25.12</v>
      </c>
      <c r="F3265" s="607">
        <v>574.47</v>
      </c>
      <c r="G3265" s="584">
        <v>15</v>
      </c>
    </row>
    <row r="3266" spans="1:7" ht="30" x14ac:dyDescent="0.2">
      <c r="A3266" s="583" t="s">
        <v>18531</v>
      </c>
      <c r="B3266" s="605" t="s">
        <v>18532</v>
      </c>
      <c r="C3266" s="606" t="s">
        <v>12375</v>
      </c>
      <c r="D3266" s="607">
        <v>569.09</v>
      </c>
      <c r="E3266" s="607">
        <v>25.12</v>
      </c>
      <c r="F3266" s="607">
        <v>594.21</v>
      </c>
      <c r="G3266" s="584">
        <v>15</v>
      </c>
    </row>
    <row r="3267" spans="1:7" ht="30" x14ac:dyDescent="0.2">
      <c r="A3267" s="583" t="s">
        <v>18533</v>
      </c>
      <c r="B3267" s="605" t="s">
        <v>18534</v>
      </c>
      <c r="C3267" s="606" t="s">
        <v>12375</v>
      </c>
      <c r="D3267" s="607">
        <v>611.58000000000004</v>
      </c>
      <c r="E3267" s="607">
        <v>25.12</v>
      </c>
      <c r="F3267" s="607">
        <v>636.70000000000005</v>
      </c>
      <c r="G3267" s="584">
        <v>15</v>
      </c>
    </row>
    <row r="3268" spans="1:7" ht="30" x14ac:dyDescent="0.2">
      <c r="A3268" s="583" t="s">
        <v>18535</v>
      </c>
      <c r="B3268" s="605" t="s">
        <v>18536</v>
      </c>
      <c r="C3268" s="606" t="s">
        <v>12375</v>
      </c>
      <c r="D3268" s="607">
        <v>1418.81</v>
      </c>
      <c r="E3268" s="607">
        <v>25.12</v>
      </c>
      <c r="F3268" s="607">
        <v>1443.93</v>
      </c>
      <c r="G3268" s="584">
        <v>15</v>
      </c>
    </row>
    <row r="3269" spans="1:7" ht="15" x14ac:dyDescent="0.2">
      <c r="A3269" s="583" t="s">
        <v>18537</v>
      </c>
      <c r="B3269" s="605" t="s">
        <v>18538</v>
      </c>
      <c r="C3269" s="606" t="s">
        <v>12375</v>
      </c>
      <c r="D3269" s="607">
        <v>471.88</v>
      </c>
      <c r="E3269" s="607">
        <v>20.100000000000001</v>
      </c>
      <c r="F3269" s="607">
        <v>491.98</v>
      </c>
      <c r="G3269" s="584">
        <v>15</v>
      </c>
    </row>
    <row r="3270" spans="1:7" ht="15" x14ac:dyDescent="0.2">
      <c r="A3270" s="583" t="s">
        <v>18539</v>
      </c>
      <c r="B3270" s="605" t="s">
        <v>18540</v>
      </c>
      <c r="C3270" s="606" t="s">
        <v>12375</v>
      </c>
      <c r="D3270" s="607">
        <v>880.6</v>
      </c>
      <c r="E3270" s="607">
        <v>25.12</v>
      </c>
      <c r="F3270" s="607">
        <v>905.72</v>
      </c>
      <c r="G3270" s="584">
        <v>15</v>
      </c>
    </row>
    <row r="3271" spans="1:7" ht="15" x14ac:dyDescent="0.2">
      <c r="A3271" s="583" t="s">
        <v>18541</v>
      </c>
      <c r="B3271" s="605" t="s">
        <v>18542</v>
      </c>
      <c r="C3271" s="606" t="s">
        <v>12375</v>
      </c>
      <c r="D3271" s="607">
        <v>1172.53</v>
      </c>
      <c r="E3271" s="607">
        <v>25.12</v>
      </c>
      <c r="F3271" s="607">
        <v>1197.6500000000001</v>
      </c>
      <c r="G3271" s="584">
        <v>15</v>
      </c>
    </row>
    <row r="3272" spans="1:7" ht="15" x14ac:dyDescent="0.2">
      <c r="A3272" s="583" t="s">
        <v>18543</v>
      </c>
      <c r="B3272" s="605" t="s">
        <v>18544</v>
      </c>
      <c r="C3272" s="606" t="s">
        <v>12375</v>
      </c>
      <c r="D3272" s="607">
        <v>1482.67</v>
      </c>
      <c r="E3272" s="607">
        <v>25.12</v>
      </c>
      <c r="F3272" s="607">
        <v>1507.79</v>
      </c>
      <c r="G3272" s="584">
        <v>15</v>
      </c>
    </row>
    <row r="3273" spans="1:7" ht="15" x14ac:dyDescent="0.2">
      <c r="A3273" s="583" t="s">
        <v>18545</v>
      </c>
      <c r="B3273" s="605" t="s">
        <v>18546</v>
      </c>
      <c r="C3273" s="606" t="s">
        <v>12375</v>
      </c>
      <c r="D3273" s="607">
        <v>3104.63</v>
      </c>
      <c r="E3273" s="607">
        <v>25.12</v>
      </c>
      <c r="F3273" s="607">
        <v>3129.75</v>
      </c>
      <c r="G3273" s="584">
        <v>15</v>
      </c>
    </row>
    <row r="3274" spans="1:7" ht="45" x14ac:dyDescent="0.2">
      <c r="A3274" s="583" t="s">
        <v>18547</v>
      </c>
      <c r="B3274" s="605" t="s">
        <v>18548</v>
      </c>
      <c r="C3274" s="606" t="s">
        <v>12375</v>
      </c>
      <c r="D3274" s="607">
        <v>211.82</v>
      </c>
      <c r="E3274" s="607">
        <v>20.100000000000001</v>
      </c>
      <c r="F3274" s="607">
        <v>231.92</v>
      </c>
      <c r="G3274" s="584">
        <v>15</v>
      </c>
    </row>
    <row r="3275" spans="1:7" ht="45" x14ac:dyDescent="0.2">
      <c r="A3275" s="583" t="s">
        <v>18549</v>
      </c>
      <c r="B3275" s="605" t="s">
        <v>18550</v>
      </c>
      <c r="C3275" s="606" t="s">
        <v>12375</v>
      </c>
      <c r="D3275" s="607">
        <v>239.97</v>
      </c>
      <c r="E3275" s="607">
        <v>20.100000000000001</v>
      </c>
      <c r="F3275" s="607">
        <v>260.07</v>
      </c>
      <c r="G3275" s="584">
        <v>15</v>
      </c>
    </row>
    <row r="3276" spans="1:7" ht="45" x14ac:dyDescent="0.2">
      <c r="A3276" s="583" t="s">
        <v>18551</v>
      </c>
      <c r="B3276" s="605" t="s">
        <v>18552</v>
      </c>
      <c r="C3276" s="606" t="s">
        <v>12375</v>
      </c>
      <c r="D3276" s="607">
        <v>504.29</v>
      </c>
      <c r="E3276" s="607">
        <v>25.12</v>
      </c>
      <c r="F3276" s="607">
        <v>529.41</v>
      </c>
      <c r="G3276" s="584">
        <v>15</v>
      </c>
    </row>
    <row r="3277" spans="1:7" ht="45" x14ac:dyDescent="0.2">
      <c r="A3277" s="583" t="s">
        <v>20114</v>
      </c>
      <c r="B3277" s="605" t="s">
        <v>20115</v>
      </c>
      <c r="C3277" s="606" t="s">
        <v>12375</v>
      </c>
      <c r="D3277" s="607">
        <v>606.9</v>
      </c>
      <c r="E3277" s="607">
        <v>25.12</v>
      </c>
      <c r="F3277" s="607">
        <v>632.02</v>
      </c>
      <c r="G3277" s="584">
        <v>15</v>
      </c>
    </row>
    <row r="3278" spans="1:7" ht="45" x14ac:dyDescent="0.2">
      <c r="A3278" s="583" t="s">
        <v>18553</v>
      </c>
      <c r="B3278" s="605" t="s">
        <v>18554</v>
      </c>
      <c r="C3278" s="606" t="s">
        <v>12375</v>
      </c>
      <c r="D3278" s="607">
        <v>828.65</v>
      </c>
      <c r="E3278" s="607">
        <v>25.12</v>
      </c>
      <c r="F3278" s="607">
        <v>853.77</v>
      </c>
      <c r="G3278" s="584">
        <v>15</v>
      </c>
    </row>
    <row r="3279" spans="1:7" ht="15" x14ac:dyDescent="0.2">
      <c r="A3279" s="583" t="s">
        <v>18555</v>
      </c>
      <c r="B3279" s="605" t="s">
        <v>18556</v>
      </c>
      <c r="C3279" s="606" t="s">
        <v>12375</v>
      </c>
      <c r="D3279" s="607">
        <v>259.56</v>
      </c>
      <c r="E3279" s="607">
        <v>25.12</v>
      </c>
      <c r="F3279" s="607">
        <v>284.68</v>
      </c>
      <c r="G3279" s="584">
        <v>15</v>
      </c>
    </row>
    <row r="3280" spans="1:7" ht="15" x14ac:dyDescent="0.2">
      <c r="A3280" s="583" t="s">
        <v>18557</v>
      </c>
      <c r="B3280" s="605" t="s">
        <v>18558</v>
      </c>
      <c r="C3280" s="606" t="s">
        <v>12375</v>
      </c>
      <c r="D3280" s="607">
        <v>549.41999999999996</v>
      </c>
      <c r="E3280" s="607">
        <v>25.12</v>
      </c>
      <c r="F3280" s="607">
        <v>574.54</v>
      </c>
      <c r="G3280" s="584">
        <v>15</v>
      </c>
    </row>
    <row r="3281" spans="1:7" ht="15" x14ac:dyDescent="0.2">
      <c r="A3281" s="583" t="s">
        <v>18559</v>
      </c>
      <c r="B3281" s="605" t="s">
        <v>18560</v>
      </c>
      <c r="C3281" s="606" t="s">
        <v>12375</v>
      </c>
      <c r="D3281" s="607">
        <v>560.92999999999995</v>
      </c>
      <c r="E3281" s="607">
        <v>25.12</v>
      </c>
      <c r="F3281" s="607">
        <v>586.04999999999995</v>
      </c>
      <c r="G3281" s="584">
        <v>15</v>
      </c>
    </row>
    <row r="3282" spans="1:7" ht="15" x14ac:dyDescent="0.2">
      <c r="A3282" s="583" t="s">
        <v>18561</v>
      </c>
      <c r="B3282" s="605" t="s">
        <v>18562</v>
      </c>
      <c r="C3282" s="606" t="s">
        <v>12375</v>
      </c>
      <c r="D3282" s="607">
        <v>789.22</v>
      </c>
      <c r="E3282" s="607">
        <v>25.12</v>
      </c>
      <c r="F3282" s="607">
        <v>814.34</v>
      </c>
      <c r="G3282" s="584">
        <v>15</v>
      </c>
    </row>
    <row r="3283" spans="1:7" ht="15" x14ac:dyDescent="0.2">
      <c r="A3283" s="583" t="s">
        <v>18563</v>
      </c>
      <c r="B3283" s="605" t="s">
        <v>18564</v>
      </c>
      <c r="C3283" s="606" t="s">
        <v>12375</v>
      </c>
      <c r="D3283" s="607">
        <v>1113.55</v>
      </c>
      <c r="E3283" s="607">
        <v>25.12</v>
      </c>
      <c r="F3283" s="607">
        <v>1138.67</v>
      </c>
      <c r="G3283" s="584">
        <v>15</v>
      </c>
    </row>
    <row r="3284" spans="1:7" ht="15" x14ac:dyDescent="0.2">
      <c r="A3284" s="583" t="s">
        <v>18565</v>
      </c>
      <c r="B3284" s="605" t="s">
        <v>18566</v>
      </c>
      <c r="C3284" s="606" t="s">
        <v>12375</v>
      </c>
      <c r="D3284" s="607">
        <v>3354.55</v>
      </c>
      <c r="E3284" s="607">
        <v>25.12</v>
      </c>
      <c r="F3284" s="607">
        <v>3379.67</v>
      </c>
      <c r="G3284" s="584">
        <v>15</v>
      </c>
    </row>
    <row r="3285" spans="1:7" ht="15" x14ac:dyDescent="0.25">
      <c r="A3285" s="583" t="s">
        <v>18567</v>
      </c>
      <c r="B3285" s="605" t="s">
        <v>18568</v>
      </c>
      <c r="C3285" s="606"/>
      <c r="D3285" s="607"/>
      <c r="E3285" s="607"/>
      <c r="F3285" s="607"/>
      <c r="G3285" s="582"/>
    </row>
    <row r="3286" spans="1:7" ht="30" x14ac:dyDescent="0.2">
      <c r="A3286" s="583" t="s">
        <v>18569</v>
      </c>
      <c r="B3286" s="605" t="s">
        <v>18570</v>
      </c>
      <c r="C3286" s="606" t="s">
        <v>12483</v>
      </c>
      <c r="D3286" s="607">
        <v>9.34</v>
      </c>
      <c r="E3286" s="607">
        <v>8.2899999999999991</v>
      </c>
      <c r="F3286" s="607">
        <v>17.63</v>
      </c>
      <c r="G3286" s="584">
        <v>15</v>
      </c>
    </row>
    <row r="3287" spans="1:7" ht="30" x14ac:dyDescent="0.2">
      <c r="A3287" s="583" t="s">
        <v>18571</v>
      </c>
      <c r="B3287" s="605" t="s">
        <v>18572</v>
      </c>
      <c r="C3287" s="606" t="s">
        <v>12483</v>
      </c>
      <c r="D3287" s="607">
        <v>13.63</v>
      </c>
      <c r="E3287" s="607">
        <v>8.2899999999999991</v>
      </c>
      <c r="F3287" s="607">
        <v>21.92</v>
      </c>
      <c r="G3287" s="584">
        <v>15</v>
      </c>
    </row>
    <row r="3288" spans="1:7" ht="30" x14ac:dyDescent="0.2">
      <c r="A3288" s="583" t="s">
        <v>18573</v>
      </c>
      <c r="B3288" s="605" t="s">
        <v>18574</v>
      </c>
      <c r="C3288" s="606" t="s">
        <v>12483</v>
      </c>
      <c r="D3288" s="607">
        <v>17.21</v>
      </c>
      <c r="E3288" s="607">
        <v>8.2899999999999991</v>
      </c>
      <c r="F3288" s="607">
        <v>25.5</v>
      </c>
      <c r="G3288" s="584">
        <v>15</v>
      </c>
    </row>
    <row r="3289" spans="1:7" ht="30" x14ac:dyDescent="0.2">
      <c r="A3289" s="583" t="s">
        <v>18575</v>
      </c>
      <c r="B3289" s="605" t="s">
        <v>18576</v>
      </c>
      <c r="C3289" s="606" t="s">
        <v>12483</v>
      </c>
      <c r="D3289" s="607">
        <v>21.47</v>
      </c>
      <c r="E3289" s="607">
        <v>12.56</v>
      </c>
      <c r="F3289" s="607">
        <v>34.03</v>
      </c>
      <c r="G3289" s="584">
        <v>15</v>
      </c>
    </row>
    <row r="3290" spans="1:7" ht="30" x14ac:dyDescent="0.2">
      <c r="A3290" s="583" t="s">
        <v>18577</v>
      </c>
      <c r="B3290" s="605" t="s">
        <v>18578</v>
      </c>
      <c r="C3290" s="606" t="s">
        <v>12483</v>
      </c>
      <c r="D3290" s="607">
        <v>28.59</v>
      </c>
      <c r="E3290" s="607">
        <v>12.56</v>
      </c>
      <c r="F3290" s="607">
        <v>41.15</v>
      </c>
      <c r="G3290" s="584">
        <v>15</v>
      </c>
    </row>
    <row r="3291" spans="1:7" ht="30" x14ac:dyDescent="0.2">
      <c r="A3291" s="583" t="s">
        <v>18579</v>
      </c>
      <c r="B3291" s="605" t="s">
        <v>18580</v>
      </c>
      <c r="C3291" s="606" t="s">
        <v>12483</v>
      </c>
      <c r="D3291" s="607">
        <v>37.14</v>
      </c>
      <c r="E3291" s="607">
        <v>12.56</v>
      </c>
      <c r="F3291" s="607">
        <v>49.7</v>
      </c>
      <c r="G3291" s="584">
        <v>15</v>
      </c>
    </row>
    <row r="3292" spans="1:7" ht="30" x14ac:dyDescent="0.2">
      <c r="A3292" s="583" t="s">
        <v>18581</v>
      </c>
      <c r="B3292" s="605" t="s">
        <v>18582</v>
      </c>
      <c r="C3292" s="606" t="s">
        <v>12483</v>
      </c>
      <c r="D3292" s="607">
        <v>44.98</v>
      </c>
      <c r="E3292" s="607">
        <v>12.56</v>
      </c>
      <c r="F3292" s="607">
        <v>57.54</v>
      </c>
      <c r="G3292" s="584">
        <v>15</v>
      </c>
    </row>
    <row r="3293" spans="1:7" ht="30" x14ac:dyDescent="0.25">
      <c r="A3293" s="583" t="s">
        <v>18583</v>
      </c>
      <c r="B3293" s="605" t="s">
        <v>18584</v>
      </c>
      <c r="C3293" s="606"/>
      <c r="D3293" s="607"/>
      <c r="E3293" s="607"/>
      <c r="F3293" s="607"/>
      <c r="G3293" s="582"/>
    </row>
    <row r="3294" spans="1:7" ht="30" x14ac:dyDescent="0.2">
      <c r="A3294" s="583" t="s">
        <v>18585</v>
      </c>
      <c r="B3294" s="605" t="s">
        <v>18586</v>
      </c>
      <c r="C3294" s="606" t="s">
        <v>12483</v>
      </c>
      <c r="D3294" s="607">
        <v>53.41</v>
      </c>
      <c r="E3294" s="607">
        <v>18.09</v>
      </c>
      <c r="F3294" s="607">
        <v>71.5</v>
      </c>
      <c r="G3294" s="584">
        <v>15</v>
      </c>
    </row>
    <row r="3295" spans="1:7" ht="30" x14ac:dyDescent="0.2">
      <c r="A3295" s="583" t="s">
        <v>18587</v>
      </c>
      <c r="B3295" s="605" t="s">
        <v>18588</v>
      </c>
      <c r="C3295" s="606" t="s">
        <v>12483</v>
      </c>
      <c r="D3295" s="607">
        <v>76.010000000000005</v>
      </c>
      <c r="E3295" s="607">
        <v>18.09</v>
      </c>
      <c r="F3295" s="607">
        <v>94.1</v>
      </c>
      <c r="G3295" s="584">
        <v>15</v>
      </c>
    </row>
    <row r="3296" spans="1:7" ht="30" x14ac:dyDescent="0.2">
      <c r="A3296" s="583" t="s">
        <v>18589</v>
      </c>
      <c r="B3296" s="605" t="s">
        <v>18590</v>
      </c>
      <c r="C3296" s="606" t="s">
        <v>12483</v>
      </c>
      <c r="D3296" s="607">
        <v>93.08</v>
      </c>
      <c r="E3296" s="607">
        <v>18.09</v>
      </c>
      <c r="F3296" s="607">
        <v>111.17</v>
      </c>
      <c r="G3296" s="584">
        <v>15</v>
      </c>
    </row>
    <row r="3297" spans="1:7" ht="30" x14ac:dyDescent="0.2">
      <c r="A3297" s="583" t="s">
        <v>18591</v>
      </c>
      <c r="B3297" s="605" t="s">
        <v>18592</v>
      </c>
      <c r="C3297" s="606" t="s">
        <v>12483</v>
      </c>
      <c r="D3297" s="607">
        <v>112.91</v>
      </c>
      <c r="E3297" s="607">
        <v>18.09</v>
      </c>
      <c r="F3297" s="607">
        <v>131</v>
      </c>
      <c r="G3297" s="584">
        <v>15</v>
      </c>
    </row>
    <row r="3298" spans="1:7" ht="30" x14ac:dyDescent="0.2">
      <c r="A3298" s="583" t="s">
        <v>18593</v>
      </c>
      <c r="B3298" s="605" t="s">
        <v>18594</v>
      </c>
      <c r="C3298" s="606" t="s">
        <v>12483</v>
      </c>
      <c r="D3298" s="607">
        <v>138.91</v>
      </c>
      <c r="E3298" s="607">
        <v>18.09</v>
      </c>
      <c r="F3298" s="607">
        <v>157</v>
      </c>
      <c r="G3298" s="584">
        <v>15</v>
      </c>
    </row>
    <row r="3299" spans="1:7" ht="30" x14ac:dyDescent="0.2">
      <c r="A3299" s="583" t="s">
        <v>18595</v>
      </c>
      <c r="B3299" s="605" t="s">
        <v>18596</v>
      </c>
      <c r="C3299" s="606" t="s">
        <v>12483</v>
      </c>
      <c r="D3299" s="607">
        <v>154.34</v>
      </c>
      <c r="E3299" s="607">
        <v>18.09</v>
      </c>
      <c r="F3299" s="607">
        <v>172.43</v>
      </c>
      <c r="G3299" s="584">
        <v>15</v>
      </c>
    </row>
    <row r="3300" spans="1:7" ht="30" x14ac:dyDescent="0.2">
      <c r="A3300" s="583" t="s">
        <v>18597</v>
      </c>
      <c r="B3300" s="605" t="s">
        <v>18598</v>
      </c>
      <c r="C3300" s="606" t="s">
        <v>12483</v>
      </c>
      <c r="D3300" s="607">
        <v>180.52</v>
      </c>
      <c r="E3300" s="607">
        <v>18.09</v>
      </c>
      <c r="F3300" s="607">
        <v>198.61</v>
      </c>
      <c r="G3300" s="584">
        <v>15</v>
      </c>
    </row>
    <row r="3301" spans="1:7" ht="30" x14ac:dyDescent="0.2">
      <c r="A3301" s="583" t="s">
        <v>18599</v>
      </c>
      <c r="B3301" s="605" t="s">
        <v>18600</v>
      </c>
      <c r="C3301" s="606" t="s">
        <v>12483</v>
      </c>
      <c r="D3301" s="607">
        <v>205.36</v>
      </c>
      <c r="E3301" s="607">
        <v>18.09</v>
      </c>
      <c r="F3301" s="607">
        <v>223.45</v>
      </c>
      <c r="G3301" s="584">
        <v>15</v>
      </c>
    </row>
    <row r="3302" spans="1:7" ht="30" x14ac:dyDescent="0.2">
      <c r="A3302" s="583" t="s">
        <v>18601</v>
      </c>
      <c r="B3302" s="605" t="s">
        <v>18602</v>
      </c>
      <c r="C3302" s="606" t="s">
        <v>12483</v>
      </c>
      <c r="D3302" s="607">
        <v>217.24</v>
      </c>
      <c r="E3302" s="607">
        <v>18.09</v>
      </c>
      <c r="F3302" s="607">
        <v>235.33</v>
      </c>
      <c r="G3302" s="584">
        <v>15</v>
      </c>
    </row>
    <row r="3303" spans="1:7" ht="30" x14ac:dyDescent="0.2">
      <c r="A3303" s="583" t="s">
        <v>18603</v>
      </c>
      <c r="B3303" s="605" t="s">
        <v>18604</v>
      </c>
      <c r="C3303" s="606" t="s">
        <v>12483</v>
      </c>
      <c r="D3303" s="607">
        <v>250.88</v>
      </c>
      <c r="E3303" s="607">
        <v>18.09</v>
      </c>
      <c r="F3303" s="607">
        <v>268.97000000000003</v>
      </c>
      <c r="G3303" s="584">
        <v>15</v>
      </c>
    </row>
    <row r="3304" spans="1:7" ht="30" x14ac:dyDescent="0.2">
      <c r="A3304" s="583" t="s">
        <v>18605</v>
      </c>
      <c r="B3304" s="605" t="s">
        <v>18606</v>
      </c>
      <c r="C3304" s="606" t="s">
        <v>12483</v>
      </c>
      <c r="D3304" s="607">
        <v>278.97000000000003</v>
      </c>
      <c r="E3304" s="607">
        <v>18.09</v>
      </c>
      <c r="F3304" s="607">
        <v>297.06</v>
      </c>
      <c r="G3304" s="584">
        <v>15</v>
      </c>
    </row>
    <row r="3305" spans="1:7" ht="15" x14ac:dyDescent="0.25">
      <c r="A3305" s="583" t="s">
        <v>18607</v>
      </c>
      <c r="B3305" s="605" t="s">
        <v>18608</v>
      </c>
      <c r="C3305" s="606"/>
      <c r="D3305" s="607"/>
      <c r="E3305" s="607"/>
      <c r="F3305" s="607"/>
      <c r="G3305" s="582"/>
    </row>
    <row r="3306" spans="1:7" ht="45" x14ac:dyDescent="0.2">
      <c r="A3306" s="583" t="s">
        <v>18609</v>
      </c>
      <c r="B3306" s="605" t="s">
        <v>18610</v>
      </c>
      <c r="C3306" s="606" t="s">
        <v>12483</v>
      </c>
      <c r="D3306" s="607">
        <v>38.01</v>
      </c>
      <c r="E3306" s="607">
        <v>17.670000000000002</v>
      </c>
      <c r="F3306" s="607">
        <v>55.68</v>
      </c>
      <c r="G3306" s="584">
        <v>15</v>
      </c>
    </row>
    <row r="3307" spans="1:7" ht="45" x14ac:dyDescent="0.2">
      <c r="A3307" s="583" t="s">
        <v>18611</v>
      </c>
      <c r="B3307" s="605" t="s">
        <v>18612</v>
      </c>
      <c r="C3307" s="606" t="s">
        <v>12483</v>
      </c>
      <c r="D3307" s="607">
        <v>46.04</v>
      </c>
      <c r="E3307" s="607">
        <v>17.670000000000002</v>
      </c>
      <c r="F3307" s="607">
        <v>63.71</v>
      </c>
      <c r="G3307" s="584">
        <v>15</v>
      </c>
    </row>
    <row r="3308" spans="1:7" ht="45" x14ac:dyDescent="0.2">
      <c r="A3308" s="583" t="s">
        <v>18613</v>
      </c>
      <c r="B3308" s="605" t="s">
        <v>18614</v>
      </c>
      <c r="C3308" s="606" t="s">
        <v>12483</v>
      </c>
      <c r="D3308" s="607">
        <v>52.29</v>
      </c>
      <c r="E3308" s="607">
        <v>17.670000000000002</v>
      </c>
      <c r="F3308" s="607">
        <v>69.959999999999994</v>
      </c>
      <c r="G3308" s="584">
        <v>15</v>
      </c>
    </row>
    <row r="3309" spans="1:7" ht="45" x14ac:dyDescent="0.2">
      <c r="A3309" s="583" t="s">
        <v>18615</v>
      </c>
      <c r="B3309" s="605" t="s">
        <v>18616</v>
      </c>
      <c r="C3309" s="606" t="s">
        <v>12483</v>
      </c>
      <c r="D3309" s="607">
        <v>123.99</v>
      </c>
      <c r="E3309" s="607">
        <v>26.51</v>
      </c>
      <c r="F3309" s="607">
        <v>150.5</v>
      </c>
      <c r="G3309" s="584">
        <v>15</v>
      </c>
    </row>
    <row r="3310" spans="1:7" ht="30" x14ac:dyDescent="0.2">
      <c r="A3310" s="583" t="s">
        <v>18617</v>
      </c>
      <c r="B3310" s="605" t="s">
        <v>18618</v>
      </c>
      <c r="C3310" s="606" t="s">
        <v>12375</v>
      </c>
      <c r="D3310" s="607">
        <v>13.42</v>
      </c>
      <c r="E3310" s="607">
        <v>11.55</v>
      </c>
      <c r="F3310" s="607">
        <v>24.97</v>
      </c>
      <c r="G3310" s="584">
        <v>15</v>
      </c>
    </row>
    <row r="3311" spans="1:7" ht="30" x14ac:dyDescent="0.2">
      <c r="A3311" s="583" t="s">
        <v>18619</v>
      </c>
      <c r="B3311" s="605" t="s">
        <v>18620</v>
      </c>
      <c r="C3311" s="606" t="s">
        <v>12375</v>
      </c>
      <c r="D3311" s="607">
        <v>20.27</v>
      </c>
      <c r="E3311" s="607">
        <v>11.55</v>
      </c>
      <c r="F3311" s="607">
        <v>31.82</v>
      </c>
      <c r="G3311" s="584">
        <v>15</v>
      </c>
    </row>
    <row r="3312" spans="1:7" ht="30" x14ac:dyDescent="0.2">
      <c r="A3312" s="583" t="s">
        <v>18621</v>
      </c>
      <c r="B3312" s="605" t="s">
        <v>18622</v>
      </c>
      <c r="C3312" s="606" t="s">
        <v>12375</v>
      </c>
      <c r="D3312" s="607">
        <v>21.54</v>
      </c>
      <c r="E3312" s="607">
        <v>17.579999999999998</v>
      </c>
      <c r="F3312" s="607">
        <v>39.119999999999997</v>
      </c>
      <c r="G3312" s="584">
        <v>15</v>
      </c>
    </row>
    <row r="3313" spans="1:7" ht="30" x14ac:dyDescent="0.2">
      <c r="A3313" s="583" t="s">
        <v>18623</v>
      </c>
      <c r="B3313" s="605" t="s">
        <v>18624</v>
      </c>
      <c r="C3313" s="606" t="s">
        <v>12375</v>
      </c>
      <c r="D3313" s="607">
        <v>31.37</v>
      </c>
      <c r="E3313" s="607">
        <v>20.100000000000001</v>
      </c>
      <c r="F3313" s="607">
        <v>51.47</v>
      </c>
      <c r="G3313" s="584">
        <v>15</v>
      </c>
    </row>
    <row r="3314" spans="1:7" ht="30" x14ac:dyDescent="0.2">
      <c r="A3314" s="583" t="s">
        <v>18625</v>
      </c>
      <c r="B3314" s="605" t="s">
        <v>18626</v>
      </c>
      <c r="C3314" s="606" t="s">
        <v>12375</v>
      </c>
      <c r="D3314" s="607">
        <v>13.26</v>
      </c>
      <c r="E3314" s="607">
        <v>11.55</v>
      </c>
      <c r="F3314" s="607">
        <v>24.81</v>
      </c>
      <c r="G3314" s="584">
        <v>15</v>
      </c>
    </row>
    <row r="3315" spans="1:7" ht="30" x14ac:dyDescent="0.2">
      <c r="A3315" s="583" t="s">
        <v>18627</v>
      </c>
      <c r="B3315" s="605" t="s">
        <v>18628</v>
      </c>
      <c r="C3315" s="606" t="s">
        <v>12375</v>
      </c>
      <c r="D3315" s="607">
        <v>18.87</v>
      </c>
      <c r="E3315" s="607">
        <v>11.55</v>
      </c>
      <c r="F3315" s="607">
        <v>30.42</v>
      </c>
      <c r="G3315" s="584">
        <v>15</v>
      </c>
    </row>
    <row r="3316" spans="1:7" ht="30" x14ac:dyDescent="0.2">
      <c r="A3316" s="583" t="s">
        <v>18629</v>
      </c>
      <c r="B3316" s="605" t="s">
        <v>18630</v>
      </c>
      <c r="C3316" s="606" t="s">
        <v>12375</v>
      </c>
      <c r="D3316" s="607">
        <v>26.13</v>
      </c>
      <c r="E3316" s="607">
        <v>17.579999999999998</v>
      </c>
      <c r="F3316" s="607">
        <v>43.71</v>
      </c>
      <c r="G3316" s="584">
        <v>15</v>
      </c>
    </row>
    <row r="3317" spans="1:7" ht="30" x14ac:dyDescent="0.2">
      <c r="A3317" s="583" t="s">
        <v>18631</v>
      </c>
      <c r="B3317" s="605" t="s">
        <v>18632</v>
      </c>
      <c r="C3317" s="606" t="s">
        <v>12375</v>
      </c>
      <c r="D3317" s="607">
        <v>42.95</v>
      </c>
      <c r="E3317" s="607">
        <v>20.100000000000001</v>
      </c>
      <c r="F3317" s="607">
        <v>63.05</v>
      </c>
      <c r="G3317" s="584">
        <v>15</v>
      </c>
    </row>
    <row r="3318" spans="1:7" ht="30" x14ac:dyDescent="0.2">
      <c r="A3318" s="583" t="s">
        <v>18633</v>
      </c>
      <c r="B3318" s="605" t="s">
        <v>18634</v>
      </c>
      <c r="C3318" s="606" t="s">
        <v>12375</v>
      </c>
      <c r="D3318" s="607">
        <v>17.37</v>
      </c>
      <c r="E3318" s="607">
        <v>11.55</v>
      </c>
      <c r="F3318" s="607">
        <v>28.92</v>
      </c>
      <c r="G3318" s="584">
        <v>15</v>
      </c>
    </row>
    <row r="3319" spans="1:7" ht="30" x14ac:dyDescent="0.2">
      <c r="A3319" s="583" t="s">
        <v>18635</v>
      </c>
      <c r="B3319" s="605" t="s">
        <v>18636</v>
      </c>
      <c r="C3319" s="606" t="s">
        <v>12375</v>
      </c>
      <c r="D3319" s="607">
        <v>21.18</v>
      </c>
      <c r="E3319" s="607">
        <v>11.55</v>
      </c>
      <c r="F3319" s="607">
        <v>32.729999999999997</v>
      </c>
      <c r="G3319" s="584">
        <v>15</v>
      </c>
    </row>
    <row r="3320" spans="1:7" ht="30" x14ac:dyDescent="0.2">
      <c r="A3320" s="583" t="s">
        <v>18637</v>
      </c>
      <c r="B3320" s="605" t="s">
        <v>18638</v>
      </c>
      <c r="C3320" s="606" t="s">
        <v>12375</v>
      </c>
      <c r="D3320" s="607">
        <v>24.85</v>
      </c>
      <c r="E3320" s="607">
        <v>17.579999999999998</v>
      </c>
      <c r="F3320" s="607">
        <v>42.43</v>
      </c>
      <c r="G3320" s="584">
        <v>15</v>
      </c>
    </row>
    <row r="3321" spans="1:7" ht="30" x14ac:dyDescent="0.2">
      <c r="A3321" s="583" t="s">
        <v>18639</v>
      </c>
      <c r="B3321" s="605" t="s">
        <v>18640</v>
      </c>
      <c r="C3321" s="606" t="s">
        <v>12375</v>
      </c>
      <c r="D3321" s="607">
        <v>40.479999999999997</v>
      </c>
      <c r="E3321" s="607">
        <v>20.100000000000001</v>
      </c>
      <c r="F3321" s="607">
        <v>60.58</v>
      </c>
      <c r="G3321" s="584">
        <v>15</v>
      </c>
    </row>
    <row r="3322" spans="1:7" ht="30" x14ac:dyDescent="0.2">
      <c r="A3322" s="583" t="s">
        <v>18641</v>
      </c>
      <c r="B3322" s="605" t="s">
        <v>18642</v>
      </c>
      <c r="C3322" s="606" t="s">
        <v>12375</v>
      </c>
      <c r="D3322" s="607">
        <v>13.4</v>
      </c>
      <c r="E3322" s="607">
        <v>11.55</v>
      </c>
      <c r="F3322" s="607">
        <v>24.95</v>
      </c>
      <c r="G3322" s="584">
        <v>15</v>
      </c>
    </row>
    <row r="3323" spans="1:7" ht="30" x14ac:dyDescent="0.2">
      <c r="A3323" s="583" t="s">
        <v>18643</v>
      </c>
      <c r="B3323" s="605" t="s">
        <v>18644</v>
      </c>
      <c r="C3323" s="606" t="s">
        <v>12375</v>
      </c>
      <c r="D3323" s="607">
        <v>19.23</v>
      </c>
      <c r="E3323" s="607">
        <v>17.579999999999998</v>
      </c>
      <c r="F3323" s="607">
        <v>36.81</v>
      </c>
      <c r="G3323" s="584">
        <v>15</v>
      </c>
    </row>
    <row r="3324" spans="1:7" ht="30" x14ac:dyDescent="0.2">
      <c r="A3324" s="583" t="s">
        <v>18645</v>
      </c>
      <c r="B3324" s="605" t="s">
        <v>18646</v>
      </c>
      <c r="C3324" s="606" t="s">
        <v>12375</v>
      </c>
      <c r="D3324" s="607">
        <v>32.659999999999997</v>
      </c>
      <c r="E3324" s="607">
        <v>20.100000000000001</v>
      </c>
      <c r="F3324" s="607">
        <v>52.76</v>
      </c>
      <c r="G3324" s="584">
        <v>15</v>
      </c>
    </row>
    <row r="3325" spans="1:7" ht="30" x14ac:dyDescent="0.2">
      <c r="A3325" s="583" t="s">
        <v>18647</v>
      </c>
      <c r="B3325" s="605" t="s">
        <v>18648</v>
      </c>
      <c r="C3325" s="606" t="s">
        <v>12375</v>
      </c>
      <c r="D3325" s="607">
        <v>39.78</v>
      </c>
      <c r="E3325" s="607">
        <v>11.55</v>
      </c>
      <c r="F3325" s="607">
        <v>51.33</v>
      </c>
      <c r="G3325" s="584">
        <v>15</v>
      </c>
    </row>
    <row r="3326" spans="1:7" ht="30" x14ac:dyDescent="0.2">
      <c r="A3326" s="583" t="s">
        <v>18649</v>
      </c>
      <c r="B3326" s="605" t="s">
        <v>18650</v>
      </c>
      <c r="C3326" s="606" t="s">
        <v>12375</v>
      </c>
      <c r="D3326" s="607">
        <v>51.07</v>
      </c>
      <c r="E3326" s="607">
        <v>17.579999999999998</v>
      </c>
      <c r="F3326" s="607">
        <v>68.650000000000006</v>
      </c>
      <c r="G3326" s="584">
        <v>15</v>
      </c>
    </row>
    <row r="3327" spans="1:7" ht="30" x14ac:dyDescent="0.2">
      <c r="A3327" s="583" t="s">
        <v>18651</v>
      </c>
      <c r="B3327" s="605" t="s">
        <v>18652</v>
      </c>
      <c r="C3327" s="606" t="s">
        <v>12375</v>
      </c>
      <c r="D3327" s="607">
        <v>90.54</v>
      </c>
      <c r="E3327" s="607">
        <v>20.100000000000001</v>
      </c>
      <c r="F3327" s="607">
        <v>110.64</v>
      </c>
      <c r="G3327" s="584">
        <v>15</v>
      </c>
    </row>
    <row r="3328" spans="1:7" ht="30" x14ac:dyDescent="0.2">
      <c r="A3328" s="583" t="s">
        <v>18653</v>
      </c>
      <c r="B3328" s="605" t="s">
        <v>18654</v>
      </c>
      <c r="C3328" s="606" t="s">
        <v>12375</v>
      </c>
      <c r="D3328" s="607">
        <v>73.38</v>
      </c>
      <c r="E3328" s="607">
        <v>20.100000000000001</v>
      </c>
      <c r="F3328" s="607">
        <v>93.48</v>
      </c>
      <c r="G3328" s="584">
        <v>15</v>
      </c>
    </row>
    <row r="3329" spans="1:7" ht="30" x14ac:dyDescent="0.2">
      <c r="A3329" s="583" t="s">
        <v>18655</v>
      </c>
      <c r="B3329" s="605" t="s">
        <v>18656</v>
      </c>
      <c r="C3329" s="606" t="s">
        <v>12375</v>
      </c>
      <c r="D3329" s="607">
        <v>215.96</v>
      </c>
      <c r="E3329" s="607">
        <v>17.579999999999998</v>
      </c>
      <c r="F3329" s="607">
        <v>233.54</v>
      </c>
      <c r="G3329" s="584">
        <v>15</v>
      </c>
    </row>
    <row r="3330" spans="1:7" ht="30" x14ac:dyDescent="0.2">
      <c r="A3330" s="583" t="s">
        <v>18657</v>
      </c>
      <c r="B3330" s="605" t="s">
        <v>18658</v>
      </c>
      <c r="C3330" s="606" t="s">
        <v>12375</v>
      </c>
      <c r="D3330" s="607">
        <v>37.32</v>
      </c>
      <c r="E3330" s="607">
        <v>11.55</v>
      </c>
      <c r="F3330" s="607">
        <v>48.87</v>
      </c>
      <c r="G3330" s="584">
        <v>15</v>
      </c>
    </row>
    <row r="3331" spans="1:7" ht="30" x14ac:dyDescent="0.2">
      <c r="A3331" s="583" t="s">
        <v>18659</v>
      </c>
      <c r="B3331" s="605" t="s">
        <v>18660</v>
      </c>
      <c r="C3331" s="606" t="s">
        <v>12375</v>
      </c>
      <c r="D3331" s="607">
        <v>44.17</v>
      </c>
      <c r="E3331" s="607">
        <v>17.579999999999998</v>
      </c>
      <c r="F3331" s="607">
        <v>61.75</v>
      </c>
      <c r="G3331" s="584">
        <v>15</v>
      </c>
    </row>
    <row r="3332" spans="1:7" ht="30" x14ac:dyDescent="0.2">
      <c r="A3332" s="583" t="s">
        <v>18661</v>
      </c>
      <c r="B3332" s="605" t="s">
        <v>18662</v>
      </c>
      <c r="C3332" s="606" t="s">
        <v>12375</v>
      </c>
      <c r="D3332" s="607">
        <v>83.97</v>
      </c>
      <c r="E3332" s="607">
        <v>20.100000000000001</v>
      </c>
      <c r="F3332" s="607">
        <v>104.07</v>
      </c>
      <c r="G3332" s="584">
        <v>15</v>
      </c>
    </row>
    <row r="3333" spans="1:7" ht="30" x14ac:dyDescent="0.2">
      <c r="A3333" s="583" t="s">
        <v>18663</v>
      </c>
      <c r="B3333" s="605" t="s">
        <v>18664</v>
      </c>
      <c r="C3333" s="606" t="s">
        <v>12375</v>
      </c>
      <c r="D3333" s="607">
        <v>38.03</v>
      </c>
      <c r="E3333" s="607">
        <v>17.579999999999998</v>
      </c>
      <c r="F3333" s="607">
        <v>55.61</v>
      </c>
      <c r="G3333" s="584">
        <v>15</v>
      </c>
    </row>
    <row r="3334" spans="1:7" ht="30" x14ac:dyDescent="0.2">
      <c r="A3334" s="583" t="s">
        <v>18665</v>
      </c>
      <c r="B3334" s="605" t="s">
        <v>18666</v>
      </c>
      <c r="C3334" s="606" t="s">
        <v>12375</v>
      </c>
      <c r="D3334" s="607">
        <v>68.56</v>
      </c>
      <c r="E3334" s="607">
        <v>20.100000000000001</v>
      </c>
      <c r="F3334" s="607">
        <v>88.66</v>
      </c>
      <c r="G3334" s="584">
        <v>15</v>
      </c>
    </row>
    <row r="3335" spans="1:7" ht="30" x14ac:dyDescent="0.2">
      <c r="A3335" s="583" t="s">
        <v>18667</v>
      </c>
      <c r="B3335" s="605" t="s">
        <v>18668</v>
      </c>
      <c r="C3335" s="606" t="s">
        <v>12375</v>
      </c>
      <c r="D3335" s="607">
        <v>54.57</v>
      </c>
      <c r="E3335" s="607">
        <v>20.100000000000001</v>
      </c>
      <c r="F3335" s="607">
        <v>74.67</v>
      </c>
      <c r="G3335" s="584">
        <v>15</v>
      </c>
    </row>
    <row r="3336" spans="1:7" ht="30" x14ac:dyDescent="0.2">
      <c r="A3336" s="583" t="s">
        <v>18669</v>
      </c>
      <c r="B3336" s="605" t="s">
        <v>18670</v>
      </c>
      <c r="C3336" s="606" t="s">
        <v>12375</v>
      </c>
      <c r="D3336" s="607">
        <v>70.599999999999994</v>
      </c>
      <c r="E3336" s="607">
        <v>20.100000000000001</v>
      </c>
      <c r="F3336" s="607">
        <v>90.7</v>
      </c>
      <c r="G3336" s="584">
        <v>15</v>
      </c>
    </row>
    <row r="3337" spans="1:7" ht="30" x14ac:dyDescent="0.2">
      <c r="A3337" s="583" t="s">
        <v>18671</v>
      </c>
      <c r="B3337" s="605" t="s">
        <v>18672</v>
      </c>
      <c r="C3337" s="606" t="s">
        <v>12375</v>
      </c>
      <c r="D3337" s="607">
        <v>118.81</v>
      </c>
      <c r="E3337" s="607">
        <v>17.579999999999998</v>
      </c>
      <c r="F3337" s="607">
        <v>136.38999999999999</v>
      </c>
      <c r="G3337" s="584">
        <v>15</v>
      </c>
    </row>
    <row r="3338" spans="1:7" ht="30" x14ac:dyDescent="0.2">
      <c r="A3338" s="583" t="s">
        <v>18673</v>
      </c>
      <c r="B3338" s="605" t="s">
        <v>18674</v>
      </c>
      <c r="C3338" s="606" t="s">
        <v>12375</v>
      </c>
      <c r="D3338" s="607">
        <v>81.3</v>
      </c>
      <c r="E3338" s="607">
        <v>20.100000000000001</v>
      </c>
      <c r="F3338" s="607">
        <v>101.4</v>
      </c>
      <c r="G3338" s="584">
        <v>15</v>
      </c>
    </row>
    <row r="3339" spans="1:7" ht="30" x14ac:dyDescent="0.2">
      <c r="A3339" s="583" t="s">
        <v>18675</v>
      </c>
      <c r="B3339" s="605" t="s">
        <v>18676</v>
      </c>
      <c r="C3339" s="606" t="s">
        <v>12375</v>
      </c>
      <c r="D3339" s="607">
        <v>75.209999999999994</v>
      </c>
      <c r="E3339" s="607">
        <v>11.55</v>
      </c>
      <c r="F3339" s="607">
        <v>86.76</v>
      </c>
      <c r="G3339" s="584">
        <v>15</v>
      </c>
    </row>
    <row r="3340" spans="1:7" ht="30" x14ac:dyDescent="0.2">
      <c r="A3340" s="583" t="s">
        <v>18677</v>
      </c>
      <c r="B3340" s="605" t="s">
        <v>18678</v>
      </c>
      <c r="C3340" s="606" t="s">
        <v>12375</v>
      </c>
      <c r="D3340" s="607">
        <v>12.91</v>
      </c>
      <c r="E3340" s="607">
        <v>11.55</v>
      </c>
      <c r="F3340" s="607">
        <v>24.46</v>
      </c>
      <c r="G3340" s="584">
        <v>15</v>
      </c>
    </row>
    <row r="3341" spans="1:7" ht="30" x14ac:dyDescent="0.2">
      <c r="A3341" s="583" t="s">
        <v>18679</v>
      </c>
      <c r="B3341" s="605" t="s">
        <v>18680</v>
      </c>
      <c r="C3341" s="606" t="s">
        <v>12375</v>
      </c>
      <c r="D3341" s="607">
        <v>32.840000000000003</v>
      </c>
      <c r="E3341" s="607">
        <v>11.55</v>
      </c>
      <c r="F3341" s="607">
        <v>44.39</v>
      </c>
      <c r="G3341" s="584">
        <v>15</v>
      </c>
    </row>
    <row r="3342" spans="1:7" ht="30" x14ac:dyDescent="0.2">
      <c r="A3342" s="583" t="s">
        <v>18681</v>
      </c>
      <c r="B3342" s="605" t="s">
        <v>18682</v>
      </c>
      <c r="C3342" s="606" t="s">
        <v>12375</v>
      </c>
      <c r="D3342" s="607">
        <v>46.09</v>
      </c>
      <c r="E3342" s="607">
        <v>17.579999999999998</v>
      </c>
      <c r="F3342" s="607">
        <v>63.67</v>
      </c>
      <c r="G3342" s="584">
        <v>15</v>
      </c>
    </row>
    <row r="3343" spans="1:7" ht="15" x14ac:dyDescent="0.2">
      <c r="A3343" s="583" t="s">
        <v>18683</v>
      </c>
      <c r="B3343" s="605" t="s">
        <v>18684</v>
      </c>
      <c r="C3343" s="606" t="s">
        <v>12676</v>
      </c>
      <c r="D3343" s="607">
        <v>75.41</v>
      </c>
      <c r="E3343" s="607">
        <v>5.0199999999999996</v>
      </c>
      <c r="F3343" s="607">
        <v>80.430000000000007</v>
      </c>
      <c r="G3343" s="584">
        <v>15</v>
      </c>
    </row>
    <row r="3344" spans="1:7" ht="30" x14ac:dyDescent="0.25">
      <c r="A3344" s="583" t="s">
        <v>18685</v>
      </c>
      <c r="B3344" s="605" t="s">
        <v>18686</v>
      </c>
      <c r="C3344" s="606"/>
      <c r="D3344" s="607"/>
      <c r="E3344" s="607"/>
      <c r="F3344" s="607"/>
      <c r="G3344" s="582"/>
    </row>
    <row r="3345" spans="1:7" ht="15" x14ac:dyDescent="0.25">
      <c r="A3345" s="583" t="s">
        <v>18687</v>
      </c>
      <c r="B3345" s="605" t="s">
        <v>18688</v>
      </c>
      <c r="C3345" s="606"/>
      <c r="D3345" s="607"/>
      <c r="E3345" s="607"/>
      <c r="F3345" s="607"/>
      <c r="G3345" s="582"/>
    </row>
    <row r="3346" spans="1:7" ht="15" x14ac:dyDescent="0.2">
      <c r="A3346" s="583" t="s">
        <v>18689</v>
      </c>
      <c r="B3346" s="605" t="s">
        <v>18690</v>
      </c>
      <c r="C3346" s="606" t="s">
        <v>12375</v>
      </c>
      <c r="D3346" s="607">
        <v>42.78</v>
      </c>
      <c r="E3346" s="607">
        <v>22.61</v>
      </c>
      <c r="F3346" s="607">
        <v>65.39</v>
      </c>
      <c r="G3346" s="584">
        <v>15</v>
      </c>
    </row>
    <row r="3347" spans="1:7" ht="15" x14ac:dyDescent="0.2">
      <c r="A3347" s="583" t="s">
        <v>18691</v>
      </c>
      <c r="B3347" s="605" t="s">
        <v>18692</v>
      </c>
      <c r="C3347" s="606" t="s">
        <v>12375</v>
      </c>
      <c r="D3347" s="607">
        <v>56.95</v>
      </c>
      <c r="E3347" s="607">
        <v>30.14</v>
      </c>
      <c r="F3347" s="607">
        <v>87.09</v>
      </c>
      <c r="G3347" s="584">
        <v>15</v>
      </c>
    </row>
    <row r="3348" spans="1:7" ht="15" x14ac:dyDescent="0.2">
      <c r="A3348" s="583" t="s">
        <v>18693</v>
      </c>
      <c r="B3348" s="605" t="s">
        <v>18694</v>
      </c>
      <c r="C3348" s="606" t="s">
        <v>12375</v>
      </c>
      <c r="D3348" s="607">
        <v>66.86</v>
      </c>
      <c r="E3348" s="607">
        <v>37.68</v>
      </c>
      <c r="F3348" s="607">
        <v>104.54</v>
      </c>
      <c r="G3348" s="584">
        <v>15</v>
      </c>
    </row>
    <row r="3349" spans="1:7" ht="30" x14ac:dyDescent="0.2">
      <c r="A3349" s="583" t="s">
        <v>18695</v>
      </c>
      <c r="B3349" s="605" t="s">
        <v>18696</v>
      </c>
      <c r="C3349" s="606" t="s">
        <v>12375</v>
      </c>
      <c r="D3349" s="607">
        <v>92.16</v>
      </c>
      <c r="E3349" s="607">
        <v>45.22</v>
      </c>
      <c r="F3349" s="607">
        <v>137.38</v>
      </c>
      <c r="G3349" s="584">
        <v>15</v>
      </c>
    </row>
    <row r="3350" spans="1:7" ht="30" x14ac:dyDescent="0.2">
      <c r="A3350" s="583" t="s">
        <v>18697</v>
      </c>
      <c r="B3350" s="605" t="s">
        <v>18698</v>
      </c>
      <c r="C3350" s="606" t="s">
        <v>12375</v>
      </c>
      <c r="D3350" s="607">
        <v>110.87</v>
      </c>
      <c r="E3350" s="607">
        <v>50.24</v>
      </c>
      <c r="F3350" s="607">
        <v>161.11000000000001</v>
      </c>
      <c r="G3350" s="584">
        <v>15</v>
      </c>
    </row>
    <row r="3351" spans="1:7" ht="15" x14ac:dyDescent="0.2">
      <c r="A3351" s="583" t="s">
        <v>18699</v>
      </c>
      <c r="B3351" s="605" t="s">
        <v>18700</v>
      </c>
      <c r="C3351" s="606" t="s">
        <v>12375</v>
      </c>
      <c r="D3351" s="607">
        <v>181.25</v>
      </c>
      <c r="E3351" s="607">
        <v>62.8</v>
      </c>
      <c r="F3351" s="607">
        <v>244.05</v>
      </c>
      <c r="G3351" s="584">
        <v>15</v>
      </c>
    </row>
    <row r="3352" spans="1:7" ht="30" x14ac:dyDescent="0.2">
      <c r="A3352" s="583" t="s">
        <v>18701</v>
      </c>
      <c r="B3352" s="605" t="s">
        <v>18702</v>
      </c>
      <c r="C3352" s="606" t="s">
        <v>12375</v>
      </c>
      <c r="D3352" s="607">
        <v>385.23</v>
      </c>
      <c r="E3352" s="607">
        <v>75.36</v>
      </c>
      <c r="F3352" s="607">
        <v>460.59</v>
      </c>
      <c r="G3352" s="584">
        <v>15</v>
      </c>
    </row>
    <row r="3353" spans="1:7" ht="15" x14ac:dyDescent="0.2">
      <c r="A3353" s="583" t="s">
        <v>18703</v>
      </c>
      <c r="B3353" s="605" t="s">
        <v>18704</v>
      </c>
      <c r="C3353" s="606" t="s">
        <v>12375</v>
      </c>
      <c r="D3353" s="607">
        <v>647.67999999999995</v>
      </c>
      <c r="E3353" s="607">
        <v>100.48</v>
      </c>
      <c r="F3353" s="607">
        <v>748.16</v>
      </c>
      <c r="G3353" s="584">
        <v>15</v>
      </c>
    </row>
    <row r="3354" spans="1:7" ht="15" x14ac:dyDescent="0.2">
      <c r="A3354" s="583" t="s">
        <v>18705</v>
      </c>
      <c r="B3354" s="605" t="s">
        <v>18706</v>
      </c>
      <c r="C3354" s="606" t="s">
        <v>12375</v>
      </c>
      <c r="D3354" s="607">
        <v>1124.0999999999999</v>
      </c>
      <c r="E3354" s="607">
        <v>150.72</v>
      </c>
      <c r="F3354" s="607">
        <v>1274.82</v>
      </c>
      <c r="G3354" s="584">
        <v>15</v>
      </c>
    </row>
    <row r="3355" spans="1:7" ht="30" x14ac:dyDescent="0.2">
      <c r="A3355" s="583" t="s">
        <v>18707</v>
      </c>
      <c r="B3355" s="605" t="s">
        <v>18708</v>
      </c>
      <c r="C3355" s="606" t="s">
        <v>12375</v>
      </c>
      <c r="D3355" s="607">
        <v>68.11</v>
      </c>
      <c r="E3355" s="607">
        <v>30.14</v>
      </c>
      <c r="F3355" s="607">
        <v>98.25</v>
      </c>
      <c r="G3355" s="584">
        <v>15</v>
      </c>
    </row>
    <row r="3356" spans="1:7" ht="30" x14ac:dyDescent="0.2">
      <c r="A3356" s="583" t="s">
        <v>18709</v>
      </c>
      <c r="B3356" s="605" t="s">
        <v>18710</v>
      </c>
      <c r="C3356" s="606" t="s">
        <v>12375</v>
      </c>
      <c r="D3356" s="607">
        <v>35.15</v>
      </c>
      <c r="E3356" s="607">
        <v>22.61</v>
      </c>
      <c r="F3356" s="607">
        <v>57.76</v>
      </c>
      <c r="G3356" s="584">
        <v>15</v>
      </c>
    </row>
    <row r="3357" spans="1:7" ht="30" x14ac:dyDescent="0.2">
      <c r="A3357" s="583" t="s">
        <v>18711</v>
      </c>
      <c r="B3357" s="605" t="s">
        <v>18712</v>
      </c>
      <c r="C3357" s="606" t="s">
        <v>12375</v>
      </c>
      <c r="D3357" s="607">
        <v>71.92</v>
      </c>
      <c r="E3357" s="607">
        <v>22.61</v>
      </c>
      <c r="F3357" s="607">
        <v>94.53</v>
      </c>
      <c r="G3357" s="584">
        <v>15</v>
      </c>
    </row>
    <row r="3358" spans="1:7" ht="30" x14ac:dyDescent="0.2">
      <c r="A3358" s="583" t="s">
        <v>18713</v>
      </c>
      <c r="B3358" s="605" t="s">
        <v>18714</v>
      </c>
      <c r="C3358" s="606" t="s">
        <v>12375</v>
      </c>
      <c r="D3358" s="607">
        <v>70.23</v>
      </c>
      <c r="E3358" s="607">
        <v>22.61</v>
      </c>
      <c r="F3358" s="607">
        <v>92.84</v>
      </c>
      <c r="G3358" s="584">
        <v>15</v>
      </c>
    </row>
    <row r="3359" spans="1:7" ht="30" x14ac:dyDescent="0.2">
      <c r="A3359" s="583" t="s">
        <v>18715</v>
      </c>
      <c r="B3359" s="605" t="s">
        <v>18716</v>
      </c>
      <c r="C3359" s="606" t="s">
        <v>12375</v>
      </c>
      <c r="D3359" s="607">
        <v>99.97</v>
      </c>
      <c r="E3359" s="607">
        <v>25.12</v>
      </c>
      <c r="F3359" s="607">
        <v>125.09</v>
      </c>
      <c r="G3359" s="584">
        <v>15</v>
      </c>
    </row>
    <row r="3360" spans="1:7" ht="30" x14ac:dyDescent="0.2">
      <c r="A3360" s="583" t="s">
        <v>18717</v>
      </c>
      <c r="B3360" s="605" t="s">
        <v>18718</v>
      </c>
      <c r="C3360" s="606" t="s">
        <v>12375</v>
      </c>
      <c r="D3360" s="607">
        <v>244.8</v>
      </c>
      <c r="E3360" s="607">
        <v>22.61</v>
      </c>
      <c r="F3360" s="607">
        <v>267.41000000000003</v>
      </c>
      <c r="G3360" s="584">
        <v>15</v>
      </c>
    </row>
    <row r="3361" spans="1:7" ht="30" x14ac:dyDescent="0.2">
      <c r="A3361" s="583" t="s">
        <v>18719</v>
      </c>
      <c r="B3361" s="605" t="s">
        <v>18720</v>
      </c>
      <c r="C3361" s="606" t="s">
        <v>12375</v>
      </c>
      <c r="D3361" s="607">
        <v>1244.47</v>
      </c>
      <c r="E3361" s="607">
        <v>50.24</v>
      </c>
      <c r="F3361" s="607">
        <v>1294.71</v>
      </c>
      <c r="G3361" s="584">
        <v>15</v>
      </c>
    </row>
    <row r="3362" spans="1:7" ht="30" x14ac:dyDescent="0.25">
      <c r="A3362" s="583" t="s">
        <v>18721</v>
      </c>
      <c r="B3362" s="605" t="s">
        <v>18722</v>
      </c>
      <c r="C3362" s="606"/>
      <c r="D3362" s="607"/>
      <c r="E3362" s="607"/>
      <c r="F3362" s="607"/>
      <c r="G3362" s="582"/>
    </row>
    <row r="3363" spans="1:7" ht="30" x14ac:dyDescent="0.2">
      <c r="A3363" s="583" t="s">
        <v>18723</v>
      </c>
      <c r="B3363" s="605" t="s">
        <v>18724</v>
      </c>
      <c r="C3363" s="606" t="s">
        <v>12375</v>
      </c>
      <c r="D3363" s="607">
        <v>57.21</v>
      </c>
      <c r="E3363" s="607">
        <v>22.61</v>
      </c>
      <c r="F3363" s="607">
        <v>79.819999999999993</v>
      </c>
      <c r="G3363" s="584">
        <v>15</v>
      </c>
    </row>
    <row r="3364" spans="1:7" ht="30" x14ac:dyDescent="0.2">
      <c r="A3364" s="583" t="s">
        <v>18725</v>
      </c>
      <c r="B3364" s="605" t="s">
        <v>18726</v>
      </c>
      <c r="C3364" s="606" t="s">
        <v>12375</v>
      </c>
      <c r="D3364" s="607">
        <v>44.44</v>
      </c>
      <c r="E3364" s="607">
        <v>22.61</v>
      </c>
      <c r="F3364" s="607">
        <v>67.05</v>
      </c>
      <c r="G3364" s="584">
        <v>15</v>
      </c>
    </row>
    <row r="3365" spans="1:7" ht="30" x14ac:dyDescent="0.2">
      <c r="A3365" s="583" t="s">
        <v>18727</v>
      </c>
      <c r="B3365" s="605" t="s">
        <v>18728</v>
      </c>
      <c r="C3365" s="606" t="s">
        <v>12375</v>
      </c>
      <c r="D3365" s="607">
        <v>87.37</v>
      </c>
      <c r="E3365" s="607">
        <v>22.61</v>
      </c>
      <c r="F3365" s="607">
        <v>109.98</v>
      </c>
      <c r="G3365" s="584">
        <v>15</v>
      </c>
    </row>
    <row r="3366" spans="1:7" ht="30" x14ac:dyDescent="0.2">
      <c r="A3366" s="583" t="s">
        <v>18729</v>
      </c>
      <c r="B3366" s="605" t="s">
        <v>18730</v>
      </c>
      <c r="C3366" s="606" t="s">
        <v>12375</v>
      </c>
      <c r="D3366" s="607">
        <v>136.72999999999999</v>
      </c>
      <c r="E3366" s="607">
        <v>22.61</v>
      </c>
      <c r="F3366" s="607">
        <v>159.34</v>
      </c>
      <c r="G3366" s="584">
        <v>15</v>
      </c>
    </row>
    <row r="3367" spans="1:7" ht="30" x14ac:dyDescent="0.2">
      <c r="A3367" s="583" t="s">
        <v>18731</v>
      </c>
      <c r="B3367" s="605" t="s">
        <v>18732</v>
      </c>
      <c r="C3367" s="606" t="s">
        <v>12375</v>
      </c>
      <c r="D3367" s="607">
        <v>171.63</v>
      </c>
      <c r="E3367" s="607">
        <v>22.61</v>
      </c>
      <c r="F3367" s="607">
        <v>194.24</v>
      </c>
      <c r="G3367" s="584">
        <v>15</v>
      </c>
    </row>
    <row r="3368" spans="1:7" ht="30" x14ac:dyDescent="0.2">
      <c r="A3368" s="583" t="s">
        <v>18733</v>
      </c>
      <c r="B3368" s="605" t="s">
        <v>18734</v>
      </c>
      <c r="C3368" s="606" t="s">
        <v>12375</v>
      </c>
      <c r="D3368" s="607">
        <v>59.53</v>
      </c>
      <c r="E3368" s="607">
        <v>22.61</v>
      </c>
      <c r="F3368" s="607">
        <v>82.14</v>
      </c>
      <c r="G3368" s="584">
        <v>15</v>
      </c>
    </row>
    <row r="3369" spans="1:7" ht="30" x14ac:dyDescent="0.2">
      <c r="A3369" s="583" t="s">
        <v>18735</v>
      </c>
      <c r="B3369" s="605" t="s">
        <v>18736</v>
      </c>
      <c r="C3369" s="606" t="s">
        <v>12375</v>
      </c>
      <c r="D3369" s="607">
        <v>46.54</v>
      </c>
      <c r="E3369" s="607">
        <v>22.61</v>
      </c>
      <c r="F3369" s="607">
        <v>69.150000000000006</v>
      </c>
      <c r="G3369" s="584">
        <v>15</v>
      </c>
    </row>
    <row r="3370" spans="1:7" ht="30" x14ac:dyDescent="0.2">
      <c r="A3370" s="583" t="s">
        <v>18737</v>
      </c>
      <c r="B3370" s="605" t="s">
        <v>18738</v>
      </c>
      <c r="C3370" s="606" t="s">
        <v>12375</v>
      </c>
      <c r="D3370" s="607">
        <v>87.53</v>
      </c>
      <c r="E3370" s="607">
        <v>22.61</v>
      </c>
      <c r="F3370" s="607">
        <v>110.14</v>
      </c>
      <c r="G3370" s="584">
        <v>15</v>
      </c>
    </row>
    <row r="3371" spans="1:7" ht="30" x14ac:dyDescent="0.2">
      <c r="A3371" s="583" t="s">
        <v>18739</v>
      </c>
      <c r="B3371" s="605" t="s">
        <v>18740</v>
      </c>
      <c r="C3371" s="606" t="s">
        <v>12375</v>
      </c>
      <c r="D3371" s="607">
        <v>93.99</v>
      </c>
      <c r="E3371" s="607">
        <v>22.61</v>
      </c>
      <c r="F3371" s="607">
        <v>116.6</v>
      </c>
      <c r="G3371" s="584">
        <v>15</v>
      </c>
    </row>
    <row r="3372" spans="1:7" ht="15" x14ac:dyDescent="0.25">
      <c r="A3372" s="583" t="s">
        <v>18741</v>
      </c>
      <c r="B3372" s="605" t="s">
        <v>18742</v>
      </c>
      <c r="C3372" s="606"/>
      <c r="D3372" s="607"/>
      <c r="E3372" s="607"/>
      <c r="F3372" s="607"/>
      <c r="G3372" s="582"/>
    </row>
    <row r="3373" spans="1:7" ht="30" x14ac:dyDescent="0.2">
      <c r="A3373" s="583" t="s">
        <v>18743</v>
      </c>
      <c r="B3373" s="605" t="s">
        <v>18744</v>
      </c>
      <c r="C3373" s="606" t="s">
        <v>12375</v>
      </c>
      <c r="D3373" s="607">
        <v>344.4</v>
      </c>
      <c r="E3373" s="607">
        <v>75.36</v>
      </c>
      <c r="F3373" s="607">
        <v>419.76</v>
      </c>
      <c r="G3373" s="584">
        <v>15</v>
      </c>
    </row>
    <row r="3374" spans="1:7" ht="15" x14ac:dyDescent="0.2">
      <c r="A3374" s="583" t="s">
        <v>18745</v>
      </c>
      <c r="B3374" s="605" t="s">
        <v>18746</v>
      </c>
      <c r="C3374" s="606" t="s">
        <v>12375</v>
      </c>
      <c r="D3374" s="607">
        <v>244.07</v>
      </c>
      <c r="E3374" s="607">
        <v>75.36</v>
      </c>
      <c r="F3374" s="607">
        <v>319.43</v>
      </c>
      <c r="G3374" s="584">
        <v>15</v>
      </c>
    </row>
    <row r="3375" spans="1:7" ht="15" x14ac:dyDescent="0.2">
      <c r="A3375" s="583" t="s">
        <v>18747</v>
      </c>
      <c r="B3375" s="605" t="s">
        <v>18748</v>
      </c>
      <c r="C3375" s="606" t="s">
        <v>12375</v>
      </c>
      <c r="D3375" s="607">
        <v>294.88</v>
      </c>
      <c r="E3375" s="607">
        <v>75.36</v>
      </c>
      <c r="F3375" s="607">
        <v>370.24</v>
      </c>
      <c r="G3375" s="584">
        <v>15</v>
      </c>
    </row>
    <row r="3376" spans="1:7" ht="15" x14ac:dyDescent="0.2">
      <c r="A3376" s="583" t="s">
        <v>18749</v>
      </c>
      <c r="B3376" s="605" t="s">
        <v>18750</v>
      </c>
      <c r="C3376" s="606" t="s">
        <v>12375</v>
      </c>
      <c r="D3376" s="607">
        <v>463.98</v>
      </c>
      <c r="E3376" s="607">
        <v>75.36</v>
      </c>
      <c r="F3376" s="607">
        <v>539.34</v>
      </c>
      <c r="G3376" s="584">
        <v>15</v>
      </c>
    </row>
    <row r="3377" spans="1:7" ht="30" x14ac:dyDescent="0.2">
      <c r="A3377" s="583" t="s">
        <v>18751</v>
      </c>
      <c r="B3377" s="605" t="s">
        <v>18752</v>
      </c>
      <c r="C3377" s="606" t="s">
        <v>12375</v>
      </c>
      <c r="D3377" s="607">
        <v>1878.98</v>
      </c>
      <c r="E3377" s="607">
        <v>75.36</v>
      </c>
      <c r="F3377" s="607">
        <v>1954.34</v>
      </c>
      <c r="G3377" s="584">
        <v>15</v>
      </c>
    </row>
    <row r="3378" spans="1:7" ht="15" x14ac:dyDescent="0.2">
      <c r="A3378" s="583" t="s">
        <v>18753</v>
      </c>
      <c r="B3378" s="605" t="s">
        <v>18754</v>
      </c>
      <c r="C3378" s="606" t="s">
        <v>12375</v>
      </c>
      <c r="D3378" s="607">
        <v>562.78</v>
      </c>
      <c r="E3378" s="607">
        <v>30.14</v>
      </c>
      <c r="F3378" s="607">
        <v>592.91999999999996</v>
      </c>
      <c r="G3378" s="584">
        <v>15</v>
      </c>
    </row>
    <row r="3379" spans="1:7" ht="15" x14ac:dyDescent="0.2">
      <c r="A3379" s="583" t="s">
        <v>18755</v>
      </c>
      <c r="B3379" s="605" t="s">
        <v>18756</v>
      </c>
      <c r="C3379" s="606" t="s">
        <v>12375</v>
      </c>
      <c r="D3379" s="607">
        <v>466.74</v>
      </c>
      <c r="E3379" s="607">
        <v>30.14</v>
      </c>
      <c r="F3379" s="607">
        <v>496.88</v>
      </c>
      <c r="G3379" s="584">
        <v>15</v>
      </c>
    </row>
    <row r="3380" spans="1:7" ht="15" x14ac:dyDescent="0.2">
      <c r="A3380" s="583" t="s">
        <v>18757</v>
      </c>
      <c r="B3380" s="605" t="s">
        <v>18758</v>
      </c>
      <c r="C3380" s="606" t="s">
        <v>12375</v>
      </c>
      <c r="D3380" s="607">
        <v>1083.1500000000001</v>
      </c>
      <c r="E3380" s="607">
        <v>75.36</v>
      </c>
      <c r="F3380" s="607">
        <v>1158.51</v>
      </c>
      <c r="G3380" s="584">
        <v>15</v>
      </c>
    </row>
    <row r="3381" spans="1:7" ht="30" x14ac:dyDescent="0.2">
      <c r="A3381" s="583" t="s">
        <v>18759</v>
      </c>
      <c r="B3381" s="605" t="s">
        <v>18760</v>
      </c>
      <c r="C3381" s="606" t="s">
        <v>12375</v>
      </c>
      <c r="D3381" s="607">
        <v>654.75</v>
      </c>
      <c r="E3381" s="607">
        <v>22.61</v>
      </c>
      <c r="F3381" s="607">
        <v>677.36</v>
      </c>
      <c r="G3381" s="584">
        <v>15</v>
      </c>
    </row>
    <row r="3382" spans="1:7" ht="30" x14ac:dyDescent="0.2">
      <c r="A3382" s="583" t="s">
        <v>18761</v>
      </c>
      <c r="B3382" s="605" t="s">
        <v>18762</v>
      </c>
      <c r="C3382" s="606" t="s">
        <v>12375</v>
      </c>
      <c r="D3382" s="607">
        <v>386.82</v>
      </c>
      <c r="E3382" s="607">
        <v>75.36</v>
      </c>
      <c r="F3382" s="607">
        <v>462.18</v>
      </c>
      <c r="G3382" s="584">
        <v>15</v>
      </c>
    </row>
    <row r="3383" spans="1:7" ht="15" x14ac:dyDescent="0.25">
      <c r="A3383" s="583" t="s">
        <v>18763</v>
      </c>
      <c r="B3383" s="605" t="s">
        <v>18764</v>
      </c>
      <c r="C3383" s="606"/>
      <c r="D3383" s="607"/>
      <c r="E3383" s="607"/>
      <c r="F3383" s="607"/>
      <c r="G3383" s="582"/>
    </row>
    <row r="3384" spans="1:7" ht="15" x14ac:dyDescent="0.2">
      <c r="A3384" s="583" t="s">
        <v>18765</v>
      </c>
      <c r="B3384" s="605" t="s">
        <v>18766</v>
      </c>
      <c r="C3384" s="606" t="s">
        <v>12375</v>
      </c>
      <c r="D3384" s="607">
        <v>115</v>
      </c>
      <c r="E3384" s="607">
        <v>22.61</v>
      </c>
      <c r="F3384" s="607">
        <v>137.61000000000001</v>
      </c>
      <c r="G3384" s="584">
        <v>15</v>
      </c>
    </row>
    <row r="3385" spans="1:7" ht="15" x14ac:dyDescent="0.2">
      <c r="A3385" s="583" t="s">
        <v>18767</v>
      </c>
      <c r="B3385" s="605" t="s">
        <v>18768</v>
      </c>
      <c r="C3385" s="606" t="s">
        <v>12375</v>
      </c>
      <c r="D3385" s="607">
        <v>143.94999999999999</v>
      </c>
      <c r="E3385" s="607">
        <v>22.61</v>
      </c>
      <c r="F3385" s="607">
        <v>166.56</v>
      </c>
      <c r="G3385" s="584">
        <v>15</v>
      </c>
    </row>
    <row r="3386" spans="1:7" ht="15" x14ac:dyDescent="0.2">
      <c r="A3386" s="583" t="s">
        <v>18769</v>
      </c>
      <c r="B3386" s="605" t="s">
        <v>18770</v>
      </c>
      <c r="C3386" s="606" t="s">
        <v>12375</v>
      </c>
      <c r="D3386" s="607">
        <v>200.07</v>
      </c>
      <c r="E3386" s="607">
        <v>22.61</v>
      </c>
      <c r="F3386" s="607">
        <v>222.68</v>
      </c>
      <c r="G3386" s="584">
        <v>15</v>
      </c>
    </row>
    <row r="3387" spans="1:7" ht="15" x14ac:dyDescent="0.2">
      <c r="A3387" s="583" t="s">
        <v>18771</v>
      </c>
      <c r="B3387" s="605" t="s">
        <v>18772</v>
      </c>
      <c r="C3387" s="606" t="s">
        <v>12375</v>
      </c>
      <c r="D3387" s="607">
        <v>236.46</v>
      </c>
      <c r="E3387" s="607">
        <v>22.61</v>
      </c>
      <c r="F3387" s="607">
        <v>259.07</v>
      </c>
      <c r="G3387" s="584">
        <v>15</v>
      </c>
    </row>
    <row r="3388" spans="1:7" ht="15" x14ac:dyDescent="0.2">
      <c r="A3388" s="583" t="s">
        <v>18773</v>
      </c>
      <c r="B3388" s="605" t="s">
        <v>18774</v>
      </c>
      <c r="C3388" s="606" t="s">
        <v>12375</v>
      </c>
      <c r="D3388" s="607">
        <v>350.33</v>
      </c>
      <c r="E3388" s="607">
        <v>22.61</v>
      </c>
      <c r="F3388" s="607">
        <v>372.94</v>
      </c>
      <c r="G3388" s="584">
        <v>15</v>
      </c>
    </row>
    <row r="3389" spans="1:7" ht="15" x14ac:dyDescent="0.2">
      <c r="A3389" s="583" t="s">
        <v>18775</v>
      </c>
      <c r="B3389" s="605" t="s">
        <v>18776</v>
      </c>
      <c r="C3389" s="606" t="s">
        <v>12375</v>
      </c>
      <c r="D3389" s="607">
        <v>615.38</v>
      </c>
      <c r="E3389" s="607">
        <v>22.61</v>
      </c>
      <c r="F3389" s="607">
        <v>637.99</v>
      </c>
      <c r="G3389" s="584">
        <v>15</v>
      </c>
    </row>
    <row r="3390" spans="1:7" ht="15" x14ac:dyDescent="0.2">
      <c r="A3390" s="583" t="s">
        <v>18777</v>
      </c>
      <c r="B3390" s="605" t="s">
        <v>18778</v>
      </c>
      <c r="C3390" s="606" t="s">
        <v>12375</v>
      </c>
      <c r="D3390" s="607">
        <v>737.95</v>
      </c>
      <c r="E3390" s="607">
        <v>22.61</v>
      </c>
      <c r="F3390" s="607">
        <v>760.56</v>
      </c>
      <c r="G3390" s="584">
        <v>15</v>
      </c>
    </row>
    <row r="3391" spans="1:7" ht="15" x14ac:dyDescent="0.2">
      <c r="A3391" s="583" t="s">
        <v>18779</v>
      </c>
      <c r="B3391" s="605" t="s">
        <v>18780</v>
      </c>
      <c r="C3391" s="606" t="s">
        <v>12375</v>
      </c>
      <c r="D3391" s="607">
        <v>104.3</v>
      </c>
      <c r="E3391" s="607">
        <v>22.61</v>
      </c>
      <c r="F3391" s="607">
        <v>126.91</v>
      </c>
      <c r="G3391" s="584">
        <v>15</v>
      </c>
    </row>
    <row r="3392" spans="1:7" ht="15" x14ac:dyDescent="0.2">
      <c r="A3392" s="583" t="s">
        <v>18781</v>
      </c>
      <c r="B3392" s="605" t="s">
        <v>18782</v>
      </c>
      <c r="C3392" s="606" t="s">
        <v>12375</v>
      </c>
      <c r="D3392" s="607">
        <v>142.44999999999999</v>
      </c>
      <c r="E3392" s="607">
        <v>22.61</v>
      </c>
      <c r="F3392" s="607">
        <v>165.06</v>
      </c>
      <c r="G3392" s="584">
        <v>15</v>
      </c>
    </row>
    <row r="3393" spans="1:7" ht="15" x14ac:dyDescent="0.2">
      <c r="A3393" s="583" t="s">
        <v>18783</v>
      </c>
      <c r="B3393" s="605" t="s">
        <v>18784</v>
      </c>
      <c r="C3393" s="606" t="s">
        <v>12375</v>
      </c>
      <c r="D3393" s="607">
        <v>174.98</v>
      </c>
      <c r="E3393" s="607">
        <v>22.61</v>
      </c>
      <c r="F3393" s="607">
        <v>197.59</v>
      </c>
      <c r="G3393" s="584">
        <v>15</v>
      </c>
    </row>
    <row r="3394" spans="1:7" ht="15" x14ac:dyDescent="0.2">
      <c r="A3394" s="583" t="s">
        <v>18785</v>
      </c>
      <c r="B3394" s="605" t="s">
        <v>18786</v>
      </c>
      <c r="C3394" s="606" t="s">
        <v>12375</v>
      </c>
      <c r="D3394" s="607">
        <v>249</v>
      </c>
      <c r="E3394" s="607">
        <v>22.61</v>
      </c>
      <c r="F3394" s="607">
        <v>271.61</v>
      </c>
      <c r="G3394" s="584">
        <v>15</v>
      </c>
    </row>
    <row r="3395" spans="1:7" ht="15" x14ac:dyDescent="0.2">
      <c r="A3395" s="583" t="s">
        <v>18787</v>
      </c>
      <c r="B3395" s="605" t="s">
        <v>18788</v>
      </c>
      <c r="C3395" s="606" t="s">
        <v>12375</v>
      </c>
      <c r="D3395" s="607">
        <v>408.57</v>
      </c>
      <c r="E3395" s="607">
        <v>22.61</v>
      </c>
      <c r="F3395" s="607">
        <v>431.18</v>
      </c>
      <c r="G3395" s="584">
        <v>15</v>
      </c>
    </row>
    <row r="3396" spans="1:7" ht="15" x14ac:dyDescent="0.2">
      <c r="A3396" s="583" t="s">
        <v>18789</v>
      </c>
      <c r="B3396" s="605" t="s">
        <v>18790</v>
      </c>
      <c r="C3396" s="606" t="s">
        <v>12375</v>
      </c>
      <c r="D3396" s="607">
        <v>591.89</v>
      </c>
      <c r="E3396" s="607">
        <v>22.61</v>
      </c>
      <c r="F3396" s="607">
        <v>614.5</v>
      </c>
      <c r="G3396" s="584">
        <v>15</v>
      </c>
    </row>
    <row r="3397" spans="1:7" ht="15" x14ac:dyDescent="0.2">
      <c r="A3397" s="583" t="s">
        <v>18791</v>
      </c>
      <c r="B3397" s="605" t="s">
        <v>18792</v>
      </c>
      <c r="C3397" s="606" t="s">
        <v>12375</v>
      </c>
      <c r="D3397" s="607">
        <v>1012.76</v>
      </c>
      <c r="E3397" s="607">
        <v>30.14</v>
      </c>
      <c r="F3397" s="607">
        <v>1042.9000000000001</v>
      </c>
      <c r="G3397" s="584">
        <v>15</v>
      </c>
    </row>
    <row r="3398" spans="1:7" ht="15" x14ac:dyDescent="0.2">
      <c r="A3398" s="583" t="s">
        <v>18793</v>
      </c>
      <c r="B3398" s="605" t="s">
        <v>18794</v>
      </c>
      <c r="C3398" s="606" t="s">
        <v>12375</v>
      </c>
      <c r="D3398" s="607">
        <v>101.31</v>
      </c>
      <c r="E3398" s="607">
        <v>22.61</v>
      </c>
      <c r="F3398" s="607">
        <v>123.92</v>
      </c>
      <c r="G3398" s="584">
        <v>15</v>
      </c>
    </row>
    <row r="3399" spans="1:7" ht="15" x14ac:dyDescent="0.2">
      <c r="A3399" s="583" t="s">
        <v>18795</v>
      </c>
      <c r="B3399" s="605" t="s">
        <v>18796</v>
      </c>
      <c r="C3399" s="606" t="s">
        <v>12375</v>
      </c>
      <c r="D3399" s="607">
        <v>134.1</v>
      </c>
      <c r="E3399" s="607">
        <v>22.61</v>
      </c>
      <c r="F3399" s="607">
        <v>156.71</v>
      </c>
      <c r="G3399" s="584">
        <v>15</v>
      </c>
    </row>
    <row r="3400" spans="1:7" ht="15" x14ac:dyDescent="0.2">
      <c r="A3400" s="583" t="s">
        <v>18797</v>
      </c>
      <c r="B3400" s="605" t="s">
        <v>18798</v>
      </c>
      <c r="C3400" s="606" t="s">
        <v>12375</v>
      </c>
      <c r="D3400" s="607">
        <v>162.25</v>
      </c>
      <c r="E3400" s="607">
        <v>22.61</v>
      </c>
      <c r="F3400" s="607">
        <v>184.86</v>
      </c>
      <c r="G3400" s="584">
        <v>15</v>
      </c>
    </row>
    <row r="3401" spans="1:7" ht="15" x14ac:dyDescent="0.2">
      <c r="A3401" s="583" t="s">
        <v>18799</v>
      </c>
      <c r="B3401" s="605" t="s">
        <v>18800</v>
      </c>
      <c r="C3401" s="606" t="s">
        <v>12375</v>
      </c>
      <c r="D3401" s="607">
        <v>223</v>
      </c>
      <c r="E3401" s="607">
        <v>22.61</v>
      </c>
      <c r="F3401" s="607">
        <v>245.61</v>
      </c>
      <c r="G3401" s="584">
        <v>15</v>
      </c>
    </row>
    <row r="3402" spans="1:7" ht="15" x14ac:dyDescent="0.2">
      <c r="A3402" s="583" t="s">
        <v>18801</v>
      </c>
      <c r="B3402" s="605" t="s">
        <v>18802</v>
      </c>
      <c r="C3402" s="606" t="s">
        <v>12375</v>
      </c>
      <c r="D3402" s="607">
        <v>367.96</v>
      </c>
      <c r="E3402" s="607">
        <v>22.61</v>
      </c>
      <c r="F3402" s="607">
        <v>390.57</v>
      </c>
      <c r="G3402" s="584">
        <v>15</v>
      </c>
    </row>
    <row r="3403" spans="1:7" ht="45" x14ac:dyDescent="0.2">
      <c r="A3403" s="583" t="s">
        <v>18803</v>
      </c>
      <c r="B3403" s="605" t="s">
        <v>18804</v>
      </c>
      <c r="C3403" s="606" t="s">
        <v>12375</v>
      </c>
      <c r="D3403" s="607">
        <v>8716.66</v>
      </c>
      <c r="E3403" s="607">
        <v>37.68</v>
      </c>
      <c r="F3403" s="607">
        <v>8754.34</v>
      </c>
      <c r="G3403" s="584">
        <v>15</v>
      </c>
    </row>
    <row r="3404" spans="1:7" ht="45" x14ac:dyDescent="0.2">
      <c r="A3404" s="583" t="s">
        <v>18805</v>
      </c>
      <c r="B3404" s="605" t="s">
        <v>18806</v>
      </c>
      <c r="C3404" s="606" t="s">
        <v>12375</v>
      </c>
      <c r="D3404" s="607">
        <v>205.23</v>
      </c>
      <c r="E3404" s="607">
        <v>22.61</v>
      </c>
      <c r="F3404" s="607">
        <v>227.84</v>
      </c>
      <c r="G3404" s="584">
        <v>15</v>
      </c>
    </row>
    <row r="3405" spans="1:7" ht="30" x14ac:dyDescent="0.2">
      <c r="A3405" s="583" t="s">
        <v>18807</v>
      </c>
      <c r="B3405" s="605" t="s">
        <v>18808</v>
      </c>
      <c r="C3405" s="606" t="s">
        <v>12375</v>
      </c>
      <c r="D3405" s="607">
        <v>560.1</v>
      </c>
      <c r="E3405" s="607">
        <v>22.61</v>
      </c>
      <c r="F3405" s="607">
        <v>582.71</v>
      </c>
      <c r="G3405" s="584">
        <v>15</v>
      </c>
    </row>
    <row r="3406" spans="1:7" ht="15" x14ac:dyDescent="0.2">
      <c r="A3406" s="583" t="s">
        <v>18809</v>
      </c>
      <c r="B3406" s="605" t="s">
        <v>18810</v>
      </c>
      <c r="C3406" s="606" t="s">
        <v>12375</v>
      </c>
      <c r="D3406" s="607">
        <v>528.38</v>
      </c>
      <c r="E3406" s="607">
        <v>22.61</v>
      </c>
      <c r="F3406" s="607">
        <v>550.99</v>
      </c>
      <c r="G3406" s="584">
        <v>15</v>
      </c>
    </row>
    <row r="3407" spans="1:7" ht="15" x14ac:dyDescent="0.2">
      <c r="A3407" s="583" t="s">
        <v>18811</v>
      </c>
      <c r="B3407" s="605" t="s">
        <v>18812</v>
      </c>
      <c r="C3407" s="606" t="s">
        <v>12375</v>
      </c>
      <c r="D3407" s="607">
        <v>1030.77</v>
      </c>
      <c r="E3407" s="607">
        <v>30.14</v>
      </c>
      <c r="F3407" s="607">
        <v>1060.9100000000001</v>
      </c>
      <c r="G3407" s="584">
        <v>15</v>
      </c>
    </row>
    <row r="3408" spans="1:7" ht="15" x14ac:dyDescent="0.2">
      <c r="A3408" s="583" t="s">
        <v>18813</v>
      </c>
      <c r="B3408" s="605" t="s">
        <v>18814</v>
      </c>
      <c r="C3408" s="606" t="s">
        <v>12375</v>
      </c>
      <c r="D3408" s="607">
        <v>423</v>
      </c>
      <c r="E3408" s="607">
        <v>22.61</v>
      </c>
      <c r="F3408" s="607">
        <v>445.61</v>
      </c>
      <c r="G3408" s="584">
        <v>15</v>
      </c>
    </row>
    <row r="3409" spans="1:7" ht="45" x14ac:dyDescent="0.2">
      <c r="A3409" s="583" t="s">
        <v>18815</v>
      </c>
      <c r="B3409" s="605" t="s">
        <v>18816</v>
      </c>
      <c r="C3409" s="606" t="s">
        <v>12375</v>
      </c>
      <c r="D3409" s="607">
        <v>165.69</v>
      </c>
      <c r="E3409" s="607">
        <v>12.56</v>
      </c>
      <c r="F3409" s="607">
        <v>178.25</v>
      </c>
      <c r="G3409" s="584">
        <v>15</v>
      </c>
    </row>
    <row r="3410" spans="1:7" ht="45" x14ac:dyDescent="0.2">
      <c r="A3410" s="583" t="s">
        <v>18817</v>
      </c>
      <c r="B3410" s="605" t="s">
        <v>18818</v>
      </c>
      <c r="C3410" s="606" t="s">
        <v>12375</v>
      </c>
      <c r="D3410" s="607">
        <v>6260.71</v>
      </c>
      <c r="E3410" s="607">
        <v>30.14</v>
      </c>
      <c r="F3410" s="607">
        <v>6290.85</v>
      </c>
      <c r="G3410" s="584">
        <v>15</v>
      </c>
    </row>
    <row r="3411" spans="1:7" ht="45" x14ac:dyDescent="0.2">
      <c r="A3411" s="583" t="s">
        <v>18819</v>
      </c>
      <c r="B3411" s="605" t="s">
        <v>18820</v>
      </c>
      <c r="C3411" s="606" t="s">
        <v>12375</v>
      </c>
      <c r="D3411" s="607">
        <v>1648.31</v>
      </c>
      <c r="E3411" s="607">
        <v>30.14</v>
      </c>
      <c r="F3411" s="607">
        <v>1678.45</v>
      </c>
      <c r="G3411" s="584">
        <v>15</v>
      </c>
    </row>
    <row r="3412" spans="1:7" ht="45" x14ac:dyDescent="0.2">
      <c r="A3412" s="583" t="s">
        <v>18821</v>
      </c>
      <c r="B3412" s="605" t="s">
        <v>18822</v>
      </c>
      <c r="C3412" s="606" t="s">
        <v>12375</v>
      </c>
      <c r="D3412" s="607">
        <v>441.21</v>
      </c>
      <c r="E3412" s="607">
        <v>22.61</v>
      </c>
      <c r="F3412" s="607">
        <v>463.82</v>
      </c>
      <c r="G3412" s="584">
        <v>15</v>
      </c>
    </row>
    <row r="3413" spans="1:7" ht="30" x14ac:dyDescent="0.2">
      <c r="A3413" s="583" t="s">
        <v>18823</v>
      </c>
      <c r="B3413" s="605" t="s">
        <v>18824</v>
      </c>
      <c r="C3413" s="606" t="s">
        <v>12375</v>
      </c>
      <c r="D3413" s="607">
        <v>215.83</v>
      </c>
      <c r="E3413" s="607">
        <v>22.61</v>
      </c>
      <c r="F3413" s="607">
        <v>238.44</v>
      </c>
      <c r="G3413" s="584">
        <v>15</v>
      </c>
    </row>
    <row r="3414" spans="1:7" ht="30" x14ac:dyDescent="0.2">
      <c r="A3414" s="583" t="s">
        <v>18825</v>
      </c>
      <c r="B3414" s="605" t="s">
        <v>18826</v>
      </c>
      <c r="C3414" s="606" t="s">
        <v>12375</v>
      </c>
      <c r="D3414" s="607">
        <v>309.60000000000002</v>
      </c>
      <c r="E3414" s="607">
        <v>22.61</v>
      </c>
      <c r="F3414" s="607">
        <v>332.21</v>
      </c>
      <c r="G3414" s="584">
        <v>15</v>
      </c>
    </row>
    <row r="3415" spans="1:7" ht="30" x14ac:dyDescent="0.2">
      <c r="A3415" s="583" t="s">
        <v>18827</v>
      </c>
      <c r="B3415" s="605" t="s">
        <v>18828</v>
      </c>
      <c r="C3415" s="606" t="s">
        <v>12375</v>
      </c>
      <c r="D3415" s="607">
        <v>604.1</v>
      </c>
      <c r="E3415" s="607">
        <v>22.61</v>
      </c>
      <c r="F3415" s="607">
        <v>626.71</v>
      </c>
      <c r="G3415" s="584">
        <v>15</v>
      </c>
    </row>
    <row r="3416" spans="1:7" ht="30" x14ac:dyDescent="0.2">
      <c r="A3416" s="583" t="s">
        <v>18829</v>
      </c>
      <c r="B3416" s="605" t="s">
        <v>18830</v>
      </c>
      <c r="C3416" s="606" t="s">
        <v>12375</v>
      </c>
      <c r="D3416" s="607">
        <v>835.59</v>
      </c>
      <c r="E3416" s="607">
        <v>22.61</v>
      </c>
      <c r="F3416" s="607">
        <v>858.2</v>
      </c>
      <c r="G3416" s="584">
        <v>15</v>
      </c>
    </row>
    <row r="3417" spans="1:7" ht="30" x14ac:dyDescent="0.2">
      <c r="A3417" s="583" t="s">
        <v>18831</v>
      </c>
      <c r="B3417" s="605" t="s">
        <v>18832</v>
      </c>
      <c r="C3417" s="606" t="s">
        <v>12375</v>
      </c>
      <c r="D3417" s="607">
        <v>1317.64</v>
      </c>
      <c r="E3417" s="607">
        <v>22.61</v>
      </c>
      <c r="F3417" s="607">
        <v>1340.25</v>
      </c>
      <c r="G3417" s="584">
        <v>15</v>
      </c>
    </row>
    <row r="3418" spans="1:7" ht="30" x14ac:dyDescent="0.2">
      <c r="A3418" s="583" t="s">
        <v>18833</v>
      </c>
      <c r="B3418" s="605" t="s">
        <v>18834</v>
      </c>
      <c r="C3418" s="606" t="s">
        <v>12375</v>
      </c>
      <c r="D3418" s="607">
        <v>2403.41</v>
      </c>
      <c r="E3418" s="607">
        <v>30.14</v>
      </c>
      <c r="F3418" s="607">
        <v>2433.5500000000002</v>
      </c>
      <c r="G3418" s="584">
        <v>15</v>
      </c>
    </row>
    <row r="3419" spans="1:7" ht="30" x14ac:dyDescent="0.2">
      <c r="A3419" s="583" t="s">
        <v>18835</v>
      </c>
      <c r="B3419" s="605" t="s">
        <v>18836</v>
      </c>
      <c r="C3419" s="606" t="s">
        <v>12375</v>
      </c>
      <c r="D3419" s="607">
        <v>6922.47</v>
      </c>
      <c r="E3419" s="607">
        <v>30.14</v>
      </c>
      <c r="F3419" s="607">
        <v>6952.61</v>
      </c>
      <c r="G3419" s="584">
        <v>15</v>
      </c>
    </row>
    <row r="3420" spans="1:7" ht="45" x14ac:dyDescent="0.2">
      <c r="A3420" s="583" t="s">
        <v>18837</v>
      </c>
      <c r="B3420" s="605" t="s">
        <v>18838</v>
      </c>
      <c r="C3420" s="606" t="s">
        <v>12375</v>
      </c>
      <c r="D3420" s="607">
        <v>77.22</v>
      </c>
      <c r="E3420" s="607">
        <v>15.07</v>
      </c>
      <c r="F3420" s="607">
        <v>92.29</v>
      </c>
      <c r="G3420" s="584">
        <v>15</v>
      </c>
    </row>
    <row r="3421" spans="1:7" ht="30" x14ac:dyDescent="0.2">
      <c r="A3421" s="583" t="s">
        <v>18839</v>
      </c>
      <c r="B3421" s="605" t="s">
        <v>18840</v>
      </c>
      <c r="C3421" s="606" t="s">
        <v>12375</v>
      </c>
      <c r="D3421" s="607">
        <v>96.86</v>
      </c>
      <c r="E3421" s="607">
        <v>22.61</v>
      </c>
      <c r="F3421" s="607">
        <v>119.47</v>
      </c>
      <c r="G3421" s="584">
        <v>15</v>
      </c>
    </row>
    <row r="3422" spans="1:7" ht="45" x14ac:dyDescent="0.2">
      <c r="A3422" s="583" t="s">
        <v>18841</v>
      </c>
      <c r="B3422" s="605" t="s">
        <v>18842</v>
      </c>
      <c r="C3422" s="606" t="s">
        <v>12375</v>
      </c>
      <c r="D3422" s="607">
        <v>119.05</v>
      </c>
      <c r="E3422" s="607">
        <v>20.100000000000001</v>
      </c>
      <c r="F3422" s="607">
        <v>139.15</v>
      </c>
      <c r="G3422" s="584">
        <v>15</v>
      </c>
    </row>
    <row r="3423" spans="1:7" ht="45" x14ac:dyDescent="0.2">
      <c r="A3423" s="583" t="s">
        <v>18843</v>
      </c>
      <c r="B3423" s="605" t="s">
        <v>18844</v>
      </c>
      <c r="C3423" s="606" t="s">
        <v>12375</v>
      </c>
      <c r="D3423" s="607">
        <v>129.18</v>
      </c>
      <c r="E3423" s="607">
        <v>22.61</v>
      </c>
      <c r="F3423" s="607">
        <v>151.79</v>
      </c>
      <c r="G3423" s="584">
        <v>15</v>
      </c>
    </row>
    <row r="3424" spans="1:7" ht="45" x14ac:dyDescent="0.2">
      <c r="A3424" s="583" t="s">
        <v>18845</v>
      </c>
      <c r="B3424" s="605" t="s">
        <v>18846</v>
      </c>
      <c r="C3424" s="606" t="s">
        <v>12375</v>
      </c>
      <c r="D3424" s="607">
        <v>510.16</v>
      </c>
      <c r="E3424" s="607">
        <v>22.61</v>
      </c>
      <c r="F3424" s="607">
        <v>532.77</v>
      </c>
      <c r="G3424" s="584">
        <v>15</v>
      </c>
    </row>
    <row r="3425" spans="1:7" ht="30" x14ac:dyDescent="0.2">
      <c r="A3425" s="583" t="s">
        <v>18847</v>
      </c>
      <c r="B3425" s="605" t="s">
        <v>18848</v>
      </c>
      <c r="C3425" s="606" t="s">
        <v>12375</v>
      </c>
      <c r="D3425" s="607">
        <v>710.51</v>
      </c>
      <c r="E3425" s="607">
        <v>22.61</v>
      </c>
      <c r="F3425" s="607">
        <v>733.12</v>
      </c>
      <c r="G3425" s="584">
        <v>15</v>
      </c>
    </row>
    <row r="3426" spans="1:7" ht="45" x14ac:dyDescent="0.2">
      <c r="A3426" s="583" t="s">
        <v>18849</v>
      </c>
      <c r="B3426" s="605" t="s">
        <v>18850</v>
      </c>
      <c r="C3426" s="606" t="s">
        <v>12375</v>
      </c>
      <c r="D3426" s="607">
        <v>6144.46</v>
      </c>
      <c r="E3426" s="607">
        <v>100.48</v>
      </c>
      <c r="F3426" s="607">
        <v>6244.94</v>
      </c>
      <c r="G3426" s="584">
        <v>15</v>
      </c>
    </row>
    <row r="3427" spans="1:7" ht="45" x14ac:dyDescent="0.2">
      <c r="A3427" s="583" t="s">
        <v>18851</v>
      </c>
      <c r="B3427" s="605" t="s">
        <v>18852</v>
      </c>
      <c r="C3427" s="606" t="s">
        <v>12375</v>
      </c>
      <c r="D3427" s="607">
        <v>7314.04</v>
      </c>
      <c r="E3427" s="607">
        <v>100.48</v>
      </c>
      <c r="F3427" s="607">
        <v>7414.52</v>
      </c>
      <c r="G3427" s="584">
        <v>15</v>
      </c>
    </row>
    <row r="3428" spans="1:7" ht="15" x14ac:dyDescent="0.2">
      <c r="A3428" s="583" t="s">
        <v>18853</v>
      </c>
      <c r="B3428" s="605" t="s">
        <v>18854</v>
      </c>
      <c r="C3428" s="606" t="s">
        <v>12375</v>
      </c>
      <c r="D3428" s="607">
        <v>539.85</v>
      </c>
      <c r="E3428" s="607">
        <v>50.24</v>
      </c>
      <c r="F3428" s="607">
        <v>590.09</v>
      </c>
      <c r="G3428" s="584">
        <v>15</v>
      </c>
    </row>
    <row r="3429" spans="1:7" ht="15" x14ac:dyDescent="0.25">
      <c r="A3429" s="583" t="s">
        <v>18855</v>
      </c>
      <c r="B3429" s="605" t="s">
        <v>18856</v>
      </c>
      <c r="C3429" s="606"/>
      <c r="D3429" s="607"/>
      <c r="E3429" s="607"/>
      <c r="F3429" s="607"/>
      <c r="G3429" s="582"/>
    </row>
    <row r="3430" spans="1:7" ht="30" x14ac:dyDescent="0.2">
      <c r="A3430" s="583" t="s">
        <v>18857</v>
      </c>
      <c r="B3430" s="605" t="s">
        <v>18858</v>
      </c>
      <c r="C3430" s="606" t="s">
        <v>12375</v>
      </c>
      <c r="D3430" s="607">
        <v>1420.86</v>
      </c>
      <c r="E3430" s="607">
        <v>62.8</v>
      </c>
      <c r="F3430" s="607">
        <v>1483.66</v>
      </c>
      <c r="G3430" s="584">
        <v>15</v>
      </c>
    </row>
    <row r="3431" spans="1:7" ht="30" x14ac:dyDescent="0.2">
      <c r="A3431" s="583" t="s">
        <v>18859</v>
      </c>
      <c r="B3431" s="605" t="s">
        <v>18860</v>
      </c>
      <c r="C3431" s="606" t="s">
        <v>12375</v>
      </c>
      <c r="D3431" s="607">
        <v>2325.6799999999998</v>
      </c>
      <c r="E3431" s="607">
        <v>175.84</v>
      </c>
      <c r="F3431" s="607">
        <v>2501.52</v>
      </c>
      <c r="G3431" s="584">
        <v>15</v>
      </c>
    </row>
    <row r="3432" spans="1:7" ht="30" x14ac:dyDescent="0.2">
      <c r="A3432" s="583" t="s">
        <v>18861</v>
      </c>
      <c r="B3432" s="605" t="s">
        <v>18862</v>
      </c>
      <c r="C3432" s="606" t="s">
        <v>12375</v>
      </c>
      <c r="D3432" s="607">
        <v>1402.38</v>
      </c>
      <c r="E3432" s="607">
        <v>175.84</v>
      </c>
      <c r="F3432" s="607">
        <v>1578.22</v>
      </c>
      <c r="G3432" s="584">
        <v>15</v>
      </c>
    </row>
    <row r="3433" spans="1:7" ht="30" x14ac:dyDescent="0.2">
      <c r="A3433" s="583" t="s">
        <v>18863</v>
      </c>
      <c r="B3433" s="605" t="s">
        <v>18864</v>
      </c>
      <c r="C3433" s="606" t="s">
        <v>12375</v>
      </c>
      <c r="D3433" s="607">
        <v>3702.42</v>
      </c>
      <c r="E3433" s="607">
        <v>175.84</v>
      </c>
      <c r="F3433" s="607">
        <v>3878.26</v>
      </c>
      <c r="G3433" s="584">
        <v>15</v>
      </c>
    </row>
    <row r="3434" spans="1:7" ht="15" x14ac:dyDescent="0.2">
      <c r="A3434" s="583" t="s">
        <v>18865</v>
      </c>
      <c r="B3434" s="605" t="s">
        <v>18866</v>
      </c>
      <c r="C3434" s="606" t="s">
        <v>12375</v>
      </c>
      <c r="D3434" s="607">
        <v>1733.04</v>
      </c>
      <c r="E3434" s="607">
        <v>100.48</v>
      </c>
      <c r="F3434" s="607">
        <v>1833.52</v>
      </c>
      <c r="G3434" s="584">
        <v>15</v>
      </c>
    </row>
    <row r="3435" spans="1:7" ht="15" x14ac:dyDescent="0.2">
      <c r="A3435" s="583" t="s">
        <v>18867</v>
      </c>
      <c r="B3435" s="605" t="s">
        <v>18868</v>
      </c>
      <c r="C3435" s="606" t="s">
        <v>12375</v>
      </c>
      <c r="D3435" s="607">
        <v>2961.06</v>
      </c>
      <c r="E3435" s="607">
        <v>100.48</v>
      </c>
      <c r="F3435" s="607">
        <v>3061.54</v>
      </c>
      <c r="G3435" s="584">
        <v>15</v>
      </c>
    </row>
    <row r="3436" spans="1:7" ht="30" x14ac:dyDescent="0.2">
      <c r="A3436" s="583" t="s">
        <v>18869</v>
      </c>
      <c r="B3436" s="605" t="s">
        <v>18870</v>
      </c>
      <c r="C3436" s="606" t="s">
        <v>12375</v>
      </c>
      <c r="D3436" s="607">
        <v>990.96</v>
      </c>
      <c r="E3436" s="607">
        <v>100.48</v>
      </c>
      <c r="F3436" s="607">
        <v>1091.44</v>
      </c>
      <c r="G3436" s="584">
        <v>15</v>
      </c>
    </row>
    <row r="3437" spans="1:7" ht="30" x14ac:dyDescent="0.2">
      <c r="A3437" s="583" t="s">
        <v>18871</v>
      </c>
      <c r="B3437" s="605" t="s">
        <v>18872</v>
      </c>
      <c r="C3437" s="606" t="s">
        <v>12375</v>
      </c>
      <c r="D3437" s="607">
        <v>852.37</v>
      </c>
      <c r="E3437" s="607">
        <v>100.48</v>
      </c>
      <c r="F3437" s="607">
        <v>952.85</v>
      </c>
      <c r="G3437" s="584">
        <v>15</v>
      </c>
    </row>
    <row r="3438" spans="1:7" ht="30" x14ac:dyDescent="0.2">
      <c r="A3438" s="583" t="s">
        <v>18873</v>
      </c>
      <c r="B3438" s="605" t="s">
        <v>18874</v>
      </c>
      <c r="C3438" s="606" t="s">
        <v>12375</v>
      </c>
      <c r="D3438" s="607">
        <v>6721.72</v>
      </c>
      <c r="E3438" s="607">
        <v>62.8</v>
      </c>
      <c r="F3438" s="607">
        <v>6784.52</v>
      </c>
      <c r="G3438" s="584">
        <v>15</v>
      </c>
    </row>
    <row r="3439" spans="1:7" ht="30" x14ac:dyDescent="0.2">
      <c r="A3439" s="583" t="s">
        <v>18875</v>
      </c>
      <c r="B3439" s="605" t="s">
        <v>18876</v>
      </c>
      <c r="C3439" s="606" t="s">
        <v>12375</v>
      </c>
      <c r="D3439" s="607">
        <v>3367.7</v>
      </c>
      <c r="E3439" s="607">
        <v>30.14</v>
      </c>
      <c r="F3439" s="607">
        <v>3397.84</v>
      </c>
      <c r="G3439" s="584">
        <v>15</v>
      </c>
    </row>
    <row r="3440" spans="1:7" ht="15" x14ac:dyDescent="0.2">
      <c r="A3440" s="583" t="s">
        <v>18877</v>
      </c>
      <c r="B3440" s="605" t="s">
        <v>18878</v>
      </c>
      <c r="C3440" s="606" t="s">
        <v>12375</v>
      </c>
      <c r="D3440" s="607">
        <v>1053.46</v>
      </c>
      <c r="E3440" s="607">
        <v>100.48</v>
      </c>
      <c r="F3440" s="607">
        <v>1153.94</v>
      </c>
      <c r="G3440" s="584">
        <v>15</v>
      </c>
    </row>
    <row r="3441" spans="1:7" ht="30" x14ac:dyDescent="0.2">
      <c r="A3441" s="583" t="s">
        <v>18879</v>
      </c>
      <c r="B3441" s="605" t="s">
        <v>18880</v>
      </c>
      <c r="C3441" s="606" t="s">
        <v>12375</v>
      </c>
      <c r="D3441" s="607">
        <v>907.63</v>
      </c>
      <c r="E3441" s="607">
        <v>37.68</v>
      </c>
      <c r="F3441" s="607">
        <v>945.31</v>
      </c>
      <c r="G3441" s="584">
        <v>15</v>
      </c>
    </row>
    <row r="3442" spans="1:7" ht="30" x14ac:dyDescent="0.2">
      <c r="A3442" s="583" t="s">
        <v>18881</v>
      </c>
      <c r="B3442" s="605" t="s">
        <v>18882</v>
      </c>
      <c r="C3442" s="606" t="s">
        <v>12375</v>
      </c>
      <c r="D3442" s="607">
        <v>6587.74</v>
      </c>
      <c r="E3442" s="607">
        <v>150.72</v>
      </c>
      <c r="F3442" s="607">
        <v>6738.46</v>
      </c>
      <c r="G3442" s="584">
        <v>15</v>
      </c>
    </row>
    <row r="3443" spans="1:7" ht="30" x14ac:dyDescent="0.2">
      <c r="A3443" s="583" t="s">
        <v>18883</v>
      </c>
      <c r="B3443" s="605" t="s">
        <v>18884</v>
      </c>
      <c r="C3443" s="606" t="s">
        <v>12375</v>
      </c>
      <c r="D3443" s="607">
        <v>2226.7399999999998</v>
      </c>
      <c r="E3443" s="607">
        <v>100.48</v>
      </c>
      <c r="F3443" s="607">
        <v>2327.2199999999998</v>
      </c>
      <c r="G3443" s="584">
        <v>15</v>
      </c>
    </row>
    <row r="3444" spans="1:7" ht="30" x14ac:dyDescent="0.2">
      <c r="A3444" s="583" t="s">
        <v>18885</v>
      </c>
      <c r="B3444" s="605" t="s">
        <v>18886</v>
      </c>
      <c r="C3444" s="606" t="s">
        <v>12375</v>
      </c>
      <c r="D3444" s="607">
        <v>3457.16</v>
      </c>
      <c r="E3444" s="607">
        <v>100.48</v>
      </c>
      <c r="F3444" s="607">
        <v>3557.64</v>
      </c>
      <c r="G3444" s="584">
        <v>15</v>
      </c>
    </row>
    <row r="3445" spans="1:7" ht="30" x14ac:dyDescent="0.2">
      <c r="A3445" s="583" t="s">
        <v>18887</v>
      </c>
      <c r="B3445" s="605" t="s">
        <v>18888</v>
      </c>
      <c r="C3445" s="606" t="s">
        <v>12375</v>
      </c>
      <c r="D3445" s="607">
        <v>2325.27</v>
      </c>
      <c r="E3445" s="607">
        <v>100.48</v>
      </c>
      <c r="F3445" s="607">
        <v>2425.75</v>
      </c>
      <c r="G3445" s="584">
        <v>15</v>
      </c>
    </row>
    <row r="3446" spans="1:7" ht="15" x14ac:dyDescent="0.25">
      <c r="A3446" s="583" t="s">
        <v>18889</v>
      </c>
      <c r="B3446" s="605" t="s">
        <v>18890</v>
      </c>
      <c r="C3446" s="606"/>
      <c r="D3446" s="607"/>
      <c r="E3446" s="607"/>
      <c r="F3446" s="607"/>
      <c r="G3446" s="582"/>
    </row>
    <row r="3447" spans="1:7" ht="45" x14ac:dyDescent="0.2">
      <c r="A3447" s="583" t="s">
        <v>18891</v>
      </c>
      <c r="B3447" s="605" t="s">
        <v>20307</v>
      </c>
      <c r="C3447" s="606" t="s">
        <v>12375</v>
      </c>
      <c r="D3447" s="607">
        <v>94.66</v>
      </c>
      <c r="E3447" s="607">
        <v>22.61</v>
      </c>
      <c r="F3447" s="607">
        <v>117.27</v>
      </c>
      <c r="G3447" s="584">
        <v>15</v>
      </c>
    </row>
    <row r="3448" spans="1:7" ht="45" x14ac:dyDescent="0.2">
      <c r="A3448" s="583" t="s">
        <v>18892</v>
      </c>
      <c r="B3448" s="605" t="s">
        <v>20308</v>
      </c>
      <c r="C3448" s="606" t="s">
        <v>12375</v>
      </c>
      <c r="D3448" s="607">
        <v>128.84</v>
      </c>
      <c r="E3448" s="607">
        <v>30.14</v>
      </c>
      <c r="F3448" s="607">
        <v>158.97999999999999</v>
      </c>
      <c r="G3448" s="584">
        <v>15</v>
      </c>
    </row>
    <row r="3449" spans="1:7" ht="45" x14ac:dyDescent="0.2">
      <c r="A3449" s="583" t="s">
        <v>18893</v>
      </c>
      <c r="B3449" s="605" t="s">
        <v>20309</v>
      </c>
      <c r="C3449" s="606" t="s">
        <v>12375</v>
      </c>
      <c r="D3449" s="607">
        <v>190.14</v>
      </c>
      <c r="E3449" s="607">
        <v>37.68</v>
      </c>
      <c r="F3449" s="607">
        <v>227.82</v>
      </c>
      <c r="G3449" s="584">
        <v>15</v>
      </c>
    </row>
    <row r="3450" spans="1:7" ht="45" x14ac:dyDescent="0.2">
      <c r="A3450" s="583" t="s">
        <v>18894</v>
      </c>
      <c r="B3450" s="605" t="s">
        <v>20310</v>
      </c>
      <c r="C3450" s="606" t="s">
        <v>12375</v>
      </c>
      <c r="D3450" s="607">
        <v>260.56</v>
      </c>
      <c r="E3450" s="607">
        <v>40.19</v>
      </c>
      <c r="F3450" s="607">
        <v>300.75</v>
      </c>
      <c r="G3450" s="584">
        <v>15</v>
      </c>
    </row>
    <row r="3451" spans="1:7" ht="45" x14ac:dyDescent="0.2">
      <c r="A3451" s="583" t="s">
        <v>18895</v>
      </c>
      <c r="B3451" s="605" t="s">
        <v>20311</v>
      </c>
      <c r="C3451" s="606" t="s">
        <v>12375</v>
      </c>
      <c r="D3451" s="607">
        <v>546.83000000000004</v>
      </c>
      <c r="E3451" s="607">
        <v>62.8</v>
      </c>
      <c r="F3451" s="607">
        <v>609.63</v>
      </c>
      <c r="G3451" s="584">
        <v>15</v>
      </c>
    </row>
    <row r="3452" spans="1:7" ht="15" x14ac:dyDescent="0.25">
      <c r="A3452" s="583" t="s">
        <v>18896</v>
      </c>
      <c r="B3452" s="605" t="s">
        <v>18897</v>
      </c>
      <c r="C3452" s="606"/>
      <c r="D3452" s="607"/>
      <c r="E3452" s="607"/>
      <c r="F3452" s="607"/>
      <c r="G3452" s="582"/>
    </row>
    <row r="3453" spans="1:7" ht="30" x14ac:dyDescent="0.2">
      <c r="A3453" s="583" t="s">
        <v>18898</v>
      </c>
      <c r="B3453" s="605" t="s">
        <v>18899</v>
      </c>
      <c r="C3453" s="606" t="s">
        <v>12375</v>
      </c>
      <c r="D3453" s="607">
        <v>417.39</v>
      </c>
      <c r="E3453" s="607">
        <v>30.14</v>
      </c>
      <c r="F3453" s="607">
        <v>447.53</v>
      </c>
      <c r="G3453" s="584">
        <v>15</v>
      </c>
    </row>
    <row r="3454" spans="1:7" ht="30" x14ac:dyDescent="0.2">
      <c r="A3454" s="583" t="s">
        <v>18900</v>
      </c>
      <c r="B3454" s="605" t="s">
        <v>18901</v>
      </c>
      <c r="C3454" s="606" t="s">
        <v>12375</v>
      </c>
      <c r="D3454" s="607">
        <v>525.38</v>
      </c>
      <c r="E3454" s="607">
        <v>37.68</v>
      </c>
      <c r="F3454" s="607">
        <v>563.05999999999995</v>
      </c>
      <c r="G3454" s="584">
        <v>15</v>
      </c>
    </row>
    <row r="3455" spans="1:7" ht="30" x14ac:dyDescent="0.2">
      <c r="A3455" s="583" t="s">
        <v>18902</v>
      </c>
      <c r="B3455" s="605" t="s">
        <v>18903</v>
      </c>
      <c r="C3455" s="606" t="s">
        <v>12375</v>
      </c>
      <c r="D3455" s="607">
        <v>1039.3900000000001</v>
      </c>
      <c r="E3455" s="607">
        <v>50.24</v>
      </c>
      <c r="F3455" s="607">
        <v>1089.6300000000001</v>
      </c>
      <c r="G3455" s="584">
        <v>15</v>
      </c>
    </row>
    <row r="3456" spans="1:7" ht="30" x14ac:dyDescent="0.2">
      <c r="A3456" s="583" t="s">
        <v>18904</v>
      </c>
      <c r="B3456" s="605" t="s">
        <v>18905</v>
      </c>
      <c r="C3456" s="606" t="s">
        <v>12375</v>
      </c>
      <c r="D3456" s="607">
        <v>1343.31</v>
      </c>
      <c r="E3456" s="607">
        <v>62.8</v>
      </c>
      <c r="F3456" s="607">
        <v>1406.11</v>
      </c>
      <c r="G3456" s="584">
        <v>15</v>
      </c>
    </row>
    <row r="3457" spans="1:7" ht="15" x14ac:dyDescent="0.25">
      <c r="A3457" s="583" t="s">
        <v>18906</v>
      </c>
      <c r="B3457" s="605" t="s">
        <v>18907</v>
      </c>
      <c r="C3457" s="606"/>
      <c r="D3457" s="607"/>
      <c r="E3457" s="607"/>
      <c r="F3457" s="607"/>
      <c r="G3457" s="582"/>
    </row>
    <row r="3458" spans="1:7" ht="45" x14ac:dyDescent="0.2">
      <c r="A3458" s="583" t="s">
        <v>18908</v>
      </c>
      <c r="B3458" s="605" t="s">
        <v>18909</v>
      </c>
      <c r="C3458" s="606" t="s">
        <v>12375</v>
      </c>
      <c r="D3458" s="607">
        <v>596.30999999999995</v>
      </c>
      <c r="E3458" s="607">
        <v>22.61</v>
      </c>
      <c r="F3458" s="607">
        <v>618.91999999999996</v>
      </c>
      <c r="G3458" s="584">
        <v>15</v>
      </c>
    </row>
    <row r="3459" spans="1:7" ht="15" x14ac:dyDescent="0.25">
      <c r="A3459" s="583" t="s">
        <v>18910</v>
      </c>
      <c r="B3459" s="605" t="s">
        <v>18911</v>
      </c>
      <c r="C3459" s="606"/>
      <c r="D3459" s="607"/>
      <c r="E3459" s="607"/>
      <c r="F3459" s="607"/>
      <c r="G3459" s="582"/>
    </row>
    <row r="3460" spans="1:7" ht="30" x14ac:dyDescent="0.2">
      <c r="A3460" s="583" t="s">
        <v>18912</v>
      </c>
      <c r="B3460" s="605" t="s">
        <v>18913</v>
      </c>
      <c r="C3460" s="606" t="s">
        <v>12375</v>
      </c>
      <c r="D3460" s="607">
        <v>493.56</v>
      </c>
      <c r="E3460" s="607">
        <v>105.16</v>
      </c>
      <c r="F3460" s="607">
        <v>598.72</v>
      </c>
      <c r="G3460" s="584">
        <v>15</v>
      </c>
    </row>
    <row r="3461" spans="1:7" ht="30" x14ac:dyDescent="0.2">
      <c r="A3461" s="583" t="s">
        <v>18914</v>
      </c>
      <c r="B3461" s="605" t="s">
        <v>18915</v>
      </c>
      <c r="C3461" s="606" t="s">
        <v>12375</v>
      </c>
      <c r="D3461" s="607">
        <v>204.04</v>
      </c>
      <c r="E3461" s="607">
        <v>10.050000000000001</v>
      </c>
      <c r="F3461" s="607">
        <v>214.09</v>
      </c>
      <c r="G3461" s="584">
        <v>15</v>
      </c>
    </row>
    <row r="3462" spans="1:7" ht="30" x14ac:dyDescent="0.2">
      <c r="A3462" s="583" t="s">
        <v>18916</v>
      </c>
      <c r="B3462" s="605" t="s">
        <v>18917</v>
      </c>
      <c r="C3462" s="606" t="s">
        <v>12375</v>
      </c>
      <c r="D3462" s="607">
        <v>244.82</v>
      </c>
      <c r="E3462" s="607">
        <v>25.12</v>
      </c>
      <c r="F3462" s="607">
        <v>269.94</v>
      </c>
      <c r="G3462" s="584">
        <v>15</v>
      </c>
    </row>
    <row r="3463" spans="1:7" ht="45" x14ac:dyDescent="0.2">
      <c r="A3463" s="583" t="s">
        <v>18918</v>
      </c>
      <c r="B3463" s="605" t="s">
        <v>18919</v>
      </c>
      <c r="C3463" s="606" t="s">
        <v>12375</v>
      </c>
      <c r="D3463" s="607">
        <v>13308.16</v>
      </c>
      <c r="E3463" s="607">
        <v>105.16</v>
      </c>
      <c r="F3463" s="607">
        <v>13413.32</v>
      </c>
      <c r="G3463" s="584">
        <v>15</v>
      </c>
    </row>
    <row r="3464" spans="1:7" ht="15" x14ac:dyDescent="0.25">
      <c r="A3464" s="583" t="s">
        <v>18920</v>
      </c>
      <c r="B3464" s="605" t="s">
        <v>18921</v>
      </c>
      <c r="C3464" s="606"/>
      <c r="D3464" s="607"/>
      <c r="E3464" s="607"/>
      <c r="F3464" s="607"/>
      <c r="G3464" s="582"/>
    </row>
    <row r="3465" spans="1:7" ht="30" x14ac:dyDescent="0.2">
      <c r="A3465" s="583" t="s">
        <v>18922</v>
      </c>
      <c r="B3465" s="605" t="s">
        <v>18923</v>
      </c>
      <c r="C3465" s="606" t="s">
        <v>12375</v>
      </c>
      <c r="D3465" s="607">
        <v>3150.88</v>
      </c>
      <c r="E3465" s="607">
        <v>173.93</v>
      </c>
      <c r="F3465" s="607">
        <v>3324.81</v>
      </c>
      <c r="G3465" s="584">
        <v>15</v>
      </c>
    </row>
    <row r="3466" spans="1:7" ht="30" x14ac:dyDescent="0.2">
      <c r="A3466" s="583" t="s">
        <v>18924</v>
      </c>
      <c r="B3466" s="605" t="s">
        <v>18925</v>
      </c>
      <c r="C3466" s="606" t="s">
        <v>12375</v>
      </c>
      <c r="D3466" s="607">
        <v>1075.72</v>
      </c>
      <c r="E3466" s="607">
        <v>173.93</v>
      </c>
      <c r="F3466" s="607">
        <v>1249.6500000000001</v>
      </c>
      <c r="G3466" s="584">
        <v>15</v>
      </c>
    </row>
    <row r="3467" spans="1:7" ht="30" x14ac:dyDescent="0.2">
      <c r="A3467" s="583" t="s">
        <v>18926</v>
      </c>
      <c r="B3467" s="605" t="s">
        <v>18927</v>
      </c>
      <c r="C3467" s="606" t="s">
        <v>12375</v>
      </c>
      <c r="D3467" s="607">
        <v>1208.99</v>
      </c>
      <c r="E3467" s="607">
        <v>62.8</v>
      </c>
      <c r="F3467" s="607">
        <v>1271.79</v>
      </c>
      <c r="G3467" s="584">
        <v>15</v>
      </c>
    </row>
    <row r="3468" spans="1:7" ht="30" x14ac:dyDescent="0.2">
      <c r="A3468" s="583" t="s">
        <v>18928</v>
      </c>
      <c r="B3468" s="605" t="s">
        <v>18929</v>
      </c>
      <c r="C3468" s="606" t="s">
        <v>12375</v>
      </c>
      <c r="D3468" s="607">
        <v>1602.38</v>
      </c>
      <c r="E3468" s="607">
        <v>113.04</v>
      </c>
      <c r="F3468" s="607">
        <v>1715.42</v>
      </c>
      <c r="G3468" s="584">
        <v>15</v>
      </c>
    </row>
    <row r="3469" spans="1:7" ht="30" x14ac:dyDescent="0.2">
      <c r="A3469" s="583" t="s">
        <v>18930</v>
      </c>
      <c r="B3469" s="605" t="s">
        <v>18931</v>
      </c>
      <c r="C3469" s="606" t="s">
        <v>12375</v>
      </c>
      <c r="D3469" s="607">
        <v>2365.4</v>
      </c>
      <c r="E3469" s="607">
        <v>113.04</v>
      </c>
      <c r="F3469" s="607">
        <v>2478.44</v>
      </c>
      <c r="G3469" s="584">
        <v>15</v>
      </c>
    </row>
    <row r="3470" spans="1:7" ht="30" x14ac:dyDescent="0.2">
      <c r="A3470" s="583" t="s">
        <v>18932</v>
      </c>
      <c r="B3470" s="605" t="s">
        <v>18933</v>
      </c>
      <c r="C3470" s="606" t="s">
        <v>12375</v>
      </c>
      <c r="D3470" s="607">
        <v>7306.7</v>
      </c>
      <c r="E3470" s="607">
        <v>173.93</v>
      </c>
      <c r="F3470" s="607">
        <v>7480.63</v>
      </c>
      <c r="G3470" s="584">
        <v>15</v>
      </c>
    </row>
    <row r="3471" spans="1:7" ht="30" x14ac:dyDescent="0.2">
      <c r="A3471" s="583" t="s">
        <v>18934</v>
      </c>
      <c r="B3471" s="605" t="s">
        <v>18935</v>
      </c>
      <c r="C3471" s="606" t="s">
        <v>12375</v>
      </c>
      <c r="D3471" s="607">
        <v>1300.1099999999999</v>
      </c>
      <c r="E3471" s="607">
        <v>173.93</v>
      </c>
      <c r="F3471" s="607">
        <v>1474.04</v>
      </c>
      <c r="G3471" s="584">
        <v>15</v>
      </c>
    </row>
    <row r="3472" spans="1:7" ht="30" x14ac:dyDescent="0.2">
      <c r="A3472" s="583" t="s">
        <v>18936</v>
      </c>
      <c r="B3472" s="605" t="s">
        <v>18937</v>
      </c>
      <c r="C3472" s="606" t="s">
        <v>12375</v>
      </c>
      <c r="D3472" s="607">
        <v>1992.49</v>
      </c>
      <c r="E3472" s="607">
        <v>173.93</v>
      </c>
      <c r="F3472" s="607">
        <v>2166.42</v>
      </c>
      <c r="G3472" s="584">
        <v>15</v>
      </c>
    </row>
    <row r="3473" spans="1:7" ht="30" x14ac:dyDescent="0.2">
      <c r="A3473" s="583" t="s">
        <v>18938</v>
      </c>
      <c r="B3473" s="605" t="s">
        <v>18939</v>
      </c>
      <c r="C3473" s="606" t="s">
        <v>12375</v>
      </c>
      <c r="D3473" s="607">
        <v>1138.82</v>
      </c>
      <c r="E3473" s="607">
        <v>15.07</v>
      </c>
      <c r="F3473" s="607">
        <v>1153.8900000000001</v>
      </c>
      <c r="G3473" s="584">
        <v>15</v>
      </c>
    </row>
    <row r="3474" spans="1:7" ht="30" x14ac:dyDescent="0.2">
      <c r="A3474" s="583" t="s">
        <v>18940</v>
      </c>
      <c r="B3474" s="605" t="s">
        <v>18941</v>
      </c>
      <c r="C3474" s="606" t="s">
        <v>12375</v>
      </c>
      <c r="D3474" s="607">
        <v>2919.87</v>
      </c>
      <c r="E3474" s="607">
        <v>22.1</v>
      </c>
      <c r="F3474" s="607">
        <v>2941.97</v>
      </c>
      <c r="G3474" s="584">
        <v>15</v>
      </c>
    </row>
    <row r="3475" spans="1:7" ht="15" x14ac:dyDescent="0.25">
      <c r="A3475" s="583" t="s">
        <v>18942</v>
      </c>
      <c r="B3475" s="605" t="s">
        <v>18943</v>
      </c>
      <c r="C3475" s="606"/>
      <c r="D3475" s="607"/>
      <c r="E3475" s="607"/>
      <c r="F3475" s="607"/>
      <c r="G3475" s="582"/>
    </row>
    <row r="3476" spans="1:7" ht="15" x14ac:dyDescent="0.2">
      <c r="A3476" s="583" t="s">
        <v>18944</v>
      </c>
      <c r="B3476" s="605" t="s">
        <v>18945</v>
      </c>
      <c r="C3476" s="606" t="s">
        <v>12375</v>
      </c>
      <c r="D3476" s="607">
        <v>12.95</v>
      </c>
      <c r="E3476" s="607">
        <v>22.61</v>
      </c>
      <c r="F3476" s="607">
        <v>35.56</v>
      </c>
      <c r="G3476" s="584">
        <v>15</v>
      </c>
    </row>
    <row r="3477" spans="1:7" ht="30" x14ac:dyDescent="0.2">
      <c r="A3477" s="583" t="s">
        <v>18946</v>
      </c>
      <c r="B3477" s="605" t="s">
        <v>18947</v>
      </c>
      <c r="C3477" s="606" t="s">
        <v>12375</v>
      </c>
      <c r="D3477" s="607">
        <v>56.07</v>
      </c>
      <c r="E3477" s="607">
        <v>22.61</v>
      </c>
      <c r="F3477" s="607">
        <v>78.680000000000007</v>
      </c>
      <c r="G3477" s="584">
        <v>15</v>
      </c>
    </row>
    <row r="3478" spans="1:7" ht="15" x14ac:dyDescent="0.25">
      <c r="A3478" s="583" t="s">
        <v>18948</v>
      </c>
      <c r="B3478" s="605" t="s">
        <v>18949</v>
      </c>
      <c r="C3478" s="606"/>
      <c r="D3478" s="607"/>
      <c r="E3478" s="607"/>
      <c r="F3478" s="607"/>
      <c r="G3478" s="582"/>
    </row>
    <row r="3479" spans="1:7" ht="15" x14ac:dyDescent="0.2">
      <c r="A3479" s="583" t="s">
        <v>18950</v>
      </c>
      <c r="B3479" s="605" t="s">
        <v>18951</v>
      </c>
      <c r="C3479" s="606" t="s">
        <v>12375</v>
      </c>
      <c r="D3479" s="607">
        <v>130.41</v>
      </c>
      <c r="E3479" s="607">
        <v>7.54</v>
      </c>
      <c r="F3479" s="607">
        <v>137.94999999999999</v>
      </c>
      <c r="G3479" s="584">
        <v>15</v>
      </c>
    </row>
    <row r="3480" spans="1:7" ht="15" x14ac:dyDescent="0.2">
      <c r="A3480" s="583" t="s">
        <v>18952</v>
      </c>
      <c r="B3480" s="605" t="s">
        <v>18953</v>
      </c>
      <c r="C3480" s="606" t="s">
        <v>12375</v>
      </c>
      <c r="D3480" s="607">
        <v>534.41999999999996</v>
      </c>
      <c r="E3480" s="607">
        <v>62.8</v>
      </c>
      <c r="F3480" s="607">
        <v>597.22</v>
      </c>
      <c r="G3480" s="584">
        <v>15</v>
      </c>
    </row>
    <row r="3481" spans="1:7" ht="30" x14ac:dyDescent="0.2">
      <c r="A3481" s="583" t="s">
        <v>18954</v>
      </c>
      <c r="B3481" s="605" t="s">
        <v>18955</v>
      </c>
      <c r="C3481" s="606" t="s">
        <v>12375</v>
      </c>
      <c r="D3481" s="607">
        <v>489.33</v>
      </c>
      <c r="E3481" s="607">
        <v>62.8</v>
      </c>
      <c r="F3481" s="607">
        <v>552.13</v>
      </c>
      <c r="G3481" s="584">
        <v>15</v>
      </c>
    </row>
    <row r="3482" spans="1:7" ht="30" x14ac:dyDescent="0.2">
      <c r="A3482" s="583" t="s">
        <v>18956</v>
      </c>
      <c r="B3482" s="605" t="s">
        <v>18957</v>
      </c>
      <c r="C3482" s="606" t="s">
        <v>12375</v>
      </c>
      <c r="D3482" s="607">
        <v>24.44</v>
      </c>
      <c r="E3482" s="607">
        <v>10.6</v>
      </c>
      <c r="F3482" s="607">
        <v>35.04</v>
      </c>
      <c r="G3482" s="584">
        <v>15</v>
      </c>
    </row>
    <row r="3483" spans="1:7" ht="30" x14ac:dyDescent="0.2">
      <c r="A3483" s="583" t="s">
        <v>18958</v>
      </c>
      <c r="B3483" s="605" t="s">
        <v>18959</v>
      </c>
      <c r="C3483" s="606" t="s">
        <v>12375</v>
      </c>
      <c r="D3483" s="607">
        <v>614.12</v>
      </c>
      <c r="E3483" s="607">
        <v>35.340000000000003</v>
      </c>
      <c r="F3483" s="607">
        <v>649.46</v>
      </c>
      <c r="G3483" s="584">
        <v>15</v>
      </c>
    </row>
    <row r="3484" spans="1:7" ht="30" x14ac:dyDescent="0.2">
      <c r="A3484" s="583" t="s">
        <v>18960</v>
      </c>
      <c r="B3484" s="605" t="s">
        <v>18961</v>
      </c>
      <c r="C3484" s="606" t="s">
        <v>12375</v>
      </c>
      <c r="D3484" s="607">
        <v>320.01</v>
      </c>
      <c r="E3484" s="607">
        <v>35.340000000000003</v>
      </c>
      <c r="F3484" s="607">
        <v>355.35</v>
      </c>
      <c r="G3484" s="584">
        <v>15</v>
      </c>
    </row>
    <row r="3485" spans="1:7" ht="30" x14ac:dyDescent="0.2">
      <c r="A3485" s="583" t="s">
        <v>18962</v>
      </c>
      <c r="B3485" s="605" t="s">
        <v>18963</v>
      </c>
      <c r="C3485" s="606" t="s">
        <v>12375</v>
      </c>
      <c r="D3485" s="607">
        <v>98.25</v>
      </c>
      <c r="E3485" s="607">
        <v>25.12</v>
      </c>
      <c r="F3485" s="607">
        <v>123.37</v>
      </c>
      <c r="G3485" s="584">
        <v>15</v>
      </c>
    </row>
    <row r="3486" spans="1:7" ht="30" x14ac:dyDescent="0.2">
      <c r="A3486" s="583" t="s">
        <v>18964</v>
      </c>
      <c r="B3486" s="605" t="s">
        <v>20231</v>
      </c>
      <c r="C3486" s="606" t="s">
        <v>12375</v>
      </c>
      <c r="D3486" s="607">
        <v>4184.22</v>
      </c>
      <c r="E3486" s="607">
        <v>150.72</v>
      </c>
      <c r="F3486" s="607">
        <v>4334.9399999999996</v>
      </c>
      <c r="G3486" s="584">
        <v>15</v>
      </c>
    </row>
    <row r="3487" spans="1:7" ht="15" x14ac:dyDescent="0.2">
      <c r="A3487" s="583" t="s">
        <v>18965</v>
      </c>
      <c r="B3487" s="605" t="s">
        <v>18966</v>
      </c>
      <c r="C3487" s="606" t="s">
        <v>12375</v>
      </c>
      <c r="D3487" s="607">
        <v>128.22999999999999</v>
      </c>
      <c r="E3487" s="607">
        <v>20.100000000000001</v>
      </c>
      <c r="F3487" s="607">
        <v>148.33000000000001</v>
      </c>
      <c r="G3487" s="584">
        <v>15</v>
      </c>
    </row>
    <row r="3488" spans="1:7" ht="30" x14ac:dyDescent="0.2">
      <c r="A3488" s="583" t="s">
        <v>18967</v>
      </c>
      <c r="B3488" s="605" t="s">
        <v>20232</v>
      </c>
      <c r="C3488" s="606" t="s">
        <v>12375</v>
      </c>
      <c r="D3488" s="607">
        <v>463.02</v>
      </c>
      <c r="E3488" s="607">
        <v>59.6</v>
      </c>
      <c r="F3488" s="607">
        <v>522.62</v>
      </c>
      <c r="G3488" s="584">
        <v>15</v>
      </c>
    </row>
    <row r="3489" spans="1:7" ht="30" x14ac:dyDescent="0.2">
      <c r="A3489" s="583" t="s">
        <v>18968</v>
      </c>
      <c r="B3489" s="605" t="s">
        <v>18969</v>
      </c>
      <c r="C3489" s="606" t="s">
        <v>12375</v>
      </c>
      <c r="D3489" s="607">
        <v>325.08999999999997</v>
      </c>
      <c r="E3489" s="607">
        <v>62.8</v>
      </c>
      <c r="F3489" s="607">
        <v>387.89</v>
      </c>
      <c r="G3489" s="584">
        <v>15</v>
      </c>
    </row>
    <row r="3490" spans="1:7" ht="30" x14ac:dyDescent="0.2">
      <c r="A3490" s="583" t="s">
        <v>18970</v>
      </c>
      <c r="B3490" s="605" t="s">
        <v>18971</v>
      </c>
      <c r="C3490" s="606" t="s">
        <v>12375</v>
      </c>
      <c r="D3490" s="607">
        <v>416.32</v>
      </c>
      <c r="E3490" s="607">
        <v>62.8</v>
      </c>
      <c r="F3490" s="607">
        <v>479.12</v>
      </c>
      <c r="G3490" s="584">
        <v>15</v>
      </c>
    </row>
    <row r="3491" spans="1:7" ht="15" x14ac:dyDescent="0.25">
      <c r="A3491" s="583" t="s">
        <v>18972</v>
      </c>
      <c r="B3491" s="605" t="s">
        <v>18973</v>
      </c>
      <c r="C3491" s="606"/>
      <c r="D3491" s="607"/>
      <c r="E3491" s="607"/>
      <c r="F3491" s="607"/>
      <c r="G3491" s="582"/>
    </row>
    <row r="3492" spans="1:7" ht="15" x14ac:dyDescent="0.25">
      <c r="A3492" s="583" t="s">
        <v>18974</v>
      </c>
      <c r="B3492" s="605" t="s">
        <v>18975</v>
      </c>
      <c r="C3492" s="606"/>
      <c r="D3492" s="607"/>
      <c r="E3492" s="607"/>
      <c r="F3492" s="607"/>
      <c r="G3492" s="582"/>
    </row>
    <row r="3493" spans="1:7" ht="15" x14ac:dyDescent="0.2">
      <c r="A3493" s="583" t="s">
        <v>18976</v>
      </c>
      <c r="B3493" s="605" t="s">
        <v>18977</v>
      </c>
      <c r="C3493" s="606" t="s">
        <v>12375</v>
      </c>
      <c r="D3493" s="607">
        <v>9073.5300000000007</v>
      </c>
      <c r="E3493" s="607">
        <v>111.56</v>
      </c>
      <c r="F3493" s="607">
        <v>9185.09</v>
      </c>
      <c r="G3493" s="584">
        <v>15</v>
      </c>
    </row>
    <row r="3494" spans="1:7" ht="15" x14ac:dyDescent="0.2">
      <c r="A3494" s="583" t="s">
        <v>18978</v>
      </c>
      <c r="B3494" s="605" t="s">
        <v>18979</v>
      </c>
      <c r="C3494" s="606" t="s">
        <v>12375</v>
      </c>
      <c r="D3494" s="607">
        <v>11426.72</v>
      </c>
      <c r="E3494" s="607">
        <v>152.44</v>
      </c>
      <c r="F3494" s="607">
        <v>11579.16</v>
      </c>
      <c r="G3494" s="584">
        <v>15</v>
      </c>
    </row>
    <row r="3495" spans="1:7" ht="30" x14ac:dyDescent="0.2">
      <c r="A3495" s="583" t="s">
        <v>18980</v>
      </c>
      <c r="B3495" s="605" t="s">
        <v>18981</v>
      </c>
      <c r="C3495" s="606" t="s">
        <v>12375</v>
      </c>
      <c r="D3495" s="607">
        <v>1067.5899999999999</v>
      </c>
      <c r="E3495" s="607">
        <v>60.46</v>
      </c>
      <c r="F3495" s="607">
        <v>1128.05</v>
      </c>
      <c r="G3495" s="584">
        <v>15</v>
      </c>
    </row>
    <row r="3496" spans="1:7" ht="30" x14ac:dyDescent="0.2">
      <c r="A3496" s="583" t="s">
        <v>18982</v>
      </c>
      <c r="B3496" s="605" t="s">
        <v>18983</v>
      </c>
      <c r="C3496" s="606" t="s">
        <v>12375</v>
      </c>
      <c r="D3496" s="607">
        <v>1961.14</v>
      </c>
      <c r="E3496" s="607">
        <v>60.46</v>
      </c>
      <c r="F3496" s="607">
        <v>2021.6</v>
      </c>
      <c r="G3496" s="584">
        <v>15</v>
      </c>
    </row>
    <row r="3497" spans="1:7" ht="30" x14ac:dyDescent="0.2">
      <c r="A3497" s="583" t="s">
        <v>18984</v>
      </c>
      <c r="B3497" s="605" t="s">
        <v>18985</v>
      </c>
      <c r="C3497" s="606" t="s">
        <v>12375</v>
      </c>
      <c r="D3497" s="607">
        <v>3095.4</v>
      </c>
      <c r="E3497" s="607">
        <v>70.680000000000007</v>
      </c>
      <c r="F3497" s="607">
        <v>3166.08</v>
      </c>
      <c r="G3497" s="584">
        <v>15</v>
      </c>
    </row>
    <row r="3498" spans="1:7" ht="30" x14ac:dyDescent="0.2">
      <c r="A3498" s="583" t="s">
        <v>18986</v>
      </c>
      <c r="B3498" s="605" t="s">
        <v>18987</v>
      </c>
      <c r="C3498" s="606" t="s">
        <v>12375</v>
      </c>
      <c r="D3498" s="607">
        <v>5583.41</v>
      </c>
      <c r="E3498" s="607">
        <v>91.12</v>
      </c>
      <c r="F3498" s="607">
        <v>5674.53</v>
      </c>
      <c r="G3498" s="584">
        <v>15</v>
      </c>
    </row>
    <row r="3499" spans="1:7" ht="45" x14ac:dyDescent="0.2">
      <c r="A3499" s="583" t="s">
        <v>18988</v>
      </c>
      <c r="B3499" s="605" t="s">
        <v>18989</v>
      </c>
      <c r="C3499" s="606" t="s">
        <v>12375</v>
      </c>
      <c r="D3499" s="607">
        <v>7000.71</v>
      </c>
      <c r="E3499" s="607">
        <v>80.900000000000006</v>
      </c>
      <c r="F3499" s="607">
        <v>7081.61</v>
      </c>
      <c r="G3499" s="584">
        <v>15</v>
      </c>
    </row>
    <row r="3500" spans="1:7" ht="45" x14ac:dyDescent="0.2">
      <c r="A3500" s="583" t="s">
        <v>18990</v>
      </c>
      <c r="B3500" s="605" t="s">
        <v>18991</v>
      </c>
      <c r="C3500" s="606" t="s">
        <v>12375</v>
      </c>
      <c r="D3500" s="607">
        <v>15031.75</v>
      </c>
      <c r="E3500" s="607">
        <v>111.56</v>
      </c>
      <c r="F3500" s="607">
        <v>15143.31</v>
      </c>
      <c r="G3500" s="584">
        <v>15</v>
      </c>
    </row>
    <row r="3501" spans="1:7" ht="30" x14ac:dyDescent="0.2">
      <c r="A3501" s="583" t="s">
        <v>18992</v>
      </c>
      <c r="B3501" s="605" t="s">
        <v>18993</v>
      </c>
      <c r="C3501" s="606" t="s">
        <v>12375</v>
      </c>
      <c r="D3501" s="607">
        <v>900.36</v>
      </c>
      <c r="E3501" s="607">
        <v>70.680000000000007</v>
      </c>
      <c r="F3501" s="607">
        <v>971.04</v>
      </c>
      <c r="G3501" s="584">
        <v>15</v>
      </c>
    </row>
    <row r="3502" spans="1:7" ht="30" x14ac:dyDescent="0.2">
      <c r="A3502" s="583" t="s">
        <v>18994</v>
      </c>
      <c r="B3502" s="605" t="s">
        <v>18995</v>
      </c>
      <c r="C3502" s="606" t="s">
        <v>12375</v>
      </c>
      <c r="D3502" s="607">
        <v>547.63</v>
      </c>
      <c r="E3502" s="607">
        <v>70.680000000000007</v>
      </c>
      <c r="F3502" s="607">
        <v>618.30999999999995</v>
      </c>
      <c r="G3502" s="584">
        <v>15</v>
      </c>
    </row>
    <row r="3503" spans="1:7" ht="15" x14ac:dyDescent="0.25">
      <c r="A3503" s="583" t="s">
        <v>18996</v>
      </c>
      <c r="B3503" s="605" t="s">
        <v>18997</v>
      </c>
      <c r="C3503" s="606"/>
      <c r="D3503" s="607"/>
      <c r="E3503" s="607"/>
      <c r="F3503" s="607"/>
      <c r="G3503" s="582"/>
    </row>
    <row r="3504" spans="1:7" ht="30" x14ac:dyDescent="0.2">
      <c r="A3504" s="583" t="s">
        <v>18998</v>
      </c>
      <c r="B3504" s="605" t="s">
        <v>18999</v>
      </c>
      <c r="C3504" s="606" t="s">
        <v>12676</v>
      </c>
      <c r="D3504" s="607">
        <v>5096.99</v>
      </c>
      <c r="E3504" s="607">
        <v>70.680000000000007</v>
      </c>
      <c r="F3504" s="607">
        <v>5167.67</v>
      </c>
      <c r="G3504" s="584">
        <v>15</v>
      </c>
    </row>
    <row r="3505" spans="1:7" ht="30" x14ac:dyDescent="0.2">
      <c r="A3505" s="583" t="s">
        <v>19000</v>
      </c>
      <c r="B3505" s="605" t="s">
        <v>19001</v>
      </c>
      <c r="C3505" s="606" t="s">
        <v>12676</v>
      </c>
      <c r="D3505" s="607">
        <v>7118.73</v>
      </c>
      <c r="E3505" s="607">
        <v>70.680000000000007</v>
      </c>
      <c r="F3505" s="607">
        <v>7189.41</v>
      </c>
      <c r="G3505" s="584">
        <v>15</v>
      </c>
    </row>
    <row r="3506" spans="1:7" ht="30" x14ac:dyDescent="0.2">
      <c r="A3506" s="583" t="s">
        <v>19002</v>
      </c>
      <c r="B3506" s="605" t="s">
        <v>19003</v>
      </c>
      <c r="C3506" s="606" t="s">
        <v>12676</v>
      </c>
      <c r="D3506" s="607">
        <v>13095.11</v>
      </c>
      <c r="E3506" s="607">
        <v>70.680000000000007</v>
      </c>
      <c r="F3506" s="607">
        <v>13165.79</v>
      </c>
      <c r="G3506" s="584">
        <v>15</v>
      </c>
    </row>
    <row r="3507" spans="1:7" ht="15" x14ac:dyDescent="0.25">
      <c r="A3507" s="583" t="s">
        <v>19004</v>
      </c>
      <c r="B3507" s="605" t="s">
        <v>19005</v>
      </c>
      <c r="C3507" s="606"/>
      <c r="D3507" s="607"/>
      <c r="E3507" s="607"/>
      <c r="F3507" s="607"/>
      <c r="G3507" s="582"/>
    </row>
    <row r="3508" spans="1:7" ht="45" x14ac:dyDescent="0.2">
      <c r="A3508" s="583" t="s">
        <v>19006</v>
      </c>
      <c r="B3508" s="605" t="s">
        <v>19007</v>
      </c>
      <c r="C3508" s="606" t="s">
        <v>12483</v>
      </c>
      <c r="D3508" s="607">
        <v>17933.580000000002</v>
      </c>
      <c r="E3508" s="607">
        <v>3768.71</v>
      </c>
      <c r="F3508" s="607">
        <v>21702.29</v>
      </c>
      <c r="G3508" s="584">
        <v>15</v>
      </c>
    </row>
    <row r="3509" spans="1:7" ht="45" x14ac:dyDescent="0.2">
      <c r="A3509" s="583" t="s">
        <v>19008</v>
      </c>
      <c r="B3509" s="605" t="s">
        <v>19009</v>
      </c>
      <c r="C3509" s="606" t="s">
        <v>12483</v>
      </c>
      <c r="D3509" s="607">
        <v>34138.92</v>
      </c>
      <c r="E3509" s="607">
        <v>8072.27</v>
      </c>
      <c r="F3509" s="607">
        <v>42211.19</v>
      </c>
      <c r="G3509" s="584">
        <v>15</v>
      </c>
    </row>
    <row r="3510" spans="1:7" ht="15" x14ac:dyDescent="0.25">
      <c r="A3510" s="583" t="s">
        <v>19010</v>
      </c>
      <c r="B3510" s="605" t="s">
        <v>19011</v>
      </c>
      <c r="C3510" s="606"/>
      <c r="D3510" s="607"/>
      <c r="E3510" s="607"/>
      <c r="F3510" s="607"/>
      <c r="G3510" s="582"/>
    </row>
    <row r="3511" spans="1:7" ht="15" x14ac:dyDescent="0.2">
      <c r="A3511" s="583" t="s">
        <v>19012</v>
      </c>
      <c r="B3511" s="605" t="s">
        <v>19013</v>
      </c>
      <c r="C3511" s="606" t="s">
        <v>12375</v>
      </c>
      <c r="D3511" s="607">
        <v>90.26</v>
      </c>
      <c r="E3511" s="607">
        <v>15.07</v>
      </c>
      <c r="F3511" s="607">
        <v>105.33</v>
      </c>
      <c r="G3511" s="584">
        <v>15</v>
      </c>
    </row>
    <row r="3512" spans="1:7" ht="15" x14ac:dyDescent="0.2">
      <c r="A3512" s="583" t="s">
        <v>19014</v>
      </c>
      <c r="B3512" s="605" t="s">
        <v>19015</v>
      </c>
      <c r="C3512" s="606" t="s">
        <v>12375</v>
      </c>
      <c r="D3512" s="607">
        <v>115.88</v>
      </c>
      <c r="E3512" s="607">
        <v>20.100000000000001</v>
      </c>
      <c r="F3512" s="607">
        <v>135.97999999999999</v>
      </c>
      <c r="G3512" s="584">
        <v>15</v>
      </c>
    </row>
    <row r="3513" spans="1:7" ht="15" x14ac:dyDescent="0.2">
      <c r="A3513" s="583" t="s">
        <v>19016</v>
      </c>
      <c r="B3513" s="605" t="s">
        <v>19017</v>
      </c>
      <c r="C3513" s="606" t="s">
        <v>12375</v>
      </c>
      <c r="D3513" s="607">
        <v>222.08</v>
      </c>
      <c r="E3513" s="607">
        <v>22.61</v>
      </c>
      <c r="F3513" s="607">
        <v>244.69</v>
      </c>
      <c r="G3513" s="584">
        <v>15</v>
      </c>
    </row>
    <row r="3514" spans="1:7" ht="15" x14ac:dyDescent="0.2">
      <c r="A3514" s="583" t="s">
        <v>19018</v>
      </c>
      <c r="B3514" s="605" t="s">
        <v>19019</v>
      </c>
      <c r="C3514" s="606" t="s">
        <v>12375</v>
      </c>
      <c r="D3514" s="607">
        <v>233.39</v>
      </c>
      <c r="E3514" s="607">
        <v>22.61</v>
      </c>
      <c r="F3514" s="607">
        <v>256</v>
      </c>
      <c r="G3514" s="584">
        <v>15</v>
      </c>
    </row>
    <row r="3515" spans="1:7" ht="15" x14ac:dyDescent="0.2">
      <c r="A3515" s="583" t="s">
        <v>19020</v>
      </c>
      <c r="B3515" s="605" t="s">
        <v>19021</v>
      </c>
      <c r="C3515" s="606" t="s">
        <v>12375</v>
      </c>
      <c r="D3515" s="607">
        <v>302.11</v>
      </c>
      <c r="E3515" s="607">
        <v>30.14</v>
      </c>
      <c r="F3515" s="607">
        <v>332.25</v>
      </c>
      <c r="G3515" s="584">
        <v>15</v>
      </c>
    </row>
    <row r="3516" spans="1:7" ht="15" x14ac:dyDescent="0.2">
      <c r="A3516" s="583" t="s">
        <v>19022</v>
      </c>
      <c r="B3516" s="605" t="s">
        <v>19023</v>
      </c>
      <c r="C3516" s="606" t="s">
        <v>12375</v>
      </c>
      <c r="D3516" s="607">
        <v>1456.21</v>
      </c>
      <c r="E3516" s="607">
        <v>22.61</v>
      </c>
      <c r="F3516" s="607">
        <v>1478.82</v>
      </c>
      <c r="G3516" s="584">
        <v>15</v>
      </c>
    </row>
    <row r="3517" spans="1:7" ht="15" x14ac:dyDescent="0.2">
      <c r="A3517" s="583" t="s">
        <v>19024</v>
      </c>
      <c r="B3517" s="605" t="s">
        <v>19025</v>
      </c>
      <c r="C3517" s="606" t="s">
        <v>12375</v>
      </c>
      <c r="D3517" s="607">
        <v>2217.87</v>
      </c>
      <c r="E3517" s="607">
        <v>100.48</v>
      </c>
      <c r="F3517" s="607">
        <v>2318.35</v>
      </c>
      <c r="G3517" s="584">
        <v>15</v>
      </c>
    </row>
    <row r="3518" spans="1:7" ht="15" x14ac:dyDescent="0.25">
      <c r="A3518" s="583" t="s">
        <v>19026</v>
      </c>
      <c r="B3518" s="605" t="s">
        <v>19027</v>
      </c>
      <c r="C3518" s="606"/>
      <c r="D3518" s="607"/>
      <c r="E3518" s="607"/>
      <c r="F3518" s="607"/>
      <c r="G3518" s="582"/>
    </row>
    <row r="3519" spans="1:7" ht="15" x14ac:dyDescent="0.2">
      <c r="A3519" s="583" t="s">
        <v>19028</v>
      </c>
      <c r="B3519" s="605" t="s">
        <v>19029</v>
      </c>
      <c r="C3519" s="606" t="s">
        <v>12375</v>
      </c>
      <c r="D3519" s="607"/>
      <c r="E3519" s="607">
        <v>61.32</v>
      </c>
      <c r="F3519" s="607">
        <v>61.32</v>
      </c>
      <c r="G3519" s="584">
        <v>15</v>
      </c>
    </row>
    <row r="3520" spans="1:7" ht="15" x14ac:dyDescent="0.2">
      <c r="A3520" s="583" t="s">
        <v>19030</v>
      </c>
      <c r="B3520" s="605" t="s">
        <v>19031</v>
      </c>
      <c r="C3520" s="606" t="s">
        <v>12375</v>
      </c>
      <c r="D3520" s="607"/>
      <c r="E3520" s="607">
        <v>163.52000000000001</v>
      </c>
      <c r="F3520" s="607">
        <v>163.52000000000001</v>
      </c>
      <c r="G3520" s="584">
        <v>15</v>
      </c>
    </row>
    <row r="3521" spans="1:7" ht="15" x14ac:dyDescent="0.2">
      <c r="A3521" s="583" t="s">
        <v>19032</v>
      </c>
      <c r="B3521" s="605" t="s">
        <v>19033</v>
      </c>
      <c r="C3521" s="606" t="s">
        <v>12375</v>
      </c>
      <c r="D3521" s="607"/>
      <c r="E3521" s="607">
        <v>367.92</v>
      </c>
      <c r="F3521" s="607">
        <v>367.92</v>
      </c>
      <c r="G3521" s="584">
        <v>15</v>
      </c>
    </row>
    <row r="3522" spans="1:7" ht="15" x14ac:dyDescent="0.25">
      <c r="A3522" s="583" t="s">
        <v>19034</v>
      </c>
      <c r="B3522" s="605" t="s">
        <v>19035</v>
      </c>
      <c r="C3522" s="606"/>
      <c r="D3522" s="607"/>
      <c r="E3522" s="607"/>
      <c r="F3522" s="607"/>
      <c r="G3522" s="582"/>
    </row>
    <row r="3523" spans="1:7" ht="15" x14ac:dyDescent="0.25">
      <c r="A3523" s="583" t="s">
        <v>19036</v>
      </c>
      <c r="B3523" s="605" t="s">
        <v>19037</v>
      </c>
      <c r="C3523" s="606"/>
      <c r="D3523" s="607"/>
      <c r="E3523" s="607"/>
      <c r="F3523" s="607"/>
      <c r="G3523" s="582"/>
    </row>
    <row r="3524" spans="1:7" ht="15" x14ac:dyDescent="0.2">
      <c r="A3524" s="583" t="s">
        <v>19038</v>
      </c>
      <c r="B3524" s="605" t="s">
        <v>19039</v>
      </c>
      <c r="C3524" s="606" t="s">
        <v>12375</v>
      </c>
      <c r="D3524" s="607">
        <v>39.08</v>
      </c>
      <c r="E3524" s="607">
        <v>50.24</v>
      </c>
      <c r="F3524" s="607">
        <v>89.32</v>
      </c>
      <c r="G3524" s="584">
        <v>15</v>
      </c>
    </row>
    <row r="3525" spans="1:7" ht="15" x14ac:dyDescent="0.2">
      <c r="A3525" s="583" t="s">
        <v>19040</v>
      </c>
      <c r="B3525" s="605" t="s">
        <v>19041</v>
      </c>
      <c r="C3525" s="606" t="s">
        <v>12375</v>
      </c>
      <c r="D3525" s="607">
        <v>53.9</v>
      </c>
      <c r="E3525" s="607">
        <v>50.24</v>
      </c>
      <c r="F3525" s="607">
        <v>104.14</v>
      </c>
      <c r="G3525" s="584">
        <v>15</v>
      </c>
    </row>
    <row r="3526" spans="1:7" ht="15" x14ac:dyDescent="0.2">
      <c r="A3526" s="583" t="s">
        <v>19042</v>
      </c>
      <c r="B3526" s="605" t="s">
        <v>19043</v>
      </c>
      <c r="C3526" s="606" t="s">
        <v>12375</v>
      </c>
      <c r="D3526" s="607">
        <v>67.569999999999993</v>
      </c>
      <c r="E3526" s="607">
        <v>50.24</v>
      </c>
      <c r="F3526" s="607">
        <v>117.81</v>
      </c>
      <c r="G3526" s="584">
        <v>15</v>
      </c>
    </row>
    <row r="3527" spans="1:7" ht="15" x14ac:dyDescent="0.2">
      <c r="A3527" s="583" t="s">
        <v>19044</v>
      </c>
      <c r="B3527" s="605" t="s">
        <v>19045</v>
      </c>
      <c r="C3527" s="606" t="s">
        <v>12375</v>
      </c>
      <c r="D3527" s="607">
        <v>75.290000000000006</v>
      </c>
      <c r="E3527" s="607">
        <v>50.24</v>
      </c>
      <c r="F3527" s="607">
        <v>125.53</v>
      </c>
      <c r="G3527" s="584">
        <v>15</v>
      </c>
    </row>
    <row r="3528" spans="1:7" ht="30" x14ac:dyDescent="0.2">
      <c r="A3528" s="583" t="s">
        <v>19046</v>
      </c>
      <c r="B3528" s="605" t="s">
        <v>19047</v>
      </c>
      <c r="C3528" s="606" t="s">
        <v>12375</v>
      </c>
      <c r="D3528" s="607">
        <v>83.63</v>
      </c>
      <c r="E3528" s="607">
        <v>50.24</v>
      </c>
      <c r="F3528" s="607">
        <v>133.87</v>
      </c>
      <c r="G3528" s="584">
        <v>15</v>
      </c>
    </row>
    <row r="3529" spans="1:7" ht="30" x14ac:dyDescent="0.2">
      <c r="A3529" s="583" t="s">
        <v>19048</v>
      </c>
      <c r="B3529" s="605" t="s">
        <v>19049</v>
      </c>
      <c r="C3529" s="606" t="s">
        <v>12375</v>
      </c>
      <c r="D3529" s="607">
        <v>116.16</v>
      </c>
      <c r="E3529" s="607">
        <v>50.24</v>
      </c>
      <c r="F3529" s="607">
        <v>166.4</v>
      </c>
      <c r="G3529" s="584">
        <v>15</v>
      </c>
    </row>
    <row r="3530" spans="1:7" ht="15" x14ac:dyDescent="0.25">
      <c r="A3530" s="583" t="s">
        <v>19050</v>
      </c>
      <c r="B3530" s="605" t="s">
        <v>19051</v>
      </c>
      <c r="C3530" s="606"/>
      <c r="D3530" s="607"/>
      <c r="E3530" s="607"/>
      <c r="F3530" s="607"/>
      <c r="G3530" s="582"/>
    </row>
    <row r="3531" spans="1:7" ht="15" x14ac:dyDescent="0.2">
      <c r="A3531" s="583" t="s">
        <v>19052</v>
      </c>
      <c r="B3531" s="605" t="s">
        <v>19053</v>
      </c>
      <c r="C3531" s="606" t="s">
        <v>12375</v>
      </c>
      <c r="D3531" s="607">
        <v>123.8</v>
      </c>
      <c r="E3531" s="607">
        <v>227.27</v>
      </c>
      <c r="F3531" s="607">
        <v>351.07</v>
      </c>
      <c r="G3531" s="584">
        <v>15</v>
      </c>
    </row>
    <row r="3532" spans="1:7" ht="15" x14ac:dyDescent="0.2">
      <c r="A3532" s="583" t="s">
        <v>19054</v>
      </c>
      <c r="B3532" s="605" t="s">
        <v>20116</v>
      </c>
      <c r="C3532" s="606" t="s">
        <v>12375</v>
      </c>
      <c r="D3532" s="607">
        <v>83.98</v>
      </c>
      <c r="E3532" s="607">
        <v>55.21</v>
      </c>
      <c r="F3532" s="607">
        <v>139.19</v>
      </c>
      <c r="G3532" s="584">
        <v>15</v>
      </c>
    </row>
    <row r="3533" spans="1:7" ht="30" x14ac:dyDescent="0.2">
      <c r="A3533" s="583" t="s">
        <v>19055</v>
      </c>
      <c r="B3533" s="605" t="s">
        <v>19056</v>
      </c>
      <c r="C3533" s="606" t="s">
        <v>12375</v>
      </c>
      <c r="D3533" s="607">
        <v>382.22</v>
      </c>
      <c r="E3533" s="607">
        <v>50.24</v>
      </c>
      <c r="F3533" s="607">
        <v>432.46</v>
      </c>
      <c r="G3533" s="584">
        <v>15</v>
      </c>
    </row>
    <row r="3534" spans="1:7" ht="15" x14ac:dyDescent="0.25">
      <c r="A3534" s="583" t="s">
        <v>19057</v>
      </c>
      <c r="B3534" s="605" t="s">
        <v>19058</v>
      </c>
      <c r="C3534" s="606"/>
      <c r="D3534" s="607"/>
      <c r="E3534" s="607"/>
      <c r="F3534" s="607"/>
      <c r="G3534" s="582"/>
    </row>
    <row r="3535" spans="1:7" ht="15" x14ac:dyDescent="0.2">
      <c r="A3535" s="583" t="s">
        <v>19059</v>
      </c>
      <c r="B3535" s="605" t="s">
        <v>19060</v>
      </c>
      <c r="C3535" s="606" t="s">
        <v>12375</v>
      </c>
      <c r="D3535" s="607">
        <v>34.630000000000003</v>
      </c>
      <c r="E3535" s="607">
        <v>50.24</v>
      </c>
      <c r="F3535" s="607">
        <v>84.87</v>
      </c>
      <c r="G3535" s="584">
        <v>15</v>
      </c>
    </row>
    <row r="3536" spans="1:7" ht="15" x14ac:dyDescent="0.25">
      <c r="A3536" s="583" t="s">
        <v>19061</v>
      </c>
      <c r="B3536" s="605" t="s">
        <v>19062</v>
      </c>
      <c r="C3536" s="606"/>
      <c r="D3536" s="607"/>
      <c r="E3536" s="607"/>
      <c r="F3536" s="607"/>
      <c r="G3536" s="582"/>
    </row>
    <row r="3537" spans="1:7" ht="30" x14ac:dyDescent="0.2">
      <c r="A3537" s="583" t="s">
        <v>19063</v>
      </c>
      <c r="B3537" s="605" t="s">
        <v>19064</v>
      </c>
      <c r="C3537" s="606" t="s">
        <v>12375</v>
      </c>
      <c r="D3537" s="607">
        <v>147.78</v>
      </c>
      <c r="E3537" s="607">
        <v>60.29</v>
      </c>
      <c r="F3537" s="607">
        <v>208.07</v>
      </c>
      <c r="G3537" s="584">
        <v>15</v>
      </c>
    </row>
    <row r="3538" spans="1:7" ht="30" x14ac:dyDescent="0.2">
      <c r="A3538" s="583" t="s">
        <v>19065</v>
      </c>
      <c r="B3538" s="605" t="s">
        <v>19066</v>
      </c>
      <c r="C3538" s="606" t="s">
        <v>12375</v>
      </c>
      <c r="D3538" s="607">
        <v>543.83000000000004</v>
      </c>
      <c r="E3538" s="607">
        <v>75.36</v>
      </c>
      <c r="F3538" s="607">
        <v>619.19000000000005</v>
      </c>
      <c r="G3538" s="584">
        <v>15</v>
      </c>
    </row>
    <row r="3539" spans="1:7" ht="15" x14ac:dyDescent="0.25">
      <c r="A3539" s="583" t="s">
        <v>19067</v>
      </c>
      <c r="B3539" s="605" t="s">
        <v>19068</v>
      </c>
      <c r="C3539" s="606"/>
      <c r="D3539" s="607"/>
      <c r="E3539" s="607"/>
      <c r="F3539" s="607"/>
      <c r="G3539" s="582"/>
    </row>
    <row r="3540" spans="1:7" ht="15" x14ac:dyDescent="0.2">
      <c r="A3540" s="583" t="s">
        <v>19069</v>
      </c>
      <c r="B3540" s="605" t="s">
        <v>20233</v>
      </c>
      <c r="C3540" s="606" t="s">
        <v>12375</v>
      </c>
      <c r="D3540" s="607">
        <v>14.49</v>
      </c>
      <c r="E3540" s="607">
        <v>3.02</v>
      </c>
      <c r="F3540" s="607">
        <v>17.510000000000002</v>
      </c>
      <c r="G3540" s="584">
        <v>15</v>
      </c>
    </row>
    <row r="3541" spans="1:7" ht="15" x14ac:dyDescent="0.2">
      <c r="A3541" s="583" t="s">
        <v>12346</v>
      </c>
      <c r="B3541" s="605" t="s">
        <v>19070</v>
      </c>
      <c r="C3541" s="606" t="s">
        <v>12427</v>
      </c>
      <c r="D3541" s="607">
        <v>1221.98</v>
      </c>
      <c r="E3541" s="607">
        <v>32.880000000000003</v>
      </c>
      <c r="F3541" s="607">
        <v>1254.8599999999999</v>
      </c>
      <c r="G3541" s="584">
        <v>15</v>
      </c>
    </row>
    <row r="3542" spans="1:7" ht="15" x14ac:dyDescent="0.2">
      <c r="A3542" s="583" t="s">
        <v>19071</v>
      </c>
      <c r="B3542" s="605" t="s">
        <v>20234</v>
      </c>
      <c r="C3542" s="606" t="s">
        <v>12375</v>
      </c>
      <c r="D3542" s="607">
        <v>10.88</v>
      </c>
      <c r="E3542" s="607">
        <v>3.02</v>
      </c>
      <c r="F3542" s="607">
        <v>13.9</v>
      </c>
      <c r="G3542" s="584">
        <v>15</v>
      </c>
    </row>
    <row r="3543" spans="1:7" ht="15" x14ac:dyDescent="0.2">
      <c r="A3543" s="583" t="s">
        <v>19072</v>
      </c>
      <c r="B3543" s="605" t="s">
        <v>19073</v>
      </c>
      <c r="C3543" s="606" t="s">
        <v>12375</v>
      </c>
      <c r="D3543" s="607">
        <v>344.52</v>
      </c>
      <c r="E3543" s="607">
        <v>26.3</v>
      </c>
      <c r="F3543" s="607">
        <v>370.82</v>
      </c>
      <c r="G3543" s="584">
        <v>15</v>
      </c>
    </row>
    <row r="3544" spans="1:7" ht="15" x14ac:dyDescent="0.2">
      <c r="A3544" s="583" t="s">
        <v>19074</v>
      </c>
      <c r="B3544" s="605" t="s">
        <v>20235</v>
      </c>
      <c r="C3544" s="606" t="s">
        <v>12375</v>
      </c>
      <c r="D3544" s="607">
        <v>31.9</v>
      </c>
      <c r="E3544" s="607">
        <v>3.02</v>
      </c>
      <c r="F3544" s="607">
        <v>34.92</v>
      </c>
      <c r="G3544" s="584">
        <v>15</v>
      </c>
    </row>
    <row r="3545" spans="1:7" ht="15" x14ac:dyDescent="0.2">
      <c r="A3545" s="583" t="s">
        <v>19075</v>
      </c>
      <c r="B3545" s="605" t="s">
        <v>20236</v>
      </c>
      <c r="C3545" s="606" t="s">
        <v>12375</v>
      </c>
      <c r="D3545" s="607">
        <v>7.24</v>
      </c>
      <c r="E3545" s="607">
        <v>3.02</v>
      </c>
      <c r="F3545" s="607">
        <v>10.26</v>
      </c>
      <c r="G3545" s="584">
        <v>15</v>
      </c>
    </row>
    <row r="3546" spans="1:7" ht="15" x14ac:dyDescent="0.2">
      <c r="A3546" s="583" t="s">
        <v>19076</v>
      </c>
      <c r="B3546" s="605" t="s">
        <v>19077</v>
      </c>
      <c r="C3546" s="606" t="s">
        <v>12427</v>
      </c>
      <c r="D3546" s="607">
        <v>1186.99</v>
      </c>
      <c r="E3546" s="607">
        <v>32.880000000000003</v>
      </c>
      <c r="F3546" s="607">
        <v>1219.8699999999999</v>
      </c>
      <c r="G3546" s="584">
        <v>15</v>
      </c>
    </row>
    <row r="3547" spans="1:7" ht="30" x14ac:dyDescent="0.2">
      <c r="A3547" s="583" t="s">
        <v>19078</v>
      </c>
      <c r="B3547" s="605" t="s">
        <v>19079</v>
      </c>
      <c r="C3547" s="606" t="s">
        <v>12427</v>
      </c>
      <c r="D3547" s="607">
        <v>1374.96</v>
      </c>
      <c r="E3547" s="607">
        <v>32.880000000000003</v>
      </c>
      <c r="F3547" s="607">
        <v>1407.84</v>
      </c>
      <c r="G3547" s="584">
        <v>15</v>
      </c>
    </row>
    <row r="3548" spans="1:7" ht="30" x14ac:dyDescent="0.2">
      <c r="A3548" s="583" t="s">
        <v>19080</v>
      </c>
      <c r="B3548" s="605" t="s">
        <v>19081</v>
      </c>
      <c r="C3548" s="606" t="s">
        <v>12375</v>
      </c>
      <c r="D3548" s="607">
        <v>83.34</v>
      </c>
      <c r="E3548" s="607">
        <v>16.440000000000001</v>
      </c>
      <c r="F3548" s="607">
        <v>99.78</v>
      </c>
      <c r="G3548" s="584">
        <v>15</v>
      </c>
    </row>
    <row r="3549" spans="1:7" ht="15" x14ac:dyDescent="0.2">
      <c r="A3549" s="583" t="s">
        <v>20596</v>
      </c>
      <c r="B3549" s="605" t="s">
        <v>20597</v>
      </c>
      <c r="C3549" s="606" t="s">
        <v>12375</v>
      </c>
      <c r="D3549" s="607">
        <v>10.16</v>
      </c>
      <c r="E3549" s="607">
        <v>3.02</v>
      </c>
      <c r="F3549" s="607">
        <v>13.18</v>
      </c>
      <c r="G3549" s="584">
        <v>15</v>
      </c>
    </row>
    <row r="3550" spans="1:7" ht="15" x14ac:dyDescent="0.2">
      <c r="A3550" s="583" t="s">
        <v>20598</v>
      </c>
      <c r="B3550" s="605" t="s">
        <v>20599</v>
      </c>
      <c r="C3550" s="606" t="s">
        <v>12375</v>
      </c>
      <c r="D3550" s="607">
        <v>22.52</v>
      </c>
      <c r="E3550" s="607">
        <v>3.02</v>
      </c>
      <c r="F3550" s="607">
        <v>25.54</v>
      </c>
      <c r="G3550" s="584">
        <v>15</v>
      </c>
    </row>
    <row r="3551" spans="1:7" ht="30" x14ac:dyDescent="0.2">
      <c r="A3551" s="583" t="s">
        <v>19082</v>
      </c>
      <c r="B3551" s="605" t="s">
        <v>19083</v>
      </c>
      <c r="C3551" s="606" t="s">
        <v>12375</v>
      </c>
      <c r="D3551" s="607">
        <v>4151.55</v>
      </c>
      <c r="E3551" s="607">
        <v>60.29</v>
      </c>
      <c r="F3551" s="607">
        <v>4211.84</v>
      </c>
      <c r="G3551" s="584">
        <v>15</v>
      </c>
    </row>
    <row r="3552" spans="1:7" ht="30" x14ac:dyDescent="0.2">
      <c r="A3552" s="583" t="s">
        <v>19084</v>
      </c>
      <c r="B3552" s="605" t="s">
        <v>19085</v>
      </c>
      <c r="C3552" s="606" t="s">
        <v>12375</v>
      </c>
      <c r="D3552" s="607">
        <v>5215.74</v>
      </c>
      <c r="E3552" s="607">
        <v>60.29</v>
      </c>
      <c r="F3552" s="607">
        <v>5276.03</v>
      </c>
      <c r="G3552" s="584">
        <v>15</v>
      </c>
    </row>
    <row r="3553" spans="1:7" ht="30" x14ac:dyDescent="0.2">
      <c r="A3553" s="583" t="s">
        <v>19086</v>
      </c>
      <c r="B3553" s="605" t="s">
        <v>19087</v>
      </c>
      <c r="C3553" s="606" t="s">
        <v>12375</v>
      </c>
      <c r="D3553" s="607">
        <v>407.08</v>
      </c>
      <c r="E3553" s="607">
        <v>67.97</v>
      </c>
      <c r="F3553" s="607">
        <v>475.05</v>
      </c>
      <c r="G3553" s="584">
        <v>15</v>
      </c>
    </row>
    <row r="3554" spans="1:7" ht="30" x14ac:dyDescent="0.2">
      <c r="A3554" s="583" t="s">
        <v>19088</v>
      </c>
      <c r="B3554" s="605" t="s">
        <v>20312</v>
      </c>
      <c r="C3554" s="606" t="s">
        <v>12375</v>
      </c>
      <c r="D3554" s="607">
        <v>460.79</v>
      </c>
      <c r="E3554" s="607">
        <v>67.97</v>
      </c>
      <c r="F3554" s="607">
        <v>528.76</v>
      </c>
      <c r="G3554" s="584">
        <v>15</v>
      </c>
    </row>
    <row r="3555" spans="1:7" ht="30" x14ac:dyDescent="0.2">
      <c r="A3555" s="583" t="s">
        <v>19089</v>
      </c>
      <c r="B3555" s="605" t="s">
        <v>19090</v>
      </c>
      <c r="C3555" s="606" t="s">
        <v>12375</v>
      </c>
      <c r="D3555" s="607">
        <v>592.66</v>
      </c>
      <c r="E3555" s="607">
        <v>67.97</v>
      </c>
      <c r="F3555" s="607">
        <v>660.63</v>
      </c>
      <c r="G3555" s="584">
        <v>15</v>
      </c>
    </row>
    <row r="3556" spans="1:7" ht="30" x14ac:dyDescent="0.2">
      <c r="A3556" s="583" t="s">
        <v>19091</v>
      </c>
      <c r="B3556" s="605" t="s">
        <v>19092</v>
      </c>
      <c r="C3556" s="606" t="s">
        <v>12375</v>
      </c>
      <c r="D3556" s="607">
        <v>121.09</v>
      </c>
      <c r="E3556" s="607">
        <v>67.97</v>
      </c>
      <c r="F3556" s="607">
        <v>189.06</v>
      </c>
      <c r="G3556" s="584">
        <v>15</v>
      </c>
    </row>
    <row r="3557" spans="1:7" ht="30" x14ac:dyDescent="0.2">
      <c r="A3557" s="583" t="s">
        <v>19093</v>
      </c>
      <c r="B3557" s="605" t="s">
        <v>19094</v>
      </c>
      <c r="C3557" s="606" t="s">
        <v>12375</v>
      </c>
      <c r="D3557" s="607">
        <v>197.62</v>
      </c>
      <c r="E3557" s="607">
        <v>67.97</v>
      </c>
      <c r="F3557" s="607">
        <v>265.58999999999997</v>
      </c>
      <c r="G3557" s="584">
        <v>15</v>
      </c>
    </row>
    <row r="3558" spans="1:7" ht="30" x14ac:dyDescent="0.2">
      <c r="A3558" s="583" t="s">
        <v>19095</v>
      </c>
      <c r="B3558" s="605" t="s">
        <v>19096</v>
      </c>
      <c r="C3558" s="606" t="s">
        <v>12375</v>
      </c>
      <c r="D3558" s="607">
        <v>333</v>
      </c>
      <c r="E3558" s="607">
        <v>67.97</v>
      </c>
      <c r="F3558" s="607">
        <v>400.97</v>
      </c>
      <c r="G3558" s="584">
        <v>15</v>
      </c>
    </row>
    <row r="3559" spans="1:7" ht="30" x14ac:dyDescent="0.2">
      <c r="A3559" s="583" t="s">
        <v>19097</v>
      </c>
      <c r="B3559" s="605" t="s">
        <v>19098</v>
      </c>
      <c r="C3559" s="606" t="s">
        <v>12375</v>
      </c>
      <c r="D3559" s="607">
        <v>415.68</v>
      </c>
      <c r="E3559" s="607">
        <v>67.97</v>
      </c>
      <c r="F3559" s="607">
        <v>483.65</v>
      </c>
      <c r="G3559" s="584">
        <v>15</v>
      </c>
    </row>
    <row r="3560" spans="1:7" ht="30" x14ac:dyDescent="0.2">
      <c r="A3560" s="583" t="s">
        <v>19099</v>
      </c>
      <c r="B3560" s="605" t="s">
        <v>19100</v>
      </c>
      <c r="C3560" s="606" t="s">
        <v>12375</v>
      </c>
      <c r="D3560" s="607">
        <v>356.62</v>
      </c>
      <c r="E3560" s="607">
        <v>67.97</v>
      </c>
      <c r="F3560" s="607">
        <v>424.59</v>
      </c>
      <c r="G3560" s="584">
        <v>15</v>
      </c>
    </row>
    <row r="3561" spans="1:7" ht="30" x14ac:dyDescent="0.2">
      <c r="A3561" s="583" t="s">
        <v>19101</v>
      </c>
      <c r="B3561" s="605" t="s">
        <v>19102</v>
      </c>
      <c r="C3561" s="606" t="s">
        <v>12375</v>
      </c>
      <c r="D3561" s="607">
        <v>1794.94</v>
      </c>
      <c r="E3561" s="607">
        <v>67.97</v>
      </c>
      <c r="F3561" s="607">
        <v>1862.91</v>
      </c>
      <c r="G3561" s="584">
        <v>15</v>
      </c>
    </row>
    <row r="3562" spans="1:7" ht="30" x14ac:dyDescent="0.2">
      <c r="A3562" s="583" t="s">
        <v>19103</v>
      </c>
      <c r="B3562" s="605" t="s">
        <v>19104</v>
      </c>
      <c r="C3562" s="606" t="s">
        <v>12483</v>
      </c>
      <c r="D3562" s="607">
        <v>1029.8900000000001</v>
      </c>
      <c r="E3562" s="607">
        <v>21.3</v>
      </c>
      <c r="F3562" s="607">
        <v>1051.19</v>
      </c>
      <c r="G3562" s="584">
        <v>15</v>
      </c>
    </row>
    <row r="3563" spans="1:7" ht="30" x14ac:dyDescent="0.2">
      <c r="A3563" s="583" t="s">
        <v>19105</v>
      </c>
      <c r="B3563" s="605" t="s">
        <v>19106</v>
      </c>
      <c r="C3563" s="606" t="s">
        <v>12483</v>
      </c>
      <c r="D3563" s="607">
        <v>1020.28</v>
      </c>
      <c r="E3563" s="607">
        <v>28.09</v>
      </c>
      <c r="F3563" s="607">
        <v>1048.3699999999999</v>
      </c>
      <c r="G3563" s="584">
        <v>15</v>
      </c>
    </row>
    <row r="3564" spans="1:7" ht="15" x14ac:dyDescent="0.25">
      <c r="A3564" s="583" t="s">
        <v>19107</v>
      </c>
      <c r="B3564" s="605" t="s">
        <v>19108</v>
      </c>
      <c r="C3564" s="606"/>
      <c r="D3564" s="607"/>
      <c r="E3564" s="607"/>
      <c r="F3564" s="607"/>
      <c r="G3564" s="582"/>
    </row>
    <row r="3565" spans="1:7" ht="15" x14ac:dyDescent="0.2">
      <c r="A3565" s="583" t="s">
        <v>19109</v>
      </c>
      <c r="B3565" s="605" t="s">
        <v>19110</v>
      </c>
      <c r="C3565" s="606" t="s">
        <v>12375</v>
      </c>
      <c r="D3565" s="607">
        <v>487.42</v>
      </c>
      <c r="E3565" s="607">
        <v>50.24</v>
      </c>
      <c r="F3565" s="607">
        <v>537.66</v>
      </c>
      <c r="G3565" s="584">
        <v>15</v>
      </c>
    </row>
    <row r="3566" spans="1:7" ht="15" x14ac:dyDescent="0.25">
      <c r="A3566" s="583" t="s">
        <v>19111</v>
      </c>
      <c r="B3566" s="605" t="s">
        <v>19112</v>
      </c>
      <c r="C3566" s="606"/>
      <c r="D3566" s="607"/>
      <c r="E3566" s="607"/>
      <c r="F3566" s="607"/>
      <c r="G3566" s="582"/>
    </row>
    <row r="3567" spans="1:7" ht="15" x14ac:dyDescent="0.2">
      <c r="A3567" s="583" t="s">
        <v>19113</v>
      </c>
      <c r="B3567" s="605" t="s">
        <v>19114</v>
      </c>
      <c r="C3567" s="606" t="s">
        <v>12483</v>
      </c>
      <c r="D3567" s="607">
        <v>445.72</v>
      </c>
      <c r="E3567" s="607">
        <v>11.33</v>
      </c>
      <c r="F3567" s="607">
        <v>457.05</v>
      </c>
      <c r="G3567" s="584">
        <v>15</v>
      </c>
    </row>
    <row r="3568" spans="1:7" ht="30" x14ac:dyDescent="0.2">
      <c r="A3568" s="583" t="s">
        <v>19115</v>
      </c>
      <c r="B3568" s="605" t="s">
        <v>19116</v>
      </c>
      <c r="C3568" s="606" t="s">
        <v>12483</v>
      </c>
      <c r="D3568" s="607">
        <v>235.47</v>
      </c>
      <c r="E3568" s="607">
        <v>11.33</v>
      </c>
      <c r="F3568" s="607">
        <v>246.8</v>
      </c>
      <c r="G3568" s="584">
        <v>15</v>
      </c>
    </row>
    <row r="3569" spans="1:7" ht="30" x14ac:dyDescent="0.2">
      <c r="A3569" s="583" t="s">
        <v>19117</v>
      </c>
      <c r="B3569" s="605" t="s">
        <v>19118</v>
      </c>
      <c r="C3569" s="606" t="s">
        <v>12483</v>
      </c>
      <c r="D3569" s="607">
        <v>352.52</v>
      </c>
      <c r="E3569" s="607">
        <v>11.33</v>
      </c>
      <c r="F3569" s="607">
        <v>363.85</v>
      </c>
      <c r="G3569" s="584">
        <v>15</v>
      </c>
    </row>
    <row r="3570" spans="1:7" ht="15" x14ac:dyDescent="0.25">
      <c r="A3570" s="583" t="s">
        <v>19119</v>
      </c>
      <c r="B3570" s="605" t="s">
        <v>19120</v>
      </c>
      <c r="C3570" s="606"/>
      <c r="D3570" s="607"/>
      <c r="E3570" s="607"/>
      <c r="F3570" s="607"/>
      <c r="G3570" s="582"/>
    </row>
    <row r="3571" spans="1:7" ht="15" x14ac:dyDescent="0.2">
      <c r="A3571" s="583" t="s">
        <v>19121</v>
      </c>
      <c r="B3571" s="605" t="s">
        <v>19122</v>
      </c>
      <c r="C3571" s="606" t="s">
        <v>12375</v>
      </c>
      <c r="D3571" s="607">
        <v>1909.53</v>
      </c>
      <c r="E3571" s="607">
        <v>1622.65</v>
      </c>
      <c r="F3571" s="607">
        <v>3532.18</v>
      </c>
      <c r="G3571" s="584">
        <v>15</v>
      </c>
    </row>
    <row r="3572" spans="1:7" ht="15" x14ac:dyDescent="0.2">
      <c r="A3572" s="583" t="s">
        <v>19123</v>
      </c>
      <c r="B3572" s="605" t="s">
        <v>19124</v>
      </c>
      <c r="C3572" s="606" t="s">
        <v>12375</v>
      </c>
      <c r="D3572" s="607">
        <v>3234.63</v>
      </c>
      <c r="E3572" s="607">
        <v>2521.94</v>
      </c>
      <c r="F3572" s="607">
        <v>5756.57</v>
      </c>
      <c r="G3572" s="584">
        <v>15</v>
      </c>
    </row>
    <row r="3573" spans="1:7" ht="15" x14ac:dyDescent="0.2">
      <c r="A3573" s="583" t="s">
        <v>19125</v>
      </c>
      <c r="B3573" s="605" t="s">
        <v>19126</v>
      </c>
      <c r="C3573" s="606" t="s">
        <v>12375</v>
      </c>
      <c r="D3573" s="607">
        <v>4501.34</v>
      </c>
      <c r="E3573" s="607">
        <v>3414.73</v>
      </c>
      <c r="F3573" s="607">
        <v>7916.07</v>
      </c>
      <c r="G3573" s="584">
        <v>15</v>
      </c>
    </row>
    <row r="3574" spans="1:7" ht="15" x14ac:dyDescent="0.2">
      <c r="A3574" s="583" t="s">
        <v>19127</v>
      </c>
      <c r="B3574" s="605" t="s">
        <v>19128</v>
      </c>
      <c r="C3574" s="606" t="s">
        <v>12375</v>
      </c>
      <c r="D3574" s="607">
        <v>1526.41</v>
      </c>
      <c r="E3574" s="607">
        <v>1163.57</v>
      </c>
      <c r="F3574" s="607">
        <v>2689.98</v>
      </c>
      <c r="G3574" s="584">
        <v>15</v>
      </c>
    </row>
    <row r="3575" spans="1:7" ht="15" x14ac:dyDescent="0.2">
      <c r="A3575" s="583" t="s">
        <v>21970</v>
      </c>
      <c r="B3575" s="605" t="s">
        <v>21971</v>
      </c>
      <c r="C3575" s="606" t="s">
        <v>12375</v>
      </c>
      <c r="D3575" s="607">
        <v>2563.87</v>
      </c>
      <c r="E3575" s="607">
        <v>1838.96</v>
      </c>
      <c r="F3575" s="607">
        <v>4402.83</v>
      </c>
      <c r="G3575" s="584">
        <v>15</v>
      </c>
    </row>
    <row r="3576" spans="1:7" ht="15" x14ac:dyDescent="0.2">
      <c r="A3576" s="583" t="s">
        <v>19129</v>
      </c>
      <c r="B3576" s="605" t="s">
        <v>19130</v>
      </c>
      <c r="C3576" s="606" t="s">
        <v>12375</v>
      </c>
      <c r="D3576" s="607">
        <v>3939.23</v>
      </c>
      <c r="E3576" s="607">
        <v>2745.5</v>
      </c>
      <c r="F3576" s="607">
        <v>6684.73</v>
      </c>
      <c r="G3576" s="584">
        <v>15</v>
      </c>
    </row>
    <row r="3577" spans="1:7" ht="30" x14ac:dyDescent="0.2">
      <c r="A3577" s="583" t="s">
        <v>19131</v>
      </c>
      <c r="B3577" s="605" t="s">
        <v>19132</v>
      </c>
      <c r="C3577" s="606" t="s">
        <v>12483</v>
      </c>
      <c r="D3577" s="607">
        <v>335.82</v>
      </c>
      <c r="E3577" s="607">
        <v>398.85</v>
      </c>
      <c r="F3577" s="607">
        <v>734.67</v>
      </c>
      <c r="G3577" s="584">
        <v>15</v>
      </c>
    </row>
    <row r="3578" spans="1:7" ht="15" x14ac:dyDescent="0.2">
      <c r="A3578" s="583" t="s">
        <v>19133</v>
      </c>
      <c r="B3578" s="605" t="s">
        <v>19134</v>
      </c>
      <c r="C3578" s="606" t="s">
        <v>12375</v>
      </c>
      <c r="D3578" s="607">
        <v>2432.35</v>
      </c>
      <c r="E3578" s="607">
        <v>2542.7800000000002</v>
      </c>
      <c r="F3578" s="607">
        <v>4975.13</v>
      </c>
      <c r="G3578" s="584">
        <v>15</v>
      </c>
    </row>
    <row r="3579" spans="1:7" ht="15" x14ac:dyDescent="0.25">
      <c r="A3579" s="583" t="s">
        <v>19135</v>
      </c>
      <c r="B3579" s="605" t="s">
        <v>19136</v>
      </c>
      <c r="C3579" s="606"/>
      <c r="D3579" s="607"/>
      <c r="E3579" s="607"/>
      <c r="F3579" s="607"/>
      <c r="G3579" s="582"/>
    </row>
    <row r="3580" spans="1:7" ht="30" x14ac:dyDescent="0.2">
      <c r="A3580" s="583" t="s">
        <v>19137</v>
      </c>
      <c r="B3580" s="605" t="s">
        <v>19138</v>
      </c>
      <c r="C3580" s="606" t="s">
        <v>12375</v>
      </c>
      <c r="D3580" s="607">
        <v>3652.32</v>
      </c>
      <c r="E3580" s="607">
        <v>3191.9</v>
      </c>
      <c r="F3580" s="607">
        <v>6844.22</v>
      </c>
      <c r="G3580" s="584">
        <v>15</v>
      </c>
    </row>
    <row r="3581" spans="1:7" ht="30" x14ac:dyDescent="0.2">
      <c r="A3581" s="583" t="s">
        <v>19139</v>
      </c>
      <c r="B3581" s="605" t="s">
        <v>19140</v>
      </c>
      <c r="C3581" s="606" t="s">
        <v>12375</v>
      </c>
      <c r="D3581" s="607">
        <v>6499.21</v>
      </c>
      <c r="E3581" s="607">
        <v>5188.08</v>
      </c>
      <c r="F3581" s="607">
        <v>11687.29</v>
      </c>
      <c r="G3581" s="584">
        <v>15</v>
      </c>
    </row>
    <row r="3582" spans="1:7" ht="30" x14ac:dyDescent="0.2">
      <c r="A3582" s="583" t="s">
        <v>19141</v>
      </c>
      <c r="B3582" s="605" t="s">
        <v>19142</v>
      </c>
      <c r="C3582" s="606" t="s">
        <v>12375</v>
      </c>
      <c r="D3582" s="607">
        <v>8419.33</v>
      </c>
      <c r="E3582" s="607">
        <v>6851.4</v>
      </c>
      <c r="F3582" s="607">
        <v>15270.73</v>
      </c>
      <c r="G3582" s="584">
        <v>15</v>
      </c>
    </row>
    <row r="3583" spans="1:7" ht="30" x14ac:dyDescent="0.2">
      <c r="A3583" s="583" t="s">
        <v>19143</v>
      </c>
      <c r="B3583" s="605" t="s">
        <v>19144</v>
      </c>
      <c r="C3583" s="606" t="s">
        <v>12375</v>
      </c>
      <c r="D3583" s="607">
        <v>12708.18</v>
      </c>
      <c r="E3583" s="607">
        <v>8540.08</v>
      </c>
      <c r="F3583" s="607">
        <v>21248.26</v>
      </c>
      <c r="G3583" s="584">
        <v>15</v>
      </c>
    </row>
    <row r="3584" spans="1:7" ht="15" x14ac:dyDescent="0.25">
      <c r="A3584" s="583" t="s">
        <v>19145</v>
      </c>
      <c r="B3584" s="605" t="s">
        <v>19146</v>
      </c>
      <c r="C3584" s="606"/>
      <c r="D3584" s="607"/>
      <c r="E3584" s="607"/>
      <c r="F3584" s="607"/>
      <c r="G3584" s="582"/>
    </row>
    <row r="3585" spans="1:7" ht="30" x14ac:dyDescent="0.2">
      <c r="A3585" s="583" t="s">
        <v>19147</v>
      </c>
      <c r="B3585" s="605" t="s">
        <v>19148</v>
      </c>
      <c r="C3585" s="606" t="s">
        <v>12375</v>
      </c>
      <c r="D3585" s="607">
        <v>2480.96</v>
      </c>
      <c r="E3585" s="607">
        <v>1597.15</v>
      </c>
      <c r="F3585" s="607">
        <v>4078.11</v>
      </c>
      <c r="G3585" s="584">
        <v>15</v>
      </c>
    </row>
    <row r="3586" spans="1:7" ht="30" x14ac:dyDescent="0.2">
      <c r="A3586" s="583" t="s">
        <v>19149</v>
      </c>
      <c r="B3586" s="605" t="s">
        <v>19150</v>
      </c>
      <c r="C3586" s="606" t="s">
        <v>12375</v>
      </c>
      <c r="D3586" s="607">
        <v>6790.26</v>
      </c>
      <c r="E3586" s="607">
        <v>2385.48</v>
      </c>
      <c r="F3586" s="607">
        <v>9175.74</v>
      </c>
      <c r="G3586" s="584">
        <v>15</v>
      </c>
    </row>
    <row r="3587" spans="1:7" ht="30" x14ac:dyDescent="0.2">
      <c r="A3587" s="583" t="s">
        <v>19151</v>
      </c>
      <c r="B3587" s="605" t="s">
        <v>19152</v>
      </c>
      <c r="C3587" s="606" t="s">
        <v>12375</v>
      </c>
      <c r="D3587" s="607">
        <v>10042.39</v>
      </c>
      <c r="E3587" s="607">
        <v>4770.99</v>
      </c>
      <c r="F3587" s="607">
        <v>14813.38</v>
      </c>
      <c r="G3587" s="584">
        <v>15</v>
      </c>
    </row>
    <row r="3588" spans="1:7" ht="15" x14ac:dyDescent="0.2">
      <c r="A3588" s="583" t="s">
        <v>19153</v>
      </c>
      <c r="B3588" s="605" t="s">
        <v>19154</v>
      </c>
      <c r="C3588" s="606" t="s">
        <v>12483</v>
      </c>
      <c r="D3588" s="607">
        <v>1597.45</v>
      </c>
      <c r="E3588" s="607">
        <v>793.98</v>
      </c>
      <c r="F3588" s="607">
        <v>2391.4299999999998</v>
      </c>
      <c r="G3588" s="584">
        <v>15</v>
      </c>
    </row>
    <row r="3589" spans="1:7" ht="30" x14ac:dyDescent="0.2">
      <c r="A3589" s="583" t="s">
        <v>19155</v>
      </c>
      <c r="B3589" s="605" t="s">
        <v>19156</v>
      </c>
      <c r="C3589" s="606" t="s">
        <v>12375</v>
      </c>
      <c r="D3589" s="607">
        <v>864.04</v>
      </c>
      <c r="E3589" s="607">
        <v>45.31</v>
      </c>
      <c r="F3589" s="607">
        <v>909.35</v>
      </c>
      <c r="G3589" s="584">
        <v>15</v>
      </c>
    </row>
    <row r="3590" spans="1:7" ht="15" x14ac:dyDescent="0.25">
      <c r="A3590" s="583" t="s">
        <v>19157</v>
      </c>
      <c r="B3590" s="605" t="s">
        <v>19158</v>
      </c>
      <c r="C3590" s="606"/>
      <c r="D3590" s="607"/>
      <c r="E3590" s="607"/>
      <c r="F3590" s="607"/>
      <c r="G3590" s="582"/>
    </row>
    <row r="3591" spans="1:7" ht="15" x14ac:dyDescent="0.2">
      <c r="A3591" s="583" t="s">
        <v>19159</v>
      </c>
      <c r="B3591" s="605" t="s">
        <v>19160</v>
      </c>
      <c r="C3591" s="606" t="s">
        <v>12483</v>
      </c>
      <c r="D3591" s="607">
        <v>376.28</v>
      </c>
      <c r="E3591" s="607">
        <v>32.880000000000003</v>
      </c>
      <c r="F3591" s="607">
        <v>409.16</v>
      </c>
      <c r="G3591" s="584">
        <v>15</v>
      </c>
    </row>
    <row r="3592" spans="1:7" ht="15" x14ac:dyDescent="0.2">
      <c r="A3592" s="583" t="s">
        <v>19161</v>
      </c>
      <c r="B3592" s="605" t="s">
        <v>19162</v>
      </c>
      <c r="C3592" s="606" t="s">
        <v>12483</v>
      </c>
      <c r="D3592" s="607">
        <v>576.79</v>
      </c>
      <c r="E3592" s="607">
        <v>49.31</v>
      </c>
      <c r="F3592" s="607">
        <v>626.1</v>
      </c>
      <c r="G3592" s="584">
        <v>15</v>
      </c>
    </row>
    <row r="3593" spans="1:7" ht="15" x14ac:dyDescent="0.2">
      <c r="A3593" s="583" t="s">
        <v>19163</v>
      </c>
      <c r="B3593" s="605" t="s">
        <v>19164</v>
      </c>
      <c r="C3593" s="606" t="s">
        <v>12483</v>
      </c>
      <c r="D3593" s="607">
        <v>627.74</v>
      </c>
      <c r="E3593" s="607">
        <v>65.75</v>
      </c>
      <c r="F3593" s="607">
        <v>693.49</v>
      </c>
      <c r="G3593" s="584">
        <v>15</v>
      </c>
    </row>
    <row r="3594" spans="1:7" ht="15" x14ac:dyDescent="0.2">
      <c r="A3594" s="583" t="s">
        <v>19165</v>
      </c>
      <c r="B3594" s="605" t="s">
        <v>19166</v>
      </c>
      <c r="C3594" s="606" t="s">
        <v>12483</v>
      </c>
      <c r="D3594" s="607">
        <v>859.84</v>
      </c>
      <c r="E3594" s="607">
        <v>82.19</v>
      </c>
      <c r="F3594" s="607">
        <v>942.03</v>
      </c>
      <c r="G3594" s="584">
        <v>15</v>
      </c>
    </row>
    <row r="3595" spans="1:7" ht="15" x14ac:dyDescent="0.2">
      <c r="A3595" s="583" t="s">
        <v>19167</v>
      </c>
      <c r="B3595" s="605" t="s">
        <v>19168</v>
      </c>
      <c r="C3595" s="606" t="s">
        <v>12483</v>
      </c>
      <c r="D3595" s="607">
        <v>1049.31</v>
      </c>
      <c r="E3595" s="607">
        <v>98.63</v>
      </c>
      <c r="F3595" s="607">
        <v>1147.94</v>
      </c>
      <c r="G3595" s="584">
        <v>15</v>
      </c>
    </row>
    <row r="3596" spans="1:7" ht="15" x14ac:dyDescent="0.2">
      <c r="A3596" s="583" t="s">
        <v>19169</v>
      </c>
      <c r="B3596" s="605" t="s">
        <v>19170</v>
      </c>
      <c r="C3596" s="606" t="s">
        <v>12483</v>
      </c>
      <c r="D3596" s="607">
        <v>2459.21</v>
      </c>
      <c r="E3596" s="607">
        <v>164.38</v>
      </c>
      <c r="F3596" s="607">
        <v>2623.59</v>
      </c>
      <c r="G3596" s="584">
        <v>15</v>
      </c>
    </row>
    <row r="3597" spans="1:7" ht="15" x14ac:dyDescent="0.25">
      <c r="A3597" s="583" t="s">
        <v>19171</v>
      </c>
      <c r="B3597" s="605" t="s">
        <v>19172</v>
      </c>
      <c r="C3597" s="606"/>
      <c r="D3597" s="607"/>
      <c r="E3597" s="607"/>
      <c r="F3597" s="607"/>
      <c r="G3597" s="582"/>
    </row>
    <row r="3598" spans="1:7" ht="15" x14ac:dyDescent="0.2">
      <c r="A3598" s="583" t="s">
        <v>19173</v>
      </c>
      <c r="B3598" s="605" t="s">
        <v>20237</v>
      </c>
      <c r="C3598" s="606" t="s">
        <v>12375</v>
      </c>
      <c r="D3598" s="607">
        <v>453.95</v>
      </c>
      <c r="E3598" s="607">
        <v>20.100000000000001</v>
      </c>
      <c r="F3598" s="607">
        <v>474.05</v>
      </c>
      <c r="G3598" s="584">
        <v>15</v>
      </c>
    </row>
    <row r="3599" spans="1:7" ht="30" x14ac:dyDescent="0.2">
      <c r="A3599" s="583" t="s">
        <v>19174</v>
      </c>
      <c r="B3599" s="605" t="s">
        <v>19175</v>
      </c>
      <c r="C3599" s="606" t="s">
        <v>12375</v>
      </c>
      <c r="D3599" s="607">
        <v>226.44</v>
      </c>
      <c r="E3599" s="607">
        <v>25.12</v>
      </c>
      <c r="F3599" s="607">
        <v>251.56</v>
      </c>
      <c r="G3599" s="584">
        <v>15</v>
      </c>
    </row>
    <row r="3600" spans="1:7" ht="15" x14ac:dyDescent="0.25">
      <c r="A3600" s="583" t="s">
        <v>19176</v>
      </c>
      <c r="B3600" s="605" t="s">
        <v>19177</v>
      </c>
      <c r="C3600" s="606"/>
      <c r="D3600" s="607"/>
      <c r="E3600" s="607"/>
      <c r="F3600" s="607"/>
      <c r="G3600" s="582"/>
    </row>
    <row r="3601" spans="1:7" ht="15" x14ac:dyDescent="0.25">
      <c r="A3601" s="583" t="s">
        <v>19178</v>
      </c>
      <c r="B3601" s="605" t="s">
        <v>19179</v>
      </c>
      <c r="C3601" s="606"/>
      <c r="D3601" s="607"/>
      <c r="E3601" s="607"/>
      <c r="F3601" s="607"/>
      <c r="G3601" s="582"/>
    </row>
    <row r="3602" spans="1:7" ht="30" x14ac:dyDescent="0.2">
      <c r="A3602" s="583" t="s">
        <v>19180</v>
      </c>
      <c r="B3602" s="605" t="s">
        <v>19181</v>
      </c>
      <c r="C3602" s="606" t="s">
        <v>12375</v>
      </c>
      <c r="D3602" s="607">
        <v>1014.1</v>
      </c>
      <c r="E3602" s="607">
        <v>175.84</v>
      </c>
      <c r="F3602" s="607">
        <v>1189.94</v>
      </c>
      <c r="G3602" s="584">
        <v>15</v>
      </c>
    </row>
    <row r="3603" spans="1:7" ht="15" x14ac:dyDescent="0.2">
      <c r="A3603" s="583" t="s">
        <v>19182</v>
      </c>
      <c r="B3603" s="605" t="s">
        <v>19183</v>
      </c>
      <c r="C3603" s="606" t="s">
        <v>12375</v>
      </c>
      <c r="D3603" s="607">
        <v>398.6</v>
      </c>
      <c r="E3603" s="607">
        <v>175.84</v>
      </c>
      <c r="F3603" s="607">
        <v>574.44000000000005</v>
      </c>
      <c r="G3603" s="584">
        <v>15</v>
      </c>
    </row>
    <row r="3604" spans="1:7" ht="15" x14ac:dyDescent="0.2">
      <c r="A3604" s="583" t="s">
        <v>21443</v>
      </c>
      <c r="B3604" s="605" t="s">
        <v>21444</v>
      </c>
      <c r="C3604" s="606" t="s">
        <v>12375</v>
      </c>
      <c r="D3604" s="607">
        <v>145.63999999999999</v>
      </c>
      <c r="E3604" s="607">
        <v>175.84</v>
      </c>
      <c r="F3604" s="607">
        <v>321.48</v>
      </c>
      <c r="G3604" s="584">
        <v>15</v>
      </c>
    </row>
    <row r="3605" spans="1:7" ht="15" x14ac:dyDescent="0.2">
      <c r="A3605" s="583" t="s">
        <v>19184</v>
      </c>
      <c r="B3605" s="605" t="s">
        <v>19185</v>
      </c>
      <c r="C3605" s="606" t="s">
        <v>12483</v>
      </c>
      <c r="D3605" s="607">
        <v>19.87</v>
      </c>
      <c r="E3605" s="607">
        <v>5.0199999999999996</v>
      </c>
      <c r="F3605" s="607">
        <v>24.89</v>
      </c>
      <c r="G3605" s="584">
        <v>15</v>
      </c>
    </row>
    <row r="3606" spans="1:7" ht="30" x14ac:dyDescent="0.2">
      <c r="A3606" s="583" t="s">
        <v>19186</v>
      </c>
      <c r="B3606" s="605" t="s">
        <v>19187</v>
      </c>
      <c r="C3606" s="606" t="s">
        <v>12375</v>
      </c>
      <c r="D3606" s="607">
        <v>59.66</v>
      </c>
      <c r="E3606" s="607">
        <v>15.07</v>
      </c>
      <c r="F3606" s="607">
        <v>74.73</v>
      </c>
      <c r="G3606" s="584">
        <v>15</v>
      </c>
    </row>
    <row r="3607" spans="1:7" ht="15" x14ac:dyDescent="0.2">
      <c r="A3607" s="583" t="s">
        <v>19188</v>
      </c>
      <c r="B3607" s="605" t="s">
        <v>19189</v>
      </c>
      <c r="C3607" s="606" t="s">
        <v>12483</v>
      </c>
      <c r="D3607" s="607">
        <v>28.12</v>
      </c>
      <c r="E3607" s="607">
        <v>5.0199999999999996</v>
      </c>
      <c r="F3607" s="607">
        <v>33.14</v>
      </c>
      <c r="G3607" s="584">
        <v>15</v>
      </c>
    </row>
    <row r="3608" spans="1:7" ht="15" x14ac:dyDescent="0.2">
      <c r="A3608" s="583" t="s">
        <v>19190</v>
      </c>
      <c r="B3608" s="605" t="s">
        <v>19191</v>
      </c>
      <c r="C3608" s="606" t="s">
        <v>12375</v>
      </c>
      <c r="D3608" s="607">
        <v>232.45</v>
      </c>
      <c r="E3608" s="607">
        <v>5.0199999999999996</v>
      </c>
      <c r="F3608" s="607">
        <v>237.47</v>
      </c>
      <c r="G3608" s="584">
        <v>15</v>
      </c>
    </row>
    <row r="3609" spans="1:7" ht="45" x14ac:dyDescent="0.2">
      <c r="A3609" s="583" t="s">
        <v>19192</v>
      </c>
      <c r="B3609" s="605" t="s">
        <v>19193</v>
      </c>
      <c r="C3609" s="606" t="s">
        <v>12375</v>
      </c>
      <c r="D3609" s="607">
        <v>3777.36</v>
      </c>
      <c r="E3609" s="607">
        <v>276.32</v>
      </c>
      <c r="F3609" s="607">
        <v>4053.68</v>
      </c>
      <c r="G3609" s="584">
        <v>15</v>
      </c>
    </row>
    <row r="3610" spans="1:7" ht="15" x14ac:dyDescent="0.2">
      <c r="A3610" s="583" t="s">
        <v>19194</v>
      </c>
      <c r="B3610" s="605" t="s">
        <v>19195</v>
      </c>
      <c r="C3610" s="606" t="s">
        <v>12375</v>
      </c>
      <c r="D3610" s="607">
        <v>66.38</v>
      </c>
      <c r="E3610" s="607">
        <v>5.0199999999999996</v>
      </c>
      <c r="F3610" s="607">
        <v>71.400000000000006</v>
      </c>
      <c r="G3610" s="584">
        <v>15</v>
      </c>
    </row>
    <row r="3611" spans="1:7" ht="15" x14ac:dyDescent="0.2">
      <c r="A3611" s="583" t="s">
        <v>19196</v>
      </c>
      <c r="B3611" s="605" t="s">
        <v>19197</v>
      </c>
      <c r="C3611" s="606" t="s">
        <v>12375</v>
      </c>
      <c r="D3611" s="607">
        <v>94.35</v>
      </c>
      <c r="E3611" s="607">
        <v>5.0199999999999996</v>
      </c>
      <c r="F3611" s="607">
        <v>99.37</v>
      </c>
      <c r="G3611" s="584">
        <v>15</v>
      </c>
    </row>
    <row r="3612" spans="1:7" ht="15" x14ac:dyDescent="0.2">
      <c r="A3612" s="583" t="s">
        <v>19198</v>
      </c>
      <c r="B3612" s="605" t="s">
        <v>19199</v>
      </c>
      <c r="C3612" s="606" t="s">
        <v>12375</v>
      </c>
      <c r="D3612" s="607">
        <v>2193.42</v>
      </c>
      <c r="E3612" s="607">
        <v>64.48</v>
      </c>
      <c r="F3612" s="607">
        <v>2257.9</v>
      </c>
      <c r="G3612" s="584">
        <v>15</v>
      </c>
    </row>
    <row r="3613" spans="1:7" ht="15" x14ac:dyDescent="0.2">
      <c r="A3613" s="583" t="s">
        <v>19200</v>
      </c>
      <c r="B3613" s="605" t="s">
        <v>19201</v>
      </c>
      <c r="C3613" s="606" t="s">
        <v>12375</v>
      </c>
      <c r="D3613" s="607">
        <v>116.13</v>
      </c>
      <c r="E3613" s="607">
        <v>5.0199999999999996</v>
      </c>
      <c r="F3613" s="607">
        <v>121.15</v>
      </c>
      <c r="G3613" s="584">
        <v>15</v>
      </c>
    </row>
    <row r="3614" spans="1:7" ht="15" x14ac:dyDescent="0.2">
      <c r="A3614" s="583" t="s">
        <v>19202</v>
      </c>
      <c r="B3614" s="605" t="s">
        <v>19203</v>
      </c>
      <c r="C3614" s="606" t="s">
        <v>12375</v>
      </c>
      <c r="D3614" s="607">
        <v>80.66</v>
      </c>
      <c r="E3614" s="607">
        <v>5.0199999999999996</v>
      </c>
      <c r="F3614" s="607">
        <v>85.68</v>
      </c>
      <c r="G3614" s="584">
        <v>15</v>
      </c>
    </row>
    <row r="3615" spans="1:7" ht="15" x14ac:dyDescent="0.2">
      <c r="A3615" s="583" t="s">
        <v>19204</v>
      </c>
      <c r="B3615" s="605" t="s">
        <v>19205</v>
      </c>
      <c r="C3615" s="606" t="s">
        <v>12375</v>
      </c>
      <c r="D3615" s="607">
        <v>17.940000000000001</v>
      </c>
      <c r="E3615" s="607">
        <v>0.67</v>
      </c>
      <c r="F3615" s="607">
        <v>18.61</v>
      </c>
      <c r="G3615" s="584">
        <v>15</v>
      </c>
    </row>
    <row r="3616" spans="1:7" ht="15" x14ac:dyDescent="0.2">
      <c r="A3616" s="583" t="s">
        <v>19206</v>
      </c>
      <c r="B3616" s="605" t="s">
        <v>19207</v>
      </c>
      <c r="C3616" s="606" t="s">
        <v>12375</v>
      </c>
      <c r="D3616" s="607">
        <v>163.75</v>
      </c>
      <c r="E3616" s="607">
        <v>5.0199999999999996</v>
      </c>
      <c r="F3616" s="607">
        <v>168.77</v>
      </c>
      <c r="G3616" s="584">
        <v>15</v>
      </c>
    </row>
    <row r="3617" spans="1:7" ht="30" x14ac:dyDescent="0.2">
      <c r="A3617" s="583" t="s">
        <v>19208</v>
      </c>
      <c r="B3617" s="605" t="s">
        <v>19209</v>
      </c>
      <c r="C3617" s="606" t="s">
        <v>12375</v>
      </c>
      <c r="D3617" s="607">
        <v>1941.28</v>
      </c>
      <c r="E3617" s="607">
        <v>261.25</v>
      </c>
      <c r="F3617" s="607">
        <v>2202.5300000000002</v>
      </c>
      <c r="G3617" s="584">
        <v>15</v>
      </c>
    </row>
    <row r="3618" spans="1:7" ht="30" x14ac:dyDescent="0.2">
      <c r="A3618" s="583" t="s">
        <v>19210</v>
      </c>
      <c r="B3618" s="605" t="s">
        <v>19211</v>
      </c>
      <c r="C3618" s="606" t="s">
        <v>12375</v>
      </c>
      <c r="D3618" s="607">
        <v>2543.92</v>
      </c>
      <c r="E3618" s="607">
        <v>261.25</v>
      </c>
      <c r="F3618" s="607">
        <v>2805.17</v>
      </c>
      <c r="G3618" s="584">
        <v>15</v>
      </c>
    </row>
    <row r="3619" spans="1:7" ht="30" x14ac:dyDescent="0.2">
      <c r="A3619" s="583" t="s">
        <v>19212</v>
      </c>
      <c r="B3619" s="605" t="s">
        <v>19213</v>
      </c>
      <c r="C3619" s="606" t="s">
        <v>12375</v>
      </c>
      <c r="D3619" s="607">
        <v>2881.6</v>
      </c>
      <c r="E3619" s="607">
        <v>817.96</v>
      </c>
      <c r="F3619" s="607">
        <v>3699.56</v>
      </c>
      <c r="G3619" s="584">
        <v>15</v>
      </c>
    </row>
    <row r="3620" spans="1:7" ht="15" x14ac:dyDescent="0.25">
      <c r="A3620" s="583" t="s">
        <v>19214</v>
      </c>
      <c r="B3620" s="605" t="s">
        <v>19215</v>
      </c>
      <c r="C3620" s="606"/>
      <c r="D3620" s="607"/>
      <c r="E3620" s="607"/>
      <c r="F3620" s="607"/>
      <c r="G3620" s="582"/>
    </row>
    <row r="3621" spans="1:7" ht="30" x14ac:dyDescent="0.2">
      <c r="A3621" s="583" t="s">
        <v>19216</v>
      </c>
      <c r="B3621" s="605" t="s">
        <v>21445</v>
      </c>
      <c r="C3621" s="606" t="s">
        <v>12375</v>
      </c>
      <c r="D3621" s="607">
        <v>26.47</v>
      </c>
      <c r="E3621" s="607">
        <v>17.670000000000002</v>
      </c>
      <c r="F3621" s="607">
        <v>44.14</v>
      </c>
      <c r="G3621" s="584">
        <v>15</v>
      </c>
    </row>
    <row r="3622" spans="1:7" ht="15" x14ac:dyDescent="0.2">
      <c r="A3622" s="583" t="s">
        <v>19217</v>
      </c>
      <c r="B3622" s="605" t="s">
        <v>19218</v>
      </c>
      <c r="C3622" s="606" t="s">
        <v>12375</v>
      </c>
      <c r="D3622" s="607">
        <v>783.02</v>
      </c>
      <c r="E3622" s="607">
        <v>25.12</v>
      </c>
      <c r="F3622" s="607">
        <v>808.14</v>
      </c>
      <c r="G3622" s="584">
        <v>15</v>
      </c>
    </row>
    <row r="3623" spans="1:7" ht="30" x14ac:dyDescent="0.2">
      <c r="A3623" s="583" t="s">
        <v>19219</v>
      </c>
      <c r="B3623" s="605" t="s">
        <v>21446</v>
      </c>
      <c r="C3623" s="606" t="s">
        <v>12375</v>
      </c>
      <c r="D3623" s="607">
        <v>28.4</v>
      </c>
      <c r="E3623" s="607">
        <v>17.670000000000002</v>
      </c>
      <c r="F3623" s="607">
        <v>46.07</v>
      </c>
      <c r="G3623" s="584">
        <v>15</v>
      </c>
    </row>
    <row r="3624" spans="1:7" ht="30" x14ac:dyDescent="0.2">
      <c r="A3624" s="583" t="s">
        <v>19220</v>
      </c>
      <c r="B3624" s="605" t="s">
        <v>19221</v>
      </c>
      <c r="C3624" s="606" t="s">
        <v>12375</v>
      </c>
      <c r="D3624" s="607">
        <v>8004.23</v>
      </c>
      <c r="E3624" s="607">
        <v>150.72</v>
      </c>
      <c r="F3624" s="607">
        <v>8154.95</v>
      </c>
      <c r="G3624" s="584">
        <v>15</v>
      </c>
    </row>
    <row r="3625" spans="1:7" ht="15" x14ac:dyDescent="0.25">
      <c r="A3625" s="583" t="s">
        <v>19222</v>
      </c>
      <c r="B3625" s="605" t="s">
        <v>19223</v>
      </c>
      <c r="C3625" s="606"/>
      <c r="D3625" s="607"/>
      <c r="E3625" s="607"/>
      <c r="F3625" s="607"/>
      <c r="G3625" s="582"/>
    </row>
    <row r="3626" spans="1:7" ht="30" x14ac:dyDescent="0.2">
      <c r="A3626" s="583" t="s">
        <v>19224</v>
      </c>
      <c r="B3626" s="605" t="s">
        <v>19225</v>
      </c>
      <c r="C3626" s="606" t="s">
        <v>12375</v>
      </c>
      <c r="D3626" s="607">
        <v>240.62</v>
      </c>
      <c r="E3626" s="607">
        <v>40.19</v>
      </c>
      <c r="F3626" s="607">
        <v>280.81</v>
      </c>
      <c r="G3626" s="584">
        <v>15</v>
      </c>
    </row>
    <row r="3627" spans="1:7" ht="30" x14ac:dyDescent="0.2">
      <c r="A3627" s="583" t="s">
        <v>19226</v>
      </c>
      <c r="B3627" s="605" t="s">
        <v>19227</v>
      </c>
      <c r="C3627" s="606" t="s">
        <v>12375</v>
      </c>
      <c r="D3627" s="607">
        <v>23595.23</v>
      </c>
      <c r="E3627" s="607">
        <v>16.010000000000002</v>
      </c>
      <c r="F3627" s="607">
        <v>23611.24</v>
      </c>
      <c r="G3627" s="584">
        <v>15</v>
      </c>
    </row>
    <row r="3628" spans="1:7" ht="30" x14ac:dyDescent="0.2">
      <c r="A3628" s="583" t="s">
        <v>20313</v>
      </c>
      <c r="B3628" s="605" t="s">
        <v>20314</v>
      </c>
      <c r="C3628" s="606" t="s">
        <v>12375</v>
      </c>
      <c r="D3628" s="607">
        <v>76.86</v>
      </c>
      <c r="E3628" s="607">
        <v>25.12</v>
      </c>
      <c r="F3628" s="607">
        <v>101.98</v>
      </c>
      <c r="G3628" s="584">
        <v>15</v>
      </c>
    </row>
    <row r="3629" spans="1:7" ht="30" x14ac:dyDescent="0.2">
      <c r="A3629" s="583" t="s">
        <v>19228</v>
      </c>
      <c r="B3629" s="605" t="s">
        <v>19229</v>
      </c>
      <c r="C3629" s="606" t="s">
        <v>12375</v>
      </c>
      <c r="D3629" s="607">
        <v>485.92</v>
      </c>
      <c r="E3629" s="607">
        <v>15.07</v>
      </c>
      <c r="F3629" s="607">
        <v>500.99</v>
      </c>
      <c r="G3629" s="584">
        <v>15</v>
      </c>
    </row>
    <row r="3630" spans="1:7" ht="15" x14ac:dyDescent="0.2">
      <c r="A3630" s="583" t="s">
        <v>19230</v>
      </c>
      <c r="B3630" s="605" t="s">
        <v>19231</v>
      </c>
      <c r="C3630" s="606" t="s">
        <v>12375</v>
      </c>
      <c r="D3630" s="607">
        <v>78.94</v>
      </c>
      <c r="E3630" s="607">
        <v>15.07</v>
      </c>
      <c r="F3630" s="607">
        <v>94.01</v>
      </c>
      <c r="G3630" s="584">
        <v>15</v>
      </c>
    </row>
    <row r="3631" spans="1:7" ht="30" x14ac:dyDescent="0.2">
      <c r="A3631" s="583" t="s">
        <v>19232</v>
      </c>
      <c r="B3631" s="605" t="s">
        <v>19233</v>
      </c>
      <c r="C3631" s="606" t="s">
        <v>12375</v>
      </c>
      <c r="D3631" s="607">
        <v>192.6</v>
      </c>
      <c r="E3631" s="607">
        <v>15.07</v>
      </c>
      <c r="F3631" s="607">
        <v>207.67</v>
      </c>
      <c r="G3631" s="584">
        <v>15</v>
      </c>
    </row>
    <row r="3632" spans="1:7" ht="30" x14ac:dyDescent="0.2">
      <c r="A3632" s="583" t="s">
        <v>19234</v>
      </c>
      <c r="B3632" s="605" t="s">
        <v>19235</v>
      </c>
      <c r="C3632" s="606" t="s">
        <v>12375</v>
      </c>
      <c r="D3632" s="607">
        <v>316.39</v>
      </c>
      <c r="E3632" s="607">
        <v>15.07</v>
      </c>
      <c r="F3632" s="607">
        <v>331.46</v>
      </c>
      <c r="G3632" s="584">
        <v>15</v>
      </c>
    </row>
    <row r="3633" spans="1:7" ht="15" x14ac:dyDescent="0.2">
      <c r="A3633" s="583" t="s">
        <v>19236</v>
      </c>
      <c r="B3633" s="605" t="s">
        <v>19237</v>
      </c>
      <c r="C3633" s="606" t="s">
        <v>12375</v>
      </c>
      <c r="D3633" s="607">
        <v>318.01</v>
      </c>
      <c r="E3633" s="607">
        <v>15.07</v>
      </c>
      <c r="F3633" s="607">
        <v>333.08</v>
      </c>
      <c r="G3633" s="584">
        <v>15</v>
      </c>
    </row>
    <row r="3634" spans="1:7" ht="30" x14ac:dyDescent="0.2">
      <c r="A3634" s="583" t="s">
        <v>19238</v>
      </c>
      <c r="B3634" s="605" t="s">
        <v>19239</v>
      </c>
      <c r="C3634" s="606" t="s">
        <v>12375</v>
      </c>
      <c r="D3634" s="607">
        <v>737.35</v>
      </c>
      <c r="E3634" s="607">
        <v>16.010000000000002</v>
      </c>
      <c r="F3634" s="607">
        <v>753.36</v>
      </c>
      <c r="G3634" s="584">
        <v>15</v>
      </c>
    </row>
    <row r="3635" spans="1:7" ht="30" x14ac:dyDescent="0.2">
      <c r="A3635" s="583" t="s">
        <v>19240</v>
      </c>
      <c r="B3635" s="605" t="s">
        <v>19241</v>
      </c>
      <c r="C3635" s="606" t="s">
        <v>12375</v>
      </c>
      <c r="D3635" s="607">
        <v>808.17</v>
      </c>
      <c r="E3635" s="607">
        <v>16.010000000000002</v>
      </c>
      <c r="F3635" s="607">
        <v>824.18</v>
      </c>
      <c r="G3635" s="584">
        <v>15</v>
      </c>
    </row>
    <row r="3636" spans="1:7" ht="15" x14ac:dyDescent="0.2">
      <c r="A3636" s="583" t="s">
        <v>19242</v>
      </c>
      <c r="B3636" s="605" t="s">
        <v>19243</v>
      </c>
      <c r="C3636" s="606" t="s">
        <v>12375</v>
      </c>
      <c r="D3636" s="607">
        <v>80.87</v>
      </c>
      <c r="E3636" s="607">
        <v>15.07</v>
      </c>
      <c r="F3636" s="607">
        <v>95.94</v>
      </c>
      <c r="G3636" s="584">
        <v>15</v>
      </c>
    </row>
    <row r="3637" spans="1:7" ht="45" x14ac:dyDescent="0.2">
      <c r="A3637" s="583" t="s">
        <v>19244</v>
      </c>
      <c r="B3637" s="605" t="s">
        <v>19245</v>
      </c>
      <c r="C3637" s="606" t="s">
        <v>12375</v>
      </c>
      <c r="D3637" s="607">
        <v>203.43</v>
      </c>
      <c r="E3637" s="607">
        <v>16.010000000000002</v>
      </c>
      <c r="F3637" s="607">
        <v>219.44</v>
      </c>
      <c r="G3637" s="584">
        <v>15</v>
      </c>
    </row>
    <row r="3638" spans="1:7" ht="15" x14ac:dyDescent="0.2">
      <c r="A3638" s="583" t="s">
        <v>19246</v>
      </c>
      <c r="B3638" s="605" t="s">
        <v>19247</v>
      </c>
      <c r="C3638" s="606" t="s">
        <v>12375</v>
      </c>
      <c r="D3638" s="607">
        <v>78.94</v>
      </c>
      <c r="E3638" s="607">
        <v>55.26</v>
      </c>
      <c r="F3638" s="607">
        <v>134.19999999999999</v>
      </c>
      <c r="G3638" s="584">
        <v>15</v>
      </c>
    </row>
    <row r="3639" spans="1:7" ht="15" x14ac:dyDescent="0.2">
      <c r="A3639" s="583" t="s">
        <v>19248</v>
      </c>
      <c r="B3639" s="605" t="s">
        <v>19249</v>
      </c>
      <c r="C3639" s="606" t="s">
        <v>12375</v>
      </c>
      <c r="D3639" s="607">
        <v>188.83</v>
      </c>
      <c r="E3639" s="607">
        <v>50.24</v>
      </c>
      <c r="F3639" s="607">
        <v>239.07</v>
      </c>
      <c r="G3639" s="584">
        <v>15</v>
      </c>
    </row>
    <row r="3640" spans="1:7" ht="30" x14ac:dyDescent="0.2">
      <c r="A3640" s="583" t="s">
        <v>19250</v>
      </c>
      <c r="B3640" s="605" t="s">
        <v>19251</v>
      </c>
      <c r="C3640" s="606" t="s">
        <v>12375</v>
      </c>
      <c r="D3640" s="607">
        <v>1204.6400000000001</v>
      </c>
      <c r="E3640" s="607">
        <v>15.07</v>
      </c>
      <c r="F3640" s="607">
        <v>1219.71</v>
      </c>
      <c r="G3640" s="584">
        <v>15</v>
      </c>
    </row>
    <row r="3641" spans="1:7" ht="15" x14ac:dyDescent="0.2">
      <c r="A3641" s="583" t="s">
        <v>19252</v>
      </c>
      <c r="B3641" s="605" t="s">
        <v>19253</v>
      </c>
      <c r="C3641" s="606" t="s">
        <v>12375</v>
      </c>
      <c r="D3641" s="607">
        <v>179.81</v>
      </c>
      <c r="E3641" s="607">
        <v>15.07</v>
      </c>
      <c r="F3641" s="607">
        <v>194.88</v>
      </c>
      <c r="G3641" s="584">
        <v>15</v>
      </c>
    </row>
    <row r="3642" spans="1:7" ht="15" x14ac:dyDescent="0.2">
      <c r="A3642" s="583" t="s">
        <v>19254</v>
      </c>
      <c r="B3642" s="605" t="s">
        <v>19255</v>
      </c>
      <c r="C3642" s="606" t="s">
        <v>12375</v>
      </c>
      <c r="D3642" s="607">
        <v>144.21</v>
      </c>
      <c r="E3642" s="607">
        <v>25.12</v>
      </c>
      <c r="F3642" s="607">
        <v>169.33</v>
      </c>
      <c r="G3642" s="584">
        <v>15</v>
      </c>
    </row>
    <row r="3643" spans="1:7" ht="15" x14ac:dyDescent="0.2">
      <c r="A3643" s="583" t="s">
        <v>19256</v>
      </c>
      <c r="B3643" s="605" t="s">
        <v>19257</v>
      </c>
      <c r="C3643" s="606" t="s">
        <v>12375</v>
      </c>
      <c r="D3643" s="607">
        <v>386.31</v>
      </c>
      <c r="E3643" s="607">
        <v>15.07</v>
      </c>
      <c r="F3643" s="607">
        <v>401.38</v>
      </c>
      <c r="G3643" s="584">
        <v>15</v>
      </c>
    </row>
    <row r="3644" spans="1:7" ht="15" x14ac:dyDescent="0.2">
      <c r="A3644" s="583" t="s">
        <v>19258</v>
      </c>
      <c r="B3644" s="605" t="s">
        <v>19259</v>
      </c>
      <c r="C3644" s="606" t="s">
        <v>12375</v>
      </c>
      <c r="D3644" s="607">
        <v>278.06</v>
      </c>
      <c r="E3644" s="607">
        <v>12.56</v>
      </c>
      <c r="F3644" s="607">
        <v>290.62</v>
      </c>
      <c r="G3644" s="584">
        <v>15</v>
      </c>
    </row>
    <row r="3645" spans="1:7" ht="15" x14ac:dyDescent="0.2">
      <c r="A3645" s="583" t="s">
        <v>19260</v>
      </c>
      <c r="B3645" s="605" t="s">
        <v>19261</v>
      </c>
      <c r="C3645" s="606" t="s">
        <v>12375</v>
      </c>
      <c r="D3645" s="607">
        <v>270.72000000000003</v>
      </c>
      <c r="E3645" s="607">
        <v>12.56</v>
      </c>
      <c r="F3645" s="607">
        <v>283.27999999999997</v>
      </c>
      <c r="G3645" s="584">
        <v>15</v>
      </c>
    </row>
    <row r="3646" spans="1:7" ht="15" x14ac:dyDescent="0.25">
      <c r="A3646" s="583" t="s">
        <v>19262</v>
      </c>
      <c r="B3646" s="605" t="s">
        <v>19263</v>
      </c>
      <c r="C3646" s="606"/>
      <c r="D3646" s="607"/>
      <c r="E3646" s="607"/>
      <c r="F3646" s="607"/>
      <c r="G3646" s="582"/>
    </row>
    <row r="3647" spans="1:7" ht="15" x14ac:dyDescent="0.2">
      <c r="A3647" s="583" t="s">
        <v>19264</v>
      </c>
      <c r="B3647" s="605" t="s">
        <v>19265</v>
      </c>
      <c r="C3647" s="606" t="s">
        <v>12375</v>
      </c>
      <c r="D3647" s="607">
        <v>1558.15</v>
      </c>
      <c r="E3647" s="607">
        <v>20.86</v>
      </c>
      <c r="F3647" s="607">
        <v>1579.01</v>
      </c>
      <c r="G3647" s="584">
        <v>15</v>
      </c>
    </row>
    <row r="3648" spans="1:7" ht="15" x14ac:dyDescent="0.2">
      <c r="A3648" s="583" t="s">
        <v>19266</v>
      </c>
      <c r="B3648" s="605" t="s">
        <v>19267</v>
      </c>
      <c r="C3648" s="606" t="s">
        <v>12375</v>
      </c>
      <c r="D3648" s="607">
        <v>5778.96</v>
      </c>
      <c r="E3648" s="607">
        <v>20.86</v>
      </c>
      <c r="F3648" s="607">
        <v>5799.82</v>
      </c>
      <c r="G3648" s="584">
        <v>15</v>
      </c>
    </row>
    <row r="3649" spans="1:7" ht="15" x14ac:dyDescent="0.2">
      <c r="A3649" s="583" t="s">
        <v>19268</v>
      </c>
      <c r="B3649" s="605" t="s">
        <v>19269</v>
      </c>
      <c r="C3649" s="606" t="s">
        <v>12375</v>
      </c>
      <c r="D3649" s="607">
        <v>162.71</v>
      </c>
      <c r="E3649" s="607">
        <v>20.86</v>
      </c>
      <c r="F3649" s="607">
        <v>183.57</v>
      </c>
      <c r="G3649" s="584">
        <v>15</v>
      </c>
    </row>
    <row r="3650" spans="1:7" ht="15" x14ac:dyDescent="0.2">
      <c r="A3650" s="583" t="s">
        <v>19270</v>
      </c>
      <c r="B3650" s="605" t="s">
        <v>19271</v>
      </c>
      <c r="C3650" s="606" t="s">
        <v>12375</v>
      </c>
      <c r="D3650" s="607">
        <v>224.3</v>
      </c>
      <c r="E3650" s="607">
        <v>20.86</v>
      </c>
      <c r="F3650" s="607">
        <v>245.16</v>
      </c>
      <c r="G3650" s="584">
        <v>15</v>
      </c>
    </row>
    <row r="3651" spans="1:7" ht="15" x14ac:dyDescent="0.2">
      <c r="A3651" s="583" t="s">
        <v>19272</v>
      </c>
      <c r="B3651" s="605" t="s">
        <v>19273</v>
      </c>
      <c r="C3651" s="606" t="s">
        <v>12375</v>
      </c>
      <c r="D3651" s="607">
        <v>260.38</v>
      </c>
      <c r="E3651" s="607">
        <v>20.86</v>
      </c>
      <c r="F3651" s="607">
        <v>281.24</v>
      </c>
      <c r="G3651" s="584">
        <v>15</v>
      </c>
    </row>
    <row r="3652" spans="1:7" ht="30" x14ac:dyDescent="0.2">
      <c r="A3652" s="583" t="s">
        <v>19274</v>
      </c>
      <c r="B3652" s="605" t="s">
        <v>19275</v>
      </c>
      <c r="C3652" s="606" t="s">
        <v>12375</v>
      </c>
      <c r="D3652" s="607">
        <v>1675.69</v>
      </c>
      <c r="E3652" s="607"/>
      <c r="F3652" s="607">
        <v>1675.69</v>
      </c>
      <c r="G3652" s="584">
        <v>15</v>
      </c>
    </row>
    <row r="3653" spans="1:7" ht="15" x14ac:dyDescent="0.2">
      <c r="A3653" s="583" t="s">
        <v>19276</v>
      </c>
      <c r="B3653" s="605" t="s">
        <v>19277</v>
      </c>
      <c r="C3653" s="606" t="s">
        <v>12375</v>
      </c>
      <c r="D3653" s="607">
        <v>182.66</v>
      </c>
      <c r="E3653" s="607">
        <v>20.86</v>
      </c>
      <c r="F3653" s="607">
        <v>203.52</v>
      </c>
      <c r="G3653" s="584">
        <v>15</v>
      </c>
    </row>
    <row r="3654" spans="1:7" ht="15" x14ac:dyDescent="0.2">
      <c r="A3654" s="583" t="s">
        <v>19278</v>
      </c>
      <c r="B3654" s="605" t="s">
        <v>19279</v>
      </c>
      <c r="C3654" s="606" t="s">
        <v>12375</v>
      </c>
      <c r="D3654" s="607">
        <v>162.13</v>
      </c>
      <c r="E3654" s="607">
        <v>20.86</v>
      </c>
      <c r="F3654" s="607">
        <v>182.99</v>
      </c>
      <c r="G3654" s="584">
        <v>15</v>
      </c>
    </row>
    <row r="3655" spans="1:7" ht="15" x14ac:dyDescent="0.2">
      <c r="A3655" s="583" t="s">
        <v>19280</v>
      </c>
      <c r="B3655" s="605" t="s">
        <v>19281</v>
      </c>
      <c r="C3655" s="606" t="s">
        <v>12375</v>
      </c>
      <c r="D3655" s="607">
        <v>226.95</v>
      </c>
      <c r="E3655" s="607">
        <v>20.86</v>
      </c>
      <c r="F3655" s="607">
        <v>247.81</v>
      </c>
      <c r="G3655" s="584">
        <v>15</v>
      </c>
    </row>
    <row r="3656" spans="1:7" ht="15" x14ac:dyDescent="0.2">
      <c r="A3656" s="583" t="s">
        <v>19282</v>
      </c>
      <c r="B3656" s="605" t="s">
        <v>19283</v>
      </c>
      <c r="C3656" s="606" t="s">
        <v>12375</v>
      </c>
      <c r="D3656" s="607">
        <v>625.94000000000005</v>
      </c>
      <c r="E3656" s="607">
        <v>20.86</v>
      </c>
      <c r="F3656" s="607">
        <v>646.79999999999995</v>
      </c>
      <c r="G3656" s="584">
        <v>15</v>
      </c>
    </row>
    <row r="3657" spans="1:7" ht="15" x14ac:dyDescent="0.2">
      <c r="A3657" s="583" t="s">
        <v>19284</v>
      </c>
      <c r="B3657" s="605" t="s">
        <v>19285</v>
      </c>
      <c r="C3657" s="606" t="s">
        <v>12375</v>
      </c>
      <c r="D3657" s="607">
        <v>225.05</v>
      </c>
      <c r="E3657" s="607">
        <v>2.04</v>
      </c>
      <c r="F3657" s="607">
        <v>227.09</v>
      </c>
      <c r="G3657" s="584">
        <v>15</v>
      </c>
    </row>
    <row r="3658" spans="1:7" ht="15" x14ac:dyDescent="0.2">
      <c r="A3658" s="583" t="s">
        <v>19286</v>
      </c>
      <c r="B3658" s="605" t="s">
        <v>19287</v>
      </c>
      <c r="C3658" s="606" t="s">
        <v>12375</v>
      </c>
      <c r="D3658" s="607">
        <v>298.51</v>
      </c>
      <c r="E3658" s="607">
        <v>2.04</v>
      </c>
      <c r="F3658" s="607">
        <v>300.55</v>
      </c>
      <c r="G3658" s="584">
        <v>15</v>
      </c>
    </row>
    <row r="3659" spans="1:7" ht="15" x14ac:dyDescent="0.25">
      <c r="A3659" s="583" t="s">
        <v>19288</v>
      </c>
      <c r="B3659" s="605" t="s">
        <v>19289</v>
      </c>
      <c r="C3659" s="606"/>
      <c r="D3659" s="607"/>
      <c r="E3659" s="607"/>
      <c r="F3659" s="607"/>
      <c r="G3659" s="582"/>
    </row>
    <row r="3660" spans="1:7" ht="15" x14ac:dyDescent="0.2">
      <c r="A3660" s="583" t="s">
        <v>19290</v>
      </c>
      <c r="B3660" s="605" t="s">
        <v>19291</v>
      </c>
      <c r="C3660" s="606" t="s">
        <v>62</v>
      </c>
      <c r="D3660" s="607">
        <v>2.84</v>
      </c>
      <c r="E3660" s="607"/>
      <c r="F3660" s="607">
        <v>2.84</v>
      </c>
      <c r="G3660" s="584">
        <v>15</v>
      </c>
    </row>
    <row r="3661" spans="1:7" ht="15" x14ac:dyDescent="0.2">
      <c r="A3661" s="583" t="s">
        <v>19292</v>
      </c>
      <c r="B3661" s="605" t="s">
        <v>19293</v>
      </c>
      <c r="C3661" s="606" t="s">
        <v>12929</v>
      </c>
      <c r="D3661" s="607">
        <v>15.31</v>
      </c>
      <c r="E3661" s="607"/>
      <c r="F3661" s="607">
        <v>15.31</v>
      </c>
      <c r="G3661" s="584">
        <v>15</v>
      </c>
    </row>
    <row r="3662" spans="1:7" ht="15" x14ac:dyDescent="0.2">
      <c r="A3662" s="583" t="s">
        <v>19294</v>
      </c>
      <c r="B3662" s="605" t="s">
        <v>19295</v>
      </c>
      <c r="C3662" s="606" t="s">
        <v>12929</v>
      </c>
      <c r="D3662" s="607">
        <v>9.32</v>
      </c>
      <c r="E3662" s="607"/>
      <c r="F3662" s="607">
        <v>9.32</v>
      </c>
      <c r="G3662" s="584">
        <v>15</v>
      </c>
    </row>
    <row r="3663" spans="1:7" ht="30" x14ac:dyDescent="0.2">
      <c r="A3663" s="583" t="s">
        <v>19296</v>
      </c>
      <c r="B3663" s="605" t="s">
        <v>19297</v>
      </c>
      <c r="C3663" s="606" t="s">
        <v>12375</v>
      </c>
      <c r="D3663" s="607">
        <v>36.17</v>
      </c>
      <c r="E3663" s="607"/>
      <c r="F3663" s="607">
        <v>36.17</v>
      </c>
      <c r="G3663" s="584">
        <v>15</v>
      </c>
    </row>
    <row r="3664" spans="1:7" ht="30" x14ac:dyDescent="0.2">
      <c r="A3664" s="583" t="s">
        <v>19298</v>
      </c>
      <c r="B3664" s="605" t="s">
        <v>19299</v>
      </c>
      <c r="C3664" s="606" t="s">
        <v>12375</v>
      </c>
      <c r="D3664" s="607">
        <v>27.52</v>
      </c>
      <c r="E3664" s="607"/>
      <c r="F3664" s="607">
        <v>27.52</v>
      </c>
      <c r="G3664" s="584">
        <v>15</v>
      </c>
    </row>
    <row r="3665" spans="1:7" ht="15" x14ac:dyDescent="0.2">
      <c r="A3665" s="583" t="s">
        <v>19300</v>
      </c>
      <c r="B3665" s="605" t="s">
        <v>19301</v>
      </c>
      <c r="C3665" s="606" t="s">
        <v>12375</v>
      </c>
      <c r="D3665" s="607">
        <v>0.06</v>
      </c>
      <c r="E3665" s="607">
        <v>17.670000000000002</v>
      </c>
      <c r="F3665" s="607">
        <v>17.73</v>
      </c>
      <c r="G3665" s="584">
        <v>15</v>
      </c>
    </row>
    <row r="3666" spans="1:7" ht="15" x14ac:dyDescent="0.25">
      <c r="A3666" s="583" t="s">
        <v>19302</v>
      </c>
      <c r="B3666" s="605" t="s">
        <v>19303</v>
      </c>
      <c r="C3666" s="606"/>
      <c r="D3666" s="607"/>
      <c r="E3666" s="607"/>
      <c r="F3666" s="607"/>
      <c r="G3666" s="582"/>
    </row>
    <row r="3667" spans="1:7" ht="15" x14ac:dyDescent="0.25">
      <c r="A3667" s="583" t="s">
        <v>19304</v>
      </c>
      <c r="B3667" s="605" t="s">
        <v>19305</v>
      </c>
      <c r="C3667" s="606"/>
      <c r="D3667" s="607"/>
      <c r="E3667" s="607"/>
      <c r="F3667" s="607"/>
      <c r="G3667" s="582"/>
    </row>
    <row r="3668" spans="1:7" ht="30" x14ac:dyDescent="0.2">
      <c r="A3668" s="583" t="s">
        <v>19306</v>
      </c>
      <c r="B3668" s="605" t="s">
        <v>176</v>
      </c>
      <c r="C3668" s="606" t="s">
        <v>12427</v>
      </c>
      <c r="D3668" s="607">
        <v>3.38</v>
      </c>
      <c r="E3668" s="607">
        <v>0.16</v>
      </c>
      <c r="F3668" s="607">
        <v>3.54</v>
      </c>
      <c r="G3668" s="584">
        <v>15</v>
      </c>
    </row>
    <row r="3669" spans="1:7" ht="30" x14ac:dyDescent="0.2">
      <c r="A3669" s="583" t="s">
        <v>181</v>
      </c>
      <c r="B3669" s="605" t="s">
        <v>177</v>
      </c>
      <c r="C3669" s="606" t="s">
        <v>12427</v>
      </c>
      <c r="D3669" s="607">
        <v>28.79</v>
      </c>
      <c r="E3669" s="607">
        <v>0.33</v>
      </c>
      <c r="F3669" s="607">
        <v>29.12</v>
      </c>
      <c r="G3669" s="584">
        <v>15</v>
      </c>
    </row>
    <row r="3670" spans="1:7" ht="15" x14ac:dyDescent="0.2">
      <c r="A3670" s="583" t="s">
        <v>19307</v>
      </c>
      <c r="B3670" s="605" t="s">
        <v>19308</v>
      </c>
      <c r="C3670" s="606" t="s">
        <v>12508</v>
      </c>
      <c r="D3670" s="607">
        <v>20.55</v>
      </c>
      <c r="E3670" s="607">
        <v>0.65</v>
      </c>
      <c r="F3670" s="607">
        <v>21.2</v>
      </c>
      <c r="G3670" s="584">
        <v>15</v>
      </c>
    </row>
    <row r="3671" spans="1:7" ht="15" x14ac:dyDescent="0.2">
      <c r="A3671" s="583" t="s">
        <v>19309</v>
      </c>
      <c r="B3671" s="605" t="s">
        <v>19310</v>
      </c>
      <c r="C3671" s="606" t="s">
        <v>12508</v>
      </c>
      <c r="D3671" s="607">
        <v>331.91</v>
      </c>
      <c r="E3671" s="607">
        <v>30.66</v>
      </c>
      <c r="F3671" s="607">
        <v>362.57</v>
      </c>
      <c r="G3671" s="584">
        <v>15</v>
      </c>
    </row>
    <row r="3672" spans="1:7" ht="15" x14ac:dyDescent="0.2">
      <c r="A3672" s="583" t="s">
        <v>12</v>
      </c>
      <c r="B3672" s="605" t="s">
        <v>19311</v>
      </c>
      <c r="C3672" s="606" t="s">
        <v>12508</v>
      </c>
      <c r="D3672" s="607">
        <v>275.82</v>
      </c>
      <c r="E3672" s="607">
        <v>3.15</v>
      </c>
      <c r="F3672" s="607">
        <v>278.97000000000003</v>
      </c>
      <c r="G3672" s="584">
        <v>15</v>
      </c>
    </row>
    <row r="3673" spans="1:7" ht="15" x14ac:dyDescent="0.2">
      <c r="A3673" s="583" t="s">
        <v>19312</v>
      </c>
      <c r="B3673" s="605" t="s">
        <v>19313</v>
      </c>
      <c r="C3673" s="606" t="s">
        <v>12508</v>
      </c>
      <c r="D3673" s="607">
        <v>229.36</v>
      </c>
      <c r="E3673" s="607">
        <v>3.15</v>
      </c>
      <c r="F3673" s="607">
        <v>232.51</v>
      </c>
      <c r="G3673" s="584">
        <v>15</v>
      </c>
    </row>
    <row r="3674" spans="1:7" ht="15" x14ac:dyDescent="0.2">
      <c r="A3674" s="583" t="s">
        <v>19314</v>
      </c>
      <c r="B3674" s="605" t="s">
        <v>19315</v>
      </c>
      <c r="C3674" s="606" t="s">
        <v>12508</v>
      </c>
      <c r="D3674" s="607">
        <v>1061.28</v>
      </c>
      <c r="E3674" s="607">
        <v>15.33</v>
      </c>
      <c r="F3674" s="607">
        <v>1076.6099999999999</v>
      </c>
      <c r="G3674" s="584">
        <v>15</v>
      </c>
    </row>
    <row r="3675" spans="1:7" ht="30" x14ac:dyDescent="0.2">
      <c r="A3675" s="583" t="s">
        <v>182</v>
      </c>
      <c r="B3675" s="605" t="s">
        <v>178</v>
      </c>
      <c r="C3675" s="606" t="s">
        <v>12427</v>
      </c>
      <c r="D3675" s="607">
        <v>23.9</v>
      </c>
      <c r="E3675" s="607">
        <v>0.46</v>
      </c>
      <c r="F3675" s="607">
        <v>24.36</v>
      </c>
      <c r="G3675" s="584">
        <v>15</v>
      </c>
    </row>
    <row r="3676" spans="1:7" ht="15" x14ac:dyDescent="0.2">
      <c r="A3676" s="583" t="s">
        <v>19316</v>
      </c>
      <c r="B3676" s="605" t="s">
        <v>19317</v>
      </c>
      <c r="C3676" s="606" t="s">
        <v>12427</v>
      </c>
      <c r="D3676" s="607"/>
      <c r="E3676" s="607">
        <v>0.82</v>
      </c>
      <c r="F3676" s="607">
        <v>0.82</v>
      </c>
      <c r="G3676" s="584">
        <v>15</v>
      </c>
    </row>
    <row r="3677" spans="1:7" ht="15" x14ac:dyDescent="0.25">
      <c r="A3677" s="583" t="s">
        <v>19318</v>
      </c>
      <c r="B3677" s="605" t="s">
        <v>19319</v>
      </c>
      <c r="C3677" s="606"/>
      <c r="D3677" s="607"/>
      <c r="E3677" s="607"/>
      <c r="F3677" s="607"/>
      <c r="G3677" s="582"/>
    </row>
    <row r="3678" spans="1:7" ht="30" x14ac:dyDescent="0.2">
      <c r="A3678" s="583" t="s">
        <v>19320</v>
      </c>
      <c r="B3678" s="605" t="s">
        <v>19321</v>
      </c>
      <c r="C3678" s="606" t="s">
        <v>12508</v>
      </c>
      <c r="D3678" s="607">
        <v>123.05</v>
      </c>
      <c r="E3678" s="607">
        <v>13.08</v>
      </c>
      <c r="F3678" s="607">
        <v>136.13</v>
      </c>
      <c r="G3678" s="584">
        <v>15</v>
      </c>
    </row>
    <row r="3679" spans="1:7" ht="30" x14ac:dyDescent="0.2">
      <c r="A3679" s="583" t="s">
        <v>20238</v>
      </c>
      <c r="B3679" s="605" t="s">
        <v>20239</v>
      </c>
      <c r="C3679" s="606" t="s">
        <v>12508</v>
      </c>
      <c r="D3679" s="607">
        <v>204.93</v>
      </c>
      <c r="E3679" s="607">
        <v>96.41</v>
      </c>
      <c r="F3679" s="607">
        <v>301.33999999999997</v>
      </c>
      <c r="G3679" s="584">
        <v>15</v>
      </c>
    </row>
    <row r="3680" spans="1:7" ht="15" x14ac:dyDescent="0.25">
      <c r="A3680" s="583" t="s">
        <v>19322</v>
      </c>
      <c r="B3680" s="605" t="s">
        <v>19323</v>
      </c>
      <c r="C3680" s="606"/>
      <c r="D3680" s="607"/>
      <c r="E3680" s="607"/>
      <c r="F3680" s="607"/>
      <c r="G3680" s="582"/>
    </row>
    <row r="3681" spans="1:7" ht="15" x14ac:dyDescent="0.2">
      <c r="A3681" s="583" t="s">
        <v>19324</v>
      </c>
      <c r="B3681" s="605" t="s">
        <v>19325</v>
      </c>
      <c r="C3681" s="606" t="s">
        <v>12508</v>
      </c>
      <c r="D3681" s="607">
        <v>1205.26</v>
      </c>
      <c r="E3681" s="607">
        <v>17.03</v>
      </c>
      <c r="F3681" s="607">
        <v>1222.29</v>
      </c>
      <c r="G3681" s="584">
        <v>15</v>
      </c>
    </row>
    <row r="3682" spans="1:7" ht="30" x14ac:dyDescent="0.2">
      <c r="A3682" s="583" t="s">
        <v>13</v>
      </c>
      <c r="B3682" s="605" t="s">
        <v>19326</v>
      </c>
      <c r="C3682" s="606" t="s">
        <v>12508</v>
      </c>
      <c r="D3682" s="607">
        <v>1523.09</v>
      </c>
      <c r="E3682" s="607">
        <v>17.03</v>
      </c>
      <c r="F3682" s="607">
        <v>1540.12</v>
      </c>
      <c r="G3682" s="584">
        <v>15</v>
      </c>
    </row>
    <row r="3683" spans="1:7" ht="30" x14ac:dyDescent="0.2">
      <c r="A3683" s="583" t="s">
        <v>19327</v>
      </c>
      <c r="B3683" s="605" t="s">
        <v>19328</v>
      </c>
      <c r="C3683" s="606" t="s">
        <v>12508</v>
      </c>
      <c r="D3683" s="607">
        <v>1523.09</v>
      </c>
      <c r="E3683" s="607">
        <v>17.03</v>
      </c>
      <c r="F3683" s="607">
        <v>1540.12</v>
      </c>
      <c r="G3683" s="584">
        <v>15</v>
      </c>
    </row>
    <row r="3684" spans="1:7" ht="15" x14ac:dyDescent="0.2">
      <c r="A3684" s="583" t="s">
        <v>14</v>
      </c>
      <c r="B3684" s="605" t="s">
        <v>19329</v>
      </c>
      <c r="C3684" s="606" t="s">
        <v>12427</v>
      </c>
      <c r="D3684" s="607">
        <v>6.55</v>
      </c>
      <c r="E3684" s="607">
        <v>0.1</v>
      </c>
      <c r="F3684" s="607">
        <v>6.65</v>
      </c>
      <c r="G3684" s="584">
        <v>15</v>
      </c>
    </row>
    <row r="3685" spans="1:7" ht="15" x14ac:dyDescent="0.2">
      <c r="A3685" s="583" t="s">
        <v>15</v>
      </c>
      <c r="B3685" s="605" t="s">
        <v>19330</v>
      </c>
      <c r="C3685" s="606" t="s">
        <v>12427</v>
      </c>
      <c r="D3685" s="607">
        <v>12.86</v>
      </c>
      <c r="E3685" s="607">
        <v>0.12</v>
      </c>
      <c r="F3685" s="607">
        <v>12.98</v>
      </c>
      <c r="G3685" s="584">
        <v>15</v>
      </c>
    </row>
    <row r="3686" spans="1:7" ht="15" x14ac:dyDescent="0.2">
      <c r="A3686" s="583" t="s">
        <v>19331</v>
      </c>
      <c r="B3686" s="605" t="s">
        <v>19332</v>
      </c>
      <c r="C3686" s="606" t="s">
        <v>12508</v>
      </c>
      <c r="D3686" s="607">
        <v>1612.29</v>
      </c>
      <c r="E3686" s="607">
        <v>17.03</v>
      </c>
      <c r="F3686" s="607">
        <v>1629.32</v>
      </c>
      <c r="G3686" s="584">
        <v>15</v>
      </c>
    </row>
    <row r="3687" spans="1:7" ht="15" x14ac:dyDescent="0.2">
      <c r="A3687" s="583" t="s">
        <v>19333</v>
      </c>
      <c r="B3687" s="605" t="s">
        <v>19334</v>
      </c>
      <c r="C3687" s="606" t="s">
        <v>12508</v>
      </c>
      <c r="D3687" s="607">
        <v>1475.44</v>
      </c>
      <c r="E3687" s="607">
        <v>40.880000000000003</v>
      </c>
      <c r="F3687" s="607">
        <v>1516.32</v>
      </c>
      <c r="G3687" s="584">
        <v>15</v>
      </c>
    </row>
    <row r="3688" spans="1:7" ht="15" x14ac:dyDescent="0.25">
      <c r="A3688" s="583" t="s">
        <v>19335</v>
      </c>
      <c r="B3688" s="605" t="s">
        <v>19336</v>
      </c>
      <c r="C3688" s="606"/>
      <c r="D3688" s="607"/>
      <c r="E3688" s="607"/>
      <c r="F3688" s="607"/>
      <c r="G3688" s="582"/>
    </row>
    <row r="3689" spans="1:7" ht="15" x14ac:dyDescent="0.2">
      <c r="A3689" s="583" t="s">
        <v>19337</v>
      </c>
      <c r="B3689" s="605" t="s">
        <v>19338</v>
      </c>
      <c r="C3689" s="606" t="s">
        <v>12427</v>
      </c>
      <c r="D3689" s="607">
        <v>310.14999999999998</v>
      </c>
      <c r="E3689" s="607">
        <v>26.13</v>
      </c>
      <c r="F3689" s="607">
        <v>336.28</v>
      </c>
      <c r="G3689" s="584">
        <v>15</v>
      </c>
    </row>
    <row r="3690" spans="1:7" ht="15" x14ac:dyDescent="0.2">
      <c r="A3690" s="583" t="s">
        <v>19339</v>
      </c>
      <c r="B3690" s="605" t="s">
        <v>19340</v>
      </c>
      <c r="C3690" s="606" t="s">
        <v>12427</v>
      </c>
      <c r="D3690" s="607">
        <v>14.96</v>
      </c>
      <c r="E3690" s="607">
        <v>2.04</v>
      </c>
      <c r="F3690" s="607">
        <v>17</v>
      </c>
      <c r="G3690" s="584">
        <v>15</v>
      </c>
    </row>
    <row r="3691" spans="1:7" ht="30" x14ac:dyDescent="0.2">
      <c r="A3691" s="583" t="s">
        <v>19341</v>
      </c>
      <c r="B3691" s="605" t="s">
        <v>19342</v>
      </c>
      <c r="C3691" s="606" t="s">
        <v>12427</v>
      </c>
      <c r="D3691" s="607">
        <v>10.97</v>
      </c>
      <c r="E3691" s="607">
        <v>6.34</v>
      </c>
      <c r="F3691" s="607">
        <v>17.309999999999999</v>
      </c>
      <c r="G3691" s="584">
        <v>15</v>
      </c>
    </row>
    <row r="3692" spans="1:7" ht="15" x14ac:dyDescent="0.2">
      <c r="A3692" s="583" t="s">
        <v>19343</v>
      </c>
      <c r="B3692" s="605" t="s">
        <v>19344</v>
      </c>
      <c r="C3692" s="606" t="s">
        <v>12427</v>
      </c>
      <c r="D3692" s="607">
        <v>51.39</v>
      </c>
      <c r="E3692" s="607">
        <v>5.1100000000000003</v>
      </c>
      <c r="F3692" s="607">
        <v>56.5</v>
      </c>
      <c r="G3692" s="584">
        <v>15</v>
      </c>
    </row>
    <row r="3693" spans="1:7" ht="45" x14ac:dyDescent="0.2">
      <c r="A3693" s="583" t="s">
        <v>12355</v>
      </c>
      <c r="B3693" s="605" t="s">
        <v>19345</v>
      </c>
      <c r="C3693" s="606" t="s">
        <v>12427</v>
      </c>
      <c r="D3693" s="607">
        <v>91.76</v>
      </c>
      <c r="E3693" s="607">
        <v>19.72</v>
      </c>
      <c r="F3693" s="607">
        <v>111.48</v>
      </c>
      <c r="G3693" s="584">
        <v>15</v>
      </c>
    </row>
    <row r="3694" spans="1:7" ht="45" x14ac:dyDescent="0.2">
      <c r="A3694" s="583" t="s">
        <v>19346</v>
      </c>
      <c r="B3694" s="605" t="s">
        <v>19347</v>
      </c>
      <c r="C3694" s="606" t="s">
        <v>12427</v>
      </c>
      <c r="D3694" s="607">
        <v>102.48</v>
      </c>
      <c r="E3694" s="607">
        <v>19.72</v>
      </c>
      <c r="F3694" s="607">
        <v>122.2</v>
      </c>
      <c r="G3694" s="584">
        <v>15</v>
      </c>
    </row>
    <row r="3695" spans="1:7" ht="45" x14ac:dyDescent="0.2">
      <c r="A3695" s="583" t="s">
        <v>19348</v>
      </c>
      <c r="B3695" s="605" t="s">
        <v>19349</v>
      </c>
      <c r="C3695" s="606" t="s">
        <v>12427</v>
      </c>
      <c r="D3695" s="607">
        <v>97.12</v>
      </c>
      <c r="E3695" s="607">
        <v>26.3</v>
      </c>
      <c r="F3695" s="607">
        <v>123.42</v>
      </c>
      <c r="G3695" s="584">
        <v>15</v>
      </c>
    </row>
    <row r="3696" spans="1:7" ht="30" x14ac:dyDescent="0.2">
      <c r="A3696" s="583" t="s">
        <v>19350</v>
      </c>
      <c r="B3696" s="605" t="s">
        <v>20386</v>
      </c>
      <c r="C3696" s="606" t="s">
        <v>12427</v>
      </c>
      <c r="D3696" s="607">
        <v>195.88</v>
      </c>
      <c r="E3696" s="607">
        <v>9.66</v>
      </c>
      <c r="F3696" s="607">
        <v>205.54</v>
      </c>
      <c r="G3696" s="584">
        <v>15</v>
      </c>
    </row>
    <row r="3697" spans="1:7" ht="30" x14ac:dyDescent="0.2">
      <c r="A3697" s="583" t="s">
        <v>19351</v>
      </c>
      <c r="B3697" s="605" t="s">
        <v>20240</v>
      </c>
      <c r="C3697" s="606" t="s">
        <v>12427</v>
      </c>
      <c r="D3697" s="607">
        <v>121.31</v>
      </c>
      <c r="E3697" s="607">
        <v>20.440000000000001</v>
      </c>
      <c r="F3697" s="607">
        <v>141.75</v>
      </c>
      <c r="G3697" s="584">
        <v>15</v>
      </c>
    </row>
    <row r="3698" spans="1:7" ht="30" x14ac:dyDescent="0.2">
      <c r="A3698" s="583" t="s">
        <v>19352</v>
      </c>
      <c r="B3698" s="605" t="s">
        <v>20241</v>
      </c>
      <c r="C3698" s="606" t="s">
        <v>12427</v>
      </c>
      <c r="D3698" s="607">
        <v>131.22999999999999</v>
      </c>
      <c r="E3698" s="607">
        <v>20.440000000000001</v>
      </c>
      <c r="F3698" s="607">
        <v>151.66999999999999</v>
      </c>
      <c r="G3698" s="584">
        <v>15</v>
      </c>
    </row>
    <row r="3699" spans="1:7" ht="15" x14ac:dyDescent="0.25">
      <c r="A3699" s="583" t="s">
        <v>19353</v>
      </c>
      <c r="B3699" s="605" t="s">
        <v>19354</v>
      </c>
      <c r="C3699" s="606"/>
      <c r="D3699" s="607"/>
      <c r="E3699" s="607"/>
      <c r="F3699" s="607"/>
      <c r="G3699" s="582"/>
    </row>
    <row r="3700" spans="1:7" ht="15" x14ac:dyDescent="0.2">
      <c r="A3700" s="583" t="s">
        <v>19355</v>
      </c>
      <c r="B3700" s="605" t="s">
        <v>19356</v>
      </c>
      <c r="C3700" s="606" t="s">
        <v>12483</v>
      </c>
      <c r="D3700" s="607">
        <v>51.01</v>
      </c>
      <c r="E3700" s="607">
        <v>12.33</v>
      </c>
      <c r="F3700" s="607">
        <v>63.34</v>
      </c>
      <c r="G3700" s="584">
        <v>15</v>
      </c>
    </row>
    <row r="3701" spans="1:7" ht="15" x14ac:dyDescent="0.2">
      <c r="A3701" s="583" t="s">
        <v>16</v>
      </c>
      <c r="B3701" s="605" t="s">
        <v>19357</v>
      </c>
      <c r="C3701" s="606" t="s">
        <v>12483</v>
      </c>
      <c r="D3701" s="607">
        <v>47.83</v>
      </c>
      <c r="E3701" s="607">
        <v>12.33</v>
      </c>
      <c r="F3701" s="607">
        <v>60.16</v>
      </c>
      <c r="G3701" s="584">
        <v>15</v>
      </c>
    </row>
    <row r="3702" spans="1:7" ht="30" x14ac:dyDescent="0.2">
      <c r="A3702" s="583" t="s">
        <v>19358</v>
      </c>
      <c r="B3702" s="605" t="s">
        <v>19359</v>
      </c>
      <c r="C3702" s="606" t="s">
        <v>12508</v>
      </c>
      <c r="D3702" s="607">
        <v>561.03</v>
      </c>
      <c r="E3702" s="607">
        <v>44.43</v>
      </c>
      <c r="F3702" s="607">
        <v>605.46</v>
      </c>
      <c r="G3702" s="584">
        <v>15</v>
      </c>
    </row>
    <row r="3703" spans="1:7" ht="30" x14ac:dyDescent="0.2">
      <c r="A3703" s="583" t="s">
        <v>19360</v>
      </c>
      <c r="B3703" s="605" t="s">
        <v>19361</v>
      </c>
      <c r="C3703" s="606" t="s">
        <v>12508</v>
      </c>
      <c r="D3703" s="607">
        <v>584.20000000000005</v>
      </c>
      <c r="E3703" s="607">
        <v>44.43</v>
      </c>
      <c r="F3703" s="607">
        <v>628.63</v>
      </c>
      <c r="G3703" s="584">
        <v>15</v>
      </c>
    </row>
    <row r="3704" spans="1:7" ht="15" x14ac:dyDescent="0.2">
      <c r="A3704" s="583" t="s">
        <v>20242</v>
      </c>
      <c r="B3704" s="605" t="s">
        <v>20243</v>
      </c>
      <c r="C3704" s="606" t="s">
        <v>12508</v>
      </c>
      <c r="D3704" s="607">
        <v>93.03</v>
      </c>
      <c r="E3704" s="607">
        <v>319.95999999999998</v>
      </c>
      <c r="F3704" s="607">
        <v>412.99</v>
      </c>
      <c r="G3704" s="584">
        <v>15</v>
      </c>
    </row>
    <row r="3705" spans="1:7" ht="30" x14ac:dyDescent="0.2">
      <c r="A3705" s="583" t="s">
        <v>19362</v>
      </c>
      <c r="B3705" s="605" t="s">
        <v>119</v>
      </c>
      <c r="C3705" s="606" t="s">
        <v>12508</v>
      </c>
      <c r="D3705" s="607">
        <v>783.06</v>
      </c>
      <c r="E3705" s="607">
        <v>90.62</v>
      </c>
      <c r="F3705" s="607">
        <v>873.68</v>
      </c>
      <c r="G3705" s="584">
        <v>15</v>
      </c>
    </row>
    <row r="3706" spans="1:7" ht="30" x14ac:dyDescent="0.2">
      <c r="A3706" s="583" t="s">
        <v>17</v>
      </c>
      <c r="B3706" s="605" t="s">
        <v>118</v>
      </c>
      <c r="C3706" s="606" t="s">
        <v>12508</v>
      </c>
      <c r="D3706" s="607">
        <v>806.23</v>
      </c>
      <c r="E3706" s="607">
        <v>90.62</v>
      </c>
      <c r="F3706" s="607">
        <v>896.85</v>
      </c>
      <c r="G3706" s="584">
        <v>15</v>
      </c>
    </row>
    <row r="3707" spans="1:7" ht="15" x14ac:dyDescent="0.25">
      <c r="A3707" s="583" t="s">
        <v>19363</v>
      </c>
      <c r="B3707" s="605" t="s">
        <v>19364</v>
      </c>
      <c r="C3707" s="606"/>
      <c r="D3707" s="607"/>
      <c r="E3707" s="607"/>
      <c r="F3707" s="607"/>
      <c r="G3707" s="582"/>
    </row>
    <row r="3708" spans="1:7" ht="15" x14ac:dyDescent="0.2">
      <c r="A3708" s="583" t="s">
        <v>19365</v>
      </c>
      <c r="B3708" s="605" t="s">
        <v>19366</v>
      </c>
      <c r="C3708" s="606" t="s">
        <v>12427</v>
      </c>
      <c r="D3708" s="607">
        <v>393.74</v>
      </c>
      <c r="E3708" s="607"/>
      <c r="F3708" s="607">
        <v>393.74</v>
      </c>
      <c r="G3708" s="584">
        <v>15</v>
      </c>
    </row>
    <row r="3709" spans="1:7" ht="30" x14ac:dyDescent="0.2">
      <c r="A3709" s="583" t="s">
        <v>19367</v>
      </c>
      <c r="B3709" s="605" t="s">
        <v>20387</v>
      </c>
      <c r="C3709" s="606" t="s">
        <v>12427</v>
      </c>
      <c r="D3709" s="607">
        <v>124.88</v>
      </c>
      <c r="E3709" s="607">
        <v>11.55</v>
      </c>
      <c r="F3709" s="607">
        <v>136.43</v>
      </c>
      <c r="G3709" s="584">
        <v>15</v>
      </c>
    </row>
    <row r="3710" spans="1:7" ht="30" x14ac:dyDescent="0.2">
      <c r="A3710" s="583" t="s">
        <v>19368</v>
      </c>
      <c r="B3710" s="605" t="s">
        <v>19369</v>
      </c>
      <c r="C3710" s="606" t="s">
        <v>12427</v>
      </c>
      <c r="D3710" s="607">
        <v>93.12</v>
      </c>
      <c r="E3710" s="607">
        <v>11.55</v>
      </c>
      <c r="F3710" s="607">
        <v>104.67</v>
      </c>
      <c r="G3710" s="584">
        <v>15</v>
      </c>
    </row>
    <row r="3711" spans="1:7" ht="30" x14ac:dyDescent="0.2">
      <c r="A3711" s="583" t="s">
        <v>19370</v>
      </c>
      <c r="B3711" s="605" t="s">
        <v>19371</v>
      </c>
      <c r="C3711" s="606" t="s">
        <v>12427</v>
      </c>
      <c r="D3711" s="607">
        <v>5.17</v>
      </c>
      <c r="E3711" s="607">
        <v>10.31</v>
      </c>
      <c r="F3711" s="607">
        <v>15.48</v>
      </c>
      <c r="G3711" s="584">
        <v>15</v>
      </c>
    </row>
    <row r="3712" spans="1:7" ht="30" x14ac:dyDescent="0.2">
      <c r="A3712" s="583" t="s">
        <v>19372</v>
      </c>
      <c r="B3712" s="605" t="s">
        <v>19373</v>
      </c>
      <c r="C3712" s="606" t="s">
        <v>12427</v>
      </c>
      <c r="D3712" s="607">
        <v>2.02</v>
      </c>
      <c r="E3712" s="607">
        <v>10.31</v>
      </c>
      <c r="F3712" s="607">
        <v>12.33</v>
      </c>
      <c r="G3712" s="584">
        <v>15</v>
      </c>
    </row>
    <row r="3713" spans="1:7" ht="30" x14ac:dyDescent="0.2">
      <c r="A3713" s="583" t="s">
        <v>19374</v>
      </c>
      <c r="B3713" s="605" t="s">
        <v>19375</v>
      </c>
      <c r="C3713" s="606" t="s">
        <v>12427</v>
      </c>
      <c r="D3713" s="607">
        <v>129.35</v>
      </c>
      <c r="E3713" s="607">
        <v>29.23</v>
      </c>
      <c r="F3713" s="607">
        <v>158.58000000000001</v>
      </c>
      <c r="G3713" s="584">
        <v>15</v>
      </c>
    </row>
    <row r="3714" spans="1:7" ht="15" x14ac:dyDescent="0.25">
      <c r="A3714" s="583" t="s">
        <v>20315</v>
      </c>
      <c r="B3714" s="605" t="s">
        <v>20316</v>
      </c>
      <c r="C3714" s="606"/>
      <c r="D3714" s="607"/>
      <c r="E3714" s="607"/>
      <c r="F3714" s="607"/>
      <c r="G3714" s="582"/>
    </row>
    <row r="3715" spans="1:7" ht="45" x14ac:dyDescent="0.2">
      <c r="A3715" s="583" t="s">
        <v>20317</v>
      </c>
      <c r="B3715" s="605" t="s">
        <v>20318</v>
      </c>
      <c r="C3715" s="606" t="s">
        <v>12427</v>
      </c>
      <c r="D3715" s="607">
        <v>0.25</v>
      </c>
      <c r="E3715" s="607">
        <v>0.27</v>
      </c>
      <c r="F3715" s="607">
        <v>0.52</v>
      </c>
      <c r="G3715" s="584">
        <v>15</v>
      </c>
    </row>
    <row r="3716" spans="1:7" ht="30" x14ac:dyDescent="0.2">
      <c r="A3716" s="583" t="s">
        <v>20319</v>
      </c>
      <c r="B3716" s="605" t="s">
        <v>20320</v>
      </c>
      <c r="C3716" s="606" t="s">
        <v>12427</v>
      </c>
      <c r="D3716" s="607">
        <v>1</v>
      </c>
      <c r="E3716" s="607">
        <v>0.27</v>
      </c>
      <c r="F3716" s="607">
        <v>1.27</v>
      </c>
      <c r="G3716" s="584">
        <v>15</v>
      </c>
    </row>
    <row r="3717" spans="1:7" ht="30" x14ac:dyDescent="0.2">
      <c r="A3717" s="583" t="s">
        <v>21447</v>
      </c>
      <c r="B3717" s="605" t="s">
        <v>21448</v>
      </c>
      <c r="C3717" s="606" t="s">
        <v>12483</v>
      </c>
      <c r="D3717" s="607">
        <v>3.38</v>
      </c>
      <c r="E3717" s="607">
        <v>0.17</v>
      </c>
      <c r="F3717" s="607">
        <v>3.55</v>
      </c>
      <c r="G3717" s="584">
        <v>15</v>
      </c>
    </row>
    <row r="3718" spans="1:7" ht="30" x14ac:dyDescent="0.2">
      <c r="A3718" s="583" t="s">
        <v>20321</v>
      </c>
      <c r="B3718" s="605" t="s">
        <v>20322</v>
      </c>
      <c r="C3718" s="606" t="s">
        <v>12929</v>
      </c>
      <c r="D3718" s="607">
        <v>43.29</v>
      </c>
      <c r="E3718" s="607">
        <v>0.17</v>
      </c>
      <c r="F3718" s="607">
        <v>43.46</v>
      </c>
      <c r="G3718" s="584">
        <v>15</v>
      </c>
    </row>
    <row r="3719" spans="1:7" ht="30" x14ac:dyDescent="0.2">
      <c r="A3719" s="583" t="s">
        <v>20323</v>
      </c>
      <c r="B3719" s="605" t="s">
        <v>20324</v>
      </c>
      <c r="C3719" s="606" t="s">
        <v>12929</v>
      </c>
      <c r="D3719" s="607">
        <v>32.619999999999997</v>
      </c>
      <c r="E3719" s="607">
        <v>0.17</v>
      </c>
      <c r="F3719" s="607">
        <v>32.79</v>
      </c>
      <c r="G3719" s="584">
        <v>15</v>
      </c>
    </row>
    <row r="3720" spans="1:7" ht="15" x14ac:dyDescent="0.25">
      <c r="A3720" s="583" t="s">
        <v>21449</v>
      </c>
      <c r="B3720" s="605" t="s">
        <v>21450</v>
      </c>
      <c r="C3720" s="606"/>
      <c r="D3720" s="607"/>
      <c r="E3720" s="607"/>
      <c r="F3720" s="607"/>
      <c r="G3720" s="582"/>
    </row>
    <row r="3721" spans="1:7" ht="15" x14ac:dyDescent="0.2">
      <c r="A3721" s="583" t="s">
        <v>21451</v>
      </c>
      <c r="B3721" s="605" t="s">
        <v>21452</v>
      </c>
      <c r="C3721" s="606" t="s">
        <v>12508</v>
      </c>
      <c r="D3721" s="607">
        <v>1762.07</v>
      </c>
      <c r="E3721" s="607">
        <v>17.03</v>
      </c>
      <c r="F3721" s="607">
        <v>1779.1</v>
      </c>
      <c r="G3721" s="584">
        <v>15</v>
      </c>
    </row>
    <row r="3722" spans="1:7" ht="15" x14ac:dyDescent="0.25">
      <c r="A3722" s="583" t="s">
        <v>19376</v>
      </c>
      <c r="B3722" s="605" t="s">
        <v>19377</v>
      </c>
      <c r="C3722" s="606"/>
      <c r="D3722" s="607"/>
      <c r="E3722" s="607"/>
      <c r="F3722" s="607"/>
      <c r="G3722" s="582"/>
    </row>
    <row r="3723" spans="1:7" ht="15" x14ac:dyDescent="0.2">
      <c r="A3723" s="583" t="s">
        <v>19378</v>
      </c>
      <c r="B3723" s="605" t="s">
        <v>19379</v>
      </c>
      <c r="C3723" s="606" t="s">
        <v>12483</v>
      </c>
      <c r="D3723" s="607">
        <v>70.05</v>
      </c>
      <c r="E3723" s="607">
        <v>14.1</v>
      </c>
      <c r="F3723" s="607">
        <v>84.15</v>
      </c>
      <c r="G3723" s="584">
        <v>15</v>
      </c>
    </row>
    <row r="3724" spans="1:7" ht="15" x14ac:dyDescent="0.2">
      <c r="A3724" s="583" t="s">
        <v>20325</v>
      </c>
      <c r="B3724" s="605" t="s">
        <v>20326</v>
      </c>
      <c r="C3724" s="606" t="s">
        <v>12375</v>
      </c>
      <c r="D3724" s="607">
        <v>128.63999999999999</v>
      </c>
      <c r="E3724" s="607">
        <v>19.82</v>
      </c>
      <c r="F3724" s="607">
        <v>148.46</v>
      </c>
      <c r="G3724" s="584">
        <v>15</v>
      </c>
    </row>
    <row r="3725" spans="1:7" ht="15" x14ac:dyDescent="0.2">
      <c r="A3725" s="583" t="s">
        <v>19380</v>
      </c>
      <c r="B3725" s="605" t="s">
        <v>19381</v>
      </c>
      <c r="C3725" s="606" t="s">
        <v>12483</v>
      </c>
      <c r="D3725" s="607">
        <v>10.88</v>
      </c>
      <c r="E3725" s="607">
        <v>12.33</v>
      </c>
      <c r="F3725" s="607">
        <v>23.21</v>
      </c>
      <c r="G3725" s="584">
        <v>15</v>
      </c>
    </row>
    <row r="3726" spans="1:7" ht="15" x14ac:dyDescent="0.2">
      <c r="A3726" s="583" t="s">
        <v>19382</v>
      </c>
      <c r="B3726" s="605" t="s">
        <v>19383</v>
      </c>
      <c r="C3726" s="606" t="s">
        <v>12427</v>
      </c>
      <c r="D3726" s="607">
        <v>17.440000000000001</v>
      </c>
      <c r="E3726" s="607">
        <v>26.13</v>
      </c>
      <c r="F3726" s="607">
        <v>43.57</v>
      </c>
      <c r="G3726" s="584">
        <v>15</v>
      </c>
    </row>
    <row r="3727" spans="1:7" ht="30" x14ac:dyDescent="0.2">
      <c r="A3727" s="583" t="s">
        <v>19384</v>
      </c>
      <c r="B3727" s="605" t="s">
        <v>19385</v>
      </c>
      <c r="C3727" s="606" t="s">
        <v>12427</v>
      </c>
      <c r="D3727" s="607">
        <v>10.97</v>
      </c>
      <c r="E3727" s="607">
        <v>16.14</v>
      </c>
      <c r="F3727" s="607">
        <v>27.11</v>
      </c>
      <c r="G3727" s="584">
        <v>15</v>
      </c>
    </row>
    <row r="3728" spans="1:7" ht="30" x14ac:dyDescent="0.2">
      <c r="A3728" s="583" t="s">
        <v>19386</v>
      </c>
      <c r="B3728" s="605" t="s">
        <v>19387</v>
      </c>
      <c r="C3728" s="606" t="s">
        <v>12427</v>
      </c>
      <c r="D3728" s="607">
        <v>11.1</v>
      </c>
      <c r="E3728" s="607">
        <v>18.7</v>
      </c>
      <c r="F3728" s="607">
        <v>29.8</v>
      </c>
      <c r="G3728" s="584">
        <v>15</v>
      </c>
    </row>
    <row r="3729" spans="1:7" ht="30" x14ac:dyDescent="0.2">
      <c r="A3729" s="583" t="s">
        <v>19388</v>
      </c>
      <c r="B3729" s="605" t="s">
        <v>19389</v>
      </c>
      <c r="C3729" s="606" t="s">
        <v>12427</v>
      </c>
      <c r="D3729" s="607">
        <v>11.28</v>
      </c>
      <c r="E3729" s="607">
        <v>22.46</v>
      </c>
      <c r="F3729" s="607">
        <v>33.74</v>
      </c>
      <c r="G3729" s="584">
        <v>15</v>
      </c>
    </row>
    <row r="3730" spans="1:7" ht="45" x14ac:dyDescent="0.2">
      <c r="A3730" s="583" t="s">
        <v>21453</v>
      </c>
      <c r="B3730" s="605" t="s">
        <v>21454</v>
      </c>
      <c r="C3730" s="606" t="s">
        <v>12483</v>
      </c>
      <c r="D3730" s="607">
        <v>7.0000000000000007E-2</v>
      </c>
      <c r="E3730" s="607">
        <v>0.41</v>
      </c>
      <c r="F3730" s="607">
        <v>0.48</v>
      </c>
      <c r="G3730" s="584">
        <v>15</v>
      </c>
    </row>
    <row r="3731" spans="1:7" ht="15" x14ac:dyDescent="0.25">
      <c r="A3731" s="583" t="s">
        <v>19390</v>
      </c>
      <c r="B3731" s="605" t="s">
        <v>19391</v>
      </c>
      <c r="C3731" s="606"/>
      <c r="D3731" s="607"/>
      <c r="E3731" s="607"/>
      <c r="F3731" s="607"/>
      <c r="G3731" s="582"/>
    </row>
    <row r="3732" spans="1:7" ht="15" x14ac:dyDescent="0.25">
      <c r="A3732" s="583" t="s">
        <v>19392</v>
      </c>
      <c r="B3732" s="605" t="s">
        <v>19393</v>
      </c>
      <c r="C3732" s="606"/>
      <c r="D3732" s="607"/>
      <c r="E3732" s="607"/>
      <c r="F3732" s="607"/>
      <c r="G3732" s="582"/>
    </row>
    <row r="3733" spans="1:7" ht="15" x14ac:dyDescent="0.2">
      <c r="A3733" s="583" t="s">
        <v>19394</v>
      </c>
      <c r="B3733" s="605" t="s">
        <v>19395</v>
      </c>
      <c r="C3733" s="606" t="s">
        <v>12427</v>
      </c>
      <c r="D3733" s="607"/>
      <c r="E3733" s="607">
        <v>14.31</v>
      </c>
      <c r="F3733" s="607">
        <v>14.31</v>
      </c>
      <c r="G3733" s="584">
        <v>15</v>
      </c>
    </row>
    <row r="3734" spans="1:7" ht="15" x14ac:dyDescent="0.2">
      <c r="A3734" s="583" t="s">
        <v>19396</v>
      </c>
      <c r="B3734" s="605" t="s">
        <v>19397</v>
      </c>
      <c r="C3734" s="606" t="s">
        <v>12427</v>
      </c>
      <c r="D3734" s="607">
        <v>2.9</v>
      </c>
      <c r="E3734" s="607">
        <v>5.9</v>
      </c>
      <c r="F3734" s="607">
        <v>8.8000000000000007</v>
      </c>
      <c r="G3734" s="584">
        <v>15</v>
      </c>
    </row>
    <row r="3735" spans="1:7" ht="30" x14ac:dyDescent="0.2">
      <c r="A3735" s="583" t="s">
        <v>19398</v>
      </c>
      <c r="B3735" s="605" t="s">
        <v>19399</v>
      </c>
      <c r="C3735" s="606" t="s">
        <v>12427</v>
      </c>
      <c r="D3735" s="607">
        <v>2.2200000000000002</v>
      </c>
      <c r="E3735" s="607">
        <v>4.09</v>
      </c>
      <c r="F3735" s="607">
        <v>6.31</v>
      </c>
      <c r="G3735" s="584">
        <v>15</v>
      </c>
    </row>
    <row r="3736" spans="1:7" ht="30" x14ac:dyDescent="0.2">
      <c r="A3736" s="583" t="s">
        <v>19400</v>
      </c>
      <c r="B3736" s="605" t="s">
        <v>19401</v>
      </c>
      <c r="C3736" s="606" t="s">
        <v>12375</v>
      </c>
      <c r="D3736" s="607"/>
      <c r="E3736" s="607">
        <v>16.350000000000001</v>
      </c>
      <c r="F3736" s="607">
        <v>16.350000000000001</v>
      </c>
      <c r="G3736" s="584">
        <v>15</v>
      </c>
    </row>
    <row r="3737" spans="1:7" ht="15" x14ac:dyDescent="0.2">
      <c r="A3737" s="583" t="s">
        <v>19402</v>
      </c>
      <c r="B3737" s="605" t="s">
        <v>19403</v>
      </c>
      <c r="C3737" s="606" t="s">
        <v>12427</v>
      </c>
      <c r="D3737" s="607"/>
      <c r="E3737" s="607">
        <v>15.33</v>
      </c>
      <c r="F3737" s="607">
        <v>15.33</v>
      </c>
      <c r="G3737" s="584">
        <v>15</v>
      </c>
    </row>
    <row r="3738" spans="1:7" ht="30" x14ac:dyDescent="0.2">
      <c r="A3738" s="583" t="s">
        <v>19404</v>
      </c>
      <c r="B3738" s="605" t="s">
        <v>19405</v>
      </c>
      <c r="C3738" s="606" t="s">
        <v>12427</v>
      </c>
      <c r="D3738" s="607">
        <v>10.050000000000001</v>
      </c>
      <c r="E3738" s="607">
        <v>5.9</v>
      </c>
      <c r="F3738" s="607">
        <v>15.95</v>
      </c>
      <c r="G3738" s="584">
        <v>15</v>
      </c>
    </row>
    <row r="3739" spans="1:7" ht="15" x14ac:dyDescent="0.2">
      <c r="A3739" s="583" t="s">
        <v>19406</v>
      </c>
      <c r="B3739" s="605" t="s">
        <v>19407</v>
      </c>
      <c r="C3739" s="606" t="s">
        <v>12427</v>
      </c>
      <c r="D3739" s="607">
        <v>0.73</v>
      </c>
      <c r="E3739" s="607">
        <v>10.74</v>
      </c>
      <c r="F3739" s="607">
        <v>11.47</v>
      </c>
      <c r="G3739" s="584">
        <v>15</v>
      </c>
    </row>
    <row r="3740" spans="1:7" ht="15" x14ac:dyDescent="0.25">
      <c r="A3740" s="583" t="s">
        <v>19408</v>
      </c>
      <c r="B3740" s="605" t="s">
        <v>19409</v>
      </c>
      <c r="C3740" s="606"/>
      <c r="D3740" s="607"/>
      <c r="E3740" s="607"/>
      <c r="F3740" s="607"/>
      <c r="G3740" s="582"/>
    </row>
    <row r="3741" spans="1:7" ht="15" x14ac:dyDescent="0.2">
      <c r="A3741" s="583" t="s">
        <v>19410</v>
      </c>
      <c r="B3741" s="605" t="s">
        <v>19411</v>
      </c>
      <c r="C3741" s="606" t="s">
        <v>12375</v>
      </c>
      <c r="D3741" s="607"/>
      <c r="E3741" s="607">
        <v>6.13</v>
      </c>
      <c r="F3741" s="607">
        <v>6.13</v>
      </c>
      <c r="G3741" s="584">
        <v>15</v>
      </c>
    </row>
    <row r="3742" spans="1:7" ht="15" x14ac:dyDescent="0.2">
      <c r="A3742" s="583" t="s">
        <v>19412</v>
      </c>
      <c r="B3742" s="605" t="s">
        <v>19413</v>
      </c>
      <c r="C3742" s="606" t="s">
        <v>12375</v>
      </c>
      <c r="D3742" s="607">
        <v>25.67</v>
      </c>
      <c r="E3742" s="607">
        <v>20.440000000000001</v>
      </c>
      <c r="F3742" s="607">
        <v>46.11</v>
      </c>
      <c r="G3742" s="584">
        <v>15</v>
      </c>
    </row>
    <row r="3743" spans="1:7" ht="15" x14ac:dyDescent="0.2">
      <c r="A3743" s="583" t="s">
        <v>19414</v>
      </c>
      <c r="B3743" s="605" t="s">
        <v>19415</v>
      </c>
      <c r="C3743" s="606" t="s">
        <v>12508</v>
      </c>
      <c r="D3743" s="607">
        <v>198.53</v>
      </c>
      <c r="E3743" s="607"/>
      <c r="F3743" s="607">
        <v>198.53</v>
      </c>
      <c r="G3743" s="584">
        <v>15</v>
      </c>
    </row>
    <row r="3744" spans="1:7" ht="15" x14ac:dyDescent="0.2">
      <c r="A3744" s="583" t="s">
        <v>19416</v>
      </c>
      <c r="B3744" s="605" t="s">
        <v>19417</v>
      </c>
      <c r="C3744" s="606" t="s">
        <v>12375</v>
      </c>
      <c r="D3744" s="607"/>
      <c r="E3744" s="607">
        <v>22.66</v>
      </c>
      <c r="F3744" s="607">
        <v>22.66</v>
      </c>
      <c r="G3744" s="584">
        <v>15</v>
      </c>
    </row>
    <row r="3745" spans="1:7" ht="30" x14ac:dyDescent="0.2">
      <c r="A3745" s="583" t="s">
        <v>19418</v>
      </c>
      <c r="B3745" s="605" t="s">
        <v>19419</v>
      </c>
      <c r="C3745" s="606" t="s">
        <v>12483</v>
      </c>
      <c r="D3745" s="607"/>
      <c r="E3745" s="607">
        <v>11.33</v>
      </c>
      <c r="F3745" s="607">
        <v>11.33</v>
      </c>
      <c r="G3745" s="584">
        <v>15</v>
      </c>
    </row>
    <row r="3746" spans="1:7" ht="30" x14ac:dyDescent="0.2">
      <c r="A3746" s="583" t="s">
        <v>19420</v>
      </c>
      <c r="B3746" s="605" t="s">
        <v>19421</v>
      </c>
      <c r="C3746" s="606" t="s">
        <v>12483</v>
      </c>
      <c r="D3746" s="607"/>
      <c r="E3746" s="607">
        <v>12.09</v>
      </c>
      <c r="F3746" s="607">
        <v>12.09</v>
      </c>
      <c r="G3746" s="584">
        <v>15</v>
      </c>
    </row>
    <row r="3747" spans="1:7" ht="15" x14ac:dyDescent="0.25">
      <c r="A3747" s="583" t="s">
        <v>19422</v>
      </c>
      <c r="B3747" s="605" t="s">
        <v>19423</v>
      </c>
      <c r="C3747" s="606"/>
      <c r="D3747" s="607"/>
      <c r="E3747" s="607"/>
      <c r="F3747" s="607"/>
      <c r="G3747" s="582"/>
    </row>
    <row r="3748" spans="1:7" ht="15" x14ac:dyDescent="0.2">
      <c r="A3748" s="583" t="s">
        <v>19424</v>
      </c>
      <c r="B3748" s="605" t="s">
        <v>19425</v>
      </c>
      <c r="C3748" s="606" t="s">
        <v>12753</v>
      </c>
      <c r="D3748" s="607">
        <v>94.43</v>
      </c>
      <c r="E3748" s="607"/>
      <c r="F3748" s="607">
        <v>94.43</v>
      </c>
      <c r="G3748" s="584">
        <v>15</v>
      </c>
    </row>
    <row r="3749" spans="1:7" ht="15" x14ac:dyDescent="0.25">
      <c r="A3749" s="583" t="s">
        <v>19426</v>
      </c>
      <c r="B3749" s="605" t="s">
        <v>19427</v>
      </c>
      <c r="C3749" s="606"/>
      <c r="D3749" s="607"/>
      <c r="E3749" s="607"/>
      <c r="F3749" s="607"/>
      <c r="G3749" s="582"/>
    </row>
    <row r="3750" spans="1:7" ht="15" x14ac:dyDescent="0.25">
      <c r="A3750" s="583" t="s">
        <v>19428</v>
      </c>
      <c r="B3750" s="605" t="s">
        <v>19429</v>
      </c>
      <c r="C3750" s="606"/>
      <c r="D3750" s="607"/>
      <c r="E3750" s="607"/>
      <c r="F3750" s="607"/>
      <c r="G3750" s="582"/>
    </row>
    <row r="3751" spans="1:7" ht="30" x14ac:dyDescent="0.2">
      <c r="A3751" s="583" t="s">
        <v>19430</v>
      </c>
      <c r="B3751" s="605" t="s">
        <v>19431</v>
      </c>
      <c r="C3751" s="606" t="s">
        <v>12676</v>
      </c>
      <c r="D3751" s="607">
        <v>202216.7</v>
      </c>
      <c r="E3751" s="607"/>
      <c r="F3751" s="607">
        <v>202216.7</v>
      </c>
      <c r="G3751" s="584">
        <v>15</v>
      </c>
    </row>
    <row r="3752" spans="1:7" ht="30" x14ac:dyDescent="0.2">
      <c r="A3752" s="583" t="s">
        <v>19432</v>
      </c>
      <c r="B3752" s="605" t="s">
        <v>19433</v>
      </c>
      <c r="C3752" s="606" t="s">
        <v>12676</v>
      </c>
      <c r="D3752" s="607">
        <v>203033.33</v>
      </c>
      <c r="E3752" s="607"/>
      <c r="F3752" s="607">
        <v>203033.33</v>
      </c>
      <c r="G3752" s="584">
        <v>15</v>
      </c>
    </row>
    <row r="3753" spans="1:7" ht="30" x14ac:dyDescent="0.2">
      <c r="A3753" s="583" t="s">
        <v>19434</v>
      </c>
      <c r="B3753" s="605" t="s">
        <v>19435</v>
      </c>
      <c r="C3753" s="606" t="s">
        <v>12676</v>
      </c>
      <c r="D3753" s="607">
        <v>231127.77</v>
      </c>
      <c r="E3753" s="607"/>
      <c r="F3753" s="607">
        <v>231127.77</v>
      </c>
      <c r="G3753" s="584">
        <v>15</v>
      </c>
    </row>
    <row r="3754" spans="1:7" ht="30" x14ac:dyDescent="0.2">
      <c r="A3754" s="583" t="s">
        <v>19436</v>
      </c>
      <c r="B3754" s="605" t="s">
        <v>19437</v>
      </c>
      <c r="C3754" s="606" t="s">
        <v>12676</v>
      </c>
      <c r="D3754" s="607">
        <v>245441.86</v>
      </c>
      <c r="E3754" s="607"/>
      <c r="F3754" s="607">
        <v>245441.86</v>
      </c>
      <c r="G3754" s="584">
        <v>15</v>
      </c>
    </row>
    <row r="3755" spans="1:7" ht="30" x14ac:dyDescent="0.2">
      <c r="A3755" s="583" t="s">
        <v>19438</v>
      </c>
      <c r="B3755" s="605" t="s">
        <v>19439</v>
      </c>
      <c r="C3755" s="606" t="s">
        <v>12676</v>
      </c>
      <c r="D3755" s="607">
        <v>216866.67</v>
      </c>
      <c r="E3755" s="607"/>
      <c r="F3755" s="607">
        <v>216866.67</v>
      </c>
      <c r="G3755" s="584">
        <v>15</v>
      </c>
    </row>
    <row r="3756" spans="1:7" ht="15" x14ac:dyDescent="0.2">
      <c r="A3756" s="583" t="s">
        <v>19440</v>
      </c>
      <c r="B3756" s="605" t="s">
        <v>19441</v>
      </c>
      <c r="C3756" s="606" t="s">
        <v>12427</v>
      </c>
      <c r="D3756" s="607">
        <v>1690.44</v>
      </c>
      <c r="E3756" s="607"/>
      <c r="F3756" s="607">
        <v>1690.44</v>
      </c>
      <c r="G3756" s="584">
        <v>15</v>
      </c>
    </row>
    <row r="3757" spans="1:7" ht="15" x14ac:dyDescent="0.25">
      <c r="A3757" s="583" t="s">
        <v>19442</v>
      </c>
      <c r="B3757" s="605" t="s">
        <v>19443</v>
      </c>
      <c r="C3757" s="606"/>
      <c r="D3757" s="607"/>
      <c r="E3757" s="607"/>
      <c r="F3757" s="607"/>
      <c r="G3757" s="582"/>
    </row>
    <row r="3758" spans="1:7" ht="30" x14ac:dyDescent="0.2">
      <c r="A3758" s="583" t="s">
        <v>19444</v>
      </c>
      <c r="B3758" s="605" t="s">
        <v>19445</v>
      </c>
      <c r="C3758" s="606" t="s">
        <v>12375</v>
      </c>
      <c r="D3758" s="607">
        <v>472942.39</v>
      </c>
      <c r="E3758" s="607">
        <v>31153.3</v>
      </c>
      <c r="F3758" s="607">
        <v>504095.69</v>
      </c>
      <c r="G3758" s="584">
        <v>15</v>
      </c>
    </row>
    <row r="3759" spans="1:7" ht="30" x14ac:dyDescent="0.2">
      <c r="A3759" s="583" t="s">
        <v>19446</v>
      </c>
      <c r="B3759" s="605" t="s">
        <v>19447</v>
      </c>
      <c r="C3759" s="606" t="s">
        <v>12375</v>
      </c>
      <c r="D3759" s="607">
        <v>481348.93</v>
      </c>
      <c r="E3759" s="607">
        <v>33185.82</v>
      </c>
      <c r="F3759" s="607">
        <v>514534.75</v>
      </c>
      <c r="G3759" s="584">
        <v>15</v>
      </c>
    </row>
    <row r="3760" spans="1:7" ht="30" x14ac:dyDescent="0.2">
      <c r="A3760" s="583" t="s">
        <v>19448</v>
      </c>
      <c r="B3760" s="605" t="s">
        <v>19449</v>
      </c>
      <c r="C3760" s="606" t="s">
        <v>12375</v>
      </c>
      <c r="D3760" s="607">
        <v>676396.25</v>
      </c>
      <c r="E3760" s="607">
        <v>30171.4</v>
      </c>
      <c r="F3760" s="607">
        <v>706567.65</v>
      </c>
      <c r="G3760" s="584">
        <v>15</v>
      </c>
    </row>
    <row r="3761" spans="1:7" ht="30" x14ac:dyDescent="0.2">
      <c r="A3761" s="583" t="s">
        <v>19450</v>
      </c>
      <c r="B3761" s="605" t="s">
        <v>19451</v>
      </c>
      <c r="C3761" s="606" t="s">
        <v>12375</v>
      </c>
      <c r="D3761" s="607">
        <v>275642.73</v>
      </c>
      <c r="E3761" s="607">
        <v>24922.639999999999</v>
      </c>
      <c r="F3761" s="607">
        <v>300565.37</v>
      </c>
      <c r="G3761" s="584">
        <v>15</v>
      </c>
    </row>
    <row r="3762" spans="1:7" ht="30" x14ac:dyDescent="0.2">
      <c r="A3762" s="583" t="s">
        <v>19452</v>
      </c>
      <c r="B3762" s="605" t="s">
        <v>19453</v>
      </c>
      <c r="C3762" s="606" t="s">
        <v>12375</v>
      </c>
      <c r="D3762" s="607">
        <v>85500.479999999996</v>
      </c>
      <c r="E3762" s="607">
        <v>15576.65</v>
      </c>
      <c r="F3762" s="607">
        <v>101077.13</v>
      </c>
      <c r="G3762" s="584">
        <v>15</v>
      </c>
    </row>
    <row r="3763" spans="1:7" ht="30" x14ac:dyDescent="0.2">
      <c r="A3763" s="583" t="s">
        <v>19454</v>
      </c>
      <c r="B3763" s="605" t="s">
        <v>19455</v>
      </c>
      <c r="C3763" s="606" t="s">
        <v>12375</v>
      </c>
      <c r="D3763" s="607">
        <v>23667.74</v>
      </c>
      <c r="E3763" s="607">
        <v>3687.85</v>
      </c>
      <c r="F3763" s="607">
        <v>27355.59</v>
      </c>
      <c r="G3763" s="584">
        <v>15</v>
      </c>
    </row>
    <row r="3764" spans="1:7" ht="30" x14ac:dyDescent="0.2">
      <c r="A3764" s="583" t="s">
        <v>19456</v>
      </c>
      <c r="B3764" s="605" t="s">
        <v>20244</v>
      </c>
      <c r="C3764" s="606" t="s">
        <v>12375</v>
      </c>
      <c r="D3764" s="607">
        <v>19989.169999999998</v>
      </c>
      <c r="E3764" s="607">
        <v>3687.85</v>
      </c>
      <c r="F3764" s="607">
        <v>23677.02</v>
      </c>
      <c r="G3764" s="584">
        <v>15</v>
      </c>
    </row>
    <row r="3765" spans="1:7" ht="30" x14ac:dyDescent="0.2">
      <c r="A3765" s="583" t="s">
        <v>19457</v>
      </c>
      <c r="B3765" s="605" t="s">
        <v>19458</v>
      </c>
      <c r="C3765" s="606" t="s">
        <v>12375</v>
      </c>
      <c r="D3765" s="607">
        <v>65189.63</v>
      </c>
      <c r="E3765" s="607">
        <v>8056.16</v>
      </c>
      <c r="F3765" s="607">
        <v>73245.789999999994</v>
      </c>
      <c r="G3765" s="584">
        <v>15</v>
      </c>
    </row>
    <row r="3766" spans="1:7" ht="30" x14ac:dyDescent="0.2">
      <c r="A3766" s="583" t="s">
        <v>19459</v>
      </c>
      <c r="B3766" s="605" t="s">
        <v>19460</v>
      </c>
      <c r="C3766" s="606" t="s">
        <v>12375</v>
      </c>
      <c r="D3766" s="607">
        <v>59436.39</v>
      </c>
      <c r="E3766" s="607">
        <v>9830.4500000000007</v>
      </c>
      <c r="F3766" s="607">
        <v>69266.84</v>
      </c>
      <c r="G3766" s="584">
        <v>15</v>
      </c>
    </row>
    <row r="3767" spans="1:7" ht="45" x14ac:dyDescent="0.2">
      <c r="A3767" s="583" t="s">
        <v>19461</v>
      </c>
      <c r="B3767" s="605" t="s">
        <v>19462</v>
      </c>
      <c r="C3767" s="606" t="s">
        <v>12375</v>
      </c>
      <c r="D3767" s="607">
        <v>6239.19</v>
      </c>
      <c r="E3767" s="607">
        <v>622</v>
      </c>
      <c r="F3767" s="607">
        <v>6861.19</v>
      </c>
      <c r="G3767" s="584">
        <v>15</v>
      </c>
    </row>
    <row r="3768" spans="1:7" ht="45" x14ac:dyDescent="0.2">
      <c r="A3768" s="583" t="s">
        <v>19463</v>
      </c>
      <c r="B3768" s="605" t="s">
        <v>19464</v>
      </c>
      <c r="C3768" s="606" t="s">
        <v>12375</v>
      </c>
      <c r="D3768" s="607">
        <v>6367.07</v>
      </c>
      <c r="E3768" s="607">
        <v>777.5</v>
      </c>
      <c r="F3768" s="607">
        <v>7144.57</v>
      </c>
      <c r="G3768" s="584">
        <v>15</v>
      </c>
    </row>
    <row r="3769" spans="1:7" ht="45" x14ac:dyDescent="0.2">
      <c r="A3769" s="583" t="s">
        <v>19465</v>
      </c>
      <c r="B3769" s="605" t="s">
        <v>19466</v>
      </c>
      <c r="C3769" s="606" t="s">
        <v>12375</v>
      </c>
      <c r="D3769" s="607">
        <v>6363.29</v>
      </c>
      <c r="E3769" s="607">
        <v>933</v>
      </c>
      <c r="F3769" s="607">
        <v>7296.29</v>
      </c>
      <c r="G3769" s="584">
        <v>15</v>
      </c>
    </row>
    <row r="3770" spans="1:7" ht="45" x14ac:dyDescent="0.2">
      <c r="A3770" s="583" t="s">
        <v>19467</v>
      </c>
      <c r="B3770" s="605" t="s">
        <v>19468</v>
      </c>
      <c r="C3770" s="606" t="s">
        <v>12375</v>
      </c>
      <c r="D3770" s="607">
        <v>6793.74</v>
      </c>
      <c r="E3770" s="607">
        <v>1010.75</v>
      </c>
      <c r="F3770" s="607">
        <v>7804.49</v>
      </c>
      <c r="G3770" s="584">
        <v>15</v>
      </c>
    </row>
    <row r="3771" spans="1:7" ht="30" x14ac:dyDescent="0.2">
      <c r="A3771" s="583" t="s">
        <v>19469</v>
      </c>
      <c r="B3771" s="605" t="s">
        <v>19470</v>
      </c>
      <c r="C3771" s="606" t="s">
        <v>12375</v>
      </c>
      <c r="D3771" s="607">
        <v>5065.1499999999996</v>
      </c>
      <c r="E3771" s="607">
        <v>486.94</v>
      </c>
      <c r="F3771" s="607">
        <v>5552.09</v>
      </c>
      <c r="G3771" s="584">
        <v>15</v>
      </c>
    </row>
    <row r="3772" spans="1:7" ht="30" x14ac:dyDescent="0.2">
      <c r="A3772" s="583" t="s">
        <v>19471</v>
      </c>
      <c r="B3772" s="605" t="s">
        <v>19472</v>
      </c>
      <c r="C3772" s="606" t="s">
        <v>12375</v>
      </c>
      <c r="D3772" s="607">
        <v>5289.15</v>
      </c>
      <c r="E3772" s="607">
        <v>486.94</v>
      </c>
      <c r="F3772" s="607">
        <v>5776.09</v>
      </c>
      <c r="G3772" s="584">
        <v>15</v>
      </c>
    </row>
    <row r="3773" spans="1:7" ht="30" x14ac:dyDescent="0.2">
      <c r="A3773" s="583" t="s">
        <v>19473</v>
      </c>
      <c r="B3773" s="605" t="s">
        <v>19474</v>
      </c>
      <c r="C3773" s="606" t="s">
        <v>12375</v>
      </c>
      <c r="D3773" s="607">
        <v>5521.45</v>
      </c>
      <c r="E3773" s="607">
        <v>486.94</v>
      </c>
      <c r="F3773" s="607">
        <v>6008.39</v>
      </c>
      <c r="G3773" s="584">
        <v>15</v>
      </c>
    </row>
    <row r="3774" spans="1:7" ht="15" x14ac:dyDescent="0.2">
      <c r="A3774" s="583" t="s">
        <v>19475</v>
      </c>
      <c r="B3774" s="605" t="s">
        <v>20245</v>
      </c>
      <c r="C3774" s="606" t="s">
        <v>12483</v>
      </c>
      <c r="D3774" s="607">
        <v>13.72</v>
      </c>
      <c r="E3774" s="607">
        <v>13.5</v>
      </c>
      <c r="F3774" s="607">
        <v>27.22</v>
      </c>
      <c r="G3774" s="584">
        <v>15</v>
      </c>
    </row>
    <row r="3775" spans="1:7" ht="15" x14ac:dyDescent="0.2">
      <c r="A3775" s="583" t="s">
        <v>19476</v>
      </c>
      <c r="B3775" s="605" t="s">
        <v>20246</v>
      </c>
      <c r="C3775" s="606" t="s">
        <v>12483</v>
      </c>
      <c r="D3775" s="607">
        <v>20.67</v>
      </c>
      <c r="E3775" s="607">
        <v>13.5</v>
      </c>
      <c r="F3775" s="607">
        <v>34.17</v>
      </c>
      <c r="G3775" s="584">
        <v>15</v>
      </c>
    </row>
    <row r="3776" spans="1:7" ht="15" x14ac:dyDescent="0.2">
      <c r="A3776" s="583" t="s">
        <v>19477</v>
      </c>
      <c r="B3776" s="605" t="s">
        <v>20247</v>
      </c>
      <c r="C3776" s="606" t="s">
        <v>12483</v>
      </c>
      <c r="D3776" s="607">
        <v>21.83</v>
      </c>
      <c r="E3776" s="607">
        <v>13.5</v>
      </c>
      <c r="F3776" s="607">
        <v>35.33</v>
      </c>
      <c r="G3776" s="584">
        <v>15</v>
      </c>
    </row>
    <row r="3777" spans="1:7" ht="15" x14ac:dyDescent="0.2">
      <c r="A3777" s="583" t="s">
        <v>19478</v>
      </c>
      <c r="B3777" s="605" t="s">
        <v>19479</v>
      </c>
      <c r="C3777" s="606" t="s">
        <v>12427</v>
      </c>
      <c r="D3777" s="607">
        <v>100.1</v>
      </c>
      <c r="E3777" s="607">
        <v>97.19</v>
      </c>
      <c r="F3777" s="607">
        <v>197.29</v>
      </c>
      <c r="G3777" s="584">
        <v>15</v>
      </c>
    </row>
    <row r="3778" spans="1:7" ht="30" x14ac:dyDescent="0.2">
      <c r="A3778" s="583" t="s">
        <v>19480</v>
      </c>
      <c r="B3778" s="605" t="s">
        <v>19481</v>
      </c>
      <c r="C3778" s="606" t="s">
        <v>12427</v>
      </c>
      <c r="D3778" s="607">
        <v>6815.07</v>
      </c>
      <c r="E3778" s="607"/>
      <c r="F3778" s="607">
        <v>6815.07</v>
      </c>
      <c r="G3778" s="584">
        <v>15</v>
      </c>
    </row>
    <row r="3779" spans="1:7" ht="15" x14ac:dyDescent="0.2">
      <c r="A3779" s="583" t="s">
        <v>19482</v>
      </c>
      <c r="B3779" s="605" t="s">
        <v>19483</v>
      </c>
      <c r="C3779" s="606" t="s">
        <v>12427</v>
      </c>
      <c r="D3779" s="607">
        <v>2043.51</v>
      </c>
      <c r="E3779" s="607">
        <v>126.08</v>
      </c>
      <c r="F3779" s="607">
        <v>2169.59</v>
      </c>
      <c r="G3779" s="584">
        <v>15</v>
      </c>
    </row>
    <row r="3780" spans="1:7" ht="15" x14ac:dyDescent="0.2">
      <c r="A3780" s="583" t="s">
        <v>19484</v>
      </c>
      <c r="B3780" s="605" t="s">
        <v>19485</v>
      </c>
      <c r="C3780" s="606" t="s">
        <v>12427</v>
      </c>
      <c r="D3780" s="607">
        <v>1724.69</v>
      </c>
      <c r="E3780" s="607">
        <v>97.43</v>
      </c>
      <c r="F3780" s="607">
        <v>1822.12</v>
      </c>
      <c r="G3780" s="584">
        <v>15</v>
      </c>
    </row>
    <row r="3781" spans="1:7" ht="15" x14ac:dyDescent="0.2">
      <c r="A3781" s="583" t="s">
        <v>19486</v>
      </c>
      <c r="B3781" s="605" t="s">
        <v>19487</v>
      </c>
      <c r="C3781" s="606" t="s">
        <v>12427</v>
      </c>
      <c r="D3781" s="607">
        <v>1344.06</v>
      </c>
      <c r="E3781" s="607">
        <v>85.97</v>
      </c>
      <c r="F3781" s="607">
        <v>1430.03</v>
      </c>
      <c r="G3781" s="584">
        <v>15</v>
      </c>
    </row>
    <row r="3782" spans="1:7" ht="15" x14ac:dyDescent="0.2">
      <c r="A3782" s="583" t="s">
        <v>19488</v>
      </c>
      <c r="B3782" s="605" t="s">
        <v>19489</v>
      </c>
      <c r="C3782" s="606" t="s">
        <v>12375</v>
      </c>
      <c r="D3782" s="607"/>
      <c r="E3782" s="607">
        <v>366.2</v>
      </c>
      <c r="F3782" s="607">
        <v>366.2</v>
      </c>
      <c r="G3782" s="584">
        <v>15</v>
      </c>
    </row>
    <row r="3783" spans="1:7" ht="30" x14ac:dyDescent="0.2">
      <c r="A3783" s="583" t="s">
        <v>19490</v>
      </c>
      <c r="B3783" s="605" t="s">
        <v>19491</v>
      </c>
      <c r="C3783" s="606" t="s">
        <v>12375</v>
      </c>
      <c r="D3783" s="607">
        <v>9575.85</v>
      </c>
      <c r="E3783" s="607">
        <v>1555</v>
      </c>
      <c r="F3783" s="607">
        <v>11130.85</v>
      </c>
      <c r="G3783" s="584">
        <v>15</v>
      </c>
    </row>
    <row r="3784" spans="1:7" ht="15" x14ac:dyDescent="0.2">
      <c r="A3784" s="583" t="s">
        <v>19492</v>
      </c>
      <c r="B3784" s="605" t="s">
        <v>19493</v>
      </c>
      <c r="C3784" s="606" t="s">
        <v>12375</v>
      </c>
      <c r="D3784" s="607">
        <v>187.26</v>
      </c>
      <c r="E3784" s="607">
        <v>45.85</v>
      </c>
      <c r="F3784" s="607">
        <v>233.11</v>
      </c>
      <c r="G3784" s="584">
        <v>15</v>
      </c>
    </row>
    <row r="3785" spans="1:7" ht="30" x14ac:dyDescent="0.2">
      <c r="A3785" s="583" t="s">
        <v>19494</v>
      </c>
      <c r="B3785" s="605" t="s">
        <v>19495</v>
      </c>
      <c r="C3785" s="606" t="s">
        <v>12375</v>
      </c>
      <c r="D3785" s="607">
        <v>1231.52</v>
      </c>
      <c r="E3785" s="607">
        <v>131.81</v>
      </c>
      <c r="F3785" s="607">
        <v>1363.33</v>
      </c>
      <c r="G3785" s="584">
        <v>15</v>
      </c>
    </row>
    <row r="3786" spans="1:7" ht="30" x14ac:dyDescent="0.2">
      <c r="A3786" s="583" t="s">
        <v>19496</v>
      </c>
      <c r="B3786" s="605" t="s">
        <v>19497</v>
      </c>
      <c r="C3786" s="606" t="s">
        <v>12427</v>
      </c>
      <c r="D3786" s="607">
        <v>4319.93</v>
      </c>
      <c r="E3786" s="607">
        <v>200.59</v>
      </c>
      <c r="F3786" s="607">
        <v>4520.5200000000004</v>
      </c>
      <c r="G3786" s="584">
        <v>15</v>
      </c>
    </row>
    <row r="3787" spans="1:7" ht="15" x14ac:dyDescent="0.2">
      <c r="A3787" s="583" t="s">
        <v>19498</v>
      </c>
      <c r="B3787" s="605" t="s">
        <v>19499</v>
      </c>
      <c r="C3787" s="606" t="s">
        <v>12483</v>
      </c>
      <c r="D3787" s="607">
        <v>4710.45</v>
      </c>
      <c r="E3787" s="607">
        <v>50.24</v>
      </c>
      <c r="F3787" s="607">
        <v>4760.6899999999996</v>
      </c>
      <c r="G3787" s="584">
        <v>15</v>
      </c>
    </row>
    <row r="3788" spans="1:7" ht="15" x14ac:dyDescent="0.2">
      <c r="A3788" s="583" t="s">
        <v>19500</v>
      </c>
      <c r="B3788" s="605" t="s">
        <v>19501</v>
      </c>
      <c r="C3788" s="606" t="s">
        <v>12375</v>
      </c>
      <c r="D3788" s="607">
        <v>94.17</v>
      </c>
      <c r="E3788" s="607">
        <v>45.85</v>
      </c>
      <c r="F3788" s="607">
        <v>140.02000000000001</v>
      </c>
      <c r="G3788" s="584">
        <v>15</v>
      </c>
    </row>
    <row r="3789" spans="1:7" ht="15" x14ac:dyDescent="0.2">
      <c r="A3789" s="583" t="s">
        <v>19502</v>
      </c>
      <c r="B3789" s="605" t="s">
        <v>19503</v>
      </c>
      <c r="C3789" s="606" t="s">
        <v>12375</v>
      </c>
      <c r="D3789" s="607">
        <v>135</v>
      </c>
      <c r="E3789" s="607">
        <v>45.85</v>
      </c>
      <c r="F3789" s="607">
        <v>180.85</v>
      </c>
      <c r="G3789" s="584">
        <v>15</v>
      </c>
    </row>
    <row r="3790" spans="1:7" ht="15" x14ac:dyDescent="0.2">
      <c r="A3790" s="583" t="s">
        <v>19504</v>
      </c>
      <c r="B3790" s="605" t="s">
        <v>19505</v>
      </c>
      <c r="C3790" s="606" t="s">
        <v>12375</v>
      </c>
      <c r="D3790" s="607">
        <v>376.96</v>
      </c>
      <c r="E3790" s="607">
        <v>45.85</v>
      </c>
      <c r="F3790" s="607">
        <v>422.81</v>
      </c>
      <c r="G3790" s="584">
        <v>15</v>
      </c>
    </row>
    <row r="3791" spans="1:7" ht="15" x14ac:dyDescent="0.2">
      <c r="A3791" s="583" t="s">
        <v>19506</v>
      </c>
      <c r="B3791" s="605" t="s">
        <v>19507</v>
      </c>
      <c r="C3791" s="606" t="s">
        <v>12375</v>
      </c>
      <c r="D3791" s="607">
        <v>295.23</v>
      </c>
      <c r="E3791" s="607">
        <v>45.85</v>
      </c>
      <c r="F3791" s="607">
        <v>341.08</v>
      </c>
      <c r="G3791" s="584">
        <v>15</v>
      </c>
    </row>
    <row r="3792" spans="1:7" ht="30" x14ac:dyDescent="0.2">
      <c r="A3792" s="583" t="s">
        <v>19508</v>
      </c>
      <c r="B3792" s="605" t="s">
        <v>19509</v>
      </c>
      <c r="C3792" s="606" t="s">
        <v>12427</v>
      </c>
      <c r="D3792" s="607">
        <v>3412.1</v>
      </c>
      <c r="E3792" s="607">
        <v>280.82</v>
      </c>
      <c r="F3792" s="607">
        <v>3692.92</v>
      </c>
      <c r="G3792" s="584">
        <v>15</v>
      </c>
    </row>
    <row r="3793" spans="1:7" ht="30" x14ac:dyDescent="0.2">
      <c r="A3793" s="583" t="s">
        <v>19510</v>
      </c>
      <c r="B3793" s="605" t="s">
        <v>19511</v>
      </c>
      <c r="C3793" s="606" t="s">
        <v>12427</v>
      </c>
      <c r="D3793" s="607">
        <v>2319.23</v>
      </c>
      <c r="E3793" s="607">
        <v>114.62</v>
      </c>
      <c r="F3793" s="607">
        <v>2433.85</v>
      </c>
      <c r="G3793" s="584">
        <v>15</v>
      </c>
    </row>
    <row r="3794" spans="1:7" ht="30" x14ac:dyDescent="0.2">
      <c r="A3794" s="583" t="s">
        <v>19512</v>
      </c>
      <c r="B3794" s="605" t="s">
        <v>19513</v>
      </c>
      <c r="C3794" s="606" t="s">
        <v>12427</v>
      </c>
      <c r="D3794" s="607">
        <v>1818.21</v>
      </c>
      <c r="E3794" s="607">
        <v>57.31</v>
      </c>
      <c r="F3794" s="607">
        <v>1875.52</v>
      </c>
      <c r="G3794" s="584">
        <v>15</v>
      </c>
    </row>
    <row r="3795" spans="1:7" ht="15" x14ac:dyDescent="0.2">
      <c r="A3795" s="583" t="s">
        <v>19514</v>
      </c>
      <c r="B3795" s="605" t="s">
        <v>19515</v>
      </c>
      <c r="C3795" s="606" t="s">
        <v>12427</v>
      </c>
      <c r="D3795" s="607">
        <v>1766.23</v>
      </c>
      <c r="E3795" s="607">
        <v>126.08</v>
      </c>
      <c r="F3795" s="607">
        <v>1892.31</v>
      </c>
      <c r="G3795" s="584">
        <v>15</v>
      </c>
    </row>
    <row r="3796" spans="1:7" ht="15" x14ac:dyDescent="0.2">
      <c r="A3796" s="583" t="s">
        <v>19516</v>
      </c>
      <c r="B3796" s="605" t="s">
        <v>19517</v>
      </c>
      <c r="C3796" s="606" t="s">
        <v>12427</v>
      </c>
      <c r="D3796" s="607">
        <v>2270.0700000000002</v>
      </c>
      <c r="E3796" s="607">
        <v>166.2</v>
      </c>
      <c r="F3796" s="607">
        <v>2436.27</v>
      </c>
      <c r="G3796" s="584">
        <v>15</v>
      </c>
    </row>
    <row r="3797" spans="1:7" ht="15" x14ac:dyDescent="0.2">
      <c r="A3797" s="583" t="s">
        <v>19518</v>
      </c>
      <c r="B3797" s="605" t="s">
        <v>19519</v>
      </c>
      <c r="C3797" s="606" t="s">
        <v>12427</v>
      </c>
      <c r="D3797" s="607">
        <v>3943.82</v>
      </c>
      <c r="E3797" s="607">
        <v>275.08999999999997</v>
      </c>
      <c r="F3797" s="607">
        <v>4218.91</v>
      </c>
      <c r="G3797" s="584">
        <v>15</v>
      </c>
    </row>
    <row r="3798" spans="1:7" ht="30" x14ac:dyDescent="0.2">
      <c r="A3798" s="583" t="s">
        <v>19520</v>
      </c>
      <c r="B3798" s="605" t="s">
        <v>19521</v>
      </c>
      <c r="C3798" s="606" t="s">
        <v>12427</v>
      </c>
      <c r="D3798" s="607">
        <v>2648</v>
      </c>
      <c r="E3798" s="607">
        <v>206.31</v>
      </c>
      <c r="F3798" s="607">
        <v>2854.31</v>
      </c>
      <c r="G3798" s="584">
        <v>15</v>
      </c>
    </row>
    <row r="3799" spans="1:7" ht="30" x14ac:dyDescent="0.2">
      <c r="A3799" s="583" t="s">
        <v>19522</v>
      </c>
      <c r="B3799" s="605" t="s">
        <v>19523</v>
      </c>
      <c r="C3799" s="606" t="s">
        <v>12427</v>
      </c>
      <c r="D3799" s="607">
        <v>1926.68</v>
      </c>
      <c r="E3799" s="607">
        <v>143.28</v>
      </c>
      <c r="F3799" s="607">
        <v>2069.96</v>
      </c>
      <c r="G3799" s="584">
        <v>15</v>
      </c>
    </row>
    <row r="3800" spans="1:7" ht="30" x14ac:dyDescent="0.2">
      <c r="A3800" s="583" t="s">
        <v>19524</v>
      </c>
      <c r="B3800" s="605" t="s">
        <v>19525</v>
      </c>
      <c r="C3800" s="606" t="s">
        <v>12427</v>
      </c>
      <c r="D3800" s="607">
        <v>1543.57</v>
      </c>
      <c r="E3800" s="607">
        <v>114.62</v>
      </c>
      <c r="F3800" s="607">
        <v>1658.19</v>
      </c>
      <c r="G3800" s="584">
        <v>15</v>
      </c>
    </row>
    <row r="3801" spans="1:7" ht="30" x14ac:dyDescent="0.2">
      <c r="A3801" s="583" t="s">
        <v>19526</v>
      </c>
      <c r="B3801" s="605" t="s">
        <v>19527</v>
      </c>
      <c r="C3801" s="606" t="s">
        <v>12427</v>
      </c>
      <c r="D3801" s="607">
        <v>1377.11</v>
      </c>
      <c r="E3801" s="607">
        <v>97.43</v>
      </c>
      <c r="F3801" s="607">
        <v>1474.54</v>
      </c>
      <c r="G3801" s="584">
        <v>15</v>
      </c>
    </row>
    <row r="3802" spans="1:7" ht="30" x14ac:dyDescent="0.2">
      <c r="A3802" s="583" t="s">
        <v>19528</v>
      </c>
      <c r="B3802" s="605" t="s">
        <v>19529</v>
      </c>
      <c r="C3802" s="606" t="s">
        <v>12427</v>
      </c>
      <c r="D3802" s="607">
        <v>1224.81</v>
      </c>
      <c r="E3802" s="607">
        <v>85.97</v>
      </c>
      <c r="F3802" s="607">
        <v>1310.78</v>
      </c>
      <c r="G3802" s="584">
        <v>15</v>
      </c>
    </row>
    <row r="3803" spans="1:7" ht="15" x14ac:dyDescent="0.2">
      <c r="A3803" s="583" t="s">
        <v>19530</v>
      </c>
      <c r="B3803" s="605" t="s">
        <v>19531</v>
      </c>
      <c r="C3803" s="606" t="s">
        <v>12427</v>
      </c>
      <c r="D3803" s="607">
        <v>1389.74</v>
      </c>
      <c r="E3803" s="607">
        <v>114.62</v>
      </c>
      <c r="F3803" s="607">
        <v>1504.36</v>
      </c>
      <c r="G3803" s="584">
        <v>15</v>
      </c>
    </row>
    <row r="3804" spans="1:7" ht="15" x14ac:dyDescent="0.2">
      <c r="A3804" s="583" t="s">
        <v>19532</v>
      </c>
      <c r="B3804" s="605" t="s">
        <v>19533</v>
      </c>
      <c r="C3804" s="606" t="s">
        <v>12427</v>
      </c>
      <c r="D3804" s="607">
        <v>1512.67</v>
      </c>
      <c r="E3804" s="607">
        <v>68.77</v>
      </c>
      <c r="F3804" s="607">
        <v>1581.44</v>
      </c>
      <c r="G3804" s="584">
        <v>15</v>
      </c>
    </row>
    <row r="3805" spans="1:7" ht="15" x14ac:dyDescent="0.2">
      <c r="A3805" s="583" t="s">
        <v>19534</v>
      </c>
      <c r="B3805" s="605" t="s">
        <v>19535</v>
      </c>
      <c r="C3805" s="606" t="s">
        <v>12375</v>
      </c>
      <c r="D3805" s="607">
        <v>207.3</v>
      </c>
      <c r="E3805" s="607">
        <v>51.58</v>
      </c>
      <c r="F3805" s="607">
        <v>258.88</v>
      </c>
      <c r="G3805" s="584">
        <v>15</v>
      </c>
    </row>
    <row r="3806" spans="1:7" ht="15" x14ac:dyDescent="0.2">
      <c r="A3806" s="583" t="s">
        <v>19536</v>
      </c>
      <c r="B3806" s="605" t="s">
        <v>19537</v>
      </c>
      <c r="C3806" s="606" t="s">
        <v>12375</v>
      </c>
      <c r="D3806" s="607">
        <v>321.10000000000002</v>
      </c>
      <c r="E3806" s="607">
        <v>68.77</v>
      </c>
      <c r="F3806" s="607">
        <v>389.87</v>
      </c>
      <c r="G3806" s="584">
        <v>15</v>
      </c>
    </row>
    <row r="3807" spans="1:7" ht="15" x14ac:dyDescent="0.25">
      <c r="A3807" s="583" t="s">
        <v>19538</v>
      </c>
      <c r="B3807" s="605" t="s">
        <v>19539</v>
      </c>
      <c r="C3807" s="606"/>
      <c r="D3807" s="607"/>
      <c r="E3807" s="607"/>
      <c r="F3807" s="607"/>
      <c r="G3807" s="582"/>
    </row>
    <row r="3808" spans="1:7" ht="30" x14ac:dyDescent="0.2">
      <c r="A3808" s="583" t="s">
        <v>19540</v>
      </c>
      <c r="B3808" s="605" t="s">
        <v>19541</v>
      </c>
      <c r="C3808" s="606" t="s">
        <v>12375</v>
      </c>
      <c r="D3808" s="607">
        <v>5046.42</v>
      </c>
      <c r="E3808" s="607">
        <v>343.86</v>
      </c>
      <c r="F3808" s="607">
        <v>5390.28</v>
      </c>
      <c r="G3808" s="584">
        <v>15</v>
      </c>
    </row>
    <row r="3809" spans="1:7" ht="30" x14ac:dyDescent="0.2">
      <c r="A3809" s="583" t="s">
        <v>19542</v>
      </c>
      <c r="B3809" s="605" t="s">
        <v>19543</v>
      </c>
      <c r="C3809" s="606" t="s">
        <v>12375</v>
      </c>
      <c r="D3809" s="607">
        <v>18571.71</v>
      </c>
      <c r="E3809" s="607">
        <v>343.86</v>
      </c>
      <c r="F3809" s="607">
        <v>18915.57</v>
      </c>
      <c r="G3809" s="584">
        <v>15</v>
      </c>
    </row>
    <row r="3810" spans="1:7" ht="30" x14ac:dyDescent="0.2">
      <c r="A3810" s="583" t="s">
        <v>19544</v>
      </c>
      <c r="B3810" s="605" t="s">
        <v>19545</v>
      </c>
      <c r="C3810" s="606" t="s">
        <v>12375</v>
      </c>
      <c r="D3810" s="607">
        <v>10258.56</v>
      </c>
      <c r="E3810" s="607">
        <v>301.44</v>
      </c>
      <c r="F3810" s="607">
        <v>10560</v>
      </c>
      <c r="G3810" s="584">
        <v>15</v>
      </c>
    </row>
    <row r="3811" spans="1:7" ht="30" x14ac:dyDescent="0.2">
      <c r="A3811" s="583" t="s">
        <v>19546</v>
      </c>
      <c r="B3811" s="605" t="s">
        <v>19547</v>
      </c>
      <c r="C3811" s="606" t="s">
        <v>12375</v>
      </c>
      <c r="D3811" s="607">
        <v>6928.42</v>
      </c>
      <c r="E3811" s="607">
        <v>301.44</v>
      </c>
      <c r="F3811" s="607">
        <v>7229.86</v>
      </c>
      <c r="G3811" s="584">
        <v>15</v>
      </c>
    </row>
    <row r="3812" spans="1:7" ht="30" x14ac:dyDescent="0.2">
      <c r="A3812" s="583" t="s">
        <v>19548</v>
      </c>
      <c r="B3812" s="605" t="s">
        <v>19549</v>
      </c>
      <c r="C3812" s="606" t="s">
        <v>12375</v>
      </c>
      <c r="D3812" s="607">
        <v>3508.15</v>
      </c>
      <c r="E3812" s="607">
        <v>301.44</v>
      </c>
      <c r="F3812" s="607">
        <v>3809.59</v>
      </c>
      <c r="G3812" s="584">
        <v>15</v>
      </c>
    </row>
    <row r="3813" spans="1:7" ht="30" x14ac:dyDescent="0.2">
      <c r="A3813" s="583" t="s">
        <v>19550</v>
      </c>
      <c r="B3813" s="605" t="s">
        <v>20248</v>
      </c>
      <c r="C3813" s="606" t="s">
        <v>12375</v>
      </c>
      <c r="D3813" s="607">
        <v>3962.85</v>
      </c>
      <c r="E3813" s="607">
        <v>301.44</v>
      </c>
      <c r="F3813" s="607">
        <v>4264.29</v>
      </c>
      <c r="G3813" s="584">
        <v>15</v>
      </c>
    </row>
    <row r="3814" spans="1:7" ht="30" x14ac:dyDescent="0.2">
      <c r="A3814" s="583" t="s">
        <v>19551</v>
      </c>
      <c r="B3814" s="605" t="s">
        <v>19552</v>
      </c>
      <c r="C3814" s="606" t="s">
        <v>12375</v>
      </c>
      <c r="D3814" s="607">
        <v>14741.73</v>
      </c>
      <c r="E3814" s="607">
        <v>706.8</v>
      </c>
      <c r="F3814" s="607">
        <v>15448.53</v>
      </c>
      <c r="G3814" s="584">
        <v>15</v>
      </c>
    </row>
    <row r="3815" spans="1:7" ht="15" x14ac:dyDescent="0.25">
      <c r="A3815" s="583" t="s">
        <v>19553</v>
      </c>
      <c r="B3815" s="605" t="s">
        <v>19554</v>
      </c>
      <c r="C3815" s="606"/>
      <c r="D3815" s="607"/>
      <c r="E3815" s="607"/>
      <c r="F3815" s="607"/>
      <c r="G3815" s="582"/>
    </row>
    <row r="3816" spans="1:7" ht="30" x14ac:dyDescent="0.2">
      <c r="A3816" s="583" t="s">
        <v>19555</v>
      </c>
      <c r="B3816" s="605" t="s">
        <v>19556</v>
      </c>
      <c r="C3816" s="606" t="s">
        <v>12375</v>
      </c>
      <c r="D3816" s="607">
        <v>153.16999999999999</v>
      </c>
      <c r="E3816" s="607">
        <v>2.5099999999999998</v>
      </c>
      <c r="F3816" s="607">
        <v>155.68</v>
      </c>
      <c r="G3816" s="584">
        <v>15</v>
      </c>
    </row>
    <row r="3817" spans="1:7" ht="15" x14ac:dyDescent="0.2">
      <c r="A3817" s="583" t="s">
        <v>19557</v>
      </c>
      <c r="B3817" s="605" t="s">
        <v>19558</v>
      </c>
      <c r="C3817" s="606" t="s">
        <v>12375</v>
      </c>
      <c r="D3817" s="607">
        <v>9.89</v>
      </c>
      <c r="E3817" s="607">
        <v>15.07</v>
      </c>
      <c r="F3817" s="607">
        <v>24.96</v>
      </c>
      <c r="G3817" s="584">
        <v>15</v>
      </c>
    </row>
    <row r="3818" spans="1:7" ht="30" x14ac:dyDescent="0.2">
      <c r="A3818" s="583" t="s">
        <v>19559</v>
      </c>
      <c r="B3818" s="605" t="s">
        <v>19560</v>
      </c>
      <c r="C3818" s="606" t="s">
        <v>12375</v>
      </c>
      <c r="D3818" s="607">
        <v>218.14</v>
      </c>
      <c r="E3818" s="607">
        <v>2.5099999999999998</v>
      </c>
      <c r="F3818" s="607">
        <v>220.65</v>
      </c>
      <c r="G3818" s="584">
        <v>15</v>
      </c>
    </row>
    <row r="3819" spans="1:7" ht="30" x14ac:dyDescent="0.2">
      <c r="A3819" s="583" t="s">
        <v>19561</v>
      </c>
      <c r="B3819" s="605" t="s">
        <v>19562</v>
      </c>
      <c r="C3819" s="606" t="s">
        <v>12375</v>
      </c>
      <c r="D3819" s="607">
        <v>2570.0100000000002</v>
      </c>
      <c r="E3819" s="607">
        <v>15.26</v>
      </c>
      <c r="F3819" s="607">
        <v>2585.27</v>
      </c>
      <c r="G3819" s="584">
        <v>15</v>
      </c>
    </row>
    <row r="3820" spans="1:7" ht="30" x14ac:dyDescent="0.2">
      <c r="A3820" s="583" t="s">
        <v>19563</v>
      </c>
      <c r="B3820" s="605" t="s">
        <v>20249</v>
      </c>
      <c r="C3820" s="606" t="s">
        <v>12375</v>
      </c>
      <c r="D3820" s="607">
        <v>2561.5</v>
      </c>
      <c r="E3820" s="607">
        <v>22.89</v>
      </c>
      <c r="F3820" s="607">
        <v>2584.39</v>
      </c>
      <c r="G3820" s="584">
        <v>15</v>
      </c>
    </row>
    <row r="3821" spans="1:7" ht="15" x14ac:dyDescent="0.2">
      <c r="A3821" s="583" t="s">
        <v>19564</v>
      </c>
      <c r="B3821" s="605" t="s">
        <v>20250</v>
      </c>
      <c r="C3821" s="606" t="s">
        <v>12375</v>
      </c>
      <c r="D3821" s="607">
        <v>1045.6099999999999</v>
      </c>
      <c r="E3821" s="607">
        <v>17.78</v>
      </c>
      <c r="F3821" s="607">
        <v>1063.3900000000001</v>
      </c>
      <c r="G3821" s="584">
        <v>15</v>
      </c>
    </row>
    <row r="3822" spans="1:7" ht="30" x14ac:dyDescent="0.2">
      <c r="A3822" s="583" t="s">
        <v>19565</v>
      </c>
      <c r="B3822" s="605" t="s">
        <v>20251</v>
      </c>
      <c r="C3822" s="606" t="s">
        <v>12375</v>
      </c>
      <c r="D3822" s="607">
        <v>3027.47</v>
      </c>
      <c r="E3822" s="607">
        <v>22.89</v>
      </c>
      <c r="F3822" s="607">
        <v>3050.36</v>
      </c>
      <c r="G3822" s="584">
        <v>15</v>
      </c>
    </row>
    <row r="3823" spans="1:7" ht="15" x14ac:dyDescent="0.2">
      <c r="A3823" s="583" t="s">
        <v>19566</v>
      </c>
      <c r="B3823" s="605" t="s">
        <v>20252</v>
      </c>
      <c r="C3823" s="606" t="s">
        <v>12375</v>
      </c>
      <c r="D3823" s="607">
        <v>394.61</v>
      </c>
      <c r="E3823" s="607">
        <v>22.89</v>
      </c>
      <c r="F3823" s="607">
        <v>417.5</v>
      </c>
      <c r="G3823" s="584">
        <v>15</v>
      </c>
    </row>
    <row r="3824" spans="1:7" ht="30" x14ac:dyDescent="0.2">
      <c r="A3824" s="583" t="s">
        <v>19567</v>
      </c>
      <c r="B3824" s="605" t="s">
        <v>20253</v>
      </c>
      <c r="C3824" s="606" t="s">
        <v>12375</v>
      </c>
      <c r="D3824" s="607">
        <v>2514.92</v>
      </c>
      <c r="E3824" s="607">
        <v>22.89</v>
      </c>
      <c r="F3824" s="607">
        <v>2537.81</v>
      </c>
      <c r="G3824" s="584">
        <v>15</v>
      </c>
    </row>
    <row r="3825" spans="1:7" ht="30" x14ac:dyDescent="0.2">
      <c r="A3825" s="583" t="s">
        <v>19568</v>
      </c>
      <c r="B3825" s="605" t="s">
        <v>19569</v>
      </c>
      <c r="C3825" s="606" t="s">
        <v>12375</v>
      </c>
      <c r="D3825" s="607">
        <v>1150.6500000000001</v>
      </c>
      <c r="E3825" s="607">
        <v>15.26</v>
      </c>
      <c r="F3825" s="607">
        <v>1165.9100000000001</v>
      </c>
      <c r="G3825" s="584">
        <v>15</v>
      </c>
    </row>
    <row r="3826" spans="1:7" ht="15" x14ac:dyDescent="0.2">
      <c r="A3826" s="583" t="s">
        <v>19570</v>
      </c>
      <c r="B3826" s="605" t="s">
        <v>20254</v>
      </c>
      <c r="C3826" s="606" t="s">
        <v>12375</v>
      </c>
      <c r="D3826" s="607">
        <v>2559.9499999999998</v>
      </c>
      <c r="E3826" s="607">
        <v>17.78</v>
      </c>
      <c r="F3826" s="607">
        <v>2577.73</v>
      </c>
      <c r="G3826" s="584">
        <v>15</v>
      </c>
    </row>
    <row r="3827" spans="1:7" ht="15" x14ac:dyDescent="0.2">
      <c r="A3827" s="583" t="s">
        <v>19571</v>
      </c>
      <c r="B3827" s="605" t="s">
        <v>19572</v>
      </c>
      <c r="C3827" s="606" t="s">
        <v>12375</v>
      </c>
      <c r="D3827" s="607">
        <v>118.05</v>
      </c>
      <c r="E3827" s="607">
        <v>7.54</v>
      </c>
      <c r="F3827" s="607">
        <v>125.59</v>
      </c>
      <c r="G3827" s="584">
        <v>15</v>
      </c>
    </row>
    <row r="3828" spans="1:7" ht="15" x14ac:dyDescent="0.2">
      <c r="A3828" s="583" t="s">
        <v>19573</v>
      </c>
      <c r="B3828" s="605" t="s">
        <v>19574</v>
      </c>
      <c r="C3828" s="606" t="s">
        <v>12375</v>
      </c>
      <c r="D3828" s="607">
        <v>271.25</v>
      </c>
      <c r="E3828" s="607">
        <v>75.680000000000007</v>
      </c>
      <c r="F3828" s="607">
        <v>346.93</v>
      </c>
      <c r="G3828" s="584">
        <v>15</v>
      </c>
    </row>
    <row r="3829" spans="1:7" ht="15" x14ac:dyDescent="0.2">
      <c r="A3829" s="583" t="s">
        <v>19575</v>
      </c>
      <c r="B3829" s="605" t="s">
        <v>19576</v>
      </c>
      <c r="C3829" s="606" t="s">
        <v>12375</v>
      </c>
      <c r="D3829" s="607">
        <v>1777.83</v>
      </c>
      <c r="E3829" s="607">
        <v>51.81</v>
      </c>
      <c r="F3829" s="607">
        <v>1829.64</v>
      </c>
      <c r="G3829" s="584">
        <v>15</v>
      </c>
    </row>
    <row r="3830" spans="1:7" ht="15" x14ac:dyDescent="0.2">
      <c r="A3830" s="583" t="s">
        <v>19577</v>
      </c>
      <c r="B3830" s="605" t="s">
        <v>19578</v>
      </c>
      <c r="C3830" s="606" t="s">
        <v>12375</v>
      </c>
      <c r="D3830" s="607">
        <v>333.36</v>
      </c>
      <c r="E3830" s="607">
        <v>37.68</v>
      </c>
      <c r="F3830" s="607">
        <v>371.04</v>
      </c>
      <c r="G3830" s="584">
        <v>15</v>
      </c>
    </row>
    <row r="3831" spans="1:7" ht="15" x14ac:dyDescent="0.2">
      <c r="A3831" s="583" t="s">
        <v>19579</v>
      </c>
      <c r="B3831" s="605" t="s">
        <v>21455</v>
      </c>
      <c r="C3831" s="606" t="s">
        <v>12375</v>
      </c>
      <c r="D3831" s="607">
        <v>367.59</v>
      </c>
      <c r="E3831" s="607">
        <v>75.680000000000007</v>
      </c>
      <c r="F3831" s="607">
        <v>443.27</v>
      </c>
      <c r="G3831" s="584">
        <v>15</v>
      </c>
    </row>
    <row r="3832" spans="1:7" ht="30" x14ac:dyDescent="0.2">
      <c r="A3832" s="583" t="s">
        <v>19580</v>
      </c>
      <c r="B3832" s="605" t="s">
        <v>19581</v>
      </c>
      <c r="C3832" s="606" t="s">
        <v>12375</v>
      </c>
      <c r="D3832" s="607">
        <v>73.56</v>
      </c>
      <c r="E3832" s="607">
        <v>82.76</v>
      </c>
      <c r="F3832" s="607">
        <v>156.32</v>
      </c>
      <c r="G3832" s="584">
        <v>15</v>
      </c>
    </row>
    <row r="3833" spans="1:7" ht="15" x14ac:dyDescent="0.2">
      <c r="A3833" s="583" t="s">
        <v>19582</v>
      </c>
      <c r="B3833" s="605" t="s">
        <v>19583</v>
      </c>
      <c r="C3833" s="606" t="s">
        <v>12375</v>
      </c>
      <c r="D3833" s="607">
        <v>1600.18</v>
      </c>
      <c r="E3833" s="607">
        <v>75.680000000000007</v>
      </c>
      <c r="F3833" s="607">
        <v>1675.86</v>
      </c>
      <c r="G3833" s="584">
        <v>15</v>
      </c>
    </row>
    <row r="3834" spans="1:7" ht="30" x14ac:dyDescent="0.2">
      <c r="A3834" s="583" t="s">
        <v>19584</v>
      </c>
      <c r="B3834" s="605" t="s">
        <v>19585</v>
      </c>
      <c r="C3834" s="606" t="s">
        <v>12375</v>
      </c>
      <c r="D3834" s="607">
        <v>1018.56</v>
      </c>
      <c r="E3834" s="607">
        <v>75.680000000000007</v>
      </c>
      <c r="F3834" s="607">
        <v>1094.24</v>
      </c>
      <c r="G3834" s="584">
        <v>15</v>
      </c>
    </row>
    <row r="3835" spans="1:7" ht="30" x14ac:dyDescent="0.2">
      <c r="A3835" s="583" t="s">
        <v>19586</v>
      </c>
      <c r="B3835" s="605" t="s">
        <v>19587</v>
      </c>
      <c r="C3835" s="606" t="s">
        <v>12375</v>
      </c>
      <c r="D3835" s="607">
        <v>1862.77</v>
      </c>
      <c r="E3835" s="607">
        <v>75.680000000000007</v>
      </c>
      <c r="F3835" s="607">
        <v>1938.45</v>
      </c>
      <c r="G3835" s="584">
        <v>15</v>
      </c>
    </row>
    <row r="3836" spans="1:7" ht="15" x14ac:dyDescent="0.2">
      <c r="A3836" s="583" t="s">
        <v>19588</v>
      </c>
      <c r="B3836" s="605" t="s">
        <v>19589</v>
      </c>
      <c r="C3836" s="606" t="s">
        <v>12375</v>
      </c>
      <c r="D3836" s="607">
        <v>4824.84</v>
      </c>
      <c r="E3836" s="607">
        <v>343.77</v>
      </c>
      <c r="F3836" s="607">
        <v>5168.6099999999997</v>
      </c>
      <c r="G3836" s="584">
        <v>15</v>
      </c>
    </row>
    <row r="3837" spans="1:7" ht="15" x14ac:dyDescent="0.2">
      <c r="A3837" s="583" t="s">
        <v>19590</v>
      </c>
      <c r="B3837" s="605" t="s">
        <v>19591</v>
      </c>
      <c r="C3837" s="606" t="s">
        <v>12375</v>
      </c>
      <c r="D3837" s="607">
        <v>3075.51</v>
      </c>
      <c r="E3837" s="607">
        <v>201.69</v>
      </c>
      <c r="F3837" s="607">
        <v>3277.2</v>
      </c>
      <c r="G3837" s="584">
        <v>15</v>
      </c>
    </row>
    <row r="3838" spans="1:7" ht="15" x14ac:dyDescent="0.2">
      <c r="A3838" s="583" t="s">
        <v>19592</v>
      </c>
      <c r="B3838" s="605" t="s">
        <v>19593</v>
      </c>
      <c r="C3838" s="606" t="s">
        <v>12375</v>
      </c>
      <c r="D3838" s="607">
        <v>3175.96</v>
      </c>
      <c r="E3838" s="607">
        <v>201.69</v>
      </c>
      <c r="F3838" s="607">
        <v>3377.65</v>
      </c>
      <c r="G3838" s="584">
        <v>15</v>
      </c>
    </row>
    <row r="3839" spans="1:7" ht="15" x14ac:dyDescent="0.2">
      <c r="A3839" s="583" t="s">
        <v>19594</v>
      </c>
      <c r="B3839" s="605" t="s">
        <v>19595</v>
      </c>
      <c r="C3839" s="606" t="s">
        <v>12375</v>
      </c>
      <c r="D3839" s="607">
        <v>948.83</v>
      </c>
      <c r="E3839" s="607">
        <v>231.35</v>
      </c>
      <c r="F3839" s="607">
        <v>1180.18</v>
      </c>
      <c r="G3839" s="584">
        <v>15</v>
      </c>
    </row>
    <row r="3840" spans="1:7" ht="15" x14ac:dyDescent="0.25">
      <c r="A3840" s="583" t="s">
        <v>19596</v>
      </c>
      <c r="B3840" s="605" t="s">
        <v>19597</v>
      </c>
      <c r="C3840" s="606"/>
      <c r="D3840" s="607"/>
      <c r="E3840" s="607"/>
      <c r="F3840" s="607"/>
      <c r="G3840" s="582"/>
    </row>
    <row r="3841" spans="1:7" ht="15" x14ac:dyDescent="0.2">
      <c r="A3841" s="583" t="s">
        <v>19598</v>
      </c>
      <c r="B3841" s="605" t="s">
        <v>19599</v>
      </c>
      <c r="C3841" s="606" t="s">
        <v>12676</v>
      </c>
      <c r="D3841" s="607">
        <v>1016.38</v>
      </c>
      <c r="E3841" s="607">
        <v>13.2</v>
      </c>
      <c r="F3841" s="607">
        <v>1029.58</v>
      </c>
      <c r="G3841" s="584">
        <v>15</v>
      </c>
    </row>
    <row r="3842" spans="1:7" ht="15" x14ac:dyDescent="0.2">
      <c r="A3842" s="583" t="s">
        <v>19600</v>
      </c>
      <c r="B3842" s="605" t="s">
        <v>19601</v>
      </c>
      <c r="C3842" s="606" t="s">
        <v>12676</v>
      </c>
      <c r="D3842" s="607">
        <v>1213.92</v>
      </c>
      <c r="E3842" s="607">
        <v>13.2</v>
      </c>
      <c r="F3842" s="607">
        <v>1227.1199999999999</v>
      </c>
      <c r="G3842" s="584">
        <v>15</v>
      </c>
    </row>
    <row r="3843" spans="1:7" ht="30" x14ac:dyDescent="0.2">
      <c r="A3843" s="583" t="s">
        <v>19602</v>
      </c>
      <c r="B3843" s="605" t="s">
        <v>19603</v>
      </c>
      <c r="C3843" s="606" t="s">
        <v>12676</v>
      </c>
      <c r="D3843" s="607">
        <v>1427.2</v>
      </c>
      <c r="E3843" s="607">
        <v>533.63</v>
      </c>
      <c r="F3843" s="607">
        <v>1960.83</v>
      </c>
      <c r="G3843" s="584">
        <v>15</v>
      </c>
    </row>
    <row r="3844" spans="1:7" ht="30" x14ac:dyDescent="0.2">
      <c r="A3844" s="583" t="s">
        <v>19604</v>
      </c>
      <c r="B3844" s="605" t="s">
        <v>19605</v>
      </c>
      <c r="C3844" s="606" t="s">
        <v>12676</v>
      </c>
      <c r="D3844" s="607">
        <v>1673.07</v>
      </c>
      <c r="E3844" s="607">
        <v>568.97</v>
      </c>
      <c r="F3844" s="607">
        <v>2242.04</v>
      </c>
      <c r="G3844" s="584">
        <v>15</v>
      </c>
    </row>
    <row r="3845" spans="1:7" ht="30" x14ac:dyDescent="0.2">
      <c r="A3845" s="583" t="s">
        <v>19606</v>
      </c>
      <c r="B3845" s="605" t="s">
        <v>19607</v>
      </c>
      <c r="C3845" s="606" t="s">
        <v>12676</v>
      </c>
      <c r="D3845" s="607">
        <v>1950.34</v>
      </c>
      <c r="E3845" s="607">
        <v>639.65</v>
      </c>
      <c r="F3845" s="607">
        <v>2589.9899999999998</v>
      </c>
      <c r="G3845" s="584">
        <v>15</v>
      </c>
    </row>
    <row r="3846" spans="1:7" ht="30" x14ac:dyDescent="0.2">
      <c r="A3846" s="583" t="s">
        <v>19608</v>
      </c>
      <c r="B3846" s="605" t="s">
        <v>19609</v>
      </c>
      <c r="C3846" s="606" t="s">
        <v>12676</v>
      </c>
      <c r="D3846" s="607">
        <v>2816.03</v>
      </c>
      <c r="E3846" s="607">
        <v>674.99</v>
      </c>
      <c r="F3846" s="607">
        <v>3491.02</v>
      </c>
      <c r="G3846" s="584">
        <v>15</v>
      </c>
    </row>
    <row r="3847" spans="1:7" ht="15" x14ac:dyDescent="0.2">
      <c r="A3847" s="583" t="s">
        <v>19610</v>
      </c>
      <c r="B3847" s="605" t="s">
        <v>19611</v>
      </c>
      <c r="C3847" s="606" t="s">
        <v>12929</v>
      </c>
      <c r="D3847" s="607">
        <v>19.98</v>
      </c>
      <c r="E3847" s="607">
        <v>29.09</v>
      </c>
      <c r="F3847" s="607">
        <v>49.07</v>
      </c>
      <c r="G3847" s="584">
        <v>15</v>
      </c>
    </row>
    <row r="3848" spans="1:7" ht="15" x14ac:dyDescent="0.2">
      <c r="A3848" s="583" t="s">
        <v>20255</v>
      </c>
      <c r="B3848" s="605" t="s">
        <v>20256</v>
      </c>
      <c r="C3848" s="606" t="s">
        <v>12375</v>
      </c>
      <c r="D3848" s="607">
        <v>188.69</v>
      </c>
      <c r="E3848" s="607">
        <v>16.23</v>
      </c>
      <c r="F3848" s="607">
        <v>204.92</v>
      </c>
      <c r="G3848" s="584">
        <v>15</v>
      </c>
    </row>
    <row r="3849" spans="1:7" ht="30" x14ac:dyDescent="0.25">
      <c r="A3849" s="583" t="s">
        <v>19612</v>
      </c>
      <c r="B3849" s="605" t="s">
        <v>19613</v>
      </c>
      <c r="C3849" s="606"/>
      <c r="D3849" s="607"/>
      <c r="E3849" s="607"/>
      <c r="F3849" s="607"/>
      <c r="G3849" s="582"/>
    </row>
    <row r="3850" spans="1:7" ht="15" x14ac:dyDescent="0.25">
      <c r="A3850" s="583" t="s">
        <v>19614</v>
      </c>
      <c r="B3850" s="605" t="s">
        <v>19615</v>
      </c>
      <c r="C3850" s="606"/>
      <c r="D3850" s="607"/>
      <c r="E3850" s="607"/>
      <c r="F3850" s="607"/>
      <c r="G3850" s="582"/>
    </row>
    <row r="3851" spans="1:7" ht="30" x14ac:dyDescent="0.2">
      <c r="A3851" s="583" t="s">
        <v>19616</v>
      </c>
      <c r="B3851" s="605" t="s">
        <v>19617</v>
      </c>
      <c r="C3851" s="606" t="s">
        <v>12375</v>
      </c>
      <c r="D3851" s="607">
        <v>5923.57</v>
      </c>
      <c r="E3851" s="607">
        <v>25.12</v>
      </c>
      <c r="F3851" s="607">
        <v>5948.69</v>
      </c>
      <c r="G3851" s="584">
        <v>15</v>
      </c>
    </row>
    <row r="3852" spans="1:7" ht="15" x14ac:dyDescent="0.2">
      <c r="A3852" s="583" t="s">
        <v>19618</v>
      </c>
      <c r="B3852" s="605" t="s">
        <v>19619</v>
      </c>
      <c r="C3852" s="606" t="s">
        <v>12483</v>
      </c>
      <c r="D3852" s="607">
        <v>2559.5500000000002</v>
      </c>
      <c r="E3852" s="607"/>
      <c r="F3852" s="607">
        <v>2559.5500000000002</v>
      </c>
      <c r="G3852" s="584">
        <v>15</v>
      </c>
    </row>
    <row r="3853" spans="1:7" ht="30" x14ac:dyDescent="0.2">
      <c r="A3853" s="583" t="s">
        <v>19620</v>
      </c>
      <c r="B3853" s="605" t="s">
        <v>19621</v>
      </c>
      <c r="C3853" s="606" t="s">
        <v>12483</v>
      </c>
      <c r="D3853" s="607">
        <v>2742.78</v>
      </c>
      <c r="E3853" s="607"/>
      <c r="F3853" s="607">
        <v>2742.78</v>
      </c>
      <c r="G3853" s="584">
        <v>15</v>
      </c>
    </row>
    <row r="3854" spans="1:7" ht="15" x14ac:dyDescent="0.25">
      <c r="A3854" s="583" t="s">
        <v>19622</v>
      </c>
      <c r="B3854" s="605" t="s">
        <v>19623</v>
      </c>
      <c r="C3854" s="606"/>
      <c r="D3854" s="607"/>
      <c r="E3854" s="607"/>
      <c r="F3854" s="607"/>
      <c r="G3854" s="582"/>
    </row>
    <row r="3855" spans="1:7" ht="30" x14ac:dyDescent="0.2">
      <c r="A3855" s="583" t="s">
        <v>19624</v>
      </c>
      <c r="B3855" s="605" t="s">
        <v>19625</v>
      </c>
      <c r="C3855" s="606" t="s">
        <v>12427</v>
      </c>
      <c r="D3855" s="607">
        <v>10615.42</v>
      </c>
      <c r="E3855" s="607"/>
      <c r="F3855" s="607">
        <v>10615.42</v>
      </c>
      <c r="G3855" s="584">
        <v>15</v>
      </c>
    </row>
    <row r="3856" spans="1:7" ht="30" x14ac:dyDescent="0.2">
      <c r="A3856" s="583" t="s">
        <v>19626</v>
      </c>
      <c r="B3856" s="605" t="s">
        <v>19627</v>
      </c>
      <c r="C3856" s="606" t="s">
        <v>12427</v>
      </c>
      <c r="D3856" s="607">
        <v>8859.23</v>
      </c>
      <c r="E3856" s="607"/>
      <c r="F3856" s="607">
        <v>8859.23</v>
      </c>
      <c r="G3856" s="584">
        <v>15</v>
      </c>
    </row>
    <row r="3857" spans="1:7" ht="30" x14ac:dyDescent="0.2">
      <c r="A3857" s="583" t="s">
        <v>19628</v>
      </c>
      <c r="B3857" s="605" t="s">
        <v>19629</v>
      </c>
      <c r="C3857" s="606" t="s">
        <v>12427</v>
      </c>
      <c r="D3857" s="607">
        <v>4549.53</v>
      </c>
      <c r="E3857" s="607"/>
      <c r="F3857" s="607">
        <v>4549.53</v>
      </c>
      <c r="G3857" s="584">
        <v>15</v>
      </c>
    </row>
    <row r="3858" spans="1:7" ht="15" x14ac:dyDescent="0.25">
      <c r="A3858" s="583" t="s">
        <v>19630</v>
      </c>
      <c r="B3858" s="605" t="s">
        <v>19631</v>
      </c>
      <c r="C3858" s="606"/>
      <c r="D3858" s="607"/>
      <c r="E3858" s="607"/>
      <c r="F3858" s="607"/>
      <c r="G3858" s="582"/>
    </row>
    <row r="3859" spans="1:7" ht="15" x14ac:dyDescent="0.25">
      <c r="A3859" s="583" t="s">
        <v>19632</v>
      </c>
      <c r="B3859" s="605" t="s">
        <v>19633</v>
      </c>
      <c r="C3859" s="606"/>
      <c r="D3859" s="607"/>
      <c r="E3859" s="607"/>
      <c r="F3859" s="607"/>
      <c r="G3859" s="582"/>
    </row>
    <row r="3860" spans="1:7" ht="15" x14ac:dyDescent="0.2">
      <c r="A3860" s="583" t="s">
        <v>19634</v>
      </c>
      <c r="B3860" s="605" t="s">
        <v>19635</v>
      </c>
      <c r="C3860" s="606" t="s">
        <v>12427</v>
      </c>
      <c r="D3860" s="607">
        <v>2143.16</v>
      </c>
      <c r="E3860" s="607"/>
      <c r="F3860" s="607">
        <v>2143.16</v>
      </c>
      <c r="G3860" s="584">
        <v>15</v>
      </c>
    </row>
    <row r="3861" spans="1:7" ht="15" x14ac:dyDescent="0.25">
      <c r="A3861" s="583" t="s">
        <v>19636</v>
      </c>
      <c r="B3861" s="605" t="s">
        <v>19637</v>
      </c>
      <c r="C3861" s="606"/>
      <c r="D3861" s="607"/>
      <c r="E3861" s="607"/>
      <c r="F3861" s="607"/>
      <c r="G3861" s="582"/>
    </row>
    <row r="3862" spans="1:7" ht="15" x14ac:dyDescent="0.2">
      <c r="A3862" s="583" t="s">
        <v>19638</v>
      </c>
      <c r="B3862" s="605" t="s">
        <v>19639</v>
      </c>
      <c r="C3862" s="606" t="s">
        <v>12427</v>
      </c>
      <c r="D3862" s="607">
        <v>2583.02</v>
      </c>
      <c r="E3862" s="607"/>
      <c r="F3862" s="607">
        <v>2583.02</v>
      </c>
      <c r="G3862" s="584">
        <v>15</v>
      </c>
    </row>
    <row r="3863" spans="1:7" ht="30" x14ac:dyDescent="0.25">
      <c r="A3863" s="583" t="s">
        <v>19640</v>
      </c>
      <c r="B3863" s="605" t="s">
        <v>19641</v>
      </c>
      <c r="C3863" s="606"/>
      <c r="D3863" s="607"/>
      <c r="E3863" s="607"/>
      <c r="F3863" s="607"/>
      <c r="G3863" s="582"/>
    </row>
    <row r="3864" spans="1:7" ht="15" x14ac:dyDescent="0.25">
      <c r="A3864" s="583" t="s">
        <v>19642</v>
      </c>
      <c r="B3864" s="605" t="s">
        <v>19643</v>
      </c>
      <c r="C3864" s="606"/>
      <c r="D3864" s="607"/>
      <c r="E3864" s="607"/>
      <c r="F3864" s="607"/>
      <c r="G3864" s="582"/>
    </row>
    <row r="3865" spans="1:7" ht="30" x14ac:dyDescent="0.2">
      <c r="A3865" s="583" t="s">
        <v>19644</v>
      </c>
      <c r="B3865" s="605" t="s">
        <v>19645</v>
      </c>
      <c r="C3865" s="606" t="s">
        <v>12375</v>
      </c>
      <c r="D3865" s="607">
        <v>829.96</v>
      </c>
      <c r="E3865" s="607">
        <v>15.07</v>
      </c>
      <c r="F3865" s="607">
        <v>845.03</v>
      </c>
      <c r="G3865" s="584">
        <v>15</v>
      </c>
    </row>
    <row r="3866" spans="1:7" ht="15" x14ac:dyDescent="0.2">
      <c r="A3866" s="583" t="s">
        <v>19646</v>
      </c>
      <c r="B3866" s="605" t="s">
        <v>19647</v>
      </c>
      <c r="C3866" s="606" t="s">
        <v>12375</v>
      </c>
      <c r="D3866" s="607">
        <v>15021.26</v>
      </c>
      <c r="E3866" s="607"/>
      <c r="F3866" s="607">
        <v>15021.26</v>
      </c>
      <c r="G3866" s="584">
        <v>15</v>
      </c>
    </row>
    <row r="3867" spans="1:7" ht="15" x14ac:dyDescent="0.2">
      <c r="A3867" s="583" t="s">
        <v>19648</v>
      </c>
      <c r="B3867" s="605" t="s">
        <v>19649</v>
      </c>
      <c r="C3867" s="606" t="s">
        <v>12676</v>
      </c>
      <c r="D3867" s="607">
        <v>200.57</v>
      </c>
      <c r="E3867" s="607">
        <v>50.24</v>
      </c>
      <c r="F3867" s="607">
        <v>250.81</v>
      </c>
      <c r="G3867" s="584">
        <v>15</v>
      </c>
    </row>
    <row r="3868" spans="1:7" ht="30" x14ac:dyDescent="0.2">
      <c r="A3868" s="583" t="s">
        <v>19650</v>
      </c>
      <c r="B3868" s="605" t="s">
        <v>19651</v>
      </c>
      <c r="C3868" s="606" t="s">
        <v>12676</v>
      </c>
      <c r="D3868" s="607">
        <v>2093.08</v>
      </c>
      <c r="E3868" s="607"/>
      <c r="F3868" s="607">
        <v>2093.08</v>
      </c>
      <c r="G3868" s="584">
        <v>15</v>
      </c>
    </row>
    <row r="3869" spans="1:7" ht="30" x14ac:dyDescent="0.2">
      <c r="A3869" s="583" t="s">
        <v>19652</v>
      </c>
      <c r="B3869" s="605" t="s">
        <v>19653</v>
      </c>
      <c r="C3869" s="606" t="s">
        <v>12676</v>
      </c>
      <c r="D3869" s="607">
        <v>6202.25</v>
      </c>
      <c r="E3869" s="607"/>
      <c r="F3869" s="607">
        <v>6202.25</v>
      </c>
      <c r="G3869" s="584">
        <v>15</v>
      </c>
    </row>
    <row r="3870" spans="1:7" ht="15" x14ac:dyDescent="0.2">
      <c r="A3870" s="583" t="s">
        <v>19654</v>
      </c>
      <c r="B3870" s="605" t="s">
        <v>19655</v>
      </c>
      <c r="C3870" s="606" t="s">
        <v>12676</v>
      </c>
      <c r="D3870" s="607">
        <v>1604.19</v>
      </c>
      <c r="E3870" s="607">
        <v>125.6</v>
      </c>
      <c r="F3870" s="607">
        <v>1729.79</v>
      </c>
      <c r="G3870" s="584">
        <v>15</v>
      </c>
    </row>
    <row r="3871" spans="1:7" ht="15" x14ac:dyDescent="0.2">
      <c r="A3871" s="583" t="s">
        <v>19656</v>
      </c>
      <c r="B3871" s="605" t="s">
        <v>19657</v>
      </c>
      <c r="C3871" s="606" t="s">
        <v>12375</v>
      </c>
      <c r="D3871" s="607">
        <v>2625.08</v>
      </c>
      <c r="E3871" s="607">
        <v>15.07</v>
      </c>
      <c r="F3871" s="607">
        <v>2640.15</v>
      </c>
      <c r="G3871" s="584">
        <v>15</v>
      </c>
    </row>
    <row r="3872" spans="1:7" ht="30" x14ac:dyDescent="0.2">
      <c r="A3872" s="583" t="s">
        <v>19658</v>
      </c>
      <c r="B3872" s="605" t="s">
        <v>19659</v>
      </c>
      <c r="C3872" s="606" t="s">
        <v>12676</v>
      </c>
      <c r="D3872" s="607">
        <v>2250.62</v>
      </c>
      <c r="E3872" s="607">
        <v>684.2</v>
      </c>
      <c r="F3872" s="607">
        <v>2934.82</v>
      </c>
      <c r="G3872" s="584">
        <v>15</v>
      </c>
    </row>
    <row r="3873" spans="1:7" ht="15" x14ac:dyDescent="0.25">
      <c r="A3873" s="583" t="s">
        <v>19660</v>
      </c>
      <c r="B3873" s="605" t="s">
        <v>19661</v>
      </c>
      <c r="C3873" s="606"/>
      <c r="D3873" s="607"/>
      <c r="E3873" s="607"/>
      <c r="F3873" s="607"/>
      <c r="G3873" s="582"/>
    </row>
    <row r="3874" spans="1:7" ht="30" x14ac:dyDescent="0.2">
      <c r="A3874" s="583" t="s">
        <v>19662</v>
      </c>
      <c r="B3874" s="605" t="s">
        <v>19663</v>
      </c>
      <c r="C3874" s="606" t="s">
        <v>12375</v>
      </c>
      <c r="D3874" s="607">
        <v>3875.15</v>
      </c>
      <c r="E3874" s="607">
        <v>1110.8</v>
      </c>
      <c r="F3874" s="607">
        <v>4985.95</v>
      </c>
      <c r="G3874" s="584">
        <v>15</v>
      </c>
    </row>
    <row r="3875" spans="1:7" ht="15" x14ac:dyDescent="0.2">
      <c r="A3875" s="583" t="s">
        <v>19664</v>
      </c>
      <c r="B3875" s="605" t="s">
        <v>19665</v>
      </c>
      <c r="C3875" s="606" t="s">
        <v>12375</v>
      </c>
      <c r="D3875" s="607">
        <v>924.35</v>
      </c>
      <c r="E3875" s="607">
        <v>347.13</v>
      </c>
      <c r="F3875" s="607">
        <v>1271.48</v>
      </c>
      <c r="G3875" s="584">
        <v>15</v>
      </c>
    </row>
    <row r="3876" spans="1:7" ht="15" x14ac:dyDescent="0.2">
      <c r="A3876" s="583" t="s">
        <v>19666</v>
      </c>
      <c r="B3876" s="605" t="s">
        <v>19667</v>
      </c>
      <c r="C3876" s="606" t="s">
        <v>12375</v>
      </c>
      <c r="D3876" s="607">
        <v>1453.87</v>
      </c>
      <c r="E3876" s="607">
        <v>347.13</v>
      </c>
      <c r="F3876" s="607">
        <v>1801</v>
      </c>
      <c r="G3876" s="584">
        <v>15</v>
      </c>
    </row>
    <row r="3877" spans="1:7" ht="15" x14ac:dyDescent="0.2">
      <c r="A3877" s="583" t="s">
        <v>19668</v>
      </c>
      <c r="B3877" s="605" t="s">
        <v>19669</v>
      </c>
      <c r="C3877" s="606" t="s">
        <v>12375</v>
      </c>
      <c r="D3877" s="607">
        <v>1803.39</v>
      </c>
      <c r="E3877" s="607">
        <v>347.13</v>
      </c>
      <c r="F3877" s="607">
        <v>2150.52</v>
      </c>
      <c r="G3877" s="584">
        <v>15</v>
      </c>
    </row>
    <row r="3878" spans="1:7" ht="15" x14ac:dyDescent="0.2">
      <c r="A3878" s="583" t="s">
        <v>19670</v>
      </c>
      <c r="B3878" s="605" t="s">
        <v>19671</v>
      </c>
      <c r="C3878" s="606" t="s">
        <v>12375</v>
      </c>
      <c r="D3878" s="607">
        <v>2918.33</v>
      </c>
      <c r="E3878" s="607">
        <v>694.25</v>
      </c>
      <c r="F3878" s="607">
        <v>3612.58</v>
      </c>
      <c r="G3878" s="584">
        <v>15</v>
      </c>
    </row>
    <row r="3879" spans="1:7" ht="15" x14ac:dyDescent="0.2">
      <c r="A3879" s="583" t="s">
        <v>19672</v>
      </c>
      <c r="B3879" s="605" t="s">
        <v>20257</v>
      </c>
      <c r="C3879" s="606" t="s">
        <v>12375</v>
      </c>
      <c r="D3879" s="607">
        <v>650.54999999999995</v>
      </c>
      <c r="E3879" s="607">
        <v>11.07</v>
      </c>
      <c r="F3879" s="607">
        <v>661.62</v>
      </c>
      <c r="G3879" s="584">
        <v>15</v>
      </c>
    </row>
    <row r="3880" spans="1:7" ht="30" x14ac:dyDescent="0.2">
      <c r="A3880" s="583" t="s">
        <v>19673</v>
      </c>
      <c r="B3880" s="605" t="s">
        <v>19674</v>
      </c>
      <c r="C3880" s="606" t="s">
        <v>12375</v>
      </c>
      <c r="D3880" s="607">
        <v>1072.5899999999999</v>
      </c>
      <c r="E3880" s="607">
        <v>200.96</v>
      </c>
      <c r="F3880" s="607">
        <v>1273.55</v>
      </c>
      <c r="G3880" s="584">
        <v>15</v>
      </c>
    </row>
    <row r="3881" spans="1:7" ht="15" x14ac:dyDescent="0.2">
      <c r="A3881" s="583" t="s">
        <v>19675</v>
      </c>
      <c r="B3881" s="605" t="s">
        <v>19676</v>
      </c>
      <c r="C3881" s="606" t="s">
        <v>12375</v>
      </c>
      <c r="D3881" s="607">
        <v>221.87</v>
      </c>
      <c r="E3881" s="607">
        <v>50.24</v>
      </c>
      <c r="F3881" s="607">
        <v>272.11</v>
      </c>
      <c r="G3881" s="584">
        <v>15</v>
      </c>
    </row>
    <row r="3882" spans="1:7" ht="15" x14ac:dyDescent="0.2">
      <c r="A3882" s="583" t="s">
        <v>19677</v>
      </c>
      <c r="B3882" s="605" t="s">
        <v>19678</v>
      </c>
      <c r="C3882" s="606" t="s">
        <v>12375</v>
      </c>
      <c r="D3882" s="607">
        <v>462.76</v>
      </c>
      <c r="E3882" s="607">
        <v>15.07</v>
      </c>
      <c r="F3882" s="607">
        <v>477.83</v>
      </c>
      <c r="G3882" s="584">
        <v>15</v>
      </c>
    </row>
    <row r="3883" spans="1:7" ht="30" x14ac:dyDescent="0.2">
      <c r="A3883" s="583" t="s">
        <v>19679</v>
      </c>
      <c r="B3883" s="605" t="s">
        <v>19680</v>
      </c>
      <c r="C3883" s="606" t="s">
        <v>12375</v>
      </c>
      <c r="D3883" s="607">
        <v>1133.6400000000001</v>
      </c>
      <c r="E3883" s="607">
        <v>203.88</v>
      </c>
      <c r="F3883" s="607">
        <v>1337.52</v>
      </c>
      <c r="G3883" s="584">
        <v>15</v>
      </c>
    </row>
    <row r="3884" spans="1:7" ht="30" x14ac:dyDescent="0.2">
      <c r="A3884" s="583" t="s">
        <v>19681</v>
      </c>
      <c r="B3884" s="605" t="s">
        <v>19682</v>
      </c>
      <c r="C3884" s="606" t="s">
        <v>12375</v>
      </c>
      <c r="D3884" s="607">
        <v>4283.3599999999997</v>
      </c>
      <c r="E3884" s="607">
        <v>203.88</v>
      </c>
      <c r="F3884" s="607">
        <v>4487.24</v>
      </c>
      <c r="G3884" s="584">
        <v>15</v>
      </c>
    </row>
    <row r="3885" spans="1:7" ht="30" x14ac:dyDescent="0.2">
      <c r="A3885" s="583" t="s">
        <v>19683</v>
      </c>
      <c r="B3885" s="605" t="s">
        <v>19684</v>
      </c>
      <c r="C3885" s="606" t="s">
        <v>12375</v>
      </c>
      <c r="D3885" s="607">
        <v>12252.02</v>
      </c>
      <c r="E3885" s="607">
        <v>203.88</v>
      </c>
      <c r="F3885" s="607">
        <v>12455.9</v>
      </c>
      <c r="G3885" s="584">
        <v>15</v>
      </c>
    </row>
    <row r="3886" spans="1:7" ht="15" x14ac:dyDescent="0.2">
      <c r="A3886" s="583" t="s">
        <v>19685</v>
      </c>
      <c r="B3886" s="605" t="s">
        <v>19686</v>
      </c>
      <c r="C3886" s="606" t="s">
        <v>12375</v>
      </c>
      <c r="D3886" s="607">
        <v>1186.1600000000001</v>
      </c>
      <c r="E3886" s="607">
        <v>3.69</v>
      </c>
      <c r="F3886" s="607">
        <v>1189.8499999999999</v>
      </c>
      <c r="G3886" s="584">
        <v>15</v>
      </c>
    </row>
    <row r="3887" spans="1:7" ht="30" x14ac:dyDescent="0.2">
      <c r="A3887" s="583" t="s">
        <v>19687</v>
      </c>
      <c r="B3887" s="605" t="s">
        <v>19688</v>
      </c>
      <c r="C3887" s="606" t="s">
        <v>12676</v>
      </c>
      <c r="D3887" s="607">
        <v>12542.29</v>
      </c>
      <c r="E3887" s="607">
        <v>263.64999999999998</v>
      </c>
      <c r="F3887" s="607">
        <v>12805.94</v>
      </c>
      <c r="G3887" s="584">
        <v>15</v>
      </c>
    </row>
    <row r="3888" spans="1:7" ht="30" x14ac:dyDescent="0.2">
      <c r="A3888" s="583" t="s">
        <v>19689</v>
      </c>
      <c r="B3888" s="605" t="s">
        <v>19690</v>
      </c>
      <c r="C3888" s="606" t="s">
        <v>12676</v>
      </c>
      <c r="D3888" s="607">
        <v>18959.32</v>
      </c>
      <c r="E3888" s="607">
        <v>263.64999999999998</v>
      </c>
      <c r="F3888" s="607">
        <v>19222.97</v>
      </c>
      <c r="G3888" s="584">
        <v>15</v>
      </c>
    </row>
    <row r="3889" spans="1:7" ht="45" x14ac:dyDescent="0.2">
      <c r="A3889" s="583" t="s">
        <v>19691</v>
      </c>
      <c r="B3889" s="605" t="s">
        <v>19692</v>
      </c>
      <c r="C3889" s="606" t="s">
        <v>12375</v>
      </c>
      <c r="D3889" s="607">
        <v>1621.08</v>
      </c>
      <c r="E3889" s="607">
        <v>175.76</v>
      </c>
      <c r="F3889" s="607">
        <v>1796.84</v>
      </c>
      <c r="G3889" s="584">
        <v>15</v>
      </c>
    </row>
    <row r="3890" spans="1:7" ht="45" x14ac:dyDescent="0.2">
      <c r="A3890" s="583" t="s">
        <v>19693</v>
      </c>
      <c r="B3890" s="605" t="s">
        <v>19694</v>
      </c>
      <c r="C3890" s="606" t="s">
        <v>12375</v>
      </c>
      <c r="D3890" s="607">
        <v>2558.0500000000002</v>
      </c>
      <c r="E3890" s="607">
        <v>263.64999999999998</v>
      </c>
      <c r="F3890" s="607">
        <v>2821.7</v>
      </c>
      <c r="G3890" s="584">
        <v>15</v>
      </c>
    </row>
    <row r="3891" spans="1:7" ht="45" x14ac:dyDescent="0.2">
      <c r="A3891" s="583" t="s">
        <v>19695</v>
      </c>
      <c r="B3891" s="605" t="s">
        <v>19696</v>
      </c>
      <c r="C3891" s="606" t="s">
        <v>12375</v>
      </c>
      <c r="D3891" s="607">
        <v>5792.97</v>
      </c>
      <c r="E3891" s="607">
        <v>347.13</v>
      </c>
      <c r="F3891" s="607">
        <v>6140.1</v>
      </c>
      <c r="G3891" s="584">
        <v>15</v>
      </c>
    </row>
    <row r="3892" spans="1:7" ht="15" x14ac:dyDescent="0.25">
      <c r="A3892" s="583" t="s">
        <v>19697</v>
      </c>
      <c r="B3892" s="605" t="s">
        <v>19698</v>
      </c>
      <c r="C3892" s="606"/>
      <c r="D3892" s="607"/>
      <c r="E3892" s="607"/>
      <c r="F3892" s="607"/>
      <c r="G3892" s="582"/>
    </row>
    <row r="3893" spans="1:7" ht="15" x14ac:dyDescent="0.2">
      <c r="A3893" s="583" t="s">
        <v>19699</v>
      </c>
      <c r="B3893" s="605" t="s">
        <v>19700</v>
      </c>
      <c r="C3893" s="606" t="s">
        <v>12375</v>
      </c>
      <c r="D3893" s="607">
        <v>24.16</v>
      </c>
      <c r="E3893" s="607">
        <v>13.88</v>
      </c>
      <c r="F3893" s="607">
        <v>38.04</v>
      </c>
      <c r="G3893" s="584">
        <v>15</v>
      </c>
    </row>
    <row r="3894" spans="1:7" ht="15" x14ac:dyDescent="0.2">
      <c r="A3894" s="583" t="s">
        <v>19701</v>
      </c>
      <c r="B3894" s="605" t="s">
        <v>19702</v>
      </c>
      <c r="C3894" s="606" t="s">
        <v>12375</v>
      </c>
      <c r="D3894" s="607">
        <v>40.36</v>
      </c>
      <c r="E3894" s="607">
        <v>13.88</v>
      </c>
      <c r="F3894" s="607">
        <v>54.24</v>
      </c>
      <c r="G3894" s="584">
        <v>15</v>
      </c>
    </row>
    <row r="3895" spans="1:7" ht="15" x14ac:dyDescent="0.2">
      <c r="A3895" s="583" t="s">
        <v>19703</v>
      </c>
      <c r="B3895" s="605" t="s">
        <v>19704</v>
      </c>
      <c r="C3895" s="606" t="s">
        <v>12375</v>
      </c>
      <c r="D3895" s="607"/>
      <c r="E3895" s="607">
        <v>203.88</v>
      </c>
      <c r="F3895" s="607">
        <v>203.88</v>
      </c>
      <c r="G3895" s="584">
        <v>15</v>
      </c>
    </row>
    <row r="3896" spans="1:7" ht="15" x14ac:dyDescent="0.2">
      <c r="A3896" s="583" t="s">
        <v>19705</v>
      </c>
      <c r="B3896" s="605" t="s">
        <v>19706</v>
      </c>
      <c r="C3896" s="606" t="s">
        <v>12375</v>
      </c>
      <c r="D3896" s="607"/>
      <c r="E3896" s="607">
        <v>203.88</v>
      </c>
      <c r="F3896" s="607">
        <v>203.88</v>
      </c>
      <c r="G3896" s="584">
        <v>15</v>
      </c>
    </row>
    <row r="3897" spans="1:7" ht="30" x14ac:dyDescent="0.2">
      <c r="A3897" s="583" t="s">
        <v>19707</v>
      </c>
      <c r="B3897" s="605" t="s">
        <v>21456</v>
      </c>
      <c r="C3897" s="606" t="s">
        <v>12375</v>
      </c>
      <c r="D3897" s="607">
        <v>15039.2</v>
      </c>
      <c r="E3897" s="607">
        <v>18.46</v>
      </c>
      <c r="F3897" s="607">
        <v>15057.66</v>
      </c>
      <c r="G3897" s="584">
        <v>15</v>
      </c>
    </row>
    <row r="3898" spans="1:7" ht="15" x14ac:dyDescent="0.2">
      <c r="A3898" s="583" t="s">
        <v>19708</v>
      </c>
      <c r="B3898" s="605" t="s">
        <v>19709</v>
      </c>
      <c r="C3898" s="606" t="s">
        <v>12375</v>
      </c>
      <c r="D3898" s="607">
        <v>1982.93</v>
      </c>
      <c r="E3898" s="607">
        <v>18.46</v>
      </c>
      <c r="F3898" s="607">
        <v>2001.39</v>
      </c>
      <c r="G3898" s="584">
        <v>15</v>
      </c>
    </row>
    <row r="3899" spans="1:7" ht="30" x14ac:dyDescent="0.25">
      <c r="A3899" s="583" t="s">
        <v>19710</v>
      </c>
      <c r="B3899" s="605" t="s">
        <v>19711</v>
      </c>
      <c r="C3899" s="606"/>
      <c r="D3899" s="607"/>
      <c r="E3899" s="607"/>
      <c r="F3899" s="607"/>
      <c r="G3899" s="582"/>
    </row>
    <row r="3900" spans="1:7" ht="15" x14ac:dyDescent="0.25">
      <c r="A3900" s="583" t="s">
        <v>19712</v>
      </c>
      <c r="B3900" s="605" t="s">
        <v>19713</v>
      </c>
      <c r="C3900" s="606"/>
      <c r="D3900" s="607"/>
      <c r="E3900" s="607"/>
      <c r="F3900" s="607"/>
      <c r="G3900" s="582"/>
    </row>
    <row r="3901" spans="1:7" ht="15" x14ac:dyDescent="0.2">
      <c r="A3901" s="583" t="s">
        <v>19714</v>
      </c>
      <c r="B3901" s="605" t="s">
        <v>19715</v>
      </c>
      <c r="C3901" s="606" t="s">
        <v>12375</v>
      </c>
      <c r="D3901" s="607">
        <v>2958.93</v>
      </c>
      <c r="E3901" s="607">
        <v>90.62</v>
      </c>
      <c r="F3901" s="607">
        <v>3049.55</v>
      </c>
      <c r="G3901" s="584">
        <v>15</v>
      </c>
    </row>
    <row r="3902" spans="1:7" ht="15" x14ac:dyDescent="0.2">
      <c r="A3902" s="583" t="s">
        <v>19716</v>
      </c>
      <c r="B3902" s="605" t="s">
        <v>19717</v>
      </c>
      <c r="C3902" s="606" t="s">
        <v>12427</v>
      </c>
      <c r="D3902" s="607">
        <v>1093.77</v>
      </c>
      <c r="E3902" s="607">
        <v>10.220000000000001</v>
      </c>
      <c r="F3902" s="607">
        <v>1103.99</v>
      </c>
      <c r="G3902" s="584">
        <v>15</v>
      </c>
    </row>
    <row r="3903" spans="1:7" ht="30" x14ac:dyDescent="0.2">
      <c r="A3903" s="583" t="s">
        <v>19718</v>
      </c>
      <c r="B3903" s="605" t="s">
        <v>19719</v>
      </c>
      <c r="C3903" s="606" t="s">
        <v>12427</v>
      </c>
      <c r="D3903" s="607">
        <v>3472.47</v>
      </c>
      <c r="E3903" s="607">
        <v>10.220000000000001</v>
      </c>
      <c r="F3903" s="607">
        <v>3482.69</v>
      </c>
      <c r="G3903" s="584">
        <v>15</v>
      </c>
    </row>
    <row r="3904" spans="1:7" ht="30" x14ac:dyDescent="0.2">
      <c r="A3904" s="583" t="s">
        <v>19720</v>
      </c>
      <c r="B3904" s="605" t="s">
        <v>19721</v>
      </c>
      <c r="C3904" s="606" t="s">
        <v>12375</v>
      </c>
      <c r="D3904" s="607">
        <v>964.77</v>
      </c>
      <c r="E3904" s="607">
        <v>5.1100000000000003</v>
      </c>
      <c r="F3904" s="607">
        <v>969.88</v>
      </c>
      <c r="G3904" s="584">
        <v>15</v>
      </c>
    </row>
    <row r="3905" spans="1:7" ht="45" x14ac:dyDescent="0.2">
      <c r="A3905" s="583" t="s">
        <v>19722</v>
      </c>
      <c r="B3905" s="605" t="s">
        <v>19723</v>
      </c>
      <c r="C3905" s="606" t="s">
        <v>12375</v>
      </c>
      <c r="D3905" s="607">
        <v>23675.23</v>
      </c>
      <c r="E3905" s="607">
        <v>181.74</v>
      </c>
      <c r="F3905" s="607">
        <v>23856.97</v>
      </c>
      <c r="G3905" s="584">
        <v>15</v>
      </c>
    </row>
    <row r="3906" spans="1:7" ht="15" x14ac:dyDescent="0.2">
      <c r="A3906" s="583" t="s">
        <v>19724</v>
      </c>
      <c r="B3906" s="605" t="s">
        <v>19725</v>
      </c>
      <c r="C3906" s="606" t="s">
        <v>12427</v>
      </c>
      <c r="D3906" s="607">
        <v>5684.46</v>
      </c>
      <c r="E3906" s="607">
        <v>32.880000000000003</v>
      </c>
      <c r="F3906" s="607">
        <v>5717.34</v>
      </c>
      <c r="G3906" s="584">
        <v>15</v>
      </c>
    </row>
    <row r="3907" spans="1:7" ht="45" x14ac:dyDescent="0.2">
      <c r="A3907" s="583" t="s">
        <v>19726</v>
      </c>
      <c r="B3907" s="605" t="s">
        <v>19727</v>
      </c>
      <c r="C3907" s="606" t="s">
        <v>12375</v>
      </c>
      <c r="D3907" s="607">
        <v>112668.85</v>
      </c>
      <c r="E3907" s="607"/>
      <c r="F3907" s="607">
        <v>112668.85</v>
      </c>
      <c r="G3907" s="584">
        <v>15</v>
      </c>
    </row>
    <row r="3908" spans="1:7" ht="30" x14ac:dyDescent="0.2">
      <c r="A3908" s="583" t="s">
        <v>19728</v>
      </c>
      <c r="B3908" s="605" t="s">
        <v>19729</v>
      </c>
      <c r="C3908" s="606" t="s">
        <v>12375</v>
      </c>
      <c r="D3908" s="607">
        <v>59189.54</v>
      </c>
      <c r="E3908" s="607">
        <v>293.8</v>
      </c>
      <c r="F3908" s="607">
        <v>59483.34</v>
      </c>
      <c r="G3908" s="584">
        <v>15</v>
      </c>
    </row>
    <row r="3909" spans="1:7" ht="45" x14ac:dyDescent="0.2">
      <c r="A3909" s="583" t="s">
        <v>19730</v>
      </c>
      <c r="B3909" s="605" t="s">
        <v>19731</v>
      </c>
      <c r="C3909" s="606" t="s">
        <v>12676</v>
      </c>
      <c r="D3909" s="607">
        <v>508060.24</v>
      </c>
      <c r="E3909" s="607"/>
      <c r="F3909" s="607">
        <v>508060.24</v>
      </c>
      <c r="G3909" s="584">
        <v>15</v>
      </c>
    </row>
    <row r="3910" spans="1:7" ht="60" x14ac:dyDescent="0.2">
      <c r="A3910" s="583" t="s">
        <v>19732</v>
      </c>
      <c r="B3910" s="605" t="s">
        <v>19733</v>
      </c>
      <c r="C3910" s="606" t="s">
        <v>12676</v>
      </c>
      <c r="D3910" s="607">
        <v>6448.08</v>
      </c>
      <c r="E3910" s="607">
        <v>63352.28</v>
      </c>
      <c r="F3910" s="607">
        <v>69800.36</v>
      </c>
      <c r="G3910" s="584">
        <v>15</v>
      </c>
    </row>
    <row r="3911" spans="1:7" ht="60" x14ac:dyDescent="0.2">
      <c r="A3911" s="583" t="s">
        <v>19734</v>
      </c>
      <c r="B3911" s="605" t="s">
        <v>19735</v>
      </c>
      <c r="C3911" s="606" t="s">
        <v>12676</v>
      </c>
      <c r="D3911" s="607">
        <v>8924.99</v>
      </c>
      <c r="E3911" s="607">
        <v>76470.960000000006</v>
      </c>
      <c r="F3911" s="607">
        <v>85395.95</v>
      </c>
      <c r="G3911" s="584">
        <v>15</v>
      </c>
    </row>
    <row r="3912" spans="1:7" ht="15" x14ac:dyDescent="0.25">
      <c r="A3912" s="583" t="s">
        <v>19736</v>
      </c>
      <c r="B3912" s="605" t="s">
        <v>19737</v>
      </c>
      <c r="C3912" s="606"/>
      <c r="D3912" s="607"/>
      <c r="E3912" s="607"/>
      <c r="F3912" s="607"/>
      <c r="G3912" s="582"/>
    </row>
    <row r="3913" spans="1:7" ht="15" x14ac:dyDescent="0.25">
      <c r="A3913" s="583" t="s">
        <v>19738</v>
      </c>
      <c r="B3913" s="605" t="s">
        <v>19739</v>
      </c>
      <c r="C3913" s="606"/>
      <c r="D3913" s="607"/>
      <c r="E3913" s="607"/>
      <c r="F3913" s="607"/>
      <c r="G3913" s="582"/>
    </row>
    <row r="3914" spans="1:7" ht="15" x14ac:dyDescent="0.2">
      <c r="A3914" s="583" t="s">
        <v>19740</v>
      </c>
      <c r="B3914" s="605" t="s">
        <v>19741</v>
      </c>
      <c r="C3914" s="606" t="s">
        <v>12375</v>
      </c>
      <c r="D3914" s="607">
        <v>1372.49</v>
      </c>
      <c r="E3914" s="607">
        <v>306.86</v>
      </c>
      <c r="F3914" s="607">
        <v>1679.35</v>
      </c>
      <c r="G3914" s="584">
        <v>15</v>
      </c>
    </row>
    <row r="3915" spans="1:7" ht="15" x14ac:dyDescent="0.2">
      <c r="A3915" s="583" t="s">
        <v>19742</v>
      </c>
      <c r="B3915" s="605" t="s">
        <v>19743</v>
      </c>
      <c r="C3915" s="606" t="s">
        <v>12375</v>
      </c>
      <c r="D3915" s="607">
        <v>1610.39</v>
      </c>
      <c r="E3915" s="607">
        <v>306.86</v>
      </c>
      <c r="F3915" s="607">
        <v>1917.25</v>
      </c>
      <c r="G3915" s="584">
        <v>15</v>
      </c>
    </row>
    <row r="3916" spans="1:7" ht="15" x14ac:dyDescent="0.2">
      <c r="A3916" s="583" t="s">
        <v>19744</v>
      </c>
      <c r="B3916" s="605" t="s">
        <v>19745</v>
      </c>
      <c r="C3916" s="606" t="s">
        <v>12375</v>
      </c>
      <c r="D3916" s="607">
        <v>1927.72</v>
      </c>
      <c r="E3916" s="607">
        <v>306.86</v>
      </c>
      <c r="F3916" s="607">
        <v>2234.58</v>
      </c>
      <c r="G3916" s="584">
        <v>15</v>
      </c>
    </row>
    <row r="3917" spans="1:7" ht="15" x14ac:dyDescent="0.2">
      <c r="A3917" s="583" t="s">
        <v>19746</v>
      </c>
      <c r="B3917" s="605" t="s">
        <v>19747</v>
      </c>
      <c r="C3917" s="606" t="s">
        <v>12375</v>
      </c>
      <c r="D3917" s="607">
        <v>2063.5500000000002</v>
      </c>
      <c r="E3917" s="607">
        <v>306.86</v>
      </c>
      <c r="F3917" s="607">
        <v>2370.41</v>
      </c>
      <c r="G3917" s="584">
        <v>15</v>
      </c>
    </row>
    <row r="3918" spans="1:7" ht="15" x14ac:dyDescent="0.2">
      <c r="A3918" s="583" t="s">
        <v>19748</v>
      </c>
      <c r="B3918" s="605" t="s">
        <v>19749</v>
      </c>
      <c r="C3918" s="606" t="s">
        <v>12375</v>
      </c>
      <c r="D3918" s="607">
        <v>2315.77</v>
      </c>
      <c r="E3918" s="607">
        <v>306.86</v>
      </c>
      <c r="F3918" s="607">
        <v>2622.63</v>
      </c>
      <c r="G3918" s="584">
        <v>15</v>
      </c>
    </row>
    <row r="3919" spans="1:7" ht="15" x14ac:dyDescent="0.2">
      <c r="A3919" s="583" t="s">
        <v>19750</v>
      </c>
      <c r="B3919" s="605" t="s">
        <v>19751</v>
      </c>
      <c r="C3919" s="606" t="s">
        <v>12375</v>
      </c>
      <c r="D3919" s="607">
        <v>1513.94</v>
      </c>
      <c r="E3919" s="607">
        <v>306.86</v>
      </c>
      <c r="F3919" s="607">
        <v>1820.8</v>
      </c>
      <c r="G3919" s="584">
        <v>15</v>
      </c>
    </row>
    <row r="3920" spans="1:7" ht="15" x14ac:dyDescent="0.2">
      <c r="A3920" s="583" t="s">
        <v>19752</v>
      </c>
      <c r="B3920" s="605" t="s">
        <v>19753</v>
      </c>
      <c r="C3920" s="606" t="s">
        <v>12375</v>
      </c>
      <c r="D3920" s="607">
        <v>1692.34</v>
      </c>
      <c r="E3920" s="607">
        <v>306.86</v>
      </c>
      <c r="F3920" s="607">
        <v>1999.2</v>
      </c>
      <c r="G3920" s="584">
        <v>15</v>
      </c>
    </row>
    <row r="3921" spans="1:7" ht="15" x14ac:dyDescent="0.2">
      <c r="A3921" s="583" t="s">
        <v>19754</v>
      </c>
      <c r="B3921" s="605" t="s">
        <v>19755</v>
      </c>
      <c r="C3921" s="606" t="s">
        <v>12375</v>
      </c>
      <c r="D3921" s="607">
        <v>2253.5100000000002</v>
      </c>
      <c r="E3921" s="607">
        <v>306.86</v>
      </c>
      <c r="F3921" s="607">
        <v>2560.37</v>
      </c>
      <c r="G3921" s="584">
        <v>15</v>
      </c>
    </row>
    <row r="3922" spans="1:7" ht="15" x14ac:dyDescent="0.2">
      <c r="A3922" s="583" t="s">
        <v>19756</v>
      </c>
      <c r="B3922" s="605" t="s">
        <v>19757</v>
      </c>
      <c r="C3922" s="606" t="s">
        <v>12375</v>
      </c>
      <c r="D3922" s="607">
        <v>2519.36</v>
      </c>
      <c r="E3922" s="607">
        <v>306.86</v>
      </c>
      <c r="F3922" s="607">
        <v>2826.22</v>
      </c>
      <c r="G3922" s="584">
        <v>15</v>
      </c>
    </row>
    <row r="3923" spans="1:7" ht="15" x14ac:dyDescent="0.2">
      <c r="A3923" s="583" t="s">
        <v>19758</v>
      </c>
      <c r="B3923" s="605" t="s">
        <v>19759</v>
      </c>
      <c r="C3923" s="606" t="s">
        <v>12375</v>
      </c>
      <c r="D3923" s="607">
        <v>2838.57</v>
      </c>
      <c r="E3923" s="607">
        <v>306.86</v>
      </c>
      <c r="F3923" s="607">
        <v>3145.43</v>
      </c>
      <c r="G3923" s="584">
        <v>15</v>
      </c>
    </row>
    <row r="3924" spans="1:7" ht="15" x14ac:dyDescent="0.2">
      <c r="A3924" s="583" t="s">
        <v>19760</v>
      </c>
      <c r="B3924" s="605" t="s">
        <v>19761</v>
      </c>
      <c r="C3924" s="606" t="s">
        <v>12375</v>
      </c>
      <c r="D3924" s="607">
        <v>2950.95</v>
      </c>
      <c r="E3924" s="607">
        <v>306.86</v>
      </c>
      <c r="F3924" s="607">
        <v>3257.81</v>
      </c>
      <c r="G3924" s="584">
        <v>15</v>
      </c>
    </row>
    <row r="3925" spans="1:7" ht="15" x14ac:dyDescent="0.2">
      <c r="A3925" s="583" t="s">
        <v>19762</v>
      </c>
      <c r="B3925" s="605" t="s">
        <v>19763</v>
      </c>
      <c r="C3925" s="606" t="s">
        <v>12375</v>
      </c>
      <c r="D3925" s="607">
        <v>3291.92</v>
      </c>
      <c r="E3925" s="607">
        <v>306.86</v>
      </c>
      <c r="F3925" s="607">
        <v>3598.78</v>
      </c>
      <c r="G3925" s="584">
        <v>15</v>
      </c>
    </row>
    <row r="3926" spans="1:7" ht="15" x14ac:dyDescent="0.2">
      <c r="A3926" s="583" t="s">
        <v>19764</v>
      </c>
      <c r="B3926" s="605" t="s">
        <v>19765</v>
      </c>
      <c r="C3926" s="606" t="s">
        <v>12375</v>
      </c>
      <c r="D3926" s="607">
        <v>5047.34</v>
      </c>
      <c r="E3926" s="607">
        <v>306.86</v>
      </c>
      <c r="F3926" s="607">
        <v>5354.2</v>
      </c>
      <c r="G3926" s="584">
        <v>15</v>
      </c>
    </row>
    <row r="3927" spans="1:7" ht="15" x14ac:dyDescent="0.25">
      <c r="A3927" s="583" t="s">
        <v>19766</v>
      </c>
      <c r="B3927" s="605" t="s">
        <v>19767</v>
      </c>
      <c r="C3927" s="606"/>
      <c r="D3927" s="607"/>
      <c r="E3927" s="607"/>
      <c r="F3927" s="607"/>
      <c r="G3927" s="582"/>
    </row>
    <row r="3928" spans="1:7" ht="15" x14ac:dyDescent="0.2">
      <c r="A3928" s="583" t="s">
        <v>19768</v>
      </c>
      <c r="B3928" s="605" t="s">
        <v>19769</v>
      </c>
      <c r="C3928" s="606" t="s">
        <v>12375</v>
      </c>
      <c r="D3928" s="607">
        <v>649.23</v>
      </c>
      <c r="E3928" s="607">
        <v>199.34</v>
      </c>
      <c r="F3928" s="607">
        <v>848.57</v>
      </c>
      <c r="G3928" s="584">
        <v>15</v>
      </c>
    </row>
    <row r="3929" spans="1:7" ht="15" x14ac:dyDescent="0.2">
      <c r="A3929" s="583" t="s">
        <v>19770</v>
      </c>
      <c r="B3929" s="605" t="s">
        <v>19771</v>
      </c>
      <c r="C3929" s="606" t="s">
        <v>12375</v>
      </c>
      <c r="D3929" s="607">
        <v>632.49</v>
      </c>
      <c r="E3929" s="607">
        <v>214.92</v>
      </c>
      <c r="F3929" s="607">
        <v>847.41</v>
      </c>
      <c r="G3929" s="584">
        <v>15</v>
      </c>
    </row>
    <row r="3930" spans="1:7" ht="15" x14ac:dyDescent="0.2">
      <c r="A3930" s="583" t="s">
        <v>19772</v>
      </c>
      <c r="B3930" s="605" t="s">
        <v>19773</v>
      </c>
      <c r="C3930" s="606" t="s">
        <v>12375</v>
      </c>
      <c r="D3930" s="607">
        <v>1341.89</v>
      </c>
      <c r="E3930" s="607">
        <v>214.92</v>
      </c>
      <c r="F3930" s="607">
        <v>1556.81</v>
      </c>
      <c r="G3930" s="584">
        <v>15</v>
      </c>
    </row>
    <row r="3931" spans="1:7" ht="15" x14ac:dyDescent="0.2">
      <c r="A3931" s="583" t="s">
        <v>19774</v>
      </c>
      <c r="B3931" s="605" t="s">
        <v>19775</v>
      </c>
      <c r="C3931" s="606" t="s">
        <v>12375</v>
      </c>
      <c r="D3931" s="607">
        <v>1537.87</v>
      </c>
      <c r="E3931" s="607">
        <v>322.38</v>
      </c>
      <c r="F3931" s="607">
        <v>1860.25</v>
      </c>
      <c r="G3931" s="584">
        <v>15</v>
      </c>
    </row>
    <row r="3932" spans="1:7" ht="15" x14ac:dyDescent="0.2">
      <c r="A3932" s="583" t="s">
        <v>19776</v>
      </c>
      <c r="B3932" s="605" t="s">
        <v>19777</v>
      </c>
      <c r="C3932" s="606" t="s">
        <v>12375</v>
      </c>
      <c r="D3932" s="607">
        <v>1805.44</v>
      </c>
      <c r="E3932" s="607">
        <v>429.84</v>
      </c>
      <c r="F3932" s="607">
        <v>2235.2800000000002</v>
      </c>
      <c r="G3932" s="584">
        <v>15</v>
      </c>
    </row>
    <row r="3933" spans="1:7" ht="15" x14ac:dyDescent="0.2">
      <c r="A3933" s="583" t="s">
        <v>19778</v>
      </c>
      <c r="B3933" s="605" t="s">
        <v>19779</v>
      </c>
      <c r="C3933" s="606" t="s">
        <v>12375</v>
      </c>
      <c r="D3933" s="607">
        <v>2746.73</v>
      </c>
      <c r="E3933" s="607">
        <v>322.38</v>
      </c>
      <c r="F3933" s="607">
        <v>3069.11</v>
      </c>
      <c r="G3933" s="584">
        <v>15</v>
      </c>
    </row>
    <row r="3934" spans="1:7" ht="15" x14ac:dyDescent="0.2">
      <c r="A3934" s="583" t="s">
        <v>19780</v>
      </c>
      <c r="B3934" s="605" t="s">
        <v>19781</v>
      </c>
      <c r="C3934" s="606" t="s">
        <v>12375</v>
      </c>
      <c r="D3934" s="607">
        <v>1525.05</v>
      </c>
      <c r="E3934" s="607">
        <v>322.38</v>
      </c>
      <c r="F3934" s="607">
        <v>1847.43</v>
      </c>
      <c r="G3934" s="584">
        <v>15</v>
      </c>
    </row>
    <row r="3935" spans="1:7" ht="15" x14ac:dyDescent="0.2">
      <c r="A3935" s="583" t="s">
        <v>19782</v>
      </c>
      <c r="B3935" s="605" t="s">
        <v>19783</v>
      </c>
      <c r="C3935" s="606" t="s">
        <v>12375</v>
      </c>
      <c r="D3935" s="607">
        <v>2733.91</v>
      </c>
      <c r="E3935" s="607">
        <v>429.84</v>
      </c>
      <c r="F3935" s="607">
        <v>3163.75</v>
      </c>
      <c r="G3935" s="584">
        <v>15</v>
      </c>
    </row>
    <row r="3936" spans="1:7" ht="15" x14ac:dyDescent="0.2">
      <c r="A3936" s="583" t="s">
        <v>19784</v>
      </c>
      <c r="B3936" s="605" t="s">
        <v>19785</v>
      </c>
      <c r="C3936" s="606" t="s">
        <v>12375</v>
      </c>
      <c r="D3936" s="607">
        <v>153.06</v>
      </c>
      <c r="E3936" s="607">
        <v>143.28</v>
      </c>
      <c r="F3936" s="607">
        <v>296.33999999999997</v>
      </c>
      <c r="G3936" s="584">
        <v>15</v>
      </c>
    </row>
    <row r="3937" spans="1:7" ht="15" x14ac:dyDescent="0.2">
      <c r="A3937" s="583" t="s">
        <v>19786</v>
      </c>
      <c r="B3937" s="605" t="s">
        <v>19787</v>
      </c>
      <c r="C3937" s="606" t="s">
        <v>12375</v>
      </c>
      <c r="D3937" s="607">
        <v>163.41</v>
      </c>
      <c r="E3937" s="607">
        <v>143.28</v>
      </c>
      <c r="F3937" s="607">
        <v>306.69</v>
      </c>
      <c r="G3937" s="584">
        <v>15</v>
      </c>
    </row>
    <row r="3938" spans="1:7" ht="15" x14ac:dyDescent="0.2">
      <c r="A3938" s="583" t="s">
        <v>19788</v>
      </c>
      <c r="B3938" s="605" t="s">
        <v>19789</v>
      </c>
      <c r="C3938" s="606" t="s">
        <v>12375</v>
      </c>
      <c r="D3938" s="607">
        <v>278.41000000000003</v>
      </c>
      <c r="E3938" s="607">
        <v>179.1</v>
      </c>
      <c r="F3938" s="607">
        <v>457.51</v>
      </c>
      <c r="G3938" s="584">
        <v>15</v>
      </c>
    </row>
    <row r="3939" spans="1:7" ht="15" x14ac:dyDescent="0.2">
      <c r="A3939" s="583" t="s">
        <v>19790</v>
      </c>
      <c r="B3939" s="605" t="s">
        <v>19791</v>
      </c>
      <c r="C3939" s="606" t="s">
        <v>12375</v>
      </c>
      <c r="D3939" s="607">
        <v>556.82000000000005</v>
      </c>
      <c r="E3939" s="607">
        <v>214.92</v>
      </c>
      <c r="F3939" s="607">
        <v>771.74</v>
      </c>
      <c r="G3939" s="584">
        <v>15</v>
      </c>
    </row>
    <row r="3940" spans="1:7" ht="15" x14ac:dyDescent="0.25">
      <c r="A3940" s="583" t="s">
        <v>19792</v>
      </c>
      <c r="B3940" s="605" t="s">
        <v>19793</v>
      </c>
      <c r="C3940" s="606"/>
      <c r="D3940" s="607"/>
      <c r="E3940" s="607"/>
      <c r="F3940" s="607"/>
      <c r="G3940" s="582"/>
    </row>
    <row r="3941" spans="1:7" ht="15" x14ac:dyDescent="0.2">
      <c r="A3941" s="583" t="s">
        <v>19794</v>
      </c>
      <c r="B3941" s="605" t="s">
        <v>19795</v>
      </c>
      <c r="C3941" s="606" t="s">
        <v>12375</v>
      </c>
      <c r="D3941" s="607">
        <v>264.39999999999998</v>
      </c>
      <c r="E3941" s="607">
        <v>242.22</v>
      </c>
      <c r="F3941" s="607">
        <v>506.62</v>
      </c>
      <c r="G3941" s="584">
        <v>15</v>
      </c>
    </row>
    <row r="3942" spans="1:7" ht="30" x14ac:dyDescent="0.2">
      <c r="A3942" s="583" t="s">
        <v>19796</v>
      </c>
      <c r="B3942" s="605" t="s">
        <v>19797</v>
      </c>
      <c r="C3942" s="606" t="s">
        <v>12375</v>
      </c>
      <c r="D3942" s="607">
        <v>79.510000000000005</v>
      </c>
      <c r="E3942" s="607">
        <v>17.670000000000002</v>
      </c>
      <c r="F3942" s="607">
        <v>97.18</v>
      </c>
      <c r="G3942" s="584">
        <v>15</v>
      </c>
    </row>
    <row r="3943" spans="1:7" ht="30" x14ac:dyDescent="0.2">
      <c r="A3943" s="583" t="s">
        <v>19798</v>
      </c>
      <c r="B3943" s="605" t="s">
        <v>19799</v>
      </c>
      <c r="C3943" s="606" t="s">
        <v>12375</v>
      </c>
      <c r="D3943" s="607">
        <v>892.16</v>
      </c>
      <c r="E3943" s="607">
        <v>35.340000000000003</v>
      </c>
      <c r="F3943" s="607">
        <v>927.5</v>
      </c>
      <c r="G3943" s="584">
        <v>15</v>
      </c>
    </row>
    <row r="3944" spans="1:7" ht="15" x14ac:dyDescent="0.2">
      <c r="A3944" s="583" t="s">
        <v>19800</v>
      </c>
      <c r="B3944" s="605" t="s">
        <v>19801</v>
      </c>
      <c r="C3944" s="606" t="s">
        <v>12375</v>
      </c>
      <c r="D3944" s="607">
        <v>39</v>
      </c>
      <c r="E3944" s="607">
        <v>35.17</v>
      </c>
      <c r="F3944" s="607">
        <v>74.17</v>
      </c>
      <c r="G3944" s="584">
        <v>15</v>
      </c>
    </row>
    <row r="3945" spans="1:7" ht="30" x14ac:dyDescent="0.25">
      <c r="A3945" s="583" t="s">
        <v>19802</v>
      </c>
      <c r="B3945" s="605" t="s">
        <v>19803</v>
      </c>
      <c r="C3945" s="606"/>
      <c r="D3945" s="607"/>
      <c r="E3945" s="607"/>
      <c r="F3945" s="607"/>
      <c r="G3945" s="582"/>
    </row>
    <row r="3946" spans="1:7" ht="15" x14ac:dyDescent="0.25">
      <c r="A3946" s="583" t="s">
        <v>19804</v>
      </c>
      <c r="B3946" s="605" t="s">
        <v>19805</v>
      </c>
      <c r="C3946" s="606"/>
      <c r="D3946" s="607"/>
      <c r="E3946" s="607"/>
      <c r="F3946" s="607"/>
      <c r="G3946" s="582"/>
    </row>
    <row r="3947" spans="1:7" ht="30" x14ac:dyDescent="0.2">
      <c r="A3947" s="583" t="s">
        <v>19806</v>
      </c>
      <c r="B3947" s="605" t="s">
        <v>19807</v>
      </c>
      <c r="C3947" s="606" t="s">
        <v>12375</v>
      </c>
      <c r="D3947" s="607">
        <v>76.819999999999993</v>
      </c>
      <c r="E3947" s="607"/>
      <c r="F3947" s="607">
        <v>76.819999999999993</v>
      </c>
      <c r="G3947" s="584">
        <v>15</v>
      </c>
    </row>
    <row r="3948" spans="1:7" ht="30" x14ac:dyDescent="0.2">
      <c r="A3948" s="583" t="s">
        <v>19808</v>
      </c>
      <c r="B3948" s="605" t="s">
        <v>21457</v>
      </c>
      <c r="C3948" s="606" t="s">
        <v>12375</v>
      </c>
      <c r="D3948" s="607">
        <v>458.92</v>
      </c>
      <c r="E3948" s="607">
        <v>146.22</v>
      </c>
      <c r="F3948" s="607">
        <v>605.14</v>
      </c>
      <c r="G3948" s="584">
        <v>15</v>
      </c>
    </row>
    <row r="3949" spans="1:7" ht="30" x14ac:dyDescent="0.2">
      <c r="A3949" s="583" t="s">
        <v>19809</v>
      </c>
      <c r="B3949" s="605" t="s">
        <v>21458</v>
      </c>
      <c r="C3949" s="606" t="s">
        <v>12375</v>
      </c>
      <c r="D3949" s="607">
        <v>1076.25</v>
      </c>
      <c r="E3949" s="607">
        <v>369.64</v>
      </c>
      <c r="F3949" s="607">
        <v>1445.89</v>
      </c>
      <c r="G3949" s="584">
        <v>15</v>
      </c>
    </row>
    <row r="3950" spans="1:7" ht="15" x14ac:dyDescent="0.2">
      <c r="A3950" s="583" t="s">
        <v>20117</v>
      </c>
      <c r="B3950" s="605" t="s">
        <v>20118</v>
      </c>
      <c r="C3950" s="606" t="s">
        <v>12375</v>
      </c>
      <c r="D3950" s="607">
        <v>2442.02</v>
      </c>
      <c r="E3950" s="607">
        <v>7.07</v>
      </c>
      <c r="F3950" s="607">
        <v>2449.09</v>
      </c>
      <c r="G3950" s="584">
        <v>15</v>
      </c>
    </row>
    <row r="3951" spans="1:7" ht="45" x14ac:dyDescent="0.2">
      <c r="A3951" s="583" t="s">
        <v>19810</v>
      </c>
      <c r="B3951" s="605" t="s">
        <v>19811</v>
      </c>
      <c r="C3951" s="606" t="s">
        <v>12375</v>
      </c>
      <c r="D3951" s="607">
        <v>166.33</v>
      </c>
      <c r="E3951" s="607">
        <v>20.100000000000001</v>
      </c>
      <c r="F3951" s="607">
        <v>186.43</v>
      </c>
      <c r="G3951" s="584">
        <v>15</v>
      </c>
    </row>
    <row r="3952" spans="1:7" ht="15" x14ac:dyDescent="0.2">
      <c r="A3952" s="583" t="s">
        <v>19812</v>
      </c>
      <c r="B3952" s="605" t="s">
        <v>19813</v>
      </c>
      <c r="C3952" s="606" t="s">
        <v>12375</v>
      </c>
      <c r="D3952" s="607">
        <v>36.43</v>
      </c>
      <c r="E3952" s="607">
        <v>7.54</v>
      </c>
      <c r="F3952" s="607">
        <v>43.97</v>
      </c>
      <c r="G3952" s="584">
        <v>15</v>
      </c>
    </row>
    <row r="3953" spans="1:7" ht="15" x14ac:dyDescent="0.2">
      <c r="A3953" s="583" t="s">
        <v>19814</v>
      </c>
      <c r="B3953" s="605" t="s">
        <v>19815</v>
      </c>
      <c r="C3953" s="606" t="s">
        <v>12375</v>
      </c>
      <c r="D3953" s="607">
        <v>133.47</v>
      </c>
      <c r="E3953" s="607">
        <v>7.54</v>
      </c>
      <c r="F3953" s="607">
        <v>141.01</v>
      </c>
      <c r="G3953" s="584">
        <v>15</v>
      </c>
    </row>
    <row r="3954" spans="1:7" ht="30" x14ac:dyDescent="0.2">
      <c r="A3954" s="583" t="s">
        <v>19816</v>
      </c>
      <c r="B3954" s="605" t="s">
        <v>19817</v>
      </c>
      <c r="C3954" s="606" t="s">
        <v>12676</v>
      </c>
      <c r="D3954" s="607">
        <v>3503.78</v>
      </c>
      <c r="E3954" s="607"/>
      <c r="F3954" s="607">
        <v>3503.78</v>
      </c>
      <c r="G3954" s="584">
        <v>15</v>
      </c>
    </row>
    <row r="3955" spans="1:7" ht="30" x14ac:dyDescent="0.2">
      <c r="A3955" s="583" t="s">
        <v>19818</v>
      </c>
      <c r="B3955" s="605" t="s">
        <v>19819</v>
      </c>
      <c r="C3955" s="606" t="s">
        <v>12676</v>
      </c>
      <c r="D3955" s="607">
        <v>37436.81</v>
      </c>
      <c r="E3955" s="607"/>
      <c r="F3955" s="607">
        <v>37436.81</v>
      </c>
      <c r="G3955" s="584">
        <v>15</v>
      </c>
    </row>
    <row r="3956" spans="1:7" ht="15" x14ac:dyDescent="0.25">
      <c r="A3956" s="583" t="s">
        <v>19820</v>
      </c>
      <c r="B3956" s="605" t="s">
        <v>19821</v>
      </c>
      <c r="C3956" s="606"/>
      <c r="D3956" s="607"/>
      <c r="E3956" s="607"/>
      <c r="F3956" s="607"/>
      <c r="G3956" s="582"/>
    </row>
    <row r="3957" spans="1:7" ht="30" x14ac:dyDescent="0.2">
      <c r="A3957" s="583" t="s">
        <v>19822</v>
      </c>
      <c r="B3957" s="605" t="s">
        <v>19823</v>
      </c>
      <c r="C3957" s="606" t="s">
        <v>12375</v>
      </c>
      <c r="D3957" s="607">
        <v>9725.82</v>
      </c>
      <c r="E3957" s="607">
        <v>75.36</v>
      </c>
      <c r="F3957" s="607">
        <v>9801.18</v>
      </c>
      <c r="G3957" s="584">
        <v>15</v>
      </c>
    </row>
    <row r="3958" spans="1:7" ht="30" x14ac:dyDescent="0.2">
      <c r="A3958" s="583" t="s">
        <v>19824</v>
      </c>
      <c r="B3958" s="605" t="s">
        <v>19825</v>
      </c>
      <c r="C3958" s="606" t="s">
        <v>12375</v>
      </c>
      <c r="D3958" s="607">
        <v>13764.29</v>
      </c>
      <c r="E3958" s="607">
        <v>75.36</v>
      </c>
      <c r="F3958" s="607">
        <v>13839.65</v>
      </c>
      <c r="G3958" s="584">
        <v>15</v>
      </c>
    </row>
    <row r="3959" spans="1:7" ht="30" x14ac:dyDescent="0.2">
      <c r="A3959" s="583" t="s">
        <v>19826</v>
      </c>
      <c r="B3959" s="605" t="s">
        <v>19827</v>
      </c>
      <c r="C3959" s="606" t="s">
        <v>12375</v>
      </c>
      <c r="D3959" s="607">
        <v>43681.96</v>
      </c>
      <c r="E3959" s="607">
        <v>75.36</v>
      </c>
      <c r="F3959" s="607">
        <v>43757.32</v>
      </c>
      <c r="G3959" s="584">
        <v>15</v>
      </c>
    </row>
    <row r="3960" spans="1:7" ht="15" x14ac:dyDescent="0.25">
      <c r="A3960" s="583" t="s">
        <v>19828</v>
      </c>
      <c r="B3960" s="605" t="s">
        <v>19829</v>
      </c>
      <c r="C3960" s="606"/>
      <c r="D3960" s="607"/>
      <c r="E3960" s="607"/>
      <c r="F3960" s="607"/>
      <c r="G3960" s="582"/>
    </row>
    <row r="3961" spans="1:7" ht="30" x14ac:dyDescent="0.2">
      <c r="A3961" s="583" t="s">
        <v>19830</v>
      </c>
      <c r="B3961" s="605" t="s">
        <v>19831</v>
      </c>
      <c r="C3961" s="606" t="s">
        <v>12375</v>
      </c>
      <c r="D3961" s="607">
        <v>37568</v>
      </c>
      <c r="E3961" s="607">
        <v>141.36000000000001</v>
      </c>
      <c r="F3961" s="607">
        <v>37709.360000000001</v>
      </c>
      <c r="G3961" s="584">
        <v>15</v>
      </c>
    </row>
    <row r="3962" spans="1:7" ht="30" x14ac:dyDescent="0.2">
      <c r="A3962" s="583" t="s">
        <v>19832</v>
      </c>
      <c r="B3962" s="605" t="s">
        <v>19833</v>
      </c>
      <c r="C3962" s="606" t="s">
        <v>12375</v>
      </c>
      <c r="D3962" s="607">
        <v>44830.82</v>
      </c>
      <c r="E3962" s="607">
        <v>141.36000000000001</v>
      </c>
      <c r="F3962" s="607">
        <v>44972.18</v>
      </c>
      <c r="G3962" s="584">
        <v>15</v>
      </c>
    </row>
    <row r="3963" spans="1:7" ht="30" x14ac:dyDescent="0.2">
      <c r="A3963" s="583" t="s">
        <v>19834</v>
      </c>
      <c r="B3963" s="605" t="s">
        <v>19835</v>
      </c>
      <c r="C3963" s="606" t="s">
        <v>12375</v>
      </c>
      <c r="D3963" s="607">
        <v>45531.39</v>
      </c>
      <c r="E3963" s="607">
        <v>141.36000000000001</v>
      </c>
      <c r="F3963" s="607">
        <v>45672.75</v>
      </c>
      <c r="G3963" s="584">
        <v>15</v>
      </c>
    </row>
    <row r="3964" spans="1:7" ht="30" x14ac:dyDescent="0.2">
      <c r="A3964" s="583" t="s">
        <v>19836</v>
      </c>
      <c r="B3964" s="605" t="s">
        <v>19837</v>
      </c>
      <c r="C3964" s="606" t="s">
        <v>12375</v>
      </c>
      <c r="D3964" s="607">
        <v>5769.07</v>
      </c>
      <c r="E3964" s="607">
        <v>100.48</v>
      </c>
      <c r="F3964" s="607">
        <v>5869.55</v>
      </c>
      <c r="G3964" s="584">
        <v>15</v>
      </c>
    </row>
    <row r="3965" spans="1:7" ht="30" x14ac:dyDescent="0.2">
      <c r="A3965" s="583" t="s">
        <v>19838</v>
      </c>
      <c r="B3965" s="605" t="s">
        <v>19839</v>
      </c>
      <c r="C3965" s="606" t="s">
        <v>12375</v>
      </c>
      <c r="D3965" s="607">
        <v>15043.04</v>
      </c>
      <c r="E3965" s="607">
        <v>141.36000000000001</v>
      </c>
      <c r="F3965" s="607">
        <v>15184.4</v>
      </c>
      <c r="G3965" s="584">
        <v>15</v>
      </c>
    </row>
    <row r="3966" spans="1:7" ht="30" x14ac:dyDescent="0.2">
      <c r="A3966" s="583" t="s">
        <v>19840</v>
      </c>
      <c r="B3966" s="605" t="s">
        <v>19841</v>
      </c>
      <c r="C3966" s="606" t="s">
        <v>12375</v>
      </c>
      <c r="D3966" s="607">
        <v>21886.97</v>
      </c>
      <c r="E3966" s="607">
        <v>100.48</v>
      </c>
      <c r="F3966" s="607">
        <v>21987.45</v>
      </c>
      <c r="G3966" s="584">
        <v>15</v>
      </c>
    </row>
    <row r="3967" spans="1:7" ht="30" x14ac:dyDescent="0.2">
      <c r="A3967" s="583" t="s">
        <v>19842</v>
      </c>
      <c r="B3967" s="605" t="s">
        <v>19843</v>
      </c>
      <c r="C3967" s="606" t="s">
        <v>12375</v>
      </c>
      <c r="D3967" s="607">
        <v>953.08</v>
      </c>
      <c r="E3967" s="607">
        <v>50.24</v>
      </c>
      <c r="F3967" s="607">
        <v>1003.32</v>
      </c>
      <c r="G3967" s="584">
        <v>15</v>
      </c>
    </row>
    <row r="3968" spans="1:7" ht="30" x14ac:dyDescent="0.2">
      <c r="A3968" s="583" t="s">
        <v>19844</v>
      </c>
      <c r="B3968" s="605" t="s">
        <v>19845</v>
      </c>
      <c r="C3968" s="606" t="s">
        <v>12375</v>
      </c>
      <c r="D3968" s="607">
        <v>40580.269999999997</v>
      </c>
      <c r="E3968" s="607">
        <v>141.36000000000001</v>
      </c>
      <c r="F3968" s="607">
        <v>40721.629999999997</v>
      </c>
      <c r="G3968" s="584">
        <v>15</v>
      </c>
    </row>
    <row r="3969" spans="1:7" ht="30" x14ac:dyDescent="0.2">
      <c r="A3969" s="583" t="s">
        <v>19846</v>
      </c>
      <c r="B3969" s="605" t="s">
        <v>19847</v>
      </c>
      <c r="C3969" s="606" t="s">
        <v>12375</v>
      </c>
      <c r="D3969" s="607">
        <v>54834.559999999998</v>
      </c>
      <c r="E3969" s="607">
        <v>141.36000000000001</v>
      </c>
      <c r="F3969" s="607">
        <v>54975.92</v>
      </c>
      <c r="G3969" s="584">
        <v>15</v>
      </c>
    </row>
    <row r="3970" spans="1:7" ht="30" x14ac:dyDescent="0.2">
      <c r="A3970" s="583" t="s">
        <v>19848</v>
      </c>
      <c r="B3970" s="605" t="s">
        <v>19849</v>
      </c>
      <c r="C3970" s="606" t="s">
        <v>12375</v>
      </c>
      <c r="D3970" s="607">
        <v>119102.78</v>
      </c>
      <c r="E3970" s="607">
        <v>141.36000000000001</v>
      </c>
      <c r="F3970" s="607">
        <v>119244.14</v>
      </c>
      <c r="G3970" s="584">
        <v>15</v>
      </c>
    </row>
    <row r="3971" spans="1:7" ht="30" x14ac:dyDescent="0.2">
      <c r="A3971" s="583" t="s">
        <v>19850</v>
      </c>
      <c r="B3971" s="605" t="s">
        <v>19851</v>
      </c>
      <c r="C3971" s="606" t="s">
        <v>12375</v>
      </c>
      <c r="D3971" s="607">
        <v>137538.04999999999</v>
      </c>
      <c r="E3971" s="607">
        <v>141.36000000000001</v>
      </c>
      <c r="F3971" s="607">
        <v>137679.41</v>
      </c>
      <c r="G3971" s="584">
        <v>15</v>
      </c>
    </row>
    <row r="3972" spans="1:7" ht="30" x14ac:dyDescent="0.2">
      <c r="A3972" s="583" t="s">
        <v>19852</v>
      </c>
      <c r="B3972" s="605" t="s">
        <v>19853</v>
      </c>
      <c r="C3972" s="606" t="s">
        <v>12375</v>
      </c>
      <c r="D3972" s="607">
        <v>49489.83</v>
      </c>
      <c r="E3972" s="607">
        <v>141.36000000000001</v>
      </c>
      <c r="F3972" s="607">
        <v>49631.19</v>
      </c>
      <c r="G3972" s="584">
        <v>15</v>
      </c>
    </row>
    <row r="3973" spans="1:7" ht="30" x14ac:dyDescent="0.2">
      <c r="A3973" s="583" t="s">
        <v>19854</v>
      </c>
      <c r="B3973" s="605" t="s">
        <v>19855</v>
      </c>
      <c r="C3973" s="606" t="s">
        <v>12375</v>
      </c>
      <c r="D3973" s="607">
        <v>29327.49</v>
      </c>
      <c r="E3973" s="607">
        <v>141.36000000000001</v>
      </c>
      <c r="F3973" s="607">
        <v>29468.85</v>
      </c>
      <c r="G3973" s="584">
        <v>15</v>
      </c>
    </row>
    <row r="3974" spans="1:7" ht="30" x14ac:dyDescent="0.2">
      <c r="A3974" s="583" t="s">
        <v>19856</v>
      </c>
      <c r="B3974" s="605" t="s">
        <v>19857</v>
      </c>
      <c r="C3974" s="606" t="s">
        <v>12375</v>
      </c>
      <c r="D3974" s="607">
        <v>35582.54</v>
      </c>
      <c r="E3974" s="607">
        <v>141.36000000000001</v>
      </c>
      <c r="F3974" s="607">
        <v>35723.9</v>
      </c>
      <c r="G3974" s="584">
        <v>15</v>
      </c>
    </row>
    <row r="3975" spans="1:7" ht="30" x14ac:dyDescent="0.2">
      <c r="A3975" s="583" t="s">
        <v>19858</v>
      </c>
      <c r="B3975" s="605" t="s">
        <v>19859</v>
      </c>
      <c r="C3975" s="606" t="s">
        <v>12375</v>
      </c>
      <c r="D3975" s="607">
        <v>63317.54</v>
      </c>
      <c r="E3975" s="607">
        <v>141.36000000000001</v>
      </c>
      <c r="F3975" s="607">
        <v>63458.9</v>
      </c>
      <c r="G3975" s="584">
        <v>15</v>
      </c>
    </row>
    <row r="3976" spans="1:7" ht="30" x14ac:dyDescent="0.2">
      <c r="A3976" s="583" t="s">
        <v>19860</v>
      </c>
      <c r="B3976" s="605" t="s">
        <v>19861</v>
      </c>
      <c r="C3976" s="606" t="s">
        <v>12375</v>
      </c>
      <c r="D3976" s="607">
        <v>43030.7</v>
      </c>
      <c r="E3976" s="607">
        <v>141.36000000000001</v>
      </c>
      <c r="F3976" s="607">
        <v>43172.06</v>
      </c>
      <c r="G3976" s="584">
        <v>15</v>
      </c>
    </row>
    <row r="3977" spans="1:7" ht="30" x14ac:dyDescent="0.2">
      <c r="A3977" s="583" t="s">
        <v>19862</v>
      </c>
      <c r="B3977" s="605" t="s">
        <v>19863</v>
      </c>
      <c r="C3977" s="606" t="s">
        <v>12375</v>
      </c>
      <c r="D3977" s="607">
        <v>97358.45</v>
      </c>
      <c r="E3977" s="607">
        <v>141.36000000000001</v>
      </c>
      <c r="F3977" s="607">
        <v>97499.81</v>
      </c>
      <c r="G3977" s="584">
        <v>15</v>
      </c>
    </row>
    <row r="3978" spans="1:7" ht="15" x14ac:dyDescent="0.25">
      <c r="A3978" s="583" t="s">
        <v>19864</v>
      </c>
      <c r="B3978" s="605" t="s">
        <v>19865</v>
      </c>
      <c r="C3978" s="606"/>
      <c r="D3978" s="607"/>
      <c r="E3978" s="607"/>
      <c r="F3978" s="607"/>
      <c r="G3978" s="582"/>
    </row>
    <row r="3979" spans="1:7" ht="15" x14ac:dyDescent="0.2">
      <c r="A3979" s="583" t="s">
        <v>21459</v>
      </c>
      <c r="B3979" s="605" t="s">
        <v>21460</v>
      </c>
      <c r="C3979" s="606" t="s">
        <v>12375</v>
      </c>
      <c r="D3979" s="607">
        <v>728.89</v>
      </c>
      <c r="E3979" s="607">
        <v>57.35</v>
      </c>
      <c r="F3979" s="607">
        <v>786.24</v>
      </c>
      <c r="G3979" s="584">
        <v>15</v>
      </c>
    </row>
    <row r="3980" spans="1:7" ht="15" x14ac:dyDescent="0.25">
      <c r="A3980" s="583" t="s">
        <v>19866</v>
      </c>
      <c r="B3980" s="605" t="s">
        <v>19867</v>
      </c>
      <c r="C3980" s="606"/>
      <c r="D3980" s="607"/>
      <c r="E3980" s="607"/>
      <c r="F3980" s="607"/>
      <c r="G3980" s="582"/>
    </row>
    <row r="3981" spans="1:7" ht="15" x14ac:dyDescent="0.2">
      <c r="A3981" s="583" t="s">
        <v>19868</v>
      </c>
      <c r="B3981" s="605" t="s">
        <v>19869</v>
      </c>
      <c r="C3981" s="606" t="s">
        <v>12375</v>
      </c>
      <c r="D3981" s="607">
        <v>45.76</v>
      </c>
      <c r="E3981" s="607">
        <v>10.050000000000001</v>
      </c>
      <c r="F3981" s="607">
        <v>55.81</v>
      </c>
      <c r="G3981" s="584">
        <v>15</v>
      </c>
    </row>
    <row r="3982" spans="1:7" ht="15" x14ac:dyDescent="0.2">
      <c r="A3982" s="583" t="s">
        <v>19870</v>
      </c>
      <c r="B3982" s="605" t="s">
        <v>19871</v>
      </c>
      <c r="C3982" s="606" t="s">
        <v>12375</v>
      </c>
      <c r="D3982" s="607">
        <v>740.69</v>
      </c>
      <c r="E3982" s="607">
        <v>40.19</v>
      </c>
      <c r="F3982" s="607">
        <v>780.88</v>
      </c>
      <c r="G3982" s="584">
        <v>15</v>
      </c>
    </row>
    <row r="3983" spans="1:7" ht="15" x14ac:dyDescent="0.2">
      <c r="A3983" s="583" t="s">
        <v>19872</v>
      </c>
      <c r="B3983" s="605" t="s">
        <v>19873</v>
      </c>
      <c r="C3983" s="606" t="s">
        <v>12375</v>
      </c>
      <c r="D3983" s="607">
        <v>627.65</v>
      </c>
      <c r="E3983" s="607">
        <v>40.19</v>
      </c>
      <c r="F3983" s="607">
        <v>667.84</v>
      </c>
      <c r="G3983" s="584">
        <v>15</v>
      </c>
    </row>
    <row r="3984" spans="1:7" ht="15" x14ac:dyDescent="0.2">
      <c r="A3984" s="583" t="s">
        <v>19874</v>
      </c>
      <c r="B3984" s="605" t="s">
        <v>19875</v>
      </c>
      <c r="C3984" s="606" t="s">
        <v>12375</v>
      </c>
      <c r="D3984" s="607">
        <v>208.86</v>
      </c>
      <c r="E3984" s="607">
        <v>10.050000000000001</v>
      </c>
      <c r="F3984" s="607">
        <v>218.91</v>
      </c>
      <c r="G3984" s="584">
        <v>15</v>
      </c>
    </row>
    <row r="3985" spans="1:7" ht="30" x14ac:dyDescent="0.2">
      <c r="A3985" s="583" t="s">
        <v>19876</v>
      </c>
      <c r="B3985" s="605" t="s">
        <v>19877</v>
      </c>
      <c r="C3985" s="606" t="s">
        <v>12375</v>
      </c>
      <c r="D3985" s="607">
        <v>957.47</v>
      </c>
      <c r="E3985" s="607">
        <v>3.69</v>
      </c>
      <c r="F3985" s="607">
        <v>961.16</v>
      </c>
      <c r="G3985" s="584">
        <v>15</v>
      </c>
    </row>
    <row r="3986" spans="1:7" ht="15" x14ac:dyDescent="0.25">
      <c r="A3986" s="583" t="s">
        <v>19878</v>
      </c>
      <c r="B3986" s="605" t="s">
        <v>19879</v>
      </c>
      <c r="C3986" s="606"/>
      <c r="D3986" s="607"/>
      <c r="E3986" s="607"/>
      <c r="F3986" s="607"/>
      <c r="G3986" s="582"/>
    </row>
    <row r="3987" spans="1:7" ht="30" x14ac:dyDescent="0.2">
      <c r="A3987" s="583" t="s">
        <v>19880</v>
      </c>
      <c r="B3987" s="605" t="s">
        <v>20327</v>
      </c>
      <c r="C3987" s="606" t="s">
        <v>12375</v>
      </c>
      <c r="D3987" s="607">
        <v>485.24</v>
      </c>
      <c r="E3987" s="607">
        <v>22.94</v>
      </c>
      <c r="F3987" s="607">
        <v>508.18</v>
      </c>
      <c r="G3987" s="584">
        <v>15</v>
      </c>
    </row>
    <row r="3988" spans="1:7" ht="30" x14ac:dyDescent="0.2">
      <c r="A3988" s="583" t="s">
        <v>20328</v>
      </c>
      <c r="B3988" s="605" t="s">
        <v>20329</v>
      </c>
      <c r="C3988" s="606" t="s">
        <v>12375</v>
      </c>
      <c r="D3988" s="607">
        <v>862.21</v>
      </c>
      <c r="E3988" s="607">
        <v>29.38</v>
      </c>
      <c r="F3988" s="607">
        <v>891.59</v>
      </c>
      <c r="G3988" s="584">
        <v>15</v>
      </c>
    </row>
    <row r="3989" spans="1:7" ht="15" x14ac:dyDescent="0.25">
      <c r="A3989" s="583" t="s">
        <v>19881</v>
      </c>
      <c r="B3989" s="605" t="s">
        <v>19882</v>
      </c>
      <c r="C3989" s="606"/>
      <c r="D3989" s="607"/>
      <c r="E3989" s="607"/>
      <c r="F3989" s="607"/>
      <c r="G3989" s="582"/>
    </row>
    <row r="3990" spans="1:7" ht="15" x14ac:dyDescent="0.2">
      <c r="A3990" s="583" t="s">
        <v>19883</v>
      </c>
      <c r="B3990" s="605" t="s">
        <v>19884</v>
      </c>
      <c r="C3990" s="606" t="s">
        <v>12483</v>
      </c>
      <c r="D3990" s="607">
        <v>0.35</v>
      </c>
      <c r="E3990" s="607">
        <v>5.0199999999999996</v>
      </c>
      <c r="F3990" s="607">
        <v>5.37</v>
      </c>
      <c r="G3990" s="584">
        <v>15</v>
      </c>
    </row>
    <row r="3991" spans="1:7" ht="15" x14ac:dyDescent="0.2">
      <c r="A3991" s="583" t="s">
        <v>19885</v>
      </c>
      <c r="B3991" s="605" t="s">
        <v>19886</v>
      </c>
      <c r="C3991" s="606" t="s">
        <v>12375</v>
      </c>
      <c r="D3991" s="607">
        <v>5.98</v>
      </c>
      <c r="E3991" s="607">
        <v>10.050000000000001</v>
      </c>
      <c r="F3991" s="607">
        <v>16.03</v>
      </c>
      <c r="G3991" s="584">
        <v>15</v>
      </c>
    </row>
    <row r="3992" spans="1:7" ht="15" x14ac:dyDescent="0.2">
      <c r="A3992" s="583" t="s">
        <v>19887</v>
      </c>
      <c r="B3992" s="605" t="s">
        <v>19888</v>
      </c>
      <c r="C3992" s="606" t="s">
        <v>12375</v>
      </c>
      <c r="D3992" s="607">
        <v>1.93</v>
      </c>
      <c r="E3992" s="607">
        <v>10.050000000000001</v>
      </c>
      <c r="F3992" s="607">
        <v>11.98</v>
      </c>
      <c r="G3992" s="584">
        <v>15</v>
      </c>
    </row>
    <row r="3993" spans="1:7" ht="30" x14ac:dyDescent="0.2">
      <c r="A3993" s="583" t="s">
        <v>19889</v>
      </c>
      <c r="B3993" s="605" t="s">
        <v>19890</v>
      </c>
      <c r="C3993" s="606" t="s">
        <v>12375</v>
      </c>
      <c r="D3993" s="607">
        <v>2.42</v>
      </c>
      <c r="E3993" s="607">
        <v>10.050000000000001</v>
      </c>
      <c r="F3993" s="607">
        <v>12.47</v>
      </c>
      <c r="G3993" s="584">
        <v>15</v>
      </c>
    </row>
    <row r="3994" spans="1:7" ht="15" x14ac:dyDescent="0.2">
      <c r="A3994" s="583" t="s">
        <v>19891</v>
      </c>
      <c r="B3994" s="605" t="s">
        <v>19892</v>
      </c>
      <c r="C3994" s="606" t="s">
        <v>12375</v>
      </c>
      <c r="D3994" s="607">
        <v>290.95</v>
      </c>
      <c r="E3994" s="607">
        <v>11.16</v>
      </c>
      <c r="F3994" s="607">
        <v>302.11</v>
      </c>
      <c r="G3994" s="584">
        <v>15</v>
      </c>
    </row>
    <row r="3995" spans="1:7" ht="15" x14ac:dyDescent="0.2">
      <c r="A3995" s="583" t="s">
        <v>19893</v>
      </c>
      <c r="B3995" s="605" t="s">
        <v>19894</v>
      </c>
      <c r="C3995" s="606" t="s">
        <v>12375</v>
      </c>
      <c r="D3995" s="607">
        <v>652.57000000000005</v>
      </c>
      <c r="E3995" s="607">
        <v>11.16</v>
      </c>
      <c r="F3995" s="607">
        <v>663.73</v>
      </c>
      <c r="G3995" s="584">
        <v>15</v>
      </c>
    </row>
    <row r="3996" spans="1:7" ht="15" x14ac:dyDescent="0.2">
      <c r="A3996" s="583" t="s">
        <v>19895</v>
      </c>
      <c r="B3996" s="605" t="s">
        <v>19896</v>
      </c>
      <c r="C3996" s="606" t="s">
        <v>12375</v>
      </c>
      <c r="D3996" s="607">
        <v>7.24</v>
      </c>
      <c r="E3996" s="607">
        <v>17.670000000000002</v>
      </c>
      <c r="F3996" s="607">
        <v>24.91</v>
      </c>
      <c r="G3996" s="584">
        <v>15</v>
      </c>
    </row>
    <row r="3997" spans="1:7" ht="15" x14ac:dyDescent="0.2">
      <c r="A3997" s="583" t="s">
        <v>19897</v>
      </c>
      <c r="B3997" s="605" t="s">
        <v>19898</v>
      </c>
      <c r="C3997" s="606" t="s">
        <v>12375</v>
      </c>
      <c r="D3997" s="607">
        <v>18.600000000000001</v>
      </c>
      <c r="E3997" s="607">
        <v>17.670000000000002</v>
      </c>
      <c r="F3997" s="607">
        <v>36.270000000000003</v>
      </c>
      <c r="G3997" s="584">
        <v>15</v>
      </c>
    </row>
    <row r="3998" spans="1:7" ht="15" x14ac:dyDescent="0.2">
      <c r="A3998" s="583" t="s">
        <v>19899</v>
      </c>
      <c r="B3998" s="605" t="s">
        <v>19900</v>
      </c>
      <c r="C3998" s="606" t="s">
        <v>12375</v>
      </c>
      <c r="D3998" s="607">
        <v>79.239999999999995</v>
      </c>
      <c r="E3998" s="607">
        <v>2.04</v>
      </c>
      <c r="F3998" s="607">
        <v>81.28</v>
      </c>
      <c r="G3998" s="584">
        <v>15</v>
      </c>
    </row>
    <row r="3999" spans="1:7" ht="15" x14ac:dyDescent="0.2">
      <c r="A3999" s="583" t="s">
        <v>19901</v>
      </c>
      <c r="B3999" s="605" t="s">
        <v>19902</v>
      </c>
      <c r="C3999" s="606" t="s">
        <v>12375</v>
      </c>
      <c r="D3999" s="607">
        <v>305</v>
      </c>
      <c r="E3999" s="607">
        <v>11.47</v>
      </c>
      <c r="F3999" s="607">
        <v>316.47000000000003</v>
      </c>
      <c r="G3999" s="584">
        <v>15</v>
      </c>
    </row>
    <row r="4000" spans="1:7" ht="15" x14ac:dyDescent="0.2">
      <c r="A4000" s="583" t="s">
        <v>19903</v>
      </c>
      <c r="B4000" s="605" t="s">
        <v>20258</v>
      </c>
      <c r="C4000" s="606" t="s">
        <v>12375</v>
      </c>
      <c r="D4000" s="607">
        <v>90.48</v>
      </c>
      <c r="E4000" s="607">
        <v>7.38</v>
      </c>
      <c r="F4000" s="607">
        <v>97.86</v>
      </c>
      <c r="G4000" s="584">
        <v>15</v>
      </c>
    </row>
    <row r="4001" spans="1:7" ht="15" x14ac:dyDescent="0.2">
      <c r="A4001" s="583" t="s">
        <v>19904</v>
      </c>
      <c r="B4001" s="605" t="s">
        <v>20259</v>
      </c>
      <c r="C4001" s="606" t="s">
        <v>12375</v>
      </c>
      <c r="D4001" s="607">
        <v>119.36</v>
      </c>
      <c r="E4001" s="607">
        <v>7.38</v>
      </c>
      <c r="F4001" s="607">
        <v>126.74</v>
      </c>
      <c r="G4001" s="584">
        <v>15</v>
      </c>
    </row>
    <row r="4002" spans="1:7" ht="15" x14ac:dyDescent="0.2">
      <c r="A4002" s="583" t="s">
        <v>19905</v>
      </c>
      <c r="B4002" s="605" t="s">
        <v>20260</v>
      </c>
      <c r="C4002" s="606" t="s">
        <v>12375</v>
      </c>
      <c r="D4002" s="607">
        <v>179.87</v>
      </c>
      <c r="E4002" s="607">
        <v>7.38</v>
      </c>
      <c r="F4002" s="607">
        <v>187.25</v>
      </c>
      <c r="G4002" s="584">
        <v>15</v>
      </c>
    </row>
    <row r="4003" spans="1:7" ht="15" x14ac:dyDescent="0.2">
      <c r="A4003" s="583" t="s">
        <v>19906</v>
      </c>
      <c r="B4003" s="605" t="s">
        <v>19907</v>
      </c>
      <c r="C4003" s="606" t="s">
        <v>12375</v>
      </c>
      <c r="D4003" s="607">
        <v>95.79</v>
      </c>
      <c r="E4003" s="607">
        <v>2.04</v>
      </c>
      <c r="F4003" s="607">
        <v>97.83</v>
      </c>
      <c r="G4003" s="584">
        <v>15</v>
      </c>
    </row>
    <row r="4004" spans="1:7" ht="15" x14ac:dyDescent="0.2">
      <c r="A4004" s="583" t="s">
        <v>19908</v>
      </c>
      <c r="B4004" s="605" t="s">
        <v>19909</v>
      </c>
      <c r="C4004" s="606" t="s">
        <v>12375</v>
      </c>
      <c r="D4004" s="607">
        <v>105.16</v>
      </c>
      <c r="E4004" s="607">
        <v>2.04</v>
      </c>
      <c r="F4004" s="607">
        <v>107.2</v>
      </c>
      <c r="G4004" s="584">
        <v>15</v>
      </c>
    </row>
    <row r="4005" spans="1:7" ht="15" x14ac:dyDescent="0.2">
      <c r="A4005" s="583" t="s">
        <v>19910</v>
      </c>
      <c r="B4005" s="605" t="s">
        <v>20261</v>
      </c>
      <c r="C4005" s="606" t="s">
        <v>12375</v>
      </c>
      <c r="D4005" s="607">
        <v>9.6199999999999992</v>
      </c>
      <c r="E4005" s="607">
        <v>4.09</v>
      </c>
      <c r="F4005" s="607">
        <v>13.71</v>
      </c>
      <c r="G4005" s="584">
        <v>15</v>
      </c>
    </row>
    <row r="4006" spans="1:7" ht="15" x14ac:dyDescent="0.2">
      <c r="A4006" s="583" t="s">
        <v>19911</v>
      </c>
      <c r="B4006" s="605" t="s">
        <v>20262</v>
      </c>
      <c r="C4006" s="606" t="s">
        <v>12375</v>
      </c>
      <c r="D4006" s="607">
        <v>14</v>
      </c>
      <c r="E4006" s="607">
        <v>4.09</v>
      </c>
      <c r="F4006" s="607">
        <v>18.09</v>
      </c>
      <c r="G4006" s="584">
        <v>15</v>
      </c>
    </row>
    <row r="4007" spans="1:7" ht="15" x14ac:dyDescent="0.2">
      <c r="A4007" s="583" t="s">
        <v>19912</v>
      </c>
      <c r="B4007" s="605" t="s">
        <v>19913</v>
      </c>
      <c r="C4007" s="606" t="s">
        <v>12375</v>
      </c>
      <c r="D4007" s="607">
        <v>19.010000000000002</v>
      </c>
      <c r="E4007" s="607">
        <v>18.93</v>
      </c>
      <c r="F4007" s="607">
        <v>37.94</v>
      </c>
      <c r="G4007" s="584">
        <v>15</v>
      </c>
    </row>
    <row r="4008" spans="1:7" ht="15" x14ac:dyDescent="0.2">
      <c r="A4008" s="583" t="s">
        <v>19914</v>
      </c>
      <c r="B4008" s="605" t="s">
        <v>19915</v>
      </c>
      <c r="C4008" s="606" t="s">
        <v>12375</v>
      </c>
      <c r="D4008" s="607">
        <v>10.24</v>
      </c>
      <c r="E4008" s="607">
        <v>11.47</v>
      </c>
      <c r="F4008" s="607">
        <v>21.71</v>
      </c>
      <c r="G4008" s="584">
        <v>15</v>
      </c>
    </row>
    <row r="4009" spans="1:7" ht="15" x14ac:dyDescent="0.2">
      <c r="A4009" s="583" t="s">
        <v>19916</v>
      </c>
      <c r="B4009" s="605" t="s">
        <v>19917</v>
      </c>
      <c r="C4009" s="606" t="s">
        <v>12375</v>
      </c>
      <c r="D4009" s="607">
        <v>11.53</v>
      </c>
      <c r="E4009" s="607">
        <v>11.47</v>
      </c>
      <c r="F4009" s="607">
        <v>23</v>
      </c>
      <c r="G4009" s="584">
        <v>15</v>
      </c>
    </row>
    <row r="4010" spans="1:7" ht="30" x14ac:dyDescent="0.2">
      <c r="A4010" s="583" t="s">
        <v>19918</v>
      </c>
      <c r="B4010" s="605" t="s">
        <v>19919</v>
      </c>
      <c r="C4010" s="606" t="s">
        <v>12375</v>
      </c>
      <c r="D4010" s="607">
        <v>11.4</v>
      </c>
      <c r="E4010" s="607">
        <v>11.47</v>
      </c>
      <c r="F4010" s="607">
        <v>22.87</v>
      </c>
      <c r="G4010" s="584">
        <v>15</v>
      </c>
    </row>
    <row r="4011" spans="1:7" ht="15" x14ac:dyDescent="0.2">
      <c r="A4011" s="583" t="s">
        <v>19920</v>
      </c>
      <c r="B4011" s="605" t="s">
        <v>21461</v>
      </c>
      <c r="C4011" s="606" t="s">
        <v>12375</v>
      </c>
      <c r="D4011" s="607">
        <v>11</v>
      </c>
      <c r="E4011" s="607">
        <v>19.45</v>
      </c>
      <c r="F4011" s="607">
        <v>30.45</v>
      </c>
      <c r="G4011" s="584">
        <v>15</v>
      </c>
    </row>
    <row r="4012" spans="1:7" ht="15" x14ac:dyDescent="0.2">
      <c r="A4012" s="583" t="s">
        <v>19921</v>
      </c>
      <c r="B4012" s="605" t="s">
        <v>19922</v>
      </c>
      <c r="C4012" s="606" t="s">
        <v>12375</v>
      </c>
      <c r="D4012" s="607">
        <v>13.5</v>
      </c>
      <c r="E4012" s="607">
        <v>10.050000000000001</v>
      </c>
      <c r="F4012" s="607">
        <v>23.55</v>
      </c>
      <c r="G4012" s="584">
        <v>15</v>
      </c>
    </row>
    <row r="4013" spans="1:7" ht="30" x14ac:dyDescent="0.2">
      <c r="A4013" s="583" t="s">
        <v>19923</v>
      </c>
      <c r="B4013" s="605" t="s">
        <v>19924</v>
      </c>
      <c r="C4013" s="606" t="s">
        <v>12375</v>
      </c>
      <c r="D4013" s="607">
        <v>87.14</v>
      </c>
      <c r="E4013" s="607">
        <v>35.340000000000003</v>
      </c>
      <c r="F4013" s="607">
        <v>122.48</v>
      </c>
      <c r="G4013" s="584">
        <v>15</v>
      </c>
    </row>
    <row r="4014" spans="1:7" ht="15" x14ac:dyDescent="0.25">
      <c r="A4014" s="583" t="s">
        <v>19925</v>
      </c>
      <c r="B4014" s="605" t="s">
        <v>19926</v>
      </c>
      <c r="C4014" s="606"/>
      <c r="D4014" s="607"/>
      <c r="E4014" s="607"/>
      <c r="F4014" s="607"/>
      <c r="G4014" s="582"/>
    </row>
    <row r="4015" spans="1:7" ht="15" x14ac:dyDescent="0.25">
      <c r="A4015" s="583" t="s">
        <v>19927</v>
      </c>
      <c r="B4015" s="605" t="s">
        <v>19928</v>
      </c>
      <c r="C4015" s="606"/>
      <c r="D4015" s="607"/>
      <c r="E4015" s="607"/>
      <c r="F4015" s="607"/>
      <c r="G4015" s="582"/>
    </row>
    <row r="4016" spans="1:7" ht="30" x14ac:dyDescent="0.2">
      <c r="A4016" s="583" t="s">
        <v>20263</v>
      </c>
      <c r="B4016" s="605" t="s">
        <v>20330</v>
      </c>
      <c r="C4016" s="606" t="s">
        <v>12427</v>
      </c>
      <c r="D4016" s="607">
        <v>265.29000000000002</v>
      </c>
      <c r="E4016" s="607">
        <v>3.43</v>
      </c>
      <c r="F4016" s="607">
        <v>268.72000000000003</v>
      </c>
      <c r="G4016" s="584">
        <v>15</v>
      </c>
    </row>
    <row r="4017" spans="1:7" ht="30" x14ac:dyDescent="0.2">
      <c r="A4017" s="583" t="s">
        <v>20264</v>
      </c>
      <c r="B4017" s="605" t="s">
        <v>20331</v>
      </c>
      <c r="C4017" s="606" t="s">
        <v>12427</v>
      </c>
      <c r="D4017" s="607">
        <v>216.21</v>
      </c>
      <c r="E4017" s="607">
        <v>2.88</v>
      </c>
      <c r="F4017" s="607">
        <v>219.09</v>
      </c>
      <c r="G4017" s="584">
        <v>15</v>
      </c>
    </row>
    <row r="4018" spans="1:7" ht="30" x14ac:dyDescent="0.2">
      <c r="A4018" s="583" t="s">
        <v>20265</v>
      </c>
      <c r="B4018" s="605" t="s">
        <v>20332</v>
      </c>
      <c r="C4018" s="606" t="s">
        <v>12427</v>
      </c>
      <c r="D4018" s="607">
        <v>216.93</v>
      </c>
      <c r="E4018" s="607">
        <v>2.9</v>
      </c>
      <c r="F4018" s="607">
        <v>219.83</v>
      </c>
      <c r="G4018" s="584">
        <v>15</v>
      </c>
    </row>
    <row r="4019" spans="1:7" ht="15" x14ac:dyDescent="0.2">
      <c r="A4019" s="583" t="s">
        <v>19929</v>
      </c>
      <c r="B4019" s="605" t="s">
        <v>19930</v>
      </c>
      <c r="C4019" s="606" t="s">
        <v>12483</v>
      </c>
      <c r="D4019" s="607">
        <v>417.42</v>
      </c>
      <c r="E4019" s="607">
        <v>14.33</v>
      </c>
      <c r="F4019" s="607">
        <v>431.75</v>
      </c>
      <c r="G4019" s="584">
        <v>15</v>
      </c>
    </row>
    <row r="4020" spans="1:7" ht="15" x14ac:dyDescent="0.25">
      <c r="A4020" s="583" t="s">
        <v>19931</v>
      </c>
      <c r="B4020" s="605" t="s">
        <v>19932</v>
      </c>
      <c r="C4020" s="606"/>
      <c r="D4020" s="607"/>
      <c r="E4020" s="607"/>
      <c r="F4020" s="607"/>
      <c r="G4020" s="582"/>
    </row>
    <row r="4021" spans="1:7" ht="15" x14ac:dyDescent="0.2">
      <c r="A4021" s="583" t="s">
        <v>19933</v>
      </c>
      <c r="B4021" s="605" t="s">
        <v>19934</v>
      </c>
      <c r="C4021" s="606" t="s">
        <v>12427</v>
      </c>
      <c r="D4021" s="607">
        <v>81.03</v>
      </c>
      <c r="E4021" s="607"/>
      <c r="F4021" s="607">
        <v>81.03</v>
      </c>
      <c r="G4021" s="584">
        <v>15</v>
      </c>
    </row>
    <row r="4022" spans="1:7" ht="15" x14ac:dyDescent="0.2">
      <c r="A4022" s="583" t="s">
        <v>19935</v>
      </c>
      <c r="B4022" s="605" t="s">
        <v>19936</v>
      </c>
      <c r="C4022" s="606" t="s">
        <v>12427</v>
      </c>
      <c r="D4022" s="607">
        <v>34.9</v>
      </c>
      <c r="E4022" s="607"/>
      <c r="F4022" s="607">
        <v>34.9</v>
      </c>
      <c r="G4022" s="584">
        <v>15</v>
      </c>
    </row>
    <row r="4023" spans="1:7" ht="30" x14ac:dyDescent="0.2">
      <c r="A4023" s="583" t="s">
        <v>19937</v>
      </c>
      <c r="B4023" s="605" t="s">
        <v>179</v>
      </c>
      <c r="C4023" s="606" t="s">
        <v>12427</v>
      </c>
      <c r="D4023" s="607">
        <v>200.62</v>
      </c>
      <c r="E4023" s="607"/>
      <c r="F4023" s="607">
        <v>200.62</v>
      </c>
      <c r="G4023" s="584">
        <v>15</v>
      </c>
    </row>
    <row r="4024" spans="1:7" ht="30" x14ac:dyDescent="0.2">
      <c r="A4024" s="583" t="s">
        <v>19938</v>
      </c>
      <c r="B4024" s="605" t="s">
        <v>122</v>
      </c>
      <c r="C4024" s="606" t="s">
        <v>12427</v>
      </c>
      <c r="D4024" s="607">
        <v>250.77</v>
      </c>
      <c r="E4024" s="607"/>
      <c r="F4024" s="607">
        <v>250.77</v>
      </c>
      <c r="G4024" s="584">
        <v>15</v>
      </c>
    </row>
    <row r="4025" spans="1:7" ht="30" x14ac:dyDescent="0.2">
      <c r="A4025" s="583" t="s">
        <v>19939</v>
      </c>
      <c r="B4025" s="605" t="s">
        <v>121</v>
      </c>
      <c r="C4025" s="606" t="s">
        <v>12427</v>
      </c>
      <c r="D4025" s="607">
        <v>91.24</v>
      </c>
      <c r="E4025" s="607"/>
      <c r="F4025" s="607">
        <v>91.24</v>
      </c>
      <c r="G4025" s="584">
        <v>15</v>
      </c>
    </row>
    <row r="4026" spans="1:7" ht="30" x14ac:dyDescent="0.2">
      <c r="A4026" s="583" t="s">
        <v>90</v>
      </c>
      <c r="B4026" s="605" t="s">
        <v>120</v>
      </c>
      <c r="C4026" s="606" t="s">
        <v>12427</v>
      </c>
      <c r="D4026" s="607">
        <v>134.44</v>
      </c>
      <c r="E4026" s="607"/>
      <c r="F4026" s="607">
        <v>134.44</v>
      </c>
      <c r="G4026" s="584">
        <v>15</v>
      </c>
    </row>
    <row r="4027" spans="1:7" ht="30" x14ac:dyDescent="0.2">
      <c r="A4027" s="583" t="s">
        <v>19940</v>
      </c>
      <c r="B4027" s="605" t="s">
        <v>123</v>
      </c>
      <c r="C4027" s="606" t="s">
        <v>12427</v>
      </c>
      <c r="D4027" s="607">
        <v>141.66999999999999</v>
      </c>
      <c r="E4027" s="607"/>
      <c r="F4027" s="607">
        <v>141.66999999999999</v>
      </c>
      <c r="G4027" s="584">
        <v>15</v>
      </c>
    </row>
    <row r="4028" spans="1:7" ht="15" x14ac:dyDescent="0.2">
      <c r="A4028" s="583" t="s">
        <v>19941</v>
      </c>
      <c r="B4028" s="605" t="s">
        <v>19942</v>
      </c>
      <c r="C4028" s="606" t="s">
        <v>12427</v>
      </c>
      <c r="D4028" s="607">
        <v>257.52999999999997</v>
      </c>
      <c r="E4028" s="607"/>
      <c r="F4028" s="607">
        <v>257.52999999999997</v>
      </c>
      <c r="G4028" s="584">
        <v>15</v>
      </c>
    </row>
    <row r="4029" spans="1:7" ht="15" x14ac:dyDescent="0.2">
      <c r="A4029" s="583" t="s">
        <v>19943</v>
      </c>
      <c r="B4029" s="605" t="s">
        <v>19944</v>
      </c>
      <c r="C4029" s="606" t="s">
        <v>12427</v>
      </c>
      <c r="D4029" s="607">
        <v>285.31</v>
      </c>
      <c r="E4029" s="607"/>
      <c r="F4029" s="607">
        <v>285.31</v>
      </c>
      <c r="G4029" s="584">
        <v>15</v>
      </c>
    </row>
    <row r="4030" spans="1:7" ht="30" x14ac:dyDescent="0.2">
      <c r="A4030" s="583" t="s">
        <v>19945</v>
      </c>
      <c r="B4030" s="605" t="s">
        <v>124</v>
      </c>
      <c r="C4030" s="606" t="s">
        <v>12427</v>
      </c>
      <c r="D4030" s="607">
        <v>47.81</v>
      </c>
      <c r="E4030" s="607"/>
      <c r="F4030" s="607">
        <v>47.81</v>
      </c>
      <c r="G4030" s="584">
        <v>15</v>
      </c>
    </row>
    <row r="4031" spans="1:7" ht="15" x14ac:dyDescent="0.25">
      <c r="A4031" s="583" t="s">
        <v>19946</v>
      </c>
      <c r="B4031" s="605" t="s">
        <v>19947</v>
      </c>
      <c r="C4031" s="606"/>
      <c r="D4031" s="607"/>
      <c r="E4031" s="607"/>
      <c r="F4031" s="607"/>
      <c r="G4031" s="582"/>
    </row>
    <row r="4032" spans="1:7" ht="30" x14ac:dyDescent="0.2">
      <c r="A4032" s="583" t="s">
        <v>19948</v>
      </c>
      <c r="B4032" s="605" t="s">
        <v>19949</v>
      </c>
      <c r="C4032" s="606" t="s">
        <v>12427</v>
      </c>
      <c r="D4032" s="607">
        <v>1620.14</v>
      </c>
      <c r="E4032" s="607">
        <v>25.92</v>
      </c>
      <c r="F4032" s="607">
        <v>1646.06</v>
      </c>
      <c r="G4032" s="584">
        <v>15</v>
      </c>
    </row>
    <row r="4033" spans="1:7" ht="30" x14ac:dyDescent="0.2">
      <c r="A4033" s="583" t="s">
        <v>91</v>
      </c>
      <c r="B4033" s="605" t="s">
        <v>19950</v>
      </c>
      <c r="C4033" s="606" t="s">
        <v>12427</v>
      </c>
      <c r="D4033" s="607">
        <v>1688.08</v>
      </c>
      <c r="E4033" s="607">
        <v>25.92</v>
      </c>
      <c r="F4033" s="607">
        <v>1714</v>
      </c>
      <c r="G4033" s="584">
        <v>15</v>
      </c>
    </row>
    <row r="4034" spans="1:7" ht="30" x14ac:dyDescent="0.2">
      <c r="A4034" s="583" t="s">
        <v>19951</v>
      </c>
      <c r="B4034" s="605" t="s">
        <v>19952</v>
      </c>
      <c r="C4034" s="606" t="s">
        <v>12427</v>
      </c>
      <c r="D4034" s="607">
        <v>1820.79</v>
      </c>
      <c r="E4034" s="607">
        <v>25.92</v>
      </c>
      <c r="F4034" s="607">
        <v>1846.71</v>
      </c>
      <c r="G4034" s="584">
        <v>15</v>
      </c>
    </row>
    <row r="4035" spans="1:7" ht="30" x14ac:dyDescent="0.2">
      <c r="A4035" s="583" t="s">
        <v>19953</v>
      </c>
      <c r="B4035" s="605" t="s">
        <v>19954</v>
      </c>
      <c r="C4035" s="606" t="s">
        <v>12427</v>
      </c>
      <c r="D4035" s="607">
        <v>1879.17</v>
      </c>
      <c r="E4035" s="607">
        <v>25.92</v>
      </c>
      <c r="F4035" s="607">
        <v>1905.09</v>
      </c>
      <c r="G4035" s="584">
        <v>15</v>
      </c>
    </row>
    <row r="4036" spans="1:7" ht="30" x14ac:dyDescent="0.2">
      <c r="A4036" s="583" t="s">
        <v>19955</v>
      </c>
      <c r="B4036" s="605" t="s">
        <v>19956</v>
      </c>
      <c r="C4036" s="606" t="s">
        <v>12427</v>
      </c>
      <c r="D4036" s="607">
        <v>2278.94</v>
      </c>
      <c r="E4036" s="607">
        <v>25.92</v>
      </c>
      <c r="F4036" s="607">
        <v>2304.86</v>
      </c>
      <c r="G4036" s="584">
        <v>15</v>
      </c>
    </row>
    <row r="4037" spans="1:7" ht="30" x14ac:dyDescent="0.2">
      <c r="A4037" s="583" t="s">
        <v>19957</v>
      </c>
      <c r="B4037" s="605" t="s">
        <v>19958</v>
      </c>
      <c r="C4037" s="606" t="s">
        <v>12427</v>
      </c>
      <c r="D4037" s="607">
        <v>1840.24</v>
      </c>
      <c r="E4037" s="607">
        <v>38.880000000000003</v>
      </c>
      <c r="F4037" s="607">
        <v>1879.12</v>
      </c>
      <c r="G4037" s="584">
        <v>15</v>
      </c>
    </row>
    <row r="4038" spans="1:7" ht="30" x14ac:dyDescent="0.2">
      <c r="A4038" s="583" t="s">
        <v>19959</v>
      </c>
      <c r="B4038" s="605" t="s">
        <v>19960</v>
      </c>
      <c r="C4038" s="606" t="s">
        <v>12427</v>
      </c>
      <c r="D4038" s="607">
        <v>1760.77</v>
      </c>
      <c r="E4038" s="607">
        <v>38.880000000000003</v>
      </c>
      <c r="F4038" s="607">
        <v>1799.65</v>
      </c>
      <c r="G4038" s="584">
        <v>15</v>
      </c>
    </row>
    <row r="4039" spans="1:7" ht="30" x14ac:dyDescent="0.2">
      <c r="A4039" s="583" t="s">
        <v>19961</v>
      </c>
      <c r="B4039" s="605" t="s">
        <v>19962</v>
      </c>
      <c r="C4039" s="606" t="s">
        <v>12427</v>
      </c>
      <c r="D4039" s="607">
        <v>2072.75</v>
      </c>
      <c r="E4039" s="607">
        <v>38.880000000000003</v>
      </c>
      <c r="F4039" s="607">
        <v>2111.63</v>
      </c>
      <c r="G4039" s="584">
        <v>15</v>
      </c>
    </row>
    <row r="4040" spans="1:7" ht="15" x14ac:dyDescent="0.25">
      <c r="A4040" s="583" t="s">
        <v>19963</v>
      </c>
      <c r="B4040" s="605" t="s">
        <v>19964</v>
      </c>
      <c r="C4040" s="606"/>
      <c r="D4040" s="607"/>
      <c r="E4040" s="607"/>
      <c r="F4040" s="607"/>
      <c r="G4040" s="582"/>
    </row>
    <row r="4041" spans="1:7" ht="30" x14ac:dyDescent="0.2">
      <c r="A4041" s="583" t="s">
        <v>19965</v>
      </c>
      <c r="B4041" s="605" t="s">
        <v>20266</v>
      </c>
      <c r="C4041" s="606" t="s">
        <v>12375</v>
      </c>
      <c r="D4041" s="607">
        <v>1213.6400000000001</v>
      </c>
      <c r="E4041" s="607">
        <v>113.53</v>
      </c>
      <c r="F4041" s="607">
        <v>1327.17</v>
      </c>
      <c r="G4041" s="584">
        <v>15</v>
      </c>
    </row>
    <row r="4042" spans="1:7" ht="15" x14ac:dyDescent="0.2">
      <c r="A4042" s="583" t="s">
        <v>19966</v>
      </c>
      <c r="B4042" s="605" t="s">
        <v>19967</v>
      </c>
      <c r="C4042" s="606" t="s">
        <v>12375</v>
      </c>
      <c r="D4042" s="607">
        <v>3545.08</v>
      </c>
      <c r="E4042" s="607">
        <v>113.53</v>
      </c>
      <c r="F4042" s="607">
        <v>3658.61</v>
      </c>
      <c r="G4042" s="584">
        <v>15</v>
      </c>
    </row>
    <row r="4043" spans="1:7" ht="15" x14ac:dyDescent="0.2">
      <c r="A4043" s="583" t="s">
        <v>19968</v>
      </c>
      <c r="B4043" s="605" t="s">
        <v>19969</v>
      </c>
      <c r="C4043" s="606" t="s">
        <v>12375</v>
      </c>
      <c r="D4043" s="607">
        <v>6025.72</v>
      </c>
      <c r="E4043" s="607">
        <v>194.18</v>
      </c>
      <c r="F4043" s="607">
        <v>6219.9</v>
      </c>
      <c r="G4043" s="584">
        <v>15</v>
      </c>
    </row>
    <row r="4044" spans="1:7" ht="30" x14ac:dyDescent="0.2">
      <c r="A4044" s="583" t="s">
        <v>19970</v>
      </c>
      <c r="B4044" s="605" t="s">
        <v>19971</v>
      </c>
      <c r="C4044" s="606" t="s">
        <v>12375</v>
      </c>
      <c r="D4044" s="607">
        <v>6047.7</v>
      </c>
      <c r="E4044" s="607">
        <v>113.53</v>
      </c>
      <c r="F4044" s="607">
        <v>6161.23</v>
      </c>
      <c r="G4044" s="584">
        <v>15</v>
      </c>
    </row>
    <row r="4045" spans="1:7" ht="15" x14ac:dyDescent="0.2">
      <c r="A4045" s="583" t="s">
        <v>19972</v>
      </c>
      <c r="B4045" s="605" t="s">
        <v>19973</v>
      </c>
      <c r="C4045" s="606" t="s">
        <v>12375</v>
      </c>
      <c r="D4045" s="607">
        <v>2970.55</v>
      </c>
      <c r="E4045" s="607">
        <v>70.680000000000007</v>
      </c>
      <c r="F4045" s="607">
        <v>3041.23</v>
      </c>
      <c r="G4045" s="584">
        <v>15</v>
      </c>
    </row>
    <row r="4046" spans="1:7" ht="30" x14ac:dyDescent="0.2">
      <c r="A4046" s="583" t="s">
        <v>19974</v>
      </c>
      <c r="B4046" s="605" t="s">
        <v>20267</v>
      </c>
      <c r="C4046" s="606" t="s">
        <v>12375</v>
      </c>
      <c r="D4046" s="607">
        <v>2000.75</v>
      </c>
      <c r="E4046" s="607">
        <v>113.53</v>
      </c>
      <c r="F4046" s="607">
        <v>2114.2800000000002</v>
      </c>
      <c r="G4046" s="584">
        <v>15</v>
      </c>
    </row>
    <row r="4047" spans="1:7" ht="15" x14ac:dyDescent="0.2">
      <c r="A4047" s="583" t="s">
        <v>19975</v>
      </c>
      <c r="B4047" s="605" t="s">
        <v>19976</v>
      </c>
      <c r="C4047" s="606" t="s">
        <v>12375</v>
      </c>
      <c r="D4047" s="607">
        <v>2929.05</v>
      </c>
      <c r="E4047" s="607">
        <v>113.53</v>
      </c>
      <c r="F4047" s="607">
        <v>3042.58</v>
      </c>
      <c r="G4047" s="584">
        <v>15</v>
      </c>
    </row>
    <row r="4048" spans="1:7" ht="15" x14ac:dyDescent="0.25">
      <c r="A4048" s="583" t="s">
        <v>19977</v>
      </c>
      <c r="B4048" s="605" t="s">
        <v>19978</v>
      </c>
      <c r="C4048" s="606"/>
      <c r="D4048" s="607"/>
      <c r="E4048" s="607"/>
      <c r="F4048" s="607"/>
      <c r="G4048" s="582"/>
    </row>
    <row r="4049" spans="1:7" ht="15" x14ac:dyDescent="0.2">
      <c r="A4049" s="583" t="s">
        <v>19979</v>
      </c>
      <c r="B4049" s="605" t="s">
        <v>19980</v>
      </c>
      <c r="C4049" s="606" t="s">
        <v>12375</v>
      </c>
      <c r="D4049" s="607">
        <v>458.91</v>
      </c>
      <c r="E4049" s="607">
        <v>23.8</v>
      </c>
      <c r="F4049" s="607">
        <v>482.71</v>
      </c>
      <c r="G4049" s="584">
        <v>15</v>
      </c>
    </row>
    <row r="4050" spans="1:7" ht="15" x14ac:dyDescent="0.2">
      <c r="A4050" s="583" t="s">
        <v>19981</v>
      </c>
      <c r="B4050" s="605" t="s">
        <v>19982</v>
      </c>
      <c r="C4050" s="606" t="s">
        <v>12375</v>
      </c>
      <c r="D4050" s="607">
        <v>3192.34</v>
      </c>
      <c r="E4050" s="607">
        <v>52.89</v>
      </c>
      <c r="F4050" s="607">
        <v>3245.23</v>
      </c>
      <c r="G4050" s="584">
        <v>15</v>
      </c>
    </row>
    <row r="4051" spans="1:7" ht="15" x14ac:dyDescent="0.2">
      <c r="A4051" s="583" t="s">
        <v>19983</v>
      </c>
      <c r="B4051" s="605" t="s">
        <v>19984</v>
      </c>
      <c r="C4051" s="606" t="s">
        <v>12375</v>
      </c>
      <c r="D4051" s="607">
        <v>1555.29</v>
      </c>
      <c r="E4051" s="607">
        <v>35.340000000000003</v>
      </c>
      <c r="F4051" s="607">
        <v>1590.63</v>
      </c>
      <c r="G4051" s="584">
        <v>15</v>
      </c>
    </row>
    <row r="4052" spans="1:7" ht="30" x14ac:dyDescent="0.2">
      <c r="A4052" s="583" t="s">
        <v>19985</v>
      </c>
      <c r="B4052" s="605" t="s">
        <v>19986</v>
      </c>
      <c r="C4052" s="606" t="s">
        <v>12375</v>
      </c>
      <c r="D4052" s="607">
        <v>3259.93</v>
      </c>
      <c r="E4052" s="607">
        <v>604.6</v>
      </c>
      <c r="F4052" s="607">
        <v>3864.53</v>
      </c>
      <c r="G4052" s="584">
        <v>15</v>
      </c>
    </row>
    <row r="4053" spans="1:7" ht="30" x14ac:dyDescent="0.2">
      <c r="A4053" s="583" t="s">
        <v>19987</v>
      </c>
      <c r="B4053" s="605" t="s">
        <v>19988</v>
      </c>
      <c r="C4053" s="606" t="s">
        <v>12375</v>
      </c>
      <c r="D4053" s="607">
        <v>8519.7999999999993</v>
      </c>
      <c r="E4053" s="607">
        <v>705.08</v>
      </c>
      <c r="F4053" s="607">
        <v>9224.8799999999992</v>
      </c>
      <c r="G4053" s="584">
        <v>15</v>
      </c>
    </row>
    <row r="4054" spans="1:7" ht="15" x14ac:dyDescent="0.25">
      <c r="A4054" s="583" t="s">
        <v>19989</v>
      </c>
      <c r="B4054" s="605" t="s">
        <v>19990</v>
      </c>
      <c r="C4054" s="606"/>
      <c r="D4054" s="607"/>
      <c r="E4054" s="607"/>
      <c r="F4054" s="607"/>
      <c r="G4054" s="582"/>
    </row>
    <row r="4055" spans="1:7" ht="15" x14ac:dyDescent="0.2">
      <c r="A4055" s="583" t="s">
        <v>19991</v>
      </c>
      <c r="B4055" s="605" t="s">
        <v>20333</v>
      </c>
      <c r="C4055" s="606" t="s">
        <v>12375</v>
      </c>
      <c r="D4055" s="607">
        <v>103.1</v>
      </c>
      <c r="E4055" s="607">
        <v>11.46</v>
      </c>
      <c r="F4055" s="607">
        <v>114.56</v>
      </c>
      <c r="G4055" s="584">
        <v>15</v>
      </c>
    </row>
    <row r="4056" spans="1:7" ht="15" x14ac:dyDescent="0.2">
      <c r="A4056" s="583" t="s">
        <v>92</v>
      </c>
      <c r="B4056" s="605" t="s">
        <v>19992</v>
      </c>
      <c r="C4056" s="606" t="s">
        <v>12375</v>
      </c>
      <c r="D4056" s="607">
        <v>24.75</v>
      </c>
      <c r="E4056" s="607">
        <v>8.6</v>
      </c>
      <c r="F4056" s="607">
        <v>33.35</v>
      </c>
      <c r="G4056" s="584">
        <v>15</v>
      </c>
    </row>
    <row r="4057" spans="1:7" ht="15" x14ac:dyDescent="0.2">
      <c r="A4057" s="583" t="s">
        <v>93</v>
      </c>
      <c r="B4057" s="605" t="s">
        <v>19993</v>
      </c>
      <c r="C4057" s="606" t="s">
        <v>12375</v>
      </c>
      <c r="D4057" s="607">
        <v>20.97</v>
      </c>
      <c r="E4057" s="607">
        <v>8.6</v>
      </c>
      <c r="F4057" s="607">
        <v>29.57</v>
      </c>
      <c r="G4057" s="584">
        <v>15</v>
      </c>
    </row>
    <row r="4058" spans="1:7" ht="15" x14ac:dyDescent="0.2">
      <c r="A4058" s="583" t="s">
        <v>19994</v>
      </c>
      <c r="B4058" s="605" t="s">
        <v>19995</v>
      </c>
      <c r="C4058" s="606" t="s">
        <v>12375</v>
      </c>
      <c r="D4058" s="607">
        <v>28.34</v>
      </c>
      <c r="E4058" s="607">
        <v>8.6</v>
      </c>
      <c r="F4058" s="607">
        <v>36.94</v>
      </c>
      <c r="G4058" s="584">
        <v>15</v>
      </c>
    </row>
    <row r="4059" spans="1:7" ht="15" x14ac:dyDescent="0.2">
      <c r="A4059" s="583" t="s">
        <v>19996</v>
      </c>
      <c r="B4059" s="605" t="s">
        <v>19997</v>
      </c>
      <c r="C4059" s="606" t="s">
        <v>12375</v>
      </c>
      <c r="D4059" s="607">
        <v>25.53</v>
      </c>
      <c r="E4059" s="607">
        <v>8.6</v>
      </c>
      <c r="F4059" s="607">
        <v>34.130000000000003</v>
      </c>
      <c r="G4059" s="584">
        <v>15</v>
      </c>
    </row>
    <row r="4060" spans="1:7" ht="15" x14ac:dyDescent="0.2">
      <c r="A4060" s="583" t="s">
        <v>19998</v>
      </c>
      <c r="B4060" s="605" t="s">
        <v>19999</v>
      </c>
      <c r="C4060" s="606" t="s">
        <v>12375</v>
      </c>
      <c r="D4060" s="607">
        <v>66.3</v>
      </c>
      <c r="E4060" s="607">
        <v>9.6199999999999992</v>
      </c>
      <c r="F4060" s="607">
        <v>75.92</v>
      </c>
      <c r="G4060" s="584">
        <v>15</v>
      </c>
    </row>
    <row r="4061" spans="1:7" ht="15" x14ac:dyDescent="0.2">
      <c r="A4061" s="583" t="s">
        <v>20000</v>
      </c>
      <c r="B4061" s="605" t="s">
        <v>20001</v>
      </c>
      <c r="C4061" s="606" t="s">
        <v>12375</v>
      </c>
      <c r="D4061" s="607">
        <v>64.06</v>
      </c>
      <c r="E4061" s="607">
        <v>9.6199999999999992</v>
      </c>
      <c r="F4061" s="607">
        <v>73.680000000000007</v>
      </c>
      <c r="G4061" s="584">
        <v>15</v>
      </c>
    </row>
    <row r="4062" spans="1:7" ht="15" x14ac:dyDescent="0.2">
      <c r="A4062" s="583" t="s">
        <v>20334</v>
      </c>
      <c r="B4062" s="605" t="s">
        <v>20335</v>
      </c>
      <c r="C4062" s="606" t="s">
        <v>12375</v>
      </c>
      <c r="D4062" s="607">
        <v>55.85</v>
      </c>
      <c r="E4062" s="607">
        <v>8.6</v>
      </c>
      <c r="F4062" s="607">
        <v>64.45</v>
      </c>
      <c r="G4062" s="584">
        <v>15</v>
      </c>
    </row>
    <row r="4063" spans="1:7" ht="15" x14ac:dyDescent="0.2">
      <c r="A4063" s="583" t="s">
        <v>20336</v>
      </c>
      <c r="B4063" s="605" t="s">
        <v>20337</v>
      </c>
      <c r="C4063" s="606" t="s">
        <v>12375</v>
      </c>
      <c r="D4063" s="607">
        <v>33.03</v>
      </c>
      <c r="E4063" s="607">
        <v>8.6</v>
      </c>
      <c r="F4063" s="607">
        <v>41.63</v>
      </c>
      <c r="G4063" s="584">
        <v>15</v>
      </c>
    </row>
    <row r="4064" spans="1:7" ht="15" x14ac:dyDescent="0.2">
      <c r="A4064" s="583" t="s">
        <v>20338</v>
      </c>
      <c r="B4064" s="605" t="s">
        <v>20339</v>
      </c>
      <c r="C4064" s="606" t="s">
        <v>12375</v>
      </c>
      <c r="D4064" s="607">
        <v>40.14</v>
      </c>
      <c r="E4064" s="607">
        <v>8.6</v>
      </c>
      <c r="F4064" s="607">
        <v>48.74</v>
      </c>
      <c r="G4064" s="584">
        <v>15</v>
      </c>
    </row>
    <row r="4065" spans="1:7" ht="15" x14ac:dyDescent="0.2">
      <c r="A4065" s="583" t="s">
        <v>20340</v>
      </c>
      <c r="B4065" s="605" t="s">
        <v>20341</v>
      </c>
      <c r="C4065" s="606" t="s">
        <v>12375</v>
      </c>
      <c r="D4065" s="607">
        <v>40.14</v>
      </c>
      <c r="E4065" s="607">
        <v>8.6</v>
      </c>
      <c r="F4065" s="607">
        <v>48.74</v>
      </c>
      <c r="G4065" s="584">
        <v>15</v>
      </c>
    </row>
    <row r="4066" spans="1:7" ht="15" x14ac:dyDescent="0.2">
      <c r="A4066" s="583" t="s">
        <v>20342</v>
      </c>
      <c r="B4066" s="605" t="s">
        <v>20343</v>
      </c>
      <c r="C4066" s="606" t="s">
        <v>12375</v>
      </c>
      <c r="D4066" s="607">
        <v>56.41</v>
      </c>
      <c r="E4066" s="607">
        <v>9.6199999999999992</v>
      </c>
      <c r="F4066" s="607">
        <v>66.03</v>
      </c>
      <c r="G4066" s="584">
        <v>15</v>
      </c>
    </row>
    <row r="4067" spans="1:7" ht="15" x14ac:dyDescent="0.2">
      <c r="A4067" s="583" t="s">
        <v>20344</v>
      </c>
      <c r="B4067" s="605" t="s">
        <v>20345</v>
      </c>
      <c r="C4067" s="606" t="s">
        <v>12375</v>
      </c>
      <c r="D4067" s="607">
        <v>54.45</v>
      </c>
      <c r="E4067" s="607">
        <v>9.6199999999999992</v>
      </c>
      <c r="F4067" s="607">
        <v>64.069999999999993</v>
      </c>
      <c r="G4067" s="584">
        <v>15</v>
      </c>
    </row>
    <row r="4068" spans="1:7" ht="15" x14ac:dyDescent="0.25">
      <c r="A4068" s="583" t="s">
        <v>20346</v>
      </c>
      <c r="B4068" s="605" t="s">
        <v>20347</v>
      </c>
      <c r="C4068" s="606"/>
      <c r="D4068" s="607"/>
      <c r="E4068" s="607"/>
      <c r="F4068" s="607"/>
      <c r="G4068" s="582"/>
    </row>
    <row r="4069" spans="1:7" ht="45" x14ac:dyDescent="0.2">
      <c r="A4069" s="583" t="s">
        <v>20348</v>
      </c>
      <c r="B4069" s="605" t="s">
        <v>20349</v>
      </c>
      <c r="C4069" s="606" t="s">
        <v>12427</v>
      </c>
      <c r="D4069" s="607">
        <v>341.48</v>
      </c>
      <c r="E4069" s="607">
        <v>13.78</v>
      </c>
      <c r="F4069" s="607">
        <v>355.26</v>
      </c>
      <c r="G4069" s="584">
        <v>15</v>
      </c>
    </row>
    <row r="4070" spans="1:7" ht="30" x14ac:dyDescent="0.2">
      <c r="A4070" s="583" t="s">
        <v>20350</v>
      </c>
      <c r="B4070" s="605" t="s">
        <v>20351</v>
      </c>
      <c r="C4070" s="606" t="s">
        <v>12427</v>
      </c>
      <c r="D4070" s="607">
        <v>248.95</v>
      </c>
      <c r="E4070" s="607">
        <v>12.71</v>
      </c>
      <c r="F4070" s="607">
        <v>261.66000000000003</v>
      </c>
      <c r="G4070" s="584">
        <v>15</v>
      </c>
    </row>
    <row r="4071" spans="1:7" ht="30" x14ac:dyDescent="0.2">
      <c r="A4071" s="583" t="s">
        <v>20352</v>
      </c>
      <c r="B4071" s="605" t="s">
        <v>20353</v>
      </c>
      <c r="C4071" s="606" t="s">
        <v>12427</v>
      </c>
      <c r="D4071" s="607">
        <v>250.59</v>
      </c>
      <c r="E4071" s="607">
        <v>12.8</v>
      </c>
      <c r="F4071" s="607">
        <v>263.39</v>
      </c>
      <c r="G4071" s="584">
        <v>15</v>
      </c>
    </row>
    <row r="4072" spans="1:7" ht="30" x14ac:dyDescent="0.2">
      <c r="A4072" s="583" t="s">
        <v>20354</v>
      </c>
      <c r="B4072" s="605" t="s">
        <v>20355</v>
      </c>
      <c r="C4072" s="606" t="s">
        <v>12472</v>
      </c>
      <c r="D4072" s="607">
        <v>8.39</v>
      </c>
      <c r="E4072" s="607">
        <v>2.2000000000000002</v>
      </c>
      <c r="F4072" s="607">
        <v>10.59</v>
      </c>
      <c r="G4072" s="584">
        <v>15</v>
      </c>
    </row>
    <row r="4073" spans="1:7" ht="15" x14ac:dyDescent="0.2">
      <c r="A4073" s="583" t="s">
        <v>20356</v>
      </c>
      <c r="B4073" s="605" t="s">
        <v>20357</v>
      </c>
      <c r="C4073" s="606" t="s">
        <v>21462</v>
      </c>
      <c r="D4073" s="607">
        <v>560.29</v>
      </c>
      <c r="E4073" s="607">
        <v>1360.88</v>
      </c>
      <c r="F4073" s="607">
        <v>1921.17</v>
      </c>
      <c r="G4073" s="584">
        <v>15</v>
      </c>
    </row>
    <row r="4074" spans="1:7" ht="15" x14ac:dyDescent="0.25">
      <c r="A4074" s="583" t="s">
        <v>20002</v>
      </c>
      <c r="B4074" s="605" t="s">
        <v>20003</v>
      </c>
      <c r="C4074" s="606"/>
      <c r="D4074" s="607"/>
      <c r="E4074" s="607"/>
      <c r="F4074" s="607"/>
      <c r="G4074" s="582"/>
    </row>
    <row r="4075" spans="1:7" ht="15" x14ac:dyDescent="0.25">
      <c r="A4075" s="583" t="s">
        <v>20004</v>
      </c>
      <c r="B4075" s="605" t="s">
        <v>20005</v>
      </c>
      <c r="C4075" s="606"/>
      <c r="D4075" s="607"/>
      <c r="E4075" s="607"/>
      <c r="F4075" s="607"/>
      <c r="G4075" s="582"/>
    </row>
    <row r="4076" spans="1:7" ht="15" x14ac:dyDescent="0.2">
      <c r="A4076" s="583" t="s">
        <v>20006</v>
      </c>
      <c r="B4076" s="605" t="s">
        <v>20007</v>
      </c>
      <c r="C4076" s="606" t="s">
        <v>12427</v>
      </c>
      <c r="D4076" s="607">
        <v>8911.41</v>
      </c>
      <c r="E4076" s="607">
        <v>90.62</v>
      </c>
      <c r="F4076" s="607">
        <v>9002.0300000000007</v>
      </c>
      <c r="G4076" s="584">
        <v>15</v>
      </c>
    </row>
    <row r="4077" spans="1:7" ht="15" x14ac:dyDescent="0.2">
      <c r="A4077" s="583" t="s">
        <v>20008</v>
      </c>
      <c r="B4077" s="605" t="s">
        <v>20009</v>
      </c>
      <c r="C4077" s="606" t="s">
        <v>12427</v>
      </c>
      <c r="D4077" s="607">
        <v>247.07</v>
      </c>
      <c r="E4077" s="607">
        <v>90.62</v>
      </c>
      <c r="F4077" s="607">
        <v>337.69</v>
      </c>
      <c r="G4077" s="584">
        <v>15</v>
      </c>
    </row>
    <row r="4078" spans="1:7" ht="15" x14ac:dyDescent="0.2">
      <c r="A4078" s="583" t="s">
        <v>20010</v>
      </c>
      <c r="B4078" s="605" t="s">
        <v>20011</v>
      </c>
      <c r="C4078" s="606" t="s">
        <v>12427</v>
      </c>
      <c r="D4078" s="607">
        <v>1689.81</v>
      </c>
      <c r="E4078" s="607">
        <v>90.62</v>
      </c>
      <c r="F4078" s="607">
        <v>1780.43</v>
      </c>
      <c r="G4078" s="584">
        <v>15</v>
      </c>
    </row>
    <row r="4079" spans="1:7" ht="45" x14ac:dyDescent="0.2">
      <c r="A4079" s="583" t="s">
        <v>20012</v>
      </c>
      <c r="B4079" s="605" t="s">
        <v>20013</v>
      </c>
      <c r="C4079" s="606" t="s">
        <v>12375</v>
      </c>
      <c r="D4079" s="607">
        <v>15.66</v>
      </c>
      <c r="E4079" s="607">
        <v>6.58</v>
      </c>
      <c r="F4079" s="607">
        <v>22.24</v>
      </c>
      <c r="G4079" s="584">
        <v>15</v>
      </c>
    </row>
    <row r="4080" spans="1:7" ht="45" x14ac:dyDescent="0.2">
      <c r="A4080" s="583" t="s">
        <v>20014</v>
      </c>
      <c r="B4080" s="605" t="s">
        <v>20015</v>
      </c>
      <c r="C4080" s="606" t="s">
        <v>12375</v>
      </c>
      <c r="D4080" s="607">
        <v>11.48</v>
      </c>
      <c r="E4080" s="607">
        <v>6.58</v>
      </c>
      <c r="F4080" s="607">
        <v>18.059999999999999</v>
      </c>
      <c r="G4080" s="584">
        <v>15</v>
      </c>
    </row>
    <row r="4081" spans="1:7" ht="30" x14ac:dyDescent="0.2">
      <c r="A4081" s="583" t="s">
        <v>20016</v>
      </c>
      <c r="B4081" s="605" t="s">
        <v>20017</v>
      </c>
      <c r="C4081" s="606" t="s">
        <v>12375</v>
      </c>
      <c r="D4081" s="607">
        <v>19.88</v>
      </c>
      <c r="E4081" s="607">
        <v>6.58</v>
      </c>
      <c r="F4081" s="607">
        <v>26.46</v>
      </c>
      <c r="G4081" s="584">
        <v>15</v>
      </c>
    </row>
    <row r="4082" spans="1:7" ht="30" x14ac:dyDescent="0.2">
      <c r="A4082" s="583" t="s">
        <v>20018</v>
      </c>
      <c r="B4082" s="605" t="s">
        <v>20019</v>
      </c>
      <c r="C4082" s="606" t="s">
        <v>12375</v>
      </c>
      <c r="D4082" s="607">
        <v>12.25</v>
      </c>
      <c r="E4082" s="607">
        <v>6.58</v>
      </c>
      <c r="F4082" s="607">
        <v>18.829999999999998</v>
      </c>
      <c r="G4082" s="584">
        <v>15</v>
      </c>
    </row>
    <row r="4083" spans="1:7" ht="15" x14ac:dyDescent="0.2">
      <c r="A4083" s="583" t="s">
        <v>20020</v>
      </c>
      <c r="B4083" s="605" t="s">
        <v>20021</v>
      </c>
      <c r="C4083" s="606" t="s">
        <v>12375</v>
      </c>
      <c r="D4083" s="607">
        <v>24.33</v>
      </c>
      <c r="E4083" s="607">
        <v>6.58</v>
      </c>
      <c r="F4083" s="607">
        <v>30.91</v>
      </c>
      <c r="G4083" s="584">
        <v>15</v>
      </c>
    </row>
    <row r="4084" spans="1:7" ht="30" x14ac:dyDescent="0.2">
      <c r="A4084" s="583" t="s">
        <v>20022</v>
      </c>
      <c r="B4084" s="605" t="s">
        <v>20023</v>
      </c>
      <c r="C4084" s="606" t="s">
        <v>12375</v>
      </c>
      <c r="D4084" s="607">
        <v>9</v>
      </c>
      <c r="E4084" s="607">
        <v>6.58</v>
      </c>
      <c r="F4084" s="607">
        <v>15.58</v>
      </c>
      <c r="G4084" s="584">
        <v>15</v>
      </c>
    </row>
    <row r="4085" spans="1:7" ht="15" x14ac:dyDescent="0.2">
      <c r="A4085" s="583" t="s">
        <v>20024</v>
      </c>
      <c r="B4085" s="605" t="s">
        <v>20025</v>
      </c>
      <c r="C4085" s="606" t="s">
        <v>12375</v>
      </c>
      <c r="D4085" s="607">
        <v>265.3</v>
      </c>
      <c r="E4085" s="607">
        <v>3.73</v>
      </c>
      <c r="F4085" s="607">
        <v>269.02999999999997</v>
      </c>
      <c r="G4085" s="584">
        <v>15</v>
      </c>
    </row>
    <row r="4086" spans="1:7" ht="15" x14ac:dyDescent="0.25">
      <c r="A4086" s="583" t="s">
        <v>20026</v>
      </c>
      <c r="B4086" s="605" t="s">
        <v>20027</v>
      </c>
      <c r="C4086" s="606"/>
      <c r="D4086" s="607"/>
      <c r="E4086" s="607"/>
      <c r="F4086" s="607"/>
      <c r="G4086" s="582"/>
    </row>
    <row r="4087" spans="1:7" ht="15" x14ac:dyDescent="0.2">
      <c r="A4087" s="583" t="s">
        <v>20028</v>
      </c>
      <c r="B4087" s="605" t="s">
        <v>20029</v>
      </c>
      <c r="C4087" s="606" t="s">
        <v>12375</v>
      </c>
      <c r="D4087" s="607">
        <v>12.2</v>
      </c>
      <c r="E4087" s="607">
        <v>57.31</v>
      </c>
      <c r="F4087" s="607">
        <v>69.510000000000005</v>
      </c>
      <c r="G4087" s="584">
        <v>15</v>
      </c>
    </row>
    <row r="4088" spans="1:7" ht="15" x14ac:dyDescent="0.25">
      <c r="A4088" s="583" t="s">
        <v>20030</v>
      </c>
      <c r="B4088" s="605" t="s">
        <v>20031</v>
      </c>
      <c r="C4088" s="606"/>
      <c r="D4088" s="607"/>
      <c r="E4088" s="607"/>
      <c r="F4088" s="607"/>
      <c r="G4088" s="582"/>
    </row>
    <row r="4089" spans="1:7" ht="45" x14ac:dyDescent="0.2">
      <c r="A4089" s="583" t="s">
        <v>20032</v>
      </c>
      <c r="B4089" s="605" t="s">
        <v>20033</v>
      </c>
      <c r="C4089" s="606" t="s">
        <v>12375</v>
      </c>
      <c r="D4089" s="607">
        <v>90.88</v>
      </c>
      <c r="E4089" s="607">
        <v>7.7</v>
      </c>
      <c r="F4089" s="607">
        <v>98.58</v>
      </c>
      <c r="G4089" s="584">
        <v>15</v>
      </c>
    </row>
    <row r="4090" spans="1:7" ht="30" x14ac:dyDescent="0.2">
      <c r="A4090" s="583" t="s">
        <v>20034</v>
      </c>
      <c r="B4090" s="605" t="s">
        <v>20035</v>
      </c>
      <c r="C4090" s="606" t="s">
        <v>12375</v>
      </c>
      <c r="D4090" s="607">
        <v>32.64</v>
      </c>
      <c r="E4090" s="607">
        <v>1.59</v>
      </c>
      <c r="F4090" s="607">
        <v>34.229999999999997</v>
      </c>
      <c r="G4090" s="584">
        <v>15</v>
      </c>
    </row>
    <row r="4091" spans="1:7" ht="15" x14ac:dyDescent="0.2">
      <c r="A4091" s="583" t="s">
        <v>20036</v>
      </c>
      <c r="B4091" s="605" t="s">
        <v>20037</v>
      </c>
      <c r="C4091" s="606" t="s">
        <v>12427</v>
      </c>
      <c r="D4091" s="607">
        <v>70.930000000000007</v>
      </c>
      <c r="E4091" s="607"/>
      <c r="F4091" s="607">
        <v>70.930000000000007</v>
      </c>
      <c r="G4091" s="584">
        <v>15</v>
      </c>
    </row>
    <row r="4092" spans="1:7" ht="15" x14ac:dyDescent="0.2">
      <c r="A4092" s="583" t="s">
        <v>18</v>
      </c>
      <c r="B4092" s="605" t="s">
        <v>20038</v>
      </c>
      <c r="C4092" s="606" t="s">
        <v>12929</v>
      </c>
      <c r="D4092" s="607">
        <v>30.83</v>
      </c>
      <c r="E4092" s="607"/>
      <c r="F4092" s="607">
        <v>30.83</v>
      </c>
      <c r="G4092" s="584">
        <v>15</v>
      </c>
    </row>
    <row r="4093" spans="1:7" ht="15" x14ac:dyDescent="0.25">
      <c r="A4093" s="583" t="s">
        <v>20039</v>
      </c>
      <c r="B4093" s="605" t="s">
        <v>20040</v>
      </c>
      <c r="C4093" s="606"/>
      <c r="D4093" s="607"/>
      <c r="E4093" s="607"/>
      <c r="F4093" s="607"/>
      <c r="G4093" s="582"/>
    </row>
    <row r="4094" spans="1:7" ht="15" x14ac:dyDescent="0.25">
      <c r="A4094" s="583" t="s">
        <v>20041</v>
      </c>
      <c r="B4094" s="605" t="s">
        <v>20042</v>
      </c>
      <c r="C4094" s="606"/>
      <c r="D4094" s="607"/>
      <c r="E4094" s="607"/>
      <c r="F4094" s="607"/>
      <c r="G4094" s="582"/>
    </row>
    <row r="4095" spans="1:7" ht="15" x14ac:dyDescent="0.2">
      <c r="A4095" s="583" t="s">
        <v>20043</v>
      </c>
      <c r="B4095" s="605" t="s">
        <v>20044</v>
      </c>
      <c r="C4095" s="606" t="s">
        <v>12375</v>
      </c>
      <c r="D4095" s="607">
        <v>848.65</v>
      </c>
      <c r="E4095" s="607"/>
      <c r="F4095" s="607">
        <v>848.65</v>
      </c>
      <c r="G4095" s="584">
        <v>15</v>
      </c>
    </row>
  </sheetData>
  <mergeCells count="4">
    <mergeCell ref="B1:F1"/>
    <mergeCell ref="A2:F2"/>
    <mergeCell ref="A3:F3"/>
    <mergeCell ref="A4:F4"/>
  </mergeCells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1"/>
  </sheetPr>
  <dimension ref="A1:J4102"/>
  <sheetViews>
    <sheetView topLeftCell="A4" workbookViewId="0">
      <selection activeCell="F22" sqref="F22"/>
    </sheetView>
  </sheetViews>
  <sheetFormatPr defaultRowHeight="12.75" x14ac:dyDescent="0.2"/>
  <cols>
    <col min="1" max="1" width="10.140625" customWidth="1"/>
    <col min="2" max="2" width="23.5703125" customWidth="1"/>
    <col min="3" max="9" width="11.140625" customWidth="1"/>
    <col min="10" max="10" width="10.42578125" customWidth="1"/>
  </cols>
  <sheetData>
    <row r="1" spans="2:10" ht="66.75" customHeight="1" x14ac:dyDescent="0.2">
      <c r="B1" s="678"/>
      <c r="C1" s="678"/>
      <c r="D1" s="678"/>
      <c r="E1" s="678"/>
      <c r="F1" s="678"/>
      <c r="G1" s="678"/>
      <c r="H1" s="678"/>
      <c r="I1" s="678"/>
      <c r="J1" s="678"/>
    </row>
    <row r="2" spans="2:10" ht="15.75" x14ac:dyDescent="0.2">
      <c r="B2" s="679" t="s">
        <v>185</v>
      </c>
      <c r="C2" s="680"/>
      <c r="D2" s="680"/>
      <c r="E2" s="680"/>
      <c r="F2" s="680"/>
      <c r="G2" s="680"/>
      <c r="H2" s="680"/>
      <c r="I2" s="680"/>
      <c r="J2" s="681"/>
    </row>
    <row r="3" spans="2:10" x14ac:dyDescent="0.2">
      <c r="B3" s="54"/>
      <c r="C3" s="54"/>
      <c r="D3" s="54"/>
      <c r="E3" s="54"/>
      <c r="F3" s="54"/>
      <c r="G3" s="54"/>
      <c r="H3" s="54"/>
      <c r="I3" s="54"/>
      <c r="J3" s="54"/>
    </row>
    <row r="4" spans="2:10" ht="14.25" x14ac:dyDescent="0.2">
      <c r="B4" s="682" t="s">
        <v>186</v>
      </c>
      <c r="C4" s="682"/>
      <c r="D4" s="682"/>
      <c r="E4" s="682"/>
      <c r="F4" s="682"/>
      <c r="G4" s="682"/>
      <c r="H4" s="682"/>
      <c r="I4" s="682"/>
      <c r="J4" s="682"/>
    </row>
    <row r="5" spans="2:10" ht="14.25" x14ac:dyDescent="0.2">
      <c r="B5" s="682" t="s">
        <v>187</v>
      </c>
      <c r="C5" s="682"/>
      <c r="D5" s="682"/>
      <c r="E5" s="682"/>
      <c r="F5" s="682"/>
      <c r="G5" s="682"/>
      <c r="H5" s="682"/>
      <c r="I5" s="682"/>
      <c r="J5" s="682"/>
    </row>
    <row r="6" spans="2:10" ht="14.25" x14ac:dyDescent="0.2">
      <c r="B6" s="682" t="s">
        <v>188</v>
      </c>
      <c r="C6" s="682"/>
      <c r="D6" s="682"/>
      <c r="E6" s="682"/>
      <c r="F6" s="682"/>
      <c r="G6" s="682"/>
      <c r="H6" s="682"/>
      <c r="I6" s="682"/>
      <c r="J6" s="682"/>
    </row>
    <row r="7" spans="2:10" ht="14.25" x14ac:dyDescent="0.2">
      <c r="B7" s="682" t="s">
        <v>189</v>
      </c>
      <c r="C7" s="682"/>
      <c r="D7" s="682"/>
      <c r="E7" s="682"/>
      <c r="F7" s="682"/>
      <c r="G7" s="682"/>
      <c r="H7" s="682"/>
      <c r="I7" s="682"/>
      <c r="J7" s="682"/>
    </row>
    <row r="8" spans="2:10" ht="14.25" x14ac:dyDescent="0.2">
      <c r="B8" s="683" t="s">
        <v>196</v>
      </c>
      <c r="C8" s="683"/>
      <c r="D8" s="683"/>
      <c r="E8" s="683"/>
      <c r="F8" s="683"/>
      <c r="G8" s="683"/>
      <c r="H8" s="683"/>
      <c r="I8" s="683"/>
      <c r="J8" s="683"/>
    </row>
    <row r="9" spans="2:10" x14ac:dyDescent="0.2">
      <c r="B9" s="14"/>
      <c r="C9" s="15"/>
      <c r="D9" s="15"/>
      <c r="E9" s="15"/>
      <c r="F9" s="16"/>
      <c r="H9" s="16"/>
    </row>
    <row r="10" spans="2:10" ht="16.5" x14ac:dyDescent="0.2">
      <c r="B10" s="684" t="s">
        <v>12343</v>
      </c>
      <c r="C10" s="685"/>
      <c r="D10" s="685"/>
      <c r="E10" s="685"/>
      <c r="F10" s="685"/>
      <c r="G10" s="685"/>
      <c r="H10" s="685"/>
      <c r="I10" s="685"/>
      <c r="J10" s="686"/>
    </row>
    <row r="11" spans="2:10" ht="15" x14ac:dyDescent="0.25">
      <c r="B11" s="108" t="s">
        <v>49</v>
      </c>
      <c r="C11" s="109" t="s">
        <v>50</v>
      </c>
      <c r="D11" s="109" t="s">
        <v>51</v>
      </c>
      <c r="E11" s="109" t="s">
        <v>52</v>
      </c>
      <c r="F11" s="687" t="s">
        <v>53</v>
      </c>
      <c r="G11" s="688"/>
      <c r="H11" s="688"/>
      <c r="I11" s="688"/>
      <c r="J11" s="689"/>
    </row>
    <row r="12" spans="2:10" ht="14.25" x14ac:dyDescent="0.2">
      <c r="B12" s="110" t="s">
        <v>54</v>
      </c>
      <c r="C12" s="55">
        <v>3.8</v>
      </c>
      <c r="D12" s="55">
        <v>4.67</v>
      </c>
      <c r="E12" s="34">
        <v>4.5</v>
      </c>
      <c r="F12" s="675" t="s">
        <v>55</v>
      </c>
      <c r="G12" s="676"/>
      <c r="H12" s="676"/>
      <c r="I12" s="676"/>
      <c r="J12" s="677"/>
    </row>
    <row r="13" spans="2:10" ht="14.25" x14ac:dyDescent="0.2">
      <c r="B13" s="110" t="s">
        <v>56</v>
      </c>
      <c r="C13" s="55">
        <v>0.32</v>
      </c>
      <c r="D13" s="55">
        <v>0.74</v>
      </c>
      <c r="E13" s="34">
        <v>0.55000000000000004</v>
      </c>
      <c r="F13" s="675" t="s">
        <v>57</v>
      </c>
      <c r="G13" s="676"/>
      <c r="H13" s="676"/>
      <c r="I13" s="676"/>
      <c r="J13" s="677"/>
    </row>
    <row r="14" spans="2:10" ht="14.25" x14ac:dyDescent="0.2">
      <c r="B14" s="110" t="s">
        <v>58</v>
      </c>
      <c r="C14" s="55">
        <v>0.5</v>
      </c>
      <c r="D14" s="55">
        <v>0.97</v>
      </c>
      <c r="E14" s="34">
        <v>0.68</v>
      </c>
      <c r="F14" s="675" t="s">
        <v>59</v>
      </c>
      <c r="G14" s="676"/>
      <c r="H14" s="676"/>
      <c r="I14" s="676"/>
      <c r="J14" s="677"/>
    </row>
    <row r="15" spans="2:10" ht="14.25" x14ac:dyDescent="0.2">
      <c r="B15" s="110" t="s">
        <v>60</v>
      </c>
      <c r="C15" s="55">
        <v>1.02</v>
      </c>
      <c r="D15" s="55">
        <v>1.21</v>
      </c>
      <c r="E15" s="34">
        <v>1.02</v>
      </c>
      <c r="F15" s="675" t="s">
        <v>61</v>
      </c>
      <c r="G15" s="676"/>
      <c r="H15" s="676"/>
      <c r="I15" s="676"/>
      <c r="J15" s="677"/>
    </row>
    <row r="16" spans="2:10" ht="14.25" x14ac:dyDescent="0.2">
      <c r="B16" s="110" t="s">
        <v>62</v>
      </c>
      <c r="C16" s="55">
        <v>6.64</v>
      </c>
      <c r="D16" s="55">
        <v>8.69</v>
      </c>
      <c r="E16" s="34">
        <v>6</v>
      </c>
      <c r="F16" s="675" t="s">
        <v>63</v>
      </c>
      <c r="G16" s="676"/>
      <c r="H16" s="676"/>
      <c r="I16" s="676"/>
      <c r="J16" s="677"/>
    </row>
    <row r="17" spans="2:10" ht="14.25" x14ac:dyDescent="0.2">
      <c r="B17" s="110" t="s">
        <v>64</v>
      </c>
      <c r="C17" s="690" t="s">
        <v>65</v>
      </c>
      <c r="D17" s="691"/>
      <c r="E17" s="111">
        <f>C24</f>
        <v>10.15</v>
      </c>
      <c r="F17" s="692" t="s">
        <v>66</v>
      </c>
      <c r="G17" s="693"/>
      <c r="H17" s="693"/>
      <c r="I17" s="693"/>
      <c r="J17" s="694"/>
    </row>
    <row r="18" spans="2:10" ht="16.5" x14ac:dyDescent="0.25">
      <c r="F18" s="19"/>
    </row>
    <row r="19" spans="2:10" ht="15" x14ac:dyDescent="0.25">
      <c r="B19" s="108" t="s">
        <v>72</v>
      </c>
      <c r="C19" s="112" t="s">
        <v>73</v>
      </c>
      <c r="D19" s="29"/>
      <c r="E19" s="27"/>
    </row>
    <row r="20" spans="2:10" ht="14.25" x14ac:dyDescent="0.2">
      <c r="B20" s="110" t="s">
        <v>74</v>
      </c>
      <c r="C20" s="56">
        <v>0.65</v>
      </c>
      <c r="D20" s="29"/>
      <c r="E20" s="27"/>
    </row>
    <row r="21" spans="2:10" ht="14.25" x14ac:dyDescent="0.2">
      <c r="B21" s="110" t="s">
        <v>75</v>
      </c>
      <c r="C21" s="56">
        <v>3</v>
      </c>
      <c r="D21" s="29"/>
      <c r="E21" s="27"/>
    </row>
    <row r="22" spans="2:10" ht="14.25" x14ac:dyDescent="0.2">
      <c r="B22" s="110" t="s">
        <v>76</v>
      </c>
      <c r="C22" s="111">
        <v>4.5</v>
      </c>
      <c r="D22" s="30" t="s">
        <v>77</v>
      </c>
      <c r="E22" s="27"/>
    </row>
    <row r="23" spans="2:10" ht="16.5" thickBot="1" x14ac:dyDescent="0.3">
      <c r="B23" s="110" t="s">
        <v>78</v>
      </c>
      <c r="C23" s="113">
        <f>IF(OR(H27="",J26=""),"",IF(ROUND(J26*H27*100,2)&gt;5,"ERRO",(ROUND(J26*H27*100,2))))</f>
        <v>2</v>
      </c>
      <c r="D23" s="31"/>
      <c r="E23" s="27"/>
    </row>
    <row r="24" spans="2:10" ht="15.75" thickBot="1" x14ac:dyDescent="0.3">
      <c r="B24" s="114" t="s">
        <v>79</v>
      </c>
      <c r="C24" s="115">
        <f>IF(C23="","",SUM(C20:C23))</f>
        <v>10.15</v>
      </c>
      <c r="D24" s="27"/>
      <c r="E24" s="27"/>
    </row>
    <row r="25" spans="2:10" x14ac:dyDescent="0.2">
      <c r="B25" s="32"/>
      <c r="C25" s="27"/>
      <c r="D25" s="27"/>
      <c r="E25" s="27"/>
    </row>
    <row r="26" spans="2:10" ht="15" x14ac:dyDescent="0.25">
      <c r="B26" s="33" t="s">
        <v>80</v>
      </c>
      <c r="C26" s="57"/>
      <c r="D26" s="57"/>
      <c r="E26" s="57"/>
      <c r="F26" s="57"/>
      <c r="G26" s="57"/>
      <c r="H26" s="57"/>
      <c r="I26" s="57"/>
      <c r="J26" s="58">
        <v>1</v>
      </c>
    </row>
    <row r="27" spans="2:10" ht="15" x14ac:dyDescent="0.25">
      <c r="B27" s="33" t="s">
        <v>81</v>
      </c>
      <c r="C27" s="57"/>
      <c r="D27" s="57"/>
      <c r="E27" s="57"/>
      <c r="F27" s="57"/>
      <c r="G27" s="57"/>
      <c r="H27" s="58">
        <v>0.02</v>
      </c>
      <c r="I27" s="57" t="s">
        <v>82</v>
      </c>
      <c r="J27" s="57"/>
    </row>
    <row r="28" spans="2:10" ht="13.5" thickBot="1" x14ac:dyDescent="0.25">
      <c r="B28" s="33"/>
      <c r="C28" s="33"/>
      <c r="D28" s="33"/>
      <c r="E28" s="33"/>
      <c r="F28" s="33"/>
      <c r="G28" s="33"/>
      <c r="I28" s="33"/>
    </row>
    <row r="29" spans="2:10" ht="17.25" thickBot="1" x14ac:dyDescent="0.25">
      <c r="B29" s="33"/>
      <c r="C29" s="33"/>
      <c r="D29" s="116" t="s">
        <v>7</v>
      </c>
      <c r="E29" s="117">
        <f>IF(OR(C23="",E12="",E13="",E14="",E15="",E16=""),0,ROUND((((1+E12/100+E13/100+E14/100)*(1+E15/100)*(1+E16/100)/(1-(C24/100)))-1)*100,2))</f>
        <v>26.01</v>
      </c>
      <c r="F29" s="705" t="s">
        <v>12345</v>
      </c>
      <c r="G29" s="706"/>
      <c r="H29" s="706"/>
      <c r="I29" s="706"/>
      <c r="J29" s="707"/>
    </row>
    <row r="30" spans="2:10" x14ac:dyDescent="0.2">
      <c r="B30" s="33"/>
      <c r="C30" s="33"/>
    </row>
    <row r="31" spans="2:10" ht="18" x14ac:dyDescent="0.2">
      <c r="B31" s="118" t="s">
        <v>68</v>
      </c>
      <c r="C31" s="119">
        <f>IF(OR(C23="",E12="",E13="",E14="",E15="",E16=""),0,IF(OR(ROUND((((1+E12/100+E13/100+E14/100)*(1+E15/100)*(1+E16/100)/(1-((C24-C22)/100)))-1)*100,2)&gt;24.23,ROUND((((1+E12/100+E13/100+E14/100)*(1+E15/100)*(1+E16/100)/(1-((C24-C22)/100)))-1)*100,2)&lt;19.6),"FORA DO LIMITE !",ROUND((((1+E12/100+E13/100+E14/100)*(1+E15/100)*(1+E16/100)/(1-((C24-C22)/100)))-1)*100,2)))</f>
        <v>20</v>
      </c>
      <c r="D31" s="120" t="s">
        <v>12344</v>
      </c>
      <c r="E31" s="121"/>
      <c r="F31" s="122"/>
      <c r="G31" s="123"/>
      <c r="H31" s="124"/>
    </row>
    <row r="32" spans="2:10" x14ac:dyDescent="0.2">
      <c r="B32" s="32"/>
      <c r="C32" s="27"/>
      <c r="D32" s="27"/>
      <c r="E32" s="27"/>
    </row>
    <row r="33" spans="2:10" ht="15.75" x14ac:dyDescent="0.25">
      <c r="B33" s="695" t="s">
        <v>83</v>
      </c>
      <c r="C33" s="695"/>
      <c r="D33" s="695"/>
      <c r="E33" s="695"/>
      <c r="F33" s="695"/>
      <c r="G33" s="695"/>
      <c r="H33" s="695"/>
      <c r="I33" s="695"/>
      <c r="J33" s="695"/>
    </row>
    <row r="34" spans="2:10" ht="13.5" thickBot="1" x14ac:dyDescent="0.25"/>
    <row r="35" spans="2:10" ht="13.5" thickTop="1" x14ac:dyDescent="0.2">
      <c r="B35" s="696" t="s">
        <v>84</v>
      </c>
      <c r="C35" s="697"/>
      <c r="D35" s="697"/>
      <c r="E35" s="697"/>
      <c r="F35" s="697"/>
      <c r="G35" s="697"/>
      <c r="H35" s="697"/>
      <c r="I35" s="697"/>
      <c r="J35" s="698"/>
    </row>
    <row r="36" spans="2:10" x14ac:dyDescent="0.2">
      <c r="B36" s="699"/>
      <c r="C36" s="700"/>
      <c r="D36" s="700"/>
      <c r="E36" s="700"/>
      <c r="F36" s="700"/>
      <c r="G36" s="700"/>
      <c r="H36" s="700"/>
      <c r="I36" s="700"/>
      <c r="J36" s="701"/>
    </row>
    <row r="37" spans="2:10" ht="13.5" thickBot="1" x14ac:dyDescent="0.25">
      <c r="B37" s="702"/>
      <c r="C37" s="703"/>
      <c r="D37" s="703"/>
      <c r="E37" s="703"/>
      <c r="F37" s="703"/>
      <c r="G37" s="703"/>
      <c r="H37" s="703"/>
      <c r="I37" s="703"/>
      <c r="J37" s="704"/>
    </row>
    <row r="38" spans="2:10" ht="13.5" thickTop="1" x14ac:dyDescent="0.2"/>
    <row r="39" spans="2:10" ht="14.25" x14ac:dyDescent="0.2">
      <c r="B39" s="683" t="s">
        <v>190</v>
      </c>
      <c r="C39" s="683"/>
      <c r="D39" s="683"/>
      <c r="E39" s="683"/>
      <c r="F39" s="683"/>
      <c r="G39" s="683"/>
      <c r="H39" s="683"/>
      <c r="I39" s="683"/>
      <c r="J39" s="683"/>
    </row>
    <row r="41" spans="2:10" ht="14.25" x14ac:dyDescent="0.2">
      <c r="J41" s="59" t="s">
        <v>191</v>
      </c>
    </row>
    <row r="46" spans="2:10" ht="15.75" x14ac:dyDescent="0.25">
      <c r="B46" s="670" t="s">
        <v>115</v>
      </c>
      <c r="C46" s="670"/>
      <c r="D46" s="670"/>
      <c r="E46" s="670"/>
      <c r="G46" s="670" t="s">
        <v>192</v>
      </c>
      <c r="H46" s="670"/>
      <c r="I46" s="670"/>
      <c r="J46" s="670"/>
    </row>
    <row r="47" spans="2:10" ht="14.25" x14ac:dyDescent="0.2">
      <c r="B47" s="671" t="s">
        <v>193</v>
      </c>
      <c r="C47" s="671"/>
      <c r="D47" s="671"/>
      <c r="E47" s="671"/>
      <c r="G47" s="671" t="s">
        <v>194</v>
      </c>
      <c r="H47" s="671"/>
      <c r="I47" s="671"/>
      <c r="J47" s="671"/>
    </row>
    <row r="48" spans="2:10" x14ac:dyDescent="0.2">
      <c r="B48" s="658" t="s">
        <v>183</v>
      </c>
      <c r="C48" s="678"/>
      <c r="D48" s="678"/>
      <c r="E48" s="678"/>
      <c r="G48" s="658" t="s">
        <v>195</v>
      </c>
      <c r="H48" s="678"/>
      <c r="I48" s="678"/>
      <c r="J48" s="678"/>
    </row>
    <row r="738" spans="1:6" ht="45" x14ac:dyDescent="0.2">
      <c r="A738" s="65" t="s">
        <v>438</v>
      </c>
      <c r="B738" s="66" t="s">
        <v>439</v>
      </c>
      <c r="C738" s="74" t="s">
        <v>204</v>
      </c>
      <c r="D738" s="69" t="s">
        <v>440</v>
      </c>
      <c r="E738" s="69" t="s">
        <v>441</v>
      </c>
      <c r="F738" s="69" t="s">
        <v>442</v>
      </c>
    </row>
    <row r="739" spans="1:6" ht="45" x14ac:dyDescent="0.2">
      <c r="A739" s="65" t="s">
        <v>443</v>
      </c>
      <c r="B739" s="66" t="s">
        <v>444</v>
      </c>
      <c r="C739" s="74" t="s">
        <v>204</v>
      </c>
      <c r="D739" s="69" t="s">
        <v>445</v>
      </c>
      <c r="E739" s="69" t="s">
        <v>446</v>
      </c>
      <c r="F739" s="69" t="s">
        <v>447</v>
      </c>
    </row>
    <row r="740" spans="1:6" ht="56.25" x14ac:dyDescent="0.2">
      <c r="A740" s="65" t="s">
        <v>448</v>
      </c>
      <c r="B740" s="66" t="s">
        <v>449</v>
      </c>
      <c r="C740" s="74" t="s">
        <v>204</v>
      </c>
      <c r="D740" s="69" t="s">
        <v>450</v>
      </c>
      <c r="E740" s="69" t="s">
        <v>436</v>
      </c>
      <c r="F740" s="69" t="s">
        <v>451</v>
      </c>
    </row>
    <row r="741" spans="1:6" ht="56.25" x14ac:dyDescent="0.2">
      <c r="A741" s="65" t="s">
        <v>452</v>
      </c>
      <c r="B741" s="66" t="s">
        <v>453</v>
      </c>
      <c r="C741" s="74" t="s">
        <v>204</v>
      </c>
      <c r="D741" s="69" t="s">
        <v>454</v>
      </c>
      <c r="E741" s="69" t="s">
        <v>436</v>
      </c>
      <c r="F741" s="69" t="s">
        <v>455</v>
      </c>
    </row>
    <row r="742" spans="1:6" ht="56.25" x14ac:dyDescent="0.2">
      <c r="A742" s="65" t="s">
        <v>456</v>
      </c>
      <c r="B742" s="66" t="s">
        <v>457</v>
      </c>
      <c r="C742" s="74" t="s">
        <v>204</v>
      </c>
      <c r="D742" s="69" t="s">
        <v>458</v>
      </c>
      <c r="E742" s="69" t="s">
        <v>437</v>
      </c>
      <c r="F742" s="69" t="s">
        <v>459</v>
      </c>
    </row>
    <row r="743" spans="1:6" ht="56.25" x14ac:dyDescent="0.2">
      <c r="A743" s="65" t="s">
        <v>460</v>
      </c>
      <c r="B743" s="66" t="s">
        <v>461</v>
      </c>
      <c r="C743" s="74" t="s">
        <v>204</v>
      </c>
      <c r="D743" s="69" t="s">
        <v>462</v>
      </c>
      <c r="E743" s="69" t="s">
        <v>441</v>
      </c>
      <c r="F743" s="69" t="s">
        <v>463</v>
      </c>
    </row>
    <row r="744" spans="1:6" ht="56.25" x14ac:dyDescent="0.2">
      <c r="A744" s="65" t="s">
        <v>464</v>
      </c>
      <c r="B744" s="66" t="s">
        <v>465</v>
      </c>
      <c r="C744" s="74" t="s">
        <v>204</v>
      </c>
      <c r="D744" s="69" t="s">
        <v>466</v>
      </c>
      <c r="E744" s="69" t="s">
        <v>446</v>
      </c>
      <c r="F744" s="69" t="s">
        <v>467</v>
      </c>
    </row>
    <row r="745" spans="1:6" ht="22.5" x14ac:dyDescent="0.2">
      <c r="A745" s="50">
        <v>13.02</v>
      </c>
      <c r="B745" s="64" t="s">
        <v>468</v>
      </c>
      <c r="C745" s="47"/>
      <c r="D745" s="47"/>
      <c r="E745" s="47"/>
      <c r="F745" s="47"/>
    </row>
    <row r="746" spans="1:6" ht="45" x14ac:dyDescent="0.2">
      <c r="A746" s="65" t="s">
        <v>469</v>
      </c>
      <c r="B746" s="66" t="s">
        <v>470</v>
      </c>
      <c r="C746" s="74" t="s">
        <v>204</v>
      </c>
      <c r="D746" s="69" t="s">
        <v>471</v>
      </c>
      <c r="E746" s="69" t="s">
        <v>436</v>
      </c>
      <c r="F746" s="69" t="s">
        <v>472</v>
      </c>
    </row>
    <row r="747" spans="1:6" ht="45" x14ac:dyDescent="0.2">
      <c r="A747" s="65" t="s">
        <v>473</v>
      </c>
      <c r="B747" s="66" t="s">
        <v>474</v>
      </c>
      <c r="C747" s="74" t="s">
        <v>204</v>
      </c>
      <c r="D747" s="69" t="s">
        <v>475</v>
      </c>
      <c r="E747" s="69" t="s">
        <v>437</v>
      </c>
      <c r="F747" s="69" t="s">
        <v>476</v>
      </c>
    </row>
    <row r="748" spans="1:6" ht="45" x14ac:dyDescent="0.2">
      <c r="A748" s="65" t="s">
        <v>477</v>
      </c>
      <c r="B748" s="66" t="s">
        <v>478</v>
      </c>
      <c r="C748" s="74" t="s">
        <v>204</v>
      </c>
      <c r="D748" s="69" t="s">
        <v>479</v>
      </c>
      <c r="E748" s="69" t="s">
        <v>441</v>
      </c>
      <c r="F748" s="69" t="s">
        <v>480</v>
      </c>
    </row>
    <row r="749" spans="1:6" ht="45" x14ac:dyDescent="0.2">
      <c r="A749" s="65" t="s">
        <v>481</v>
      </c>
      <c r="B749" s="66" t="s">
        <v>482</v>
      </c>
      <c r="C749" s="74" t="s">
        <v>204</v>
      </c>
      <c r="D749" s="69" t="s">
        <v>483</v>
      </c>
      <c r="E749" s="69" t="s">
        <v>446</v>
      </c>
      <c r="F749" s="69" t="s">
        <v>484</v>
      </c>
    </row>
    <row r="750" spans="1:6" x14ac:dyDescent="0.2">
      <c r="A750" s="50">
        <v>13.05</v>
      </c>
      <c r="B750" s="64" t="s">
        <v>485</v>
      </c>
      <c r="C750" s="47"/>
      <c r="D750" s="47"/>
      <c r="E750" s="47"/>
      <c r="F750" s="47"/>
    </row>
    <row r="751" spans="1:6" ht="22.5" x14ac:dyDescent="0.2">
      <c r="A751" s="65" t="s">
        <v>486</v>
      </c>
      <c r="B751" s="65" t="s">
        <v>487</v>
      </c>
      <c r="C751" s="74" t="s">
        <v>204</v>
      </c>
      <c r="D751" s="69" t="s">
        <v>488</v>
      </c>
      <c r="E751" s="69" t="s">
        <v>489</v>
      </c>
      <c r="F751" s="69" t="s">
        <v>490</v>
      </c>
    </row>
    <row r="752" spans="1:6" ht="22.5" x14ac:dyDescent="0.2">
      <c r="A752" s="65" t="s">
        <v>491</v>
      </c>
      <c r="B752" s="65" t="s">
        <v>492</v>
      </c>
      <c r="C752" s="74" t="s">
        <v>204</v>
      </c>
      <c r="D752" s="69" t="s">
        <v>493</v>
      </c>
      <c r="E752" s="69" t="s">
        <v>494</v>
      </c>
      <c r="F752" s="69" t="s">
        <v>420</v>
      </c>
    </row>
    <row r="753" spans="1:6" ht="22.5" x14ac:dyDescent="0.2">
      <c r="A753" s="65" t="s">
        <v>495</v>
      </c>
      <c r="B753" s="65" t="s">
        <v>496</v>
      </c>
      <c r="C753" s="74" t="s">
        <v>204</v>
      </c>
      <c r="D753" s="69" t="s">
        <v>497</v>
      </c>
      <c r="E753" s="69" t="s">
        <v>498</v>
      </c>
      <c r="F753" s="69" t="s">
        <v>499</v>
      </c>
    </row>
    <row r="754" spans="1:6" ht="22.5" x14ac:dyDescent="0.2">
      <c r="A754" s="65" t="s">
        <v>500</v>
      </c>
      <c r="B754" s="65" t="s">
        <v>501</v>
      </c>
      <c r="C754" s="74" t="s">
        <v>204</v>
      </c>
      <c r="D754" s="69" t="s">
        <v>502</v>
      </c>
      <c r="E754" s="69" t="s">
        <v>302</v>
      </c>
      <c r="F754" s="69" t="s">
        <v>503</v>
      </c>
    </row>
    <row r="755" spans="1:6" ht="22.5" x14ac:dyDescent="0.2">
      <c r="A755" s="65" t="s">
        <v>504</v>
      </c>
      <c r="B755" s="65" t="s">
        <v>505</v>
      </c>
      <c r="C755" s="74" t="s">
        <v>204</v>
      </c>
      <c r="D755" s="69" t="s">
        <v>506</v>
      </c>
      <c r="E755" s="69" t="s">
        <v>489</v>
      </c>
      <c r="F755" s="69" t="s">
        <v>507</v>
      </c>
    </row>
    <row r="756" spans="1:6" ht="22.5" x14ac:dyDescent="0.2">
      <c r="A756" s="65" t="s">
        <v>508</v>
      </c>
      <c r="B756" s="65" t="s">
        <v>509</v>
      </c>
      <c r="C756" s="74" t="s">
        <v>204</v>
      </c>
      <c r="D756" s="69" t="s">
        <v>510</v>
      </c>
      <c r="E756" s="69" t="s">
        <v>230</v>
      </c>
      <c r="F756" s="69" t="s">
        <v>511</v>
      </c>
    </row>
    <row r="757" spans="1:6" x14ac:dyDescent="0.2">
      <c r="A757" s="49">
        <v>14</v>
      </c>
      <c r="B757" s="64" t="s">
        <v>512</v>
      </c>
      <c r="C757" s="47"/>
      <c r="D757" s="47"/>
      <c r="E757" s="47"/>
      <c r="F757" s="47"/>
    </row>
    <row r="758" spans="1:6" ht="22.5" x14ac:dyDescent="0.2">
      <c r="A758" s="50">
        <v>14.01</v>
      </c>
      <c r="B758" s="64" t="s">
        <v>513</v>
      </c>
      <c r="C758" s="47"/>
      <c r="D758" s="47"/>
      <c r="E758" s="47"/>
      <c r="F758" s="47"/>
    </row>
    <row r="759" spans="1:6" ht="22.5" x14ac:dyDescent="0.2">
      <c r="A759" s="65" t="s">
        <v>514</v>
      </c>
      <c r="B759" s="65" t="s">
        <v>515</v>
      </c>
      <c r="C759" s="74" t="s">
        <v>228</v>
      </c>
      <c r="D759" s="69" t="s">
        <v>516</v>
      </c>
      <c r="E759" s="69" t="s">
        <v>517</v>
      </c>
      <c r="F759" s="69" t="s">
        <v>518</v>
      </c>
    </row>
    <row r="760" spans="1:6" ht="45" x14ac:dyDescent="0.2">
      <c r="A760" s="65" t="s">
        <v>519</v>
      </c>
      <c r="B760" s="66" t="s">
        <v>520</v>
      </c>
      <c r="C760" s="74" t="s">
        <v>204</v>
      </c>
      <c r="D760" s="69" t="s">
        <v>521</v>
      </c>
      <c r="E760" s="69" t="s">
        <v>522</v>
      </c>
      <c r="F760" s="69" t="s">
        <v>523</v>
      </c>
    </row>
    <row r="761" spans="1:6" ht="45" x14ac:dyDescent="0.2">
      <c r="A761" s="65" t="s">
        <v>524</v>
      </c>
      <c r="B761" s="66" t="s">
        <v>525</v>
      </c>
      <c r="C761" s="74" t="s">
        <v>204</v>
      </c>
      <c r="D761" s="69" t="s">
        <v>526</v>
      </c>
      <c r="E761" s="69" t="s">
        <v>527</v>
      </c>
      <c r="F761" s="69" t="s">
        <v>528</v>
      </c>
    </row>
    <row r="762" spans="1:6" ht="22.5" x14ac:dyDescent="0.2">
      <c r="A762" s="50">
        <v>14.02</v>
      </c>
      <c r="B762" s="64" t="s">
        <v>529</v>
      </c>
      <c r="C762" s="47"/>
      <c r="D762" s="47"/>
      <c r="E762" s="47"/>
      <c r="F762" s="47"/>
    </row>
    <row r="763" spans="1:6" ht="22.5" x14ac:dyDescent="0.2">
      <c r="A763" s="65" t="s">
        <v>530</v>
      </c>
      <c r="B763" s="65" t="s">
        <v>531</v>
      </c>
      <c r="C763" s="74" t="s">
        <v>204</v>
      </c>
      <c r="D763" s="69" t="s">
        <v>532</v>
      </c>
      <c r="E763" s="69" t="s">
        <v>533</v>
      </c>
      <c r="F763" s="69" t="s">
        <v>534</v>
      </c>
    </row>
    <row r="764" spans="1:6" ht="22.5" x14ac:dyDescent="0.2">
      <c r="A764" s="65" t="s">
        <v>535</v>
      </c>
      <c r="B764" s="65" t="s">
        <v>536</v>
      </c>
      <c r="C764" s="74" t="s">
        <v>204</v>
      </c>
      <c r="D764" s="69" t="s">
        <v>537</v>
      </c>
      <c r="E764" s="69" t="s">
        <v>538</v>
      </c>
      <c r="F764" s="69" t="s">
        <v>539</v>
      </c>
    </row>
    <row r="765" spans="1:6" ht="22.5" x14ac:dyDescent="0.2">
      <c r="A765" s="65" t="s">
        <v>540</v>
      </c>
      <c r="B765" s="65" t="s">
        <v>541</v>
      </c>
      <c r="C765" s="74" t="s">
        <v>204</v>
      </c>
      <c r="D765" s="69" t="s">
        <v>542</v>
      </c>
      <c r="E765" s="69" t="s">
        <v>543</v>
      </c>
      <c r="F765" s="69" t="s">
        <v>544</v>
      </c>
    </row>
    <row r="766" spans="1:6" ht="22.5" x14ac:dyDescent="0.2">
      <c r="A766" s="65" t="s">
        <v>545</v>
      </c>
      <c r="B766" s="65" t="s">
        <v>546</v>
      </c>
      <c r="C766" s="74" t="s">
        <v>204</v>
      </c>
      <c r="D766" s="69" t="s">
        <v>547</v>
      </c>
      <c r="E766" s="69" t="s">
        <v>548</v>
      </c>
      <c r="F766" s="69" t="s">
        <v>549</v>
      </c>
    </row>
    <row r="767" spans="1:6" ht="22.5" x14ac:dyDescent="0.2">
      <c r="A767" s="65" t="s">
        <v>550</v>
      </c>
      <c r="B767" s="65" t="s">
        <v>551</v>
      </c>
      <c r="C767" s="74" t="s">
        <v>204</v>
      </c>
      <c r="D767" s="69" t="s">
        <v>552</v>
      </c>
      <c r="E767" s="69" t="s">
        <v>538</v>
      </c>
      <c r="F767" s="69" t="s">
        <v>553</v>
      </c>
    </row>
    <row r="768" spans="1:6" ht="22.5" x14ac:dyDescent="0.2">
      <c r="A768" s="65" t="s">
        <v>554</v>
      </c>
      <c r="B768" s="65" t="s">
        <v>555</v>
      </c>
      <c r="C768" s="74" t="s">
        <v>204</v>
      </c>
      <c r="D768" s="69" t="s">
        <v>556</v>
      </c>
      <c r="E768" s="69" t="s">
        <v>543</v>
      </c>
      <c r="F768" s="69" t="s">
        <v>557</v>
      </c>
    </row>
    <row r="769" spans="1:6" ht="22.5" x14ac:dyDescent="0.2">
      <c r="A769" s="50">
        <v>14.03</v>
      </c>
      <c r="B769" s="64" t="s">
        <v>558</v>
      </c>
      <c r="C769" s="47"/>
      <c r="D769" s="47"/>
      <c r="E769" s="47"/>
      <c r="F769" s="47"/>
    </row>
    <row r="770" spans="1:6" ht="22.5" x14ac:dyDescent="0.2">
      <c r="A770" s="65" t="s">
        <v>559</v>
      </c>
      <c r="B770" s="65" t="s">
        <v>560</v>
      </c>
      <c r="C770" s="74" t="s">
        <v>204</v>
      </c>
      <c r="D770" s="69" t="s">
        <v>561</v>
      </c>
      <c r="E770" s="69" t="s">
        <v>562</v>
      </c>
      <c r="F770" s="69" t="s">
        <v>563</v>
      </c>
    </row>
    <row r="771" spans="1:6" ht="22.5" x14ac:dyDescent="0.2">
      <c r="A771" s="65" t="s">
        <v>564</v>
      </c>
      <c r="B771" s="65" t="s">
        <v>565</v>
      </c>
      <c r="C771" s="74" t="s">
        <v>204</v>
      </c>
      <c r="D771" s="69" t="s">
        <v>566</v>
      </c>
      <c r="E771" s="69" t="s">
        <v>567</v>
      </c>
      <c r="F771" s="69" t="s">
        <v>568</v>
      </c>
    </row>
    <row r="772" spans="1:6" ht="22.5" x14ac:dyDescent="0.2">
      <c r="A772" s="65" t="s">
        <v>569</v>
      </c>
      <c r="B772" s="65" t="s">
        <v>570</v>
      </c>
      <c r="C772" s="74" t="s">
        <v>204</v>
      </c>
      <c r="D772" s="69" t="s">
        <v>571</v>
      </c>
      <c r="E772" s="69" t="s">
        <v>572</v>
      </c>
      <c r="F772" s="69" t="s">
        <v>573</v>
      </c>
    </row>
    <row r="773" spans="1:6" ht="22.5" x14ac:dyDescent="0.2">
      <c r="A773" s="50">
        <v>14.04</v>
      </c>
      <c r="B773" s="64" t="s">
        <v>574</v>
      </c>
      <c r="C773" s="47"/>
      <c r="D773" s="47"/>
      <c r="E773" s="47"/>
      <c r="F773" s="47"/>
    </row>
    <row r="774" spans="1:6" ht="22.5" x14ac:dyDescent="0.2">
      <c r="A774" s="65" t="s">
        <v>575</v>
      </c>
      <c r="B774" s="65" t="s">
        <v>576</v>
      </c>
      <c r="C774" s="74" t="s">
        <v>204</v>
      </c>
      <c r="D774" s="69" t="s">
        <v>577</v>
      </c>
      <c r="E774" s="69" t="s">
        <v>578</v>
      </c>
      <c r="F774" s="69" t="s">
        <v>579</v>
      </c>
    </row>
    <row r="775" spans="1:6" ht="33.75" x14ac:dyDescent="0.2">
      <c r="A775" s="65" t="s">
        <v>580</v>
      </c>
      <c r="B775" s="65" t="s">
        <v>581</v>
      </c>
      <c r="C775" s="74" t="s">
        <v>204</v>
      </c>
      <c r="D775" s="69" t="s">
        <v>582</v>
      </c>
      <c r="E775" s="69" t="s">
        <v>522</v>
      </c>
      <c r="F775" s="69" t="s">
        <v>583</v>
      </c>
    </row>
    <row r="776" spans="1:6" ht="33.75" x14ac:dyDescent="0.2">
      <c r="A776" s="65" t="s">
        <v>584</v>
      </c>
      <c r="B776" s="65" t="s">
        <v>585</v>
      </c>
      <c r="C776" s="74" t="s">
        <v>204</v>
      </c>
      <c r="D776" s="69" t="s">
        <v>586</v>
      </c>
      <c r="E776" s="69" t="s">
        <v>587</v>
      </c>
      <c r="F776" s="69" t="s">
        <v>588</v>
      </c>
    </row>
    <row r="777" spans="1:6" ht="22.5" x14ac:dyDescent="0.2">
      <c r="A777" s="50">
        <v>14.05</v>
      </c>
      <c r="B777" s="64" t="s">
        <v>589</v>
      </c>
      <c r="C777" s="47"/>
      <c r="D777" s="47"/>
      <c r="E777" s="47"/>
      <c r="F777" s="47"/>
    </row>
    <row r="778" spans="1:6" ht="33.75" x14ac:dyDescent="0.2">
      <c r="A778" s="65" t="s">
        <v>590</v>
      </c>
      <c r="B778" s="65" t="s">
        <v>591</v>
      </c>
      <c r="C778" s="74" t="s">
        <v>204</v>
      </c>
      <c r="D778" s="69" t="s">
        <v>592</v>
      </c>
      <c r="E778" s="69" t="s">
        <v>522</v>
      </c>
      <c r="F778" s="69" t="s">
        <v>593</v>
      </c>
    </row>
    <row r="779" spans="1:6" ht="33.75" x14ac:dyDescent="0.2">
      <c r="A779" s="65" t="s">
        <v>594</v>
      </c>
      <c r="B779" s="65" t="s">
        <v>595</v>
      </c>
      <c r="C779" s="67" t="s">
        <v>204</v>
      </c>
      <c r="D779" s="69" t="s">
        <v>596</v>
      </c>
      <c r="E779" s="69" t="s">
        <v>587</v>
      </c>
      <c r="F779" s="69" t="s">
        <v>597</v>
      </c>
    </row>
    <row r="780" spans="1:6" ht="22.5" x14ac:dyDescent="0.2">
      <c r="A780" s="50">
        <v>14.1</v>
      </c>
      <c r="B780" s="64" t="s">
        <v>598</v>
      </c>
      <c r="C780" s="47"/>
      <c r="D780" s="47"/>
      <c r="E780" s="47"/>
      <c r="F780" s="47"/>
    </row>
    <row r="781" spans="1:6" ht="33.75" x14ac:dyDescent="0.2">
      <c r="A781" s="65" t="s">
        <v>599</v>
      </c>
      <c r="B781" s="65" t="s">
        <v>600</v>
      </c>
      <c r="C781" s="67" t="s">
        <v>204</v>
      </c>
      <c r="D781" s="69" t="s">
        <v>601</v>
      </c>
      <c r="E781" s="69" t="s">
        <v>578</v>
      </c>
      <c r="F781" s="69" t="s">
        <v>602</v>
      </c>
    </row>
    <row r="782" spans="1:6" ht="33.75" x14ac:dyDescent="0.2">
      <c r="A782" s="65" t="s">
        <v>603</v>
      </c>
      <c r="B782" s="65" t="s">
        <v>604</v>
      </c>
      <c r="C782" s="67" t="s">
        <v>204</v>
      </c>
      <c r="D782" s="69" t="s">
        <v>605</v>
      </c>
      <c r="E782" s="69" t="s">
        <v>522</v>
      </c>
      <c r="F782" s="69" t="s">
        <v>606</v>
      </c>
    </row>
    <row r="783" spans="1:6" ht="33.75" x14ac:dyDescent="0.2">
      <c r="A783" s="65" t="s">
        <v>607</v>
      </c>
      <c r="B783" s="65" t="s">
        <v>608</v>
      </c>
      <c r="C783" s="67" t="s">
        <v>204</v>
      </c>
      <c r="D783" s="69" t="s">
        <v>609</v>
      </c>
      <c r="E783" s="69" t="s">
        <v>527</v>
      </c>
      <c r="F783" s="69" t="s">
        <v>610</v>
      </c>
    </row>
    <row r="784" spans="1:6" ht="22.5" x14ac:dyDescent="0.2">
      <c r="A784" s="50">
        <v>14.11</v>
      </c>
      <c r="B784" s="64" t="s">
        <v>611</v>
      </c>
      <c r="C784" s="47"/>
      <c r="D784" s="47"/>
      <c r="E784" s="47"/>
      <c r="F784" s="47"/>
    </row>
    <row r="785" spans="1:6" ht="33.75" x14ac:dyDescent="0.2">
      <c r="A785" s="65" t="s">
        <v>612</v>
      </c>
      <c r="B785" s="65" t="s">
        <v>613</v>
      </c>
      <c r="C785" s="67" t="s">
        <v>204</v>
      </c>
      <c r="D785" s="69" t="s">
        <v>614</v>
      </c>
      <c r="E785" s="69" t="s">
        <v>615</v>
      </c>
      <c r="F785" s="69" t="s">
        <v>616</v>
      </c>
    </row>
    <row r="786" spans="1:6" ht="33.75" x14ac:dyDescent="0.2">
      <c r="A786" s="65" t="s">
        <v>617</v>
      </c>
      <c r="B786" s="65" t="s">
        <v>618</v>
      </c>
      <c r="C786" s="67" t="s">
        <v>204</v>
      </c>
      <c r="D786" s="69" t="s">
        <v>619</v>
      </c>
      <c r="E786" s="69" t="s">
        <v>620</v>
      </c>
      <c r="F786" s="69" t="s">
        <v>621</v>
      </c>
    </row>
    <row r="787" spans="1:6" ht="33.75" x14ac:dyDescent="0.2">
      <c r="A787" s="65" t="s">
        <v>622</v>
      </c>
      <c r="B787" s="65" t="s">
        <v>623</v>
      </c>
      <c r="C787" s="67" t="s">
        <v>204</v>
      </c>
      <c r="D787" s="69" t="s">
        <v>624</v>
      </c>
      <c r="E787" s="69" t="s">
        <v>625</v>
      </c>
      <c r="F787" s="69" t="s">
        <v>626</v>
      </c>
    </row>
    <row r="788" spans="1:6" ht="33.75" x14ac:dyDescent="0.2">
      <c r="A788" s="65" t="s">
        <v>627</v>
      </c>
      <c r="B788" s="65" t="s">
        <v>628</v>
      </c>
      <c r="C788" s="67" t="s">
        <v>204</v>
      </c>
      <c r="D788" s="69" t="s">
        <v>629</v>
      </c>
      <c r="E788" s="69" t="s">
        <v>630</v>
      </c>
      <c r="F788" s="69" t="s">
        <v>631</v>
      </c>
    </row>
    <row r="789" spans="1:6" ht="22.5" x14ac:dyDescent="0.2">
      <c r="A789" s="50">
        <v>14.15</v>
      </c>
      <c r="B789" s="64" t="s">
        <v>632</v>
      </c>
      <c r="C789" s="47"/>
      <c r="D789" s="47"/>
      <c r="E789" s="47"/>
      <c r="F789" s="47"/>
    </row>
    <row r="790" spans="1:6" ht="45" x14ac:dyDescent="0.2">
      <c r="A790" s="65" t="s">
        <v>633</v>
      </c>
      <c r="B790" s="66" t="s">
        <v>634</v>
      </c>
      <c r="C790" s="67" t="s">
        <v>204</v>
      </c>
      <c r="D790" s="69" t="s">
        <v>635</v>
      </c>
      <c r="E790" s="69" t="s">
        <v>636</v>
      </c>
      <c r="F790" s="69" t="s">
        <v>637</v>
      </c>
    </row>
    <row r="791" spans="1:6" ht="45" x14ac:dyDescent="0.2">
      <c r="A791" s="65" t="s">
        <v>638</v>
      </c>
      <c r="B791" s="66" t="s">
        <v>639</v>
      </c>
      <c r="C791" s="67" t="s">
        <v>204</v>
      </c>
      <c r="D791" s="69" t="s">
        <v>640</v>
      </c>
      <c r="E791" s="69" t="s">
        <v>641</v>
      </c>
      <c r="F791" s="69" t="s">
        <v>642</v>
      </c>
    </row>
    <row r="792" spans="1:6" ht="45" x14ac:dyDescent="0.2">
      <c r="A792" s="65" t="s">
        <v>643</v>
      </c>
      <c r="B792" s="66" t="s">
        <v>644</v>
      </c>
      <c r="C792" s="67" t="s">
        <v>204</v>
      </c>
      <c r="D792" s="69" t="s">
        <v>645</v>
      </c>
      <c r="E792" s="69" t="s">
        <v>646</v>
      </c>
      <c r="F792" s="69" t="s">
        <v>647</v>
      </c>
    </row>
    <row r="793" spans="1:6" ht="45" x14ac:dyDescent="0.2">
      <c r="A793" s="65" t="s">
        <v>648</v>
      </c>
      <c r="B793" s="66" t="s">
        <v>649</v>
      </c>
      <c r="C793" s="67" t="s">
        <v>204</v>
      </c>
      <c r="D793" s="69" t="s">
        <v>650</v>
      </c>
      <c r="E793" s="69" t="s">
        <v>351</v>
      </c>
      <c r="F793" s="69" t="s">
        <v>651</v>
      </c>
    </row>
    <row r="794" spans="1:6" ht="22.5" x14ac:dyDescent="0.2">
      <c r="A794" s="50">
        <v>14.2</v>
      </c>
      <c r="B794" s="64" t="s">
        <v>652</v>
      </c>
      <c r="C794" s="47"/>
      <c r="D794" s="47"/>
      <c r="E794" s="47"/>
      <c r="F794" s="47"/>
    </row>
    <row r="795" spans="1:6" ht="22.5" x14ac:dyDescent="0.2">
      <c r="A795" s="65" t="s">
        <v>653</v>
      </c>
      <c r="B795" s="65" t="s">
        <v>654</v>
      </c>
      <c r="C795" s="67" t="s">
        <v>228</v>
      </c>
      <c r="D795" s="69" t="s">
        <v>655</v>
      </c>
      <c r="E795" s="69" t="s">
        <v>656</v>
      </c>
      <c r="F795" s="69" t="s">
        <v>657</v>
      </c>
    </row>
    <row r="796" spans="1:6" ht="22.5" x14ac:dyDescent="0.2">
      <c r="A796" s="65" t="s">
        <v>658</v>
      </c>
      <c r="B796" s="65" t="s">
        <v>659</v>
      </c>
      <c r="C796" s="67" t="s">
        <v>221</v>
      </c>
      <c r="D796" s="69" t="s">
        <v>660</v>
      </c>
      <c r="E796" s="69" t="s">
        <v>661</v>
      </c>
      <c r="F796" s="69" t="s">
        <v>287</v>
      </c>
    </row>
    <row r="797" spans="1:6" ht="22.5" x14ac:dyDescent="0.2">
      <c r="A797" s="50">
        <v>14.28</v>
      </c>
      <c r="B797" s="64" t="s">
        <v>662</v>
      </c>
      <c r="C797" s="47"/>
      <c r="D797" s="47"/>
      <c r="E797" s="47"/>
      <c r="F797" s="47"/>
    </row>
    <row r="798" spans="1:6" ht="33.75" x14ac:dyDescent="0.2">
      <c r="A798" s="65" t="s">
        <v>663</v>
      </c>
      <c r="B798" s="65" t="s">
        <v>664</v>
      </c>
      <c r="C798" s="67" t="s">
        <v>204</v>
      </c>
      <c r="D798" s="69" t="s">
        <v>665</v>
      </c>
      <c r="E798" s="69" t="s">
        <v>666</v>
      </c>
      <c r="F798" s="69" t="s">
        <v>667</v>
      </c>
    </row>
    <row r="799" spans="1:6" ht="22.5" x14ac:dyDescent="0.2">
      <c r="A799" s="65" t="s">
        <v>668</v>
      </c>
      <c r="B799" s="65" t="s">
        <v>669</v>
      </c>
      <c r="C799" s="67" t="s">
        <v>204</v>
      </c>
      <c r="D799" s="69" t="s">
        <v>670</v>
      </c>
      <c r="E799" s="69" t="s">
        <v>666</v>
      </c>
      <c r="F799" s="69" t="s">
        <v>671</v>
      </c>
    </row>
    <row r="800" spans="1:6" ht="33.75" x14ac:dyDescent="0.2">
      <c r="A800" s="65" t="s">
        <v>672</v>
      </c>
      <c r="B800" s="65" t="s">
        <v>673</v>
      </c>
      <c r="C800" s="67" t="s">
        <v>204</v>
      </c>
      <c r="D800" s="69" t="s">
        <v>674</v>
      </c>
      <c r="E800" s="69" t="s">
        <v>675</v>
      </c>
      <c r="F800" s="69" t="s">
        <v>676</v>
      </c>
    </row>
    <row r="801" spans="1:6" ht="22.5" x14ac:dyDescent="0.2">
      <c r="A801" s="65" t="s">
        <v>677</v>
      </c>
      <c r="B801" s="65" t="s">
        <v>678</v>
      </c>
      <c r="C801" s="67" t="s">
        <v>204</v>
      </c>
      <c r="D801" s="69" t="s">
        <v>679</v>
      </c>
      <c r="E801" s="69" t="s">
        <v>680</v>
      </c>
      <c r="F801" s="69" t="s">
        <v>681</v>
      </c>
    </row>
    <row r="802" spans="1:6" x14ac:dyDescent="0.2">
      <c r="A802" s="50">
        <v>14.3</v>
      </c>
      <c r="B802" s="64" t="s">
        <v>682</v>
      </c>
      <c r="C802" s="47"/>
      <c r="D802" s="47"/>
      <c r="E802" s="47"/>
      <c r="F802" s="47"/>
    </row>
    <row r="803" spans="1:6" ht="22.5" x14ac:dyDescent="0.2">
      <c r="A803" s="65" t="s">
        <v>683</v>
      </c>
      <c r="B803" s="65" t="s">
        <v>684</v>
      </c>
      <c r="C803" s="67" t="s">
        <v>204</v>
      </c>
      <c r="D803" s="69" t="s">
        <v>685</v>
      </c>
      <c r="E803" s="69" t="s">
        <v>686</v>
      </c>
      <c r="F803" s="69" t="s">
        <v>687</v>
      </c>
    </row>
    <row r="804" spans="1:6" ht="22.5" x14ac:dyDescent="0.2">
      <c r="A804" s="65" t="s">
        <v>688</v>
      </c>
      <c r="B804" s="65" t="s">
        <v>689</v>
      </c>
      <c r="C804" s="67" t="s">
        <v>204</v>
      </c>
      <c r="D804" s="69" t="s">
        <v>690</v>
      </c>
      <c r="E804" s="73"/>
      <c r="F804" s="69" t="s">
        <v>690</v>
      </c>
    </row>
    <row r="805" spans="1:6" ht="56.25" x14ac:dyDescent="0.2">
      <c r="A805" s="70" t="s">
        <v>691</v>
      </c>
      <c r="B805" s="65" t="s">
        <v>692</v>
      </c>
      <c r="C805" s="71" t="s">
        <v>204</v>
      </c>
      <c r="D805" s="72" t="s">
        <v>693</v>
      </c>
      <c r="E805" s="66"/>
      <c r="F805" s="72" t="s">
        <v>693</v>
      </c>
    </row>
    <row r="806" spans="1:6" ht="45" x14ac:dyDescent="0.2">
      <c r="A806" s="65" t="s">
        <v>694</v>
      </c>
      <c r="B806" s="66" t="s">
        <v>695</v>
      </c>
      <c r="C806" s="67" t="s">
        <v>204</v>
      </c>
      <c r="D806" s="69" t="s">
        <v>696</v>
      </c>
      <c r="E806" s="69" t="s">
        <v>686</v>
      </c>
      <c r="F806" s="69" t="s">
        <v>697</v>
      </c>
    </row>
    <row r="807" spans="1:6" ht="45" x14ac:dyDescent="0.2">
      <c r="A807" s="65" t="s">
        <v>698</v>
      </c>
      <c r="B807" s="66" t="s">
        <v>699</v>
      </c>
      <c r="C807" s="67" t="s">
        <v>204</v>
      </c>
      <c r="D807" s="69" t="s">
        <v>700</v>
      </c>
      <c r="E807" s="68"/>
      <c r="F807" s="69" t="s">
        <v>700</v>
      </c>
    </row>
    <row r="808" spans="1:6" ht="56.25" x14ac:dyDescent="0.2">
      <c r="A808" s="65" t="s">
        <v>701</v>
      </c>
      <c r="B808" s="66" t="s">
        <v>702</v>
      </c>
      <c r="C808" s="67" t="s">
        <v>204</v>
      </c>
      <c r="D808" s="69" t="s">
        <v>703</v>
      </c>
      <c r="E808" s="68"/>
      <c r="F808" s="69" t="s">
        <v>703</v>
      </c>
    </row>
    <row r="809" spans="1:6" ht="56.25" x14ac:dyDescent="0.2">
      <c r="A809" s="65" t="s">
        <v>704</v>
      </c>
      <c r="B809" s="66" t="s">
        <v>705</v>
      </c>
      <c r="C809" s="67" t="s">
        <v>204</v>
      </c>
      <c r="D809" s="69" t="s">
        <v>706</v>
      </c>
      <c r="E809" s="68"/>
      <c r="F809" s="69" t="s">
        <v>706</v>
      </c>
    </row>
    <row r="810" spans="1:6" ht="45" x14ac:dyDescent="0.2">
      <c r="A810" s="65" t="s">
        <v>707</v>
      </c>
      <c r="B810" s="66" t="s">
        <v>708</v>
      </c>
      <c r="C810" s="67" t="s">
        <v>204</v>
      </c>
      <c r="D810" s="69" t="s">
        <v>709</v>
      </c>
      <c r="E810" s="68"/>
      <c r="F810" s="69" t="s">
        <v>709</v>
      </c>
    </row>
    <row r="811" spans="1:6" ht="45" x14ac:dyDescent="0.2">
      <c r="A811" s="65" t="s">
        <v>710</v>
      </c>
      <c r="B811" s="66" t="s">
        <v>711</v>
      </c>
      <c r="C811" s="67" t="s">
        <v>204</v>
      </c>
      <c r="D811" s="69" t="s">
        <v>712</v>
      </c>
      <c r="E811" s="68"/>
      <c r="F811" s="69" t="s">
        <v>712</v>
      </c>
    </row>
    <row r="812" spans="1:6" ht="56.25" x14ac:dyDescent="0.2">
      <c r="A812" s="65" t="s">
        <v>713</v>
      </c>
      <c r="B812" s="66" t="s">
        <v>714</v>
      </c>
      <c r="C812" s="74" t="s">
        <v>204</v>
      </c>
      <c r="D812" s="69" t="s">
        <v>715</v>
      </c>
      <c r="E812" s="68"/>
      <c r="F812" s="69" t="s">
        <v>715</v>
      </c>
    </row>
    <row r="813" spans="1:6" ht="56.25" x14ac:dyDescent="0.2">
      <c r="A813" s="65" t="s">
        <v>716</v>
      </c>
      <c r="B813" s="66" t="s">
        <v>717</v>
      </c>
      <c r="C813" s="74" t="s">
        <v>204</v>
      </c>
      <c r="D813" s="69" t="s">
        <v>718</v>
      </c>
      <c r="E813" s="68"/>
      <c r="F813" s="69" t="s">
        <v>718</v>
      </c>
    </row>
    <row r="814" spans="1:6" ht="45" x14ac:dyDescent="0.2">
      <c r="A814" s="65" t="s">
        <v>719</v>
      </c>
      <c r="B814" s="66" t="s">
        <v>720</v>
      </c>
      <c r="C814" s="74" t="s">
        <v>204</v>
      </c>
      <c r="D814" s="69" t="s">
        <v>721</v>
      </c>
      <c r="E814" s="68"/>
      <c r="F814" s="69" t="s">
        <v>721</v>
      </c>
    </row>
    <row r="815" spans="1:6" ht="56.25" x14ac:dyDescent="0.2">
      <c r="A815" s="65" t="s">
        <v>722</v>
      </c>
      <c r="B815" s="66" t="s">
        <v>723</v>
      </c>
      <c r="C815" s="74" t="s">
        <v>204</v>
      </c>
      <c r="D815" s="69" t="s">
        <v>724</v>
      </c>
      <c r="E815" s="68"/>
      <c r="F815" s="69" t="s">
        <v>724</v>
      </c>
    </row>
    <row r="816" spans="1:6" ht="56.25" x14ac:dyDescent="0.2">
      <c r="A816" s="65" t="s">
        <v>725</v>
      </c>
      <c r="B816" s="66" t="s">
        <v>726</v>
      </c>
      <c r="C816" s="74" t="s">
        <v>204</v>
      </c>
      <c r="D816" s="69" t="s">
        <v>727</v>
      </c>
      <c r="E816" s="68"/>
      <c r="F816" s="69" t="s">
        <v>727</v>
      </c>
    </row>
    <row r="817" spans="1:6" ht="56.25" x14ac:dyDescent="0.2">
      <c r="A817" s="65" t="s">
        <v>728</v>
      </c>
      <c r="B817" s="66" t="s">
        <v>729</v>
      </c>
      <c r="C817" s="74" t="s">
        <v>204</v>
      </c>
      <c r="D817" s="69" t="s">
        <v>730</v>
      </c>
      <c r="E817" s="68"/>
      <c r="F817" s="69" t="s">
        <v>730</v>
      </c>
    </row>
    <row r="818" spans="1:6" ht="45" x14ac:dyDescent="0.2">
      <c r="A818" s="65" t="s">
        <v>731</v>
      </c>
      <c r="B818" s="66" t="s">
        <v>732</v>
      </c>
      <c r="C818" s="74" t="s">
        <v>204</v>
      </c>
      <c r="D818" s="69" t="s">
        <v>733</v>
      </c>
      <c r="E818" s="68"/>
      <c r="F818" s="69" t="s">
        <v>733</v>
      </c>
    </row>
    <row r="819" spans="1:6" ht="56.25" x14ac:dyDescent="0.2">
      <c r="A819" s="65" t="s">
        <v>734</v>
      </c>
      <c r="B819" s="66" t="s">
        <v>735</v>
      </c>
      <c r="C819" s="74" t="s">
        <v>204</v>
      </c>
      <c r="D819" s="69" t="s">
        <v>736</v>
      </c>
      <c r="E819" s="68"/>
      <c r="F819" s="69" t="s">
        <v>736</v>
      </c>
    </row>
    <row r="820" spans="1:6" ht="22.5" x14ac:dyDescent="0.2">
      <c r="A820" s="65" t="s">
        <v>737</v>
      </c>
      <c r="B820" s="65" t="s">
        <v>738</v>
      </c>
      <c r="C820" s="74" t="s">
        <v>204</v>
      </c>
      <c r="D820" s="69" t="s">
        <v>739</v>
      </c>
      <c r="E820" s="69" t="s">
        <v>740</v>
      </c>
      <c r="F820" s="69" t="s">
        <v>741</v>
      </c>
    </row>
    <row r="821" spans="1:6" ht="56.25" x14ac:dyDescent="0.2">
      <c r="A821" s="65" t="s">
        <v>742</v>
      </c>
      <c r="B821" s="66" t="s">
        <v>743</v>
      </c>
      <c r="C821" s="74" t="s">
        <v>204</v>
      </c>
      <c r="D821" s="69" t="s">
        <v>744</v>
      </c>
      <c r="E821" s="68"/>
      <c r="F821" s="69" t="s">
        <v>744</v>
      </c>
    </row>
    <row r="822" spans="1:6" ht="56.25" x14ac:dyDescent="0.2">
      <c r="A822" s="65" t="s">
        <v>745</v>
      </c>
      <c r="B822" s="66" t="s">
        <v>746</v>
      </c>
      <c r="C822" s="74" t="s">
        <v>204</v>
      </c>
      <c r="D822" s="69" t="s">
        <v>747</v>
      </c>
      <c r="E822" s="68"/>
      <c r="F822" s="69" t="s">
        <v>747</v>
      </c>
    </row>
    <row r="823" spans="1:6" ht="56.25" x14ac:dyDescent="0.2">
      <c r="A823" s="65" t="s">
        <v>748</v>
      </c>
      <c r="B823" s="66" t="s">
        <v>749</v>
      </c>
      <c r="C823" s="74" t="s">
        <v>204</v>
      </c>
      <c r="D823" s="69" t="s">
        <v>750</v>
      </c>
      <c r="E823" s="68"/>
      <c r="F823" s="69" t="s">
        <v>750</v>
      </c>
    </row>
    <row r="824" spans="1:6" ht="56.25" x14ac:dyDescent="0.2">
      <c r="A824" s="65" t="s">
        <v>751</v>
      </c>
      <c r="B824" s="66" t="s">
        <v>752</v>
      </c>
      <c r="C824" s="74" t="s">
        <v>204</v>
      </c>
      <c r="D824" s="69" t="s">
        <v>753</v>
      </c>
      <c r="E824" s="68"/>
      <c r="F824" s="69" t="s">
        <v>753</v>
      </c>
    </row>
    <row r="825" spans="1:6" ht="56.25" x14ac:dyDescent="0.2">
      <c r="A825" s="65" t="s">
        <v>754</v>
      </c>
      <c r="B825" s="66" t="s">
        <v>755</v>
      </c>
      <c r="C825" s="74" t="s">
        <v>204</v>
      </c>
      <c r="D825" s="69" t="s">
        <v>756</v>
      </c>
      <c r="E825" s="68"/>
      <c r="F825" s="69" t="s">
        <v>756</v>
      </c>
    </row>
    <row r="826" spans="1:6" ht="56.25" x14ac:dyDescent="0.2">
      <c r="A826" s="65" t="s">
        <v>757</v>
      </c>
      <c r="B826" s="66" t="s">
        <v>758</v>
      </c>
      <c r="C826" s="74" t="s">
        <v>204</v>
      </c>
      <c r="D826" s="69" t="s">
        <v>759</v>
      </c>
      <c r="E826" s="68"/>
      <c r="F826" s="69" t="s">
        <v>759</v>
      </c>
    </row>
    <row r="827" spans="1:6" x14ac:dyDescent="0.2">
      <c r="A827" s="50">
        <v>14.31</v>
      </c>
      <c r="B827" s="64" t="s">
        <v>760</v>
      </c>
      <c r="C827" s="47"/>
      <c r="D827" s="47"/>
      <c r="E827" s="47"/>
      <c r="F827" s="47"/>
    </row>
    <row r="828" spans="1:6" ht="33.75" x14ac:dyDescent="0.2">
      <c r="A828" s="65" t="s">
        <v>761</v>
      </c>
      <c r="B828" s="65" t="s">
        <v>762</v>
      </c>
      <c r="C828" s="74" t="s">
        <v>204</v>
      </c>
      <c r="D828" s="69" t="s">
        <v>763</v>
      </c>
      <c r="E828" s="69" t="s">
        <v>764</v>
      </c>
      <c r="F828" s="69" t="s">
        <v>765</v>
      </c>
    </row>
    <row r="829" spans="1:6" ht="22.5" x14ac:dyDescent="0.2">
      <c r="A829" s="50">
        <v>14.4</v>
      </c>
      <c r="B829" s="64" t="s">
        <v>766</v>
      </c>
      <c r="C829" s="47"/>
      <c r="D829" s="47"/>
      <c r="E829" s="47"/>
      <c r="F829" s="47"/>
    </row>
    <row r="830" spans="1:6" ht="33.75" x14ac:dyDescent="0.2">
      <c r="A830" s="65" t="s">
        <v>767</v>
      </c>
      <c r="B830" s="65" t="s">
        <v>768</v>
      </c>
      <c r="C830" s="74" t="s">
        <v>204</v>
      </c>
      <c r="D830" s="73"/>
      <c r="E830" s="69" t="s">
        <v>224</v>
      </c>
      <c r="F830" s="69" t="s">
        <v>224</v>
      </c>
    </row>
    <row r="831" spans="1:6" ht="33.75" x14ac:dyDescent="0.2">
      <c r="A831" s="65" t="s">
        <v>769</v>
      </c>
      <c r="B831" s="65" t="s">
        <v>770</v>
      </c>
      <c r="C831" s="74" t="s">
        <v>203</v>
      </c>
      <c r="D831" s="69" t="s">
        <v>771</v>
      </c>
      <c r="E831" s="69" t="s">
        <v>315</v>
      </c>
      <c r="F831" s="69" t="s">
        <v>772</v>
      </c>
    </row>
    <row r="832" spans="1:6" ht="33.75" x14ac:dyDescent="0.2">
      <c r="A832" s="65" t="s">
        <v>773</v>
      </c>
      <c r="B832" s="65" t="s">
        <v>774</v>
      </c>
      <c r="C832" s="74" t="s">
        <v>203</v>
      </c>
      <c r="D832" s="69" t="s">
        <v>775</v>
      </c>
      <c r="E832" s="69" t="s">
        <v>315</v>
      </c>
      <c r="F832" s="69" t="s">
        <v>776</v>
      </c>
    </row>
    <row r="833" spans="1:6" ht="33.75" x14ac:dyDescent="0.2">
      <c r="A833" s="65" t="s">
        <v>777</v>
      </c>
      <c r="B833" s="65" t="s">
        <v>778</v>
      </c>
      <c r="C833" s="74" t="s">
        <v>203</v>
      </c>
      <c r="D833" s="69" t="s">
        <v>779</v>
      </c>
      <c r="E833" s="69" t="s">
        <v>315</v>
      </c>
      <c r="F833" s="69" t="s">
        <v>310</v>
      </c>
    </row>
    <row r="834" spans="1:6" ht="33.75" x14ac:dyDescent="0.2">
      <c r="A834" s="65" t="s">
        <v>780</v>
      </c>
      <c r="B834" s="65" t="s">
        <v>781</v>
      </c>
      <c r="C834" s="74" t="s">
        <v>203</v>
      </c>
      <c r="D834" s="69" t="s">
        <v>782</v>
      </c>
      <c r="E834" s="69" t="s">
        <v>315</v>
      </c>
      <c r="F834" s="69" t="s">
        <v>783</v>
      </c>
    </row>
    <row r="835" spans="1:6" ht="33.75" x14ac:dyDescent="0.2">
      <c r="A835" s="65" t="s">
        <v>784</v>
      </c>
      <c r="B835" s="65" t="s">
        <v>785</v>
      </c>
      <c r="C835" s="74" t="s">
        <v>203</v>
      </c>
      <c r="D835" s="69" t="s">
        <v>786</v>
      </c>
      <c r="E835" s="69" t="s">
        <v>315</v>
      </c>
      <c r="F835" s="69" t="s">
        <v>787</v>
      </c>
    </row>
    <row r="836" spans="1:6" ht="22.5" x14ac:dyDescent="0.2">
      <c r="A836" s="49">
        <v>15</v>
      </c>
      <c r="B836" s="64" t="s">
        <v>788</v>
      </c>
      <c r="C836" s="47"/>
      <c r="D836" s="47"/>
      <c r="E836" s="47"/>
      <c r="F836" s="47"/>
    </row>
    <row r="837" spans="1:6" ht="22.5" x14ac:dyDescent="0.2">
      <c r="A837" s="50">
        <v>15.01</v>
      </c>
      <c r="B837" s="64" t="s">
        <v>789</v>
      </c>
      <c r="C837" s="47"/>
      <c r="D837" s="47"/>
      <c r="E837" s="47"/>
      <c r="F837" s="47"/>
    </row>
    <row r="838" spans="1:6" ht="33.75" x14ac:dyDescent="0.2">
      <c r="A838" s="65" t="s">
        <v>790</v>
      </c>
      <c r="B838" s="65" t="s">
        <v>791</v>
      </c>
      <c r="C838" s="74" t="s">
        <v>204</v>
      </c>
      <c r="D838" s="69" t="s">
        <v>792</v>
      </c>
      <c r="E838" s="69" t="s">
        <v>793</v>
      </c>
      <c r="F838" s="69" t="s">
        <v>794</v>
      </c>
    </row>
    <row r="839" spans="1:6" ht="45" x14ac:dyDescent="0.2">
      <c r="A839" s="65" t="s">
        <v>795</v>
      </c>
      <c r="B839" s="66" t="s">
        <v>796</v>
      </c>
      <c r="C839" s="74" t="s">
        <v>204</v>
      </c>
      <c r="D839" s="69" t="s">
        <v>797</v>
      </c>
      <c r="E839" s="69" t="s">
        <v>401</v>
      </c>
      <c r="F839" s="69" t="s">
        <v>798</v>
      </c>
    </row>
    <row r="840" spans="1:6" ht="45" x14ac:dyDescent="0.2">
      <c r="A840" s="65" t="s">
        <v>799</v>
      </c>
      <c r="B840" s="66" t="s">
        <v>800</v>
      </c>
      <c r="C840" s="74" t="s">
        <v>204</v>
      </c>
      <c r="D840" s="69" t="s">
        <v>801</v>
      </c>
      <c r="E840" s="69" t="s">
        <v>405</v>
      </c>
      <c r="F840" s="69" t="s">
        <v>802</v>
      </c>
    </row>
    <row r="841" spans="1:6" ht="45" x14ac:dyDescent="0.2">
      <c r="A841" s="65" t="s">
        <v>803</v>
      </c>
      <c r="B841" s="66" t="s">
        <v>804</v>
      </c>
      <c r="C841" s="74" t="s">
        <v>204</v>
      </c>
      <c r="D841" s="69" t="s">
        <v>805</v>
      </c>
      <c r="E841" s="69" t="s">
        <v>806</v>
      </c>
      <c r="F841" s="69" t="s">
        <v>807</v>
      </c>
    </row>
    <row r="842" spans="1:6" ht="45" x14ac:dyDescent="0.2">
      <c r="A842" s="65" t="s">
        <v>808</v>
      </c>
      <c r="B842" s="66" t="s">
        <v>809</v>
      </c>
      <c r="C842" s="74" t="s">
        <v>204</v>
      </c>
      <c r="D842" s="69" t="s">
        <v>810</v>
      </c>
      <c r="E842" s="69" t="s">
        <v>811</v>
      </c>
      <c r="F842" s="69" t="s">
        <v>812</v>
      </c>
    </row>
    <row r="843" spans="1:6" ht="45" x14ac:dyDescent="0.2">
      <c r="A843" s="65" t="s">
        <v>813</v>
      </c>
      <c r="B843" s="66" t="s">
        <v>814</v>
      </c>
      <c r="C843" s="67" t="s">
        <v>204</v>
      </c>
      <c r="D843" s="69" t="s">
        <v>815</v>
      </c>
      <c r="E843" s="69" t="s">
        <v>224</v>
      </c>
      <c r="F843" s="69" t="s">
        <v>816</v>
      </c>
    </row>
    <row r="844" spans="1:6" ht="45" x14ac:dyDescent="0.2">
      <c r="A844" s="65" t="s">
        <v>817</v>
      </c>
      <c r="B844" s="66" t="s">
        <v>818</v>
      </c>
      <c r="C844" s="67" t="s">
        <v>204</v>
      </c>
      <c r="D844" s="69" t="s">
        <v>819</v>
      </c>
      <c r="E844" s="69" t="s">
        <v>820</v>
      </c>
      <c r="F844" s="69" t="s">
        <v>821</v>
      </c>
    </row>
    <row r="845" spans="1:6" ht="45" x14ac:dyDescent="0.2">
      <c r="A845" s="65" t="s">
        <v>822</v>
      </c>
      <c r="B845" s="66" t="s">
        <v>823</v>
      </c>
      <c r="C845" s="67" t="s">
        <v>204</v>
      </c>
      <c r="D845" s="69" t="s">
        <v>824</v>
      </c>
      <c r="E845" s="69" t="s">
        <v>825</v>
      </c>
      <c r="F845" s="69" t="s">
        <v>826</v>
      </c>
    </row>
    <row r="846" spans="1:6" ht="22.5" x14ac:dyDescent="0.2">
      <c r="A846" s="65" t="s">
        <v>827</v>
      </c>
      <c r="B846" s="65" t="s">
        <v>828</v>
      </c>
      <c r="C846" s="67" t="s">
        <v>204</v>
      </c>
      <c r="D846" s="69" t="s">
        <v>829</v>
      </c>
      <c r="E846" s="69" t="s">
        <v>403</v>
      </c>
      <c r="F846" s="69" t="s">
        <v>830</v>
      </c>
    </row>
    <row r="847" spans="1:6" ht="22.5" x14ac:dyDescent="0.2">
      <c r="A847" s="65" t="s">
        <v>831</v>
      </c>
      <c r="B847" s="65" t="s">
        <v>832</v>
      </c>
      <c r="C847" s="67" t="s">
        <v>204</v>
      </c>
      <c r="D847" s="69" t="s">
        <v>833</v>
      </c>
      <c r="E847" s="69" t="s">
        <v>834</v>
      </c>
      <c r="F847" s="69" t="s">
        <v>835</v>
      </c>
    </row>
    <row r="848" spans="1:6" ht="22.5" x14ac:dyDescent="0.2">
      <c r="A848" s="65" t="s">
        <v>836</v>
      </c>
      <c r="B848" s="65" t="s">
        <v>837</v>
      </c>
      <c r="C848" s="67" t="s">
        <v>204</v>
      </c>
      <c r="D848" s="69" t="s">
        <v>838</v>
      </c>
      <c r="E848" s="69" t="s">
        <v>839</v>
      </c>
      <c r="F848" s="69" t="s">
        <v>840</v>
      </c>
    </row>
    <row r="849" spans="1:6" ht="33.75" x14ac:dyDescent="0.2">
      <c r="A849" s="65" t="s">
        <v>841</v>
      </c>
      <c r="B849" s="65" t="s">
        <v>842</v>
      </c>
      <c r="C849" s="67" t="s">
        <v>204</v>
      </c>
      <c r="D849" s="69" t="s">
        <v>843</v>
      </c>
      <c r="E849" s="69" t="s">
        <v>844</v>
      </c>
      <c r="F849" s="69" t="s">
        <v>419</v>
      </c>
    </row>
    <row r="850" spans="1:6" ht="22.5" x14ac:dyDescent="0.2">
      <c r="A850" s="65" t="s">
        <v>845</v>
      </c>
      <c r="B850" s="65" t="s">
        <v>846</v>
      </c>
      <c r="C850" s="67" t="s">
        <v>204</v>
      </c>
      <c r="D850" s="69" t="s">
        <v>847</v>
      </c>
      <c r="E850" s="69" t="s">
        <v>844</v>
      </c>
      <c r="F850" s="69" t="s">
        <v>848</v>
      </c>
    </row>
    <row r="851" spans="1:6" x14ac:dyDescent="0.2">
      <c r="A851" s="50">
        <v>15.03</v>
      </c>
      <c r="B851" s="64" t="s">
        <v>849</v>
      </c>
      <c r="C851" s="47"/>
      <c r="D851" s="47"/>
      <c r="E851" s="47"/>
      <c r="F851" s="47"/>
    </row>
    <row r="852" spans="1:6" ht="33.75" x14ac:dyDescent="0.2">
      <c r="A852" s="65" t="s">
        <v>850</v>
      </c>
      <c r="B852" s="65" t="s">
        <v>851</v>
      </c>
      <c r="C852" s="67" t="s">
        <v>300</v>
      </c>
      <c r="D852" s="69" t="s">
        <v>852</v>
      </c>
      <c r="E852" s="68"/>
      <c r="F852" s="69" t="s">
        <v>852</v>
      </c>
    </row>
    <row r="853" spans="1:6" ht="22.5" x14ac:dyDescent="0.2">
      <c r="A853" s="65" t="s">
        <v>853</v>
      </c>
      <c r="B853" s="65" t="s">
        <v>854</v>
      </c>
      <c r="C853" s="67" t="s">
        <v>300</v>
      </c>
      <c r="D853" s="73"/>
      <c r="E853" s="69" t="s">
        <v>855</v>
      </c>
      <c r="F853" s="69" t="s">
        <v>855</v>
      </c>
    </row>
    <row r="854" spans="1:6" ht="33.75" x14ac:dyDescent="0.2">
      <c r="A854" s="65" t="s">
        <v>856</v>
      </c>
      <c r="B854" s="65" t="s">
        <v>857</v>
      </c>
      <c r="C854" s="67" t="s">
        <v>300</v>
      </c>
      <c r="D854" s="69" t="s">
        <v>858</v>
      </c>
      <c r="E854" s="68"/>
      <c r="F854" s="69" t="s">
        <v>858</v>
      </c>
    </row>
    <row r="855" spans="1:6" ht="45" x14ac:dyDescent="0.2">
      <c r="A855" s="65" t="s">
        <v>859</v>
      </c>
      <c r="B855" s="66" t="s">
        <v>860</v>
      </c>
      <c r="C855" s="67" t="s">
        <v>300</v>
      </c>
      <c r="D855" s="69" t="s">
        <v>861</v>
      </c>
      <c r="E855" s="68"/>
      <c r="F855" s="69" t="s">
        <v>861</v>
      </c>
    </row>
    <row r="856" spans="1:6" ht="45" x14ac:dyDescent="0.2">
      <c r="A856" s="65" t="s">
        <v>862</v>
      </c>
      <c r="B856" s="66" t="s">
        <v>863</v>
      </c>
      <c r="C856" s="67" t="s">
        <v>300</v>
      </c>
      <c r="D856" s="69" t="s">
        <v>864</v>
      </c>
      <c r="E856" s="68"/>
      <c r="F856" s="69" t="s">
        <v>864</v>
      </c>
    </row>
    <row r="857" spans="1:6" ht="45" x14ac:dyDescent="0.2">
      <c r="A857" s="65" t="s">
        <v>865</v>
      </c>
      <c r="B857" s="66" t="s">
        <v>866</v>
      </c>
      <c r="C857" s="67" t="s">
        <v>300</v>
      </c>
      <c r="D857" s="69" t="s">
        <v>867</v>
      </c>
      <c r="E857" s="69" t="s">
        <v>855</v>
      </c>
      <c r="F857" s="69" t="s">
        <v>868</v>
      </c>
    </row>
    <row r="858" spans="1:6" ht="22.5" x14ac:dyDescent="0.2">
      <c r="A858" s="50">
        <v>15.05</v>
      </c>
      <c r="B858" s="64" t="s">
        <v>869</v>
      </c>
      <c r="C858" s="47"/>
      <c r="D858" s="47"/>
      <c r="E858" s="47"/>
      <c r="F858" s="47"/>
    </row>
    <row r="859" spans="1:6" ht="33.75" x14ac:dyDescent="0.2">
      <c r="A859" s="65" t="s">
        <v>870</v>
      </c>
      <c r="B859" s="65" t="s">
        <v>871</v>
      </c>
      <c r="C859" s="67" t="s">
        <v>228</v>
      </c>
      <c r="D859" s="69" t="s">
        <v>872</v>
      </c>
      <c r="E859" s="69" t="s">
        <v>873</v>
      </c>
      <c r="F859" s="69" t="s">
        <v>874</v>
      </c>
    </row>
    <row r="860" spans="1:6" ht="22.5" x14ac:dyDescent="0.2">
      <c r="A860" s="65" t="s">
        <v>875</v>
      </c>
      <c r="B860" s="65" t="s">
        <v>876</v>
      </c>
      <c r="C860" s="67" t="s">
        <v>228</v>
      </c>
      <c r="D860" s="69" t="s">
        <v>877</v>
      </c>
      <c r="E860" s="69" t="s">
        <v>878</v>
      </c>
      <c r="F860" s="69" t="s">
        <v>879</v>
      </c>
    </row>
    <row r="861" spans="1:6" ht="33.75" x14ac:dyDescent="0.2">
      <c r="A861" s="65" t="s">
        <v>880</v>
      </c>
      <c r="B861" s="65" t="s">
        <v>881</v>
      </c>
      <c r="C861" s="67" t="s">
        <v>228</v>
      </c>
      <c r="D861" s="69" t="s">
        <v>882</v>
      </c>
      <c r="E861" s="69" t="s">
        <v>883</v>
      </c>
      <c r="F861" s="69" t="s">
        <v>884</v>
      </c>
    </row>
    <row r="862" spans="1:6" ht="33.75" x14ac:dyDescent="0.2">
      <c r="A862" s="65" t="s">
        <v>885</v>
      </c>
      <c r="B862" s="65" t="s">
        <v>886</v>
      </c>
      <c r="C862" s="67" t="s">
        <v>228</v>
      </c>
      <c r="D862" s="69" t="s">
        <v>887</v>
      </c>
      <c r="E862" s="69" t="s">
        <v>888</v>
      </c>
      <c r="F862" s="69" t="s">
        <v>889</v>
      </c>
    </row>
    <row r="863" spans="1:6" ht="22.5" x14ac:dyDescent="0.2">
      <c r="A863" s="65" t="s">
        <v>890</v>
      </c>
      <c r="B863" s="65" t="s">
        <v>891</v>
      </c>
      <c r="C863" s="67" t="s">
        <v>228</v>
      </c>
      <c r="D863" s="69" t="s">
        <v>892</v>
      </c>
      <c r="E863" s="69" t="s">
        <v>893</v>
      </c>
      <c r="F863" s="69" t="s">
        <v>894</v>
      </c>
    </row>
    <row r="864" spans="1:6" ht="22.5" x14ac:dyDescent="0.2">
      <c r="A864" s="50">
        <v>15.2</v>
      </c>
      <c r="B864" s="64" t="s">
        <v>895</v>
      </c>
      <c r="C864" s="47"/>
      <c r="D864" s="47"/>
      <c r="E864" s="47"/>
      <c r="F864" s="47"/>
    </row>
    <row r="865" spans="1:6" ht="22.5" x14ac:dyDescent="0.2">
      <c r="A865" s="65" t="s">
        <v>896</v>
      </c>
      <c r="B865" s="65" t="s">
        <v>897</v>
      </c>
      <c r="C865" s="67" t="s">
        <v>228</v>
      </c>
      <c r="D865" s="69" t="s">
        <v>898</v>
      </c>
      <c r="E865" s="69" t="s">
        <v>899</v>
      </c>
      <c r="F865" s="69" t="s">
        <v>900</v>
      </c>
    </row>
    <row r="866" spans="1:6" ht="33.75" x14ac:dyDescent="0.2">
      <c r="A866" s="65" t="s">
        <v>901</v>
      </c>
      <c r="B866" s="65" t="s">
        <v>902</v>
      </c>
      <c r="C866" s="67" t="s">
        <v>221</v>
      </c>
      <c r="D866" s="69" t="s">
        <v>216</v>
      </c>
      <c r="E866" s="69" t="s">
        <v>903</v>
      </c>
      <c r="F866" s="69" t="s">
        <v>904</v>
      </c>
    </row>
    <row r="867" spans="1:6" ht="33.75" x14ac:dyDescent="0.2">
      <c r="A867" s="65" t="s">
        <v>905</v>
      </c>
      <c r="B867" s="65" t="s">
        <v>906</v>
      </c>
      <c r="C867" s="67" t="s">
        <v>221</v>
      </c>
      <c r="D867" s="69" t="s">
        <v>208</v>
      </c>
      <c r="E867" s="69" t="s">
        <v>907</v>
      </c>
      <c r="F867" s="69" t="s">
        <v>908</v>
      </c>
    </row>
    <row r="868" spans="1:6" x14ac:dyDescent="0.2">
      <c r="A868" s="49">
        <v>16</v>
      </c>
      <c r="B868" s="64" t="s">
        <v>909</v>
      </c>
      <c r="C868" s="47"/>
      <c r="D868" s="47"/>
      <c r="E868" s="47"/>
      <c r="F868" s="47"/>
    </row>
    <row r="869" spans="1:6" x14ac:dyDescent="0.2">
      <c r="A869" s="50">
        <v>16.02</v>
      </c>
      <c r="B869" s="64" t="s">
        <v>910</v>
      </c>
      <c r="C869" s="47"/>
      <c r="D869" s="47"/>
      <c r="E869" s="47"/>
      <c r="F869" s="47"/>
    </row>
    <row r="870" spans="1:6" x14ac:dyDescent="0.2">
      <c r="A870" s="65" t="s">
        <v>911</v>
      </c>
      <c r="B870" s="65" t="s">
        <v>912</v>
      </c>
      <c r="C870" s="67" t="s">
        <v>204</v>
      </c>
      <c r="D870" s="69" t="s">
        <v>391</v>
      </c>
      <c r="E870" s="69" t="s">
        <v>387</v>
      </c>
      <c r="F870" s="69" t="s">
        <v>913</v>
      </c>
    </row>
    <row r="871" spans="1:6" x14ac:dyDescent="0.2">
      <c r="A871" s="65" t="s">
        <v>914</v>
      </c>
      <c r="B871" s="65" t="s">
        <v>915</v>
      </c>
      <c r="C871" s="67" t="s">
        <v>204</v>
      </c>
      <c r="D871" s="69" t="s">
        <v>916</v>
      </c>
      <c r="E871" s="69" t="s">
        <v>387</v>
      </c>
      <c r="F871" s="69" t="s">
        <v>917</v>
      </c>
    </row>
    <row r="872" spans="1:6" x14ac:dyDescent="0.2">
      <c r="A872" s="65" t="s">
        <v>918</v>
      </c>
      <c r="B872" s="65" t="s">
        <v>919</v>
      </c>
      <c r="C872" s="67" t="s">
        <v>204</v>
      </c>
      <c r="D872" s="69" t="s">
        <v>920</v>
      </c>
      <c r="E872" s="69" t="s">
        <v>387</v>
      </c>
      <c r="F872" s="69" t="s">
        <v>921</v>
      </c>
    </row>
    <row r="873" spans="1:6" x14ac:dyDescent="0.2">
      <c r="A873" s="65" t="s">
        <v>922</v>
      </c>
      <c r="B873" s="65" t="s">
        <v>923</v>
      </c>
      <c r="C873" s="67" t="s">
        <v>204</v>
      </c>
      <c r="D873" s="69" t="s">
        <v>924</v>
      </c>
      <c r="E873" s="69" t="s">
        <v>925</v>
      </c>
      <c r="F873" s="69" t="s">
        <v>926</v>
      </c>
    </row>
    <row r="874" spans="1:6" x14ac:dyDescent="0.2">
      <c r="A874" s="65" t="s">
        <v>927</v>
      </c>
      <c r="B874" s="65" t="s">
        <v>928</v>
      </c>
      <c r="C874" s="67" t="s">
        <v>204</v>
      </c>
      <c r="D874" s="69" t="s">
        <v>929</v>
      </c>
      <c r="E874" s="69" t="s">
        <v>925</v>
      </c>
      <c r="F874" s="69" t="s">
        <v>930</v>
      </c>
    </row>
    <row r="875" spans="1:6" ht="22.5" x14ac:dyDescent="0.2">
      <c r="A875" s="65" t="s">
        <v>931</v>
      </c>
      <c r="B875" s="65" t="s">
        <v>932</v>
      </c>
      <c r="C875" s="67" t="s">
        <v>221</v>
      </c>
      <c r="D875" s="69" t="s">
        <v>211</v>
      </c>
      <c r="E875" s="69" t="s">
        <v>379</v>
      </c>
      <c r="F875" s="69" t="s">
        <v>933</v>
      </c>
    </row>
    <row r="876" spans="1:6" ht="45" x14ac:dyDescent="0.2">
      <c r="A876" s="65" t="s">
        <v>934</v>
      </c>
      <c r="B876" s="66" t="s">
        <v>935</v>
      </c>
      <c r="C876" s="67" t="s">
        <v>221</v>
      </c>
      <c r="D876" s="69" t="s">
        <v>358</v>
      </c>
      <c r="E876" s="69" t="s">
        <v>298</v>
      </c>
      <c r="F876" s="69" t="s">
        <v>936</v>
      </c>
    </row>
    <row r="877" spans="1:6" x14ac:dyDescent="0.2">
      <c r="A877" s="65" t="s">
        <v>937</v>
      </c>
      <c r="B877" s="65" t="s">
        <v>938</v>
      </c>
      <c r="C877" s="67" t="s">
        <v>221</v>
      </c>
      <c r="D877" s="69" t="s">
        <v>939</v>
      </c>
      <c r="E877" s="69" t="s">
        <v>298</v>
      </c>
      <c r="F877" s="69" t="s">
        <v>940</v>
      </c>
    </row>
    <row r="878" spans="1:6" ht="33.75" x14ac:dyDescent="0.2">
      <c r="A878" s="50">
        <v>16.03</v>
      </c>
      <c r="B878" s="64" t="s">
        <v>941</v>
      </c>
      <c r="C878" s="47"/>
      <c r="D878" s="47"/>
      <c r="E878" s="47"/>
      <c r="F878" s="47"/>
    </row>
    <row r="879" spans="1:6" ht="45" x14ac:dyDescent="0.2">
      <c r="A879" s="65" t="s">
        <v>942</v>
      </c>
      <c r="B879" s="66" t="s">
        <v>943</v>
      </c>
      <c r="C879" s="67" t="s">
        <v>204</v>
      </c>
      <c r="D879" s="69" t="s">
        <v>944</v>
      </c>
      <c r="E879" s="69" t="s">
        <v>298</v>
      </c>
      <c r="F879" s="69" t="s">
        <v>945</v>
      </c>
    </row>
    <row r="880" spans="1:6" ht="45" x14ac:dyDescent="0.2">
      <c r="A880" s="65" t="s">
        <v>946</v>
      </c>
      <c r="B880" s="66" t="s">
        <v>947</v>
      </c>
      <c r="C880" s="67" t="s">
        <v>204</v>
      </c>
      <c r="D880" s="69" t="s">
        <v>948</v>
      </c>
      <c r="E880" s="69" t="s">
        <v>298</v>
      </c>
      <c r="F880" s="69" t="s">
        <v>949</v>
      </c>
    </row>
    <row r="881" spans="1:6" ht="45" x14ac:dyDescent="0.2">
      <c r="A881" s="65" t="s">
        <v>950</v>
      </c>
      <c r="B881" s="66" t="s">
        <v>951</v>
      </c>
      <c r="C881" s="67" t="s">
        <v>204</v>
      </c>
      <c r="D881" s="69" t="s">
        <v>952</v>
      </c>
      <c r="E881" s="69" t="s">
        <v>298</v>
      </c>
      <c r="F881" s="69" t="s">
        <v>953</v>
      </c>
    </row>
    <row r="882" spans="1:6" ht="45" x14ac:dyDescent="0.2">
      <c r="A882" s="65" t="s">
        <v>954</v>
      </c>
      <c r="B882" s="66" t="s">
        <v>955</v>
      </c>
      <c r="C882" s="67" t="s">
        <v>204</v>
      </c>
      <c r="D882" s="69" t="s">
        <v>956</v>
      </c>
      <c r="E882" s="69" t="s">
        <v>298</v>
      </c>
      <c r="F882" s="69" t="s">
        <v>957</v>
      </c>
    </row>
    <row r="883" spans="1:6" ht="45" x14ac:dyDescent="0.2">
      <c r="A883" s="65" t="s">
        <v>958</v>
      </c>
      <c r="B883" s="66" t="s">
        <v>959</v>
      </c>
      <c r="C883" s="67" t="s">
        <v>221</v>
      </c>
      <c r="D883" s="69" t="s">
        <v>960</v>
      </c>
      <c r="E883" s="69" t="s">
        <v>293</v>
      </c>
      <c r="F883" s="69" t="s">
        <v>961</v>
      </c>
    </row>
    <row r="884" spans="1:6" ht="45" x14ac:dyDescent="0.2">
      <c r="A884" s="65" t="s">
        <v>962</v>
      </c>
      <c r="B884" s="66" t="s">
        <v>963</v>
      </c>
      <c r="C884" s="67" t="s">
        <v>221</v>
      </c>
      <c r="D884" s="69" t="s">
        <v>964</v>
      </c>
      <c r="E884" s="69" t="s">
        <v>293</v>
      </c>
      <c r="F884" s="69" t="s">
        <v>965</v>
      </c>
    </row>
    <row r="885" spans="1:6" ht="45" x14ac:dyDescent="0.2">
      <c r="A885" s="65" t="s">
        <v>966</v>
      </c>
      <c r="B885" s="66" t="s">
        <v>967</v>
      </c>
      <c r="C885" s="67" t="s">
        <v>221</v>
      </c>
      <c r="D885" s="69" t="s">
        <v>347</v>
      </c>
      <c r="E885" s="69" t="s">
        <v>293</v>
      </c>
      <c r="F885" s="69" t="s">
        <v>968</v>
      </c>
    </row>
    <row r="886" spans="1:6" ht="45" x14ac:dyDescent="0.2">
      <c r="A886" s="65" t="s">
        <v>969</v>
      </c>
      <c r="B886" s="66" t="s">
        <v>970</v>
      </c>
      <c r="C886" s="67" t="s">
        <v>221</v>
      </c>
      <c r="D886" s="69" t="s">
        <v>971</v>
      </c>
      <c r="E886" s="69" t="s">
        <v>293</v>
      </c>
      <c r="F886" s="69" t="s">
        <v>972</v>
      </c>
    </row>
    <row r="887" spans="1:6" ht="33.75" x14ac:dyDescent="0.2">
      <c r="A887" s="65" t="s">
        <v>973</v>
      </c>
      <c r="B887" s="65" t="s">
        <v>974</v>
      </c>
      <c r="C887" s="67" t="s">
        <v>221</v>
      </c>
      <c r="D887" s="69" t="s">
        <v>975</v>
      </c>
      <c r="E887" s="69" t="s">
        <v>293</v>
      </c>
      <c r="F887" s="69" t="s">
        <v>976</v>
      </c>
    </row>
    <row r="888" spans="1:6" ht="33.75" x14ac:dyDescent="0.2">
      <c r="A888" s="65" t="s">
        <v>977</v>
      </c>
      <c r="B888" s="65" t="s">
        <v>978</v>
      </c>
      <c r="C888" s="67" t="s">
        <v>221</v>
      </c>
      <c r="D888" s="69" t="s">
        <v>979</v>
      </c>
      <c r="E888" s="69" t="s">
        <v>293</v>
      </c>
      <c r="F888" s="69" t="s">
        <v>980</v>
      </c>
    </row>
    <row r="889" spans="1:6" ht="33.75" x14ac:dyDescent="0.2">
      <c r="A889" s="65" t="s">
        <v>981</v>
      </c>
      <c r="B889" s="65" t="s">
        <v>982</v>
      </c>
      <c r="C889" s="67" t="s">
        <v>221</v>
      </c>
      <c r="D889" s="69" t="s">
        <v>983</v>
      </c>
      <c r="E889" s="69" t="s">
        <v>293</v>
      </c>
      <c r="F889" s="69" t="s">
        <v>984</v>
      </c>
    </row>
    <row r="890" spans="1:6" ht="22.5" x14ac:dyDescent="0.2">
      <c r="A890" s="50">
        <v>16.100000000000001</v>
      </c>
      <c r="B890" s="64" t="s">
        <v>985</v>
      </c>
      <c r="C890" s="47"/>
      <c r="D890" s="47"/>
      <c r="E890" s="47"/>
      <c r="F890" s="47"/>
    </row>
    <row r="891" spans="1:6" ht="33.75" x14ac:dyDescent="0.2">
      <c r="A891" s="65" t="s">
        <v>986</v>
      </c>
      <c r="B891" s="65" t="s">
        <v>987</v>
      </c>
      <c r="C891" s="67" t="s">
        <v>204</v>
      </c>
      <c r="D891" s="69" t="s">
        <v>988</v>
      </c>
      <c r="E891" s="69" t="s">
        <v>839</v>
      </c>
      <c r="F891" s="69" t="s">
        <v>989</v>
      </c>
    </row>
    <row r="892" spans="1:6" ht="22.5" x14ac:dyDescent="0.2">
      <c r="A892" s="65" t="s">
        <v>990</v>
      </c>
      <c r="B892" s="65" t="s">
        <v>991</v>
      </c>
      <c r="C892" s="67" t="s">
        <v>221</v>
      </c>
      <c r="D892" s="69" t="s">
        <v>992</v>
      </c>
      <c r="E892" s="69" t="s">
        <v>993</v>
      </c>
      <c r="F892" s="69" t="s">
        <v>994</v>
      </c>
    </row>
    <row r="893" spans="1:6" x14ac:dyDescent="0.2">
      <c r="A893" s="50">
        <v>16.12</v>
      </c>
      <c r="B893" s="64" t="s">
        <v>995</v>
      </c>
      <c r="C893" s="47"/>
      <c r="D893" s="47"/>
      <c r="E893" s="47"/>
      <c r="F893" s="47"/>
    </row>
    <row r="894" spans="1:6" ht="56.25" x14ac:dyDescent="0.2">
      <c r="A894" s="65" t="s">
        <v>996</v>
      </c>
      <c r="B894" s="66" t="s">
        <v>997</v>
      </c>
      <c r="C894" s="67" t="s">
        <v>204</v>
      </c>
      <c r="D894" s="69" t="s">
        <v>998</v>
      </c>
      <c r="E894" s="69" t="s">
        <v>298</v>
      </c>
      <c r="F894" s="69" t="s">
        <v>999</v>
      </c>
    </row>
    <row r="895" spans="1:6" ht="56.25" x14ac:dyDescent="0.2">
      <c r="A895" s="70" t="s">
        <v>1000</v>
      </c>
      <c r="B895" s="65" t="s">
        <v>1001</v>
      </c>
      <c r="C895" s="71" t="s">
        <v>204</v>
      </c>
      <c r="D895" s="72" t="s">
        <v>1002</v>
      </c>
      <c r="E895" s="72" t="s">
        <v>298</v>
      </c>
      <c r="F895" s="72" t="s">
        <v>1003</v>
      </c>
    </row>
    <row r="896" spans="1:6" ht="56.25" x14ac:dyDescent="0.2">
      <c r="A896" s="70" t="s">
        <v>1004</v>
      </c>
      <c r="B896" s="65" t="s">
        <v>1005</v>
      </c>
      <c r="C896" s="71" t="s">
        <v>204</v>
      </c>
      <c r="D896" s="72" t="s">
        <v>1006</v>
      </c>
      <c r="E896" s="72" t="s">
        <v>298</v>
      </c>
      <c r="F896" s="72" t="s">
        <v>1007</v>
      </c>
    </row>
    <row r="897" spans="1:6" ht="56.25" x14ac:dyDescent="0.2">
      <c r="A897" s="70" t="s">
        <v>1008</v>
      </c>
      <c r="B897" s="65" t="s">
        <v>1009</v>
      </c>
      <c r="C897" s="71" t="s">
        <v>204</v>
      </c>
      <c r="D897" s="72" t="s">
        <v>1010</v>
      </c>
      <c r="E897" s="72" t="s">
        <v>298</v>
      </c>
      <c r="F897" s="72" t="s">
        <v>1011</v>
      </c>
    </row>
    <row r="898" spans="1:6" ht="56.25" x14ac:dyDescent="0.2">
      <c r="A898" s="65" t="s">
        <v>1012</v>
      </c>
      <c r="B898" s="66" t="s">
        <v>1013</v>
      </c>
      <c r="C898" s="67" t="s">
        <v>221</v>
      </c>
      <c r="D898" s="69" t="s">
        <v>1014</v>
      </c>
      <c r="E898" s="69" t="s">
        <v>293</v>
      </c>
      <c r="F898" s="69" t="s">
        <v>1015</v>
      </c>
    </row>
    <row r="899" spans="1:6" ht="56.25" x14ac:dyDescent="0.2">
      <c r="A899" s="65" t="s">
        <v>1016</v>
      </c>
      <c r="B899" s="66" t="s">
        <v>1017</v>
      </c>
      <c r="C899" s="67" t="s">
        <v>221</v>
      </c>
      <c r="D899" s="69" t="s">
        <v>1018</v>
      </c>
      <c r="E899" s="69" t="s">
        <v>293</v>
      </c>
      <c r="F899" s="69" t="s">
        <v>1019</v>
      </c>
    </row>
    <row r="900" spans="1:6" x14ac:dyDescent="0.2">
      <c r="A900" s="50">
        <v>16.13</v>
      </c>
      <c r="B900" s="64" t="s">
        <v>1020</v>
      </c>
      <c r="C900" s="47"/>
      <c r="D900" s="47"/>
      <c r="E900" s="47"/>
      <c r="F900" s="47"/>
    </row>
    <row r="901" spans="1:6" ht="56.25" x14ac:dyDescent="0.2">
      <c r="A901" s="70" t="s">
        <v>1021</v>
      </c>
      <c r="B901" s="65" t="s">
        <v>1022</v>
      </c>
      <c r="C901" s="71" t="s">
        <v>204</v>
      </c>
      <c r="D901" s="72" t="s">
        <v>1023</v>
      </c>
      <c r="E901" s="72" t="s">
        <v>1024</v>
      </c>
      <c r="F901" s="72" t="s">
        <v>1025</v>
      </c>
    </row>
    <row r="902" spans="1:6" ht="56.25" x14ac:dyDescent="0.2">
      <c r="A902" s="70" t="s">
        <v>1026</v>
      </c>
      <c r="B902" s="65" t="s">
        <v>1027</v>
      </c>
      <c r="C902" s="71" t="s">
        <v>204</v>
      </c>
      <c r="D902" s="72" t="s">
        <v>1028</v>
      </c>
      <c r="E902" s="72" t="s">
        <v>284</v>
      </c>
      <c r="F902" s="72" t="s">
        <v>1029</v>
      </c>
    </row>
    <row r="903" spans="1:6" ht="56.25" x14ac:dyDescent="0.2">
      <c r="A903" s="65" t="s">
        <v>1030</v>
      </c>
      <c r="B903" s="66" t="s">
        <v>1031</v>
      </c>
      <c r="C903" s="67" t="s">
        <v>204</v>
      </c>
      <c r="D903" s="69" t="s">
        <v>1032</v>
      </c>
      <c r="E903" s="69" t="s">
        <v>284</v>
      </c>
      <c r="F903" s="69" t="s">
        <v>1033</v>
      </c>
    </row>
    <row r="904" spans="1:6" ht="45" x14ac:dyDescent="0.2">
      <c r="A904" s="65" t="s">
        <v>1034</v>
      </c>
      <c r="B904" s="66" t="s">
        <v>1035</v>
      </c>
      <c r="C904" s="67" t="s">
        <v>204</v>
      </c>
      <c r="D904" s="69" t="s">
        <v>1036</v>
      </c>
      <c r="E904" s="69" t="s">
        <v>298</v>
      </c>
      <c r="F904" s="69" t="s">
        <v>426</v>
      </c>
    </row>
    <row r="905" spans="1:6" ht="22.5" x14ac:dyDescent="0.2">
      <c r="A905" s="50">
        <v>16.16</v>
      </c>
      <c r="B905" s="64" t="s">
        <v>1037</v>
      </c>
      <c r="C905" s="47"/>
      <c r="D905" s="47"/>
      <c r="E905" s="47"/>
      <c r="F905" s="47"/>
    </row>
    <row r="906" spans="1:6" ht="22.5" x14ac:dyDescent="0.2">
      <c r="A906" s="65" t="s">
        <v>1038</v>
      </c>
      <c r="B906" s="65" t="s">
        <v>1039</v>
      </c>
      <c r="C906" s="67" t="s">
        <v>204</v>
      </c>
      <c r="D906" s="69" t="s">
        <v>1040</v>
      </c>
      <c r="E906" s="69" t="s">
        <v>298</v>
      </c>
      <c r="F906" s="69" t="s">
        <v>1041</v>
      </c>
    </row>
    <row r="907" spans="1:6" ht="33.75" x14ac:dyDescent="0.2">
      <c r="A907" s="65" t="s">
        <v>1042</v>
      </c>
      <c r="B907" s="65" t="s">
        <v>1043</v>
      </c>
      <c r="C907" s="67" t="s">
        <v>204</v>
      </c>
      <c r="D907" s="69" t="s">
        <v>1044</v>
      </c>
      <c r="E907" s="69" t="s">
        <v>298</v>
      </c>
      <c r="F907" s="69" t="s">
        <v>1045</v>
      </c>
    </row>
    <row r="908" spans="1:6" ht="33.75" x14ac:dyDescent="0.2">
      <c r="A908" s="65" t="s">
        <v>1046</v>
      </c>
      <c r="B908" s="65" t="s">
        <v>1047</v>
      </c>
      <c r="C908" s="67" t="s">
        <v>221</v>
      </c>
      <c r="D908" s="69" t="s">
        <v>1048</v>
      </c>
      <c r="E908" s="69" t="s">
        <v>293</v>
      </c>
      <c r="F908" s="69" t="s">
        <v>1049</v>
      </c>
    </row>
    <row r="909" spans="1:6" x14ac:dyDescent="0.2">
      <c r="A909" s="50">
        <v>16.2</v>
      </c>
      <c r="B909" s="64" t="s">
        <v>1050</v>
      </c>
      <c r="C909" s="47"/>
      <c r="D909" s="47"/>
      <c r="E909" s="47"/>
      <c r="F909" s="47"/>
    </row>
    <row r="910" spans="1:6" ht="22.5" x14ac:dyDescent="0.2">
      <c r="A910" s="65" t="s">
        <v>1051</v>
      </c>
      <c r="B910" s="65" t="s">
        <v>1052</v>
      </c>
      <c r="C910" s="67" t="s">
        <v>203</v>
      </c>
      <c r="D910" s="69" t="s">
        <v>1053</v>
      </c>
      <c r="E910" s="69" t="s">
        <v>226</v>
      </c>
      <c r="F910" s="69" t="s">
        <v>1054</v>
      </c>
    </row>
    <row r="911" spans="1:6" ht="22.5" x14ac:dyDescent="0.2">
      <c r="A911" s="65" t="s">
        <v>1055</v>
      </c>
      <c r="B911" s="65" t="s">
        <v>1056</v>
      </c>
      <c r="C911" s="67" t="s">
        <v>203</v>
      </c>
      <c r="D911" s="69" t="s">
        <v>1053</v>
      </c>
      <c r="E911" s="69" t="s">
        <v>226</v>
      </c>
      <c r="F911" s="69" t="s">
        <v>1054</v>
      </c>
    </row>
    <row r="912" spans="1:6" x14ac:dyDescent="0.2">
      <c r="A912" s="50">
        <v>16.3</v>
      </c>
      <c r="B912" s="64" t="s">
        <v>1057</v>
      </c>
      <c r="C912" s="47"/>
      <c r="D912" s="47"/>
      <c r="E912" s="47"/>
      <c r="F912" s="47"/>
    </row>
    <row r="913" spans="1:6" ht="22.5" x14ac:dyDescent="0.2">
      <c r="A913" s="65" t="s">
        <v>1058</v>
      </c>
      <c r="B913" s="65" t="s">
        <v>1059</v>
      </c>
      <c r="C913" s="67" t="s">
        <v>204</v>
      </c>
      <c r="D913" s="69" t="s">
        <v>1060</v>
      </c>
      <c r="E913" s="73"/>
      <c r="F913" s="69" t="s">
        <v>1060</v>
      </c>
    </row>
    <row r="914" spans="1:6" x14ac:dyDescent="0.2">
      <c r="A914" s="50">
        <v>16.32</v>
      </c>
      <c r="B914" s="64" t="s">
        <v>1061</v>
      </c>
      <c r="C914" s="47"/>
      <c r="D914" s="47"/>
      <c r="E914" s="47"/>
      <c r="F914" s="47"/>
    </row>
    <row r="915" spans="1:6" ht="33.75" x14ac:dyDescent="0.2">
      <c r="A915" s="65" t="s">
        <v>1062</v>
      </c>
      <c r="B915" s="65" t="s">
        <v>1063</v>
      </c>
      <c r="C915" s="67" t="s">
        <v>204</v>
      </c>
      <c r="D915" s="69" t="s">
        <v>1064</v>
      </c>
      <c r="E915" s="69" t="s">
        <v>1065</v>
      </c>
      <c r="F915" s="69" t="s">
        <v>1066</v>
      </c>
    </row>
    <row r="916" spans="1:6" ht="33.75" x14ac:dyDescent="0.2">
      <c r="A916" s="65" t="s">
        <v>1067</v>
      </c>
      <c r="B916" s="65" t="s">
        <v>1068</v>
      </c>
      <c r="C916" s="67" t="s">
        <v>204</v>
      </c>
      <c r="D916" s="69" t="s">
        <v>1069</v>
      </c>
      <c r="E916" s="69" t="s">
        <v>1070</v>
      </c>
      <c r="F916" s="69" t="s">
        <v>1071</v>
      </c>
    </row>
    <row r="917" spans="1:6" ht="33.75" x14ac:dyDescent="0.2">
      <c r="A917" s="65" t="s">
        <v>1072</v>
      </c>
      <c r="B917" s="65" t="s">
        <v>1073</v>
      </c>
      <c r="C917" s="67" t="s">
        <v>204</v>
      </c>
      <c r="D917" s="69" t="s">
        <v>1074</v>
      </c>
      <c r="E917" s="69" t="s">
        <v>1065</v>
      </c>
      <c r="F917" s="69" t="s">
        <v>1075</v>
      </c>
    </row>
    <row r="918" spans="1:6" x14ac:dyDescent="0.2">
      <c r="A918" s="50">
        <v>16.329999999999998</v>
      </c>
      <c r="B918" s="64" t="s">
        <v>1076</v>
      </c>
      <c r="C918" s="47"/>
      <c r="D918" s="47"/>
      <c r="E918" s="47"/>
      <c r="F918" s="47"/>
    </row>
    <row r="919" spans="1:6" ht="22.5" x14ac:dyDescent="0.2">
      <c r="A919" s="65" t="s">
        <v>1077</v>
      </c>
      <c r="B919" s="65" t="s">
        <v>1078</v>
      </c>
      <c r="C919" s="67" t="s">
        <v>221</v>
      </c>
      <c r="D919" s="69" t="s">
        <v>1079</v>
      </c>
      <c r="E919" s="69" t="s">
        <v>1080</v>
      </c>
      <c r="F919" s="69" t="s">
        <v>1081</v>
      </c>
    </row>
    <row r="920" spans="1:6" ht="22.5" x14ac:dyDescent="0.2">
      <c r="A920" s="65" t="s">
        <v>1082</v>
      </c>
      <c r="B920" s="65" t="s">
        <v>1083</v>
      </c>
      <c r="C920" s="67" t="s">
        <v>221</v>
      </c>
      <c r="D920" s="69" t="s">
        <v>1084</v>
      </c>
      <c r="E920" s="69" t="s">
        <v>1085</v>
      </c>
      <c r="F920" s="69" t="s">
        <v>1086</v>
      </c>
    </row>
    <row r="921" spans="1:6" ht="22.5" x14ac:dyDescent="0.2">
      <c r="A921" s="65" t="s">
        <v>1087</v>
      </c>
      <c r="B921" s="65" t="s">
        <v>1088</v>
      </c>
      <c r="C921" s="67" t="s">
        <v>221</v>
      </c>
      <c r="D921" s="69" t="s">
        <v>1089</v>
      </c>
      <c r="E921" s="69" t="s">
        <v>1090</v>
      </c>
      <c r="F921" s="69" t="s">
        <v>1091</v>
      </c>
    </row>
    <row r="922" spans="1:6" ht="22.5" x14ac:dyDescent="0.2">
      <c r="A922" s="65" t="s">
        <v>1092</v>
      </c>
      <c r="B922" s="65" t="s">
        <v>1093</v>
      </c>
      <c r="C922" s="67" t="s">
        <v>221</v>
      </c>
      <c r="D922" s="69" t="s">
        <v>1094</v>
      </c>
      <c r="E922" s="69" t="s">
        <v>1080</v>
      </c>
      <c r="F922" s="69" t="s">
        <v>1095</v>
      </c>
    </row>
    <row r="923" spans="1:6" ht="22.5" x14ac:dyDescent="0.2">
      <c r="A923" s="65" t="s">
        <v>1096</v>
      </c>
      <c r="B923" s="65" t="s">
        <v>1097</v>
      </c>
      <c r="C923" s="67" t="s">
        <v>221</v>
      </c>
      <c r="D923" s="69" t="s">
        <v>1098</v>
      </c>
      <c r="E923" s="69" t="s">
        <v>1085</v>
      </c>
      <c r="F923" s="69" t="s">
        <v>1099</v>
      </c>
    </row>
    <row r="924" spans="1:6" ht="22.5" x14ac:dyDescent="0.2">
      <c r="A924" s="65" t="s">
        <v>1100</v>
      </c>
      <c r="B924" s="65" t="s">
        <v>1101</v>
      </c>
      <c r="C924" s="67" t="s">
        <v>203</v>
      </c>
      <c r="D924" s="69" t="s">
        <v>1102</v>
      </c>
      <c r="E924" s="69" t="s">
        <v>280</v>
      </c>
      <c r="F924" s="69" t="s">
        <v>1103</v>
      </c>
    </row>
    <row r="925" spans="1:6" ht="22.5" x14ac:dyDescent="0.2">
      <c r="A925" s="65" t="s">
        <v>1104</v>
      </c>
      <c r="B925" s="65" t="s">
        <v>1105</v>
      </c>
      <c r="C925" s="67" t="s">
        <v>203</v>
      </c>
      <c r="D925" s="69" t="s">
        <v>1106</v>
      </c>
      <c r="E925" s="69" t="s">
        <v>243</v>
      </c>
      <c r="F925" s="69" t="s">
        <v>1107</v>
      </c>
    </row>
    <row r="926" spans="1:6" ht="22.5" x14ac:dyDescent="0.2">
      <c r="A926" s="65" t="s">
        <v>1108</v>
      </c>
      <c r="B926" s="65" t="s">
        <v>1109</v>
      </c>
      <c r="C926" s="67" t="s">
        <v>203</v>
      </c>
      <c r="D926" s="69" t="s">
        <v>1110</v>
      </c>
      <c r="E926" s="69" t="s">
        <v>376</v>
      </c>
      <c r="F926" s="69" t="s">
        <v>1111</v>
      </c>
    </row>
    <row r="927" spans="1:6" ht="22.5" x14ac:dyDescent="0.2">
      <c r="A927" s="50">
        <v>16.399999999999999</v>
      </c>
      <c r="B927" s="64" t="s">
        <v>1112</v>
      </c>
      <c r="C927" s="47"/>
      <c r="D927" s="47"/>
      <c r="E927" s="47"/>
      <c r="F927" s="47"/>
    </row>
    <row r="928" spans="1:6" ht="22.5" x14ac:dyDescent="0.2">
      <c r="A928" s="65" t="s">
        <v>1113</v>
      </c>
      <c r="B928" s="65" t="s">
        <v>1114</v>
      </c>
      <c r="C928" s="67" t="s">
        <v>221</v>
      </c>
      <c r="D928" s="69" t="s">
        <v>1115</v>
      </c>
      <c r="E928" s="69" t="s">
        <v>298</v>
      </c>
      <c r="F928" s="69" t="s">
        <v>1116</v>
      </c>
    </row>
    <row r="929" spans="1:6" ht="22.5" x14ac:dyDescent="0.2">
      <c r="A929" s="65" t="s">
        <v>1117</v>
      </c>
      <c r="B929" s="65" t="s">
        <v>1118</v>
      </c>
      <c r="C929" s="67" t="s">
        <v>204</v>
      </c>
      <c r="D929" s="73"/>
      <c r="E929" s="69" t="s">
        <v>925</v>
      </c>
      <c r="F929" s="69" t="s">
        <v>925</v>
      </c>
    </row>
    <row r="930" spans="1:6" ht="22.5" x14ac:dyDescent="0.2">
      <c r="A930" s="65" t="s">
        <v>1119</v>
      </c>
      <c r="B930" s="65" t="s">
        <v>1120</v>
      </c>
      <c r="C930" s="67" t="s">
        <v>204</v>
      </c>
      <c r="D930" s="73"/>
      <c r="E930" s="69" t="s">
        <v>925</v>
      </c>
      <c r="F930" s="69" t="s">
        <v>925</v>
      </c>
    </row>
    <row r="931" spans="1:6" ht="33.75" x14ac:dyDescent="0.2">
      <c r="A931" s="65" t="s">
        <v>1121</v>
      </c>
      <c r="B931" s="65" t="s">
        <v>1122</v>
      </c>
      <c r="C931" s="67" t="s">
        <v>204</v>
      </c>
      <c r="D931" s="68"/>
      <c r="E931" s="69" t="s">
        <v>308</v>
      </c>
      <c r="F931" s="69" t="s">
        <v>308</v>
      </c>
    </row>
    <row r="932" spans="1:6" ht="22.5" x14ac:dyDescent="0.2">
      <c r="A932" s="65" t="s">
        <v>1123</v>
      </c>
      <c r="B932" s="65" t="s">
        <v>1124</v>
      </c>
      <c r="C932" s="67" t="s">
        <v>204</v>
      </c>
      <c r="D932" s="73"/>
      <c r="E932" s="69" t="s">
        <v>387</v>
      </c>
      <c r="F932" s="69" t="s">
        <v>387</v>
      </c>
    </row>
    <row r="933" spans="1:6" ht="33.75" x14ac:dyDescent="0.2">
      <c r="A933" s="65" t="s">
        <v>1125</v>
      </c>
      <c r="B933" s="65" t="s">
        <v>1126</v>
      </c>
      <c r="C933" s="67" t="s">
        <v>204</v>
      </c>
      <c r="D933" s="69" t="s">
        <v>782</v>
      </c>
      <c r="E933" s="69" t="s">
        <v>298</v>
      </c>
      <c r="F933" s="69" t="s">
        <v>417</v>
      </c>
    </row>
    <row r="934" spans="1:6" ht="45" x14ac:dyDescent="0.2">
      <c r="A934" s="65" t="s">
        <v>1127</v>
      </c>
      <c r="B934" s="66" t="s">
        <v>1128</v>
      </c>
      <c r="C934" s="67" t="s">
        <v>204</v>
      </c>
      <c r="D934" s="69" t="s">
        <v>367</v>
      </c>
      <c r="E934" s="69" t="s">
        <v>298</v>
      </c>
      <c r="F934" s="69" t="s">
        <v>1129</v>
      </c>
    </row>
    <row r="935" spans="1:6" ht="22.5" x14ac:dyDescent="0.2">
      <c r="A935" s="49">
        <v>17</v>
      </c>
      <c r="B935" s="64" t="s">
        <v>1130</v>
      </c>
      <c r="C935" s="47"/>
      <c r="D935" s="47"/>
      <c r="E935" s="47"/>
      <c r="F935" s="47"/>
    </row>
    <row r="936" spans="1:6" x14ac:dyDescent="0.2">
      <c r="A936" s="50">
        <v>17.010000000000002</v>
      </c>
      <c r="B936" s="64" t="s">
        <v>1131</v>
      </c>
      <c r="C936" s="47"/>
      <c r="D936" s="47"/>
      <c r="E936" s="47"/>
      <c r="F936" s="47"/>
    </row>
    <row r="937" spans="1:6" ht="22.5" x14ac:dyDescent="0.2">
      <c r="A937" s="65" t="s">
        <v>1132</v>
      </c>
      <c r="B937" s="65" t="s">
        <v>1133</v>
      </c>
      <c r="C937" s="67" t="s">
        <v>228</v>
      </c>
      <c r="D937" s="69" t="s">
        <v>1134</v>
      </c>
      <c r="E937" s="69" t="s">
        <v>1135</v>
      </c>
      <c r="F937" s="69" t="s">
        <v>1136</v>
      </c>
    </row>
    <row r="938" spans="1:6" ht="22.5" x14ac:dyDescent="0.2">
      <c r="A938" s="65" t="s">
        <v>1137</v>
      </c>
      <c r="B938" s="65" t="s">
        <v>1138</v>
      </c>
      <c r="C938" s="67" t="s">
        <v>228</v>
      </c>
      <c r="D938" s="69" t="s">
        <v>1139</v>
      </c>
      <c r="E938" s="69" t="s">
        <v>1135</v>
      </c>
      <c r="F938" s="69" t="s">
        <v>1140</v>
      </c>
    </row>
    <row r="939" spans="1:6" ht="22.5" x14ac:dyDescent="0.2">
      <c r="A939" s="65" t="s">
        <v>1141</v>
      </c>
      <c r="B939" s="65" t="s">
        <v>1142</v>
      </c>
      <c r="C939" s="67" t="s">
        <v>228</v>
      </c>
      <c r="D939" s="69" t="s">
        <v>1143</v>
      </c>
      <c r="E939" s="69" t="s">
        <v>1135</v>
      </c>
      <c r="F939" s="69" t="s">
        <v>1144</v>
      </c>
    </row>
    <row r="940" spans="1:6" ht="22.5" x14ac:dyDescent="0.2">
      <c r="A940" s="65" t="s">
        <v>1145</v>
      </c>
      <c r="B940" s="65" t="s">
        <v>1146</v>
      </c>
      <c r="C940" s="67" t="s">
        <v>204</v>
      </c>
      <c r="D940" s="69" t="s">
        <v>375</v>
      </c>
      <c r="E940" s="69" t="s">
        <v>398</v>
      </c>
      <c r="F940" s="69" t="s">
        <v>1147</v>
      </c>
    </row>
    <row r="941" spans="1:6" ht="22.5" x14ac:dyDescent="0.2">
      <c r="A941" s="65" t="s">
        <v>1148</v>
      </c>
      <c r="B941" s="65" t="s">
        <v>1149</v>
      </c>
      <c r="C941" s="67" t="s">
        <v>204</v>
      </c>
      <c r="D941" s="69" t="s">
        <v>1150</v>
      </c>
      <c r="E941" s="69" t="s">
        <v>1151</v>
      </c>
      <c r="F941" s="69" t="s">
        <v>1152</v>
      </c>
    </row>
    <row r="942" spans="1:6" ht="22.5" x14ac:dyDescent="0.2">
      <c r="A942" s="65" t="s">
        <v>1153</v>
      </c>
      <c r="B942" s="65" t="s">
        <v>1154</v>
      </c>
      <c r="C942" s="67" t="s">
        <v>228</v>
      </c>
      <c r="D942" s="69" t="s">
        <v>1155</v>
      </c>
      <c r="E942" s="69" t="s">
        <v>1135</v>
      </c>
      <c r="F942" s="69" t="s">
        <v>1156</v>
      </c>
    </row>
    <row r="943" spans="1:6" x14ac:dyDescent="0.2">
      <c r="A943" s="50">
        <v>17.02</v>
      </c>
      <c r="B943" s="64" t="s">
        <v>1157</v>
      </c>
      <c r="C943" s="47"/>
      <c r="D943" s="47"/>
      <c r="E943" s="47"/>
      <c r="F943" s="47"/>
    </row>
    <row r="944" spans="1:6" x14ac:dyDescent="0.2">
      <c r="A944" s="65" t="s">
        <v>1158</v>
      </c>
      <c r="B944" s="65" t="s">
        <v>1159</v>
      </c>
      <c r="C944" s="67" t="s">
        <v>204</v>
      </c>
      <c r="D944" s="69" t="s">
        <v>1160</v>
      </c>
      <c r="E944" s="69" t="s">
        <v>1161</v>
      </c>
      <c r="F944" s="69" t="s">
        <v>1162</v>
      </c>
    </row>
    <row r="945" spans="1:6" x14ac:dyDescent="0.2">
      <c r="A945" s="65" t="s">
        <v>1163</v>
      </c>
      <c r="B945" s="65" t="s">
        <v>1164</v>
      </c>
      <c r="C945" s="67" t="s">
        <v>204</v>
      </c>
      <c r="D945" s="69" t="s">
        <v>1165</v>
      </c>
      <c r="E945" s="69" t="s">
        <v>1161</v>
      </c>
      <c r="F945" s="69" t="s">
        <v>292</v>
      </c>
    </row>
    <row r="946" spans="1:6" x14ac:dyDescent="0.2">
      <c r="A946" s="65" t="s">
        <v>1166</v>
      </c>
      <c r="B946" s="65" t="s">
        <v>1167</v>
      </c>
      <c r="C946" s="67" t="s">
        <v>204</v>
      </c>
      <c r="D946" s="69" t="s">
        <v>262</v>
      </c>
      <c r="E946" s="69" t="s">
        <v>1161</v>
      </c>
      <c r="F946" s="69" t="s">
        <v>1168</v>
      </c>
    </row>
    <row r="947" spans="1:6" x14ac:dyDescent="0.2">
      <c r="A947" s="65" t="s">
        <v>1169</v>
      </c>
      <c r="B947" s="65" t="s">
        <v>1170</v>
      </c>
      <c r="C947" s="67" t="s">
        <v>204</v>
      </c>
      <c r="D947" s="69" t="s">
        <v>1171</v>
      </c>
      <c r="E947" s="69" t="s">
        <v>404</v>
      </c>
      <c r="F947" s="69" t="s">
        <v>1172</v>
      </c>
    </row>
    <row r="948" spans="1:6" ht="22.5" x14ac:dyDescent="0.2">
      <c r="A948" s="65" t="s">
        <v>1173</v>
      </c>
      <c r="B948" s="65" t="s">
        <v>1174</v>
      </c>
      <c r="C948" s="67" t="s">
        <v>204</v>
      </c>
      <c r="D948" s="69" t="s">
        <v>1175</v>
      </c>
      <c r="E948" s="69" t="s">
        <v>1176</v>
      </c>
      <c r="F948" s="69" t="s">
        <v>1177</v>
      </c>
    </row>
    <row r="949" spans="1:6" x14ac:dyDescent="0.2">
      <c r="A949" s="65" t="s">
        <v>1178</v>
      </c>
      <c r="B949" s="65" t="s">
        <v>1179</v>
      </c>
      <c r="C949" s="67" t="s">
        <v>204</v>
      </c>
      <c r="D949" s="69" t="s">
        <v>1180</v>
      </c>
      <c r="E949" s="69" t="s">
        <v>1181</v>
      </c>
      <c r="F949" s="69" t="s">
        <v>1182</v>
      </c>
    </row>
    <row r="950" spans="1:6" ht="22.5" x14ac:dyDescent="0.2">
      <c r="A950" s="65" t="s">
        <v>1183</v>
      </c>
      <c r="B950" s="65" t="s">
        <v>1184</v>
      </c>
      <c r="C950" s="67" t="s">
        <v>204</v>
      </c>
      <c r="D950" s="69" t="s">
        <v>1180</v>
      </c>
      <c r="E950" s="69" t="s">
        <v>298</v>
      </c>
      <c r="F950" s="69" t="s">
        <v>1185</v>
      </c>
    </row>
    <row r="951" spans="1:6" ht="22.5" x14ac:dyDescent="0.2">
      <c r="A951" s="65" t="s">
        <v>1186</v>
      </c>
      <c r="B951" s="65" t="s">
        <v>1187</v>
      </c>
      <c r="C951" s="67" t="s">
        <v>204</v>
      </c>
      <c r="D951" s="69" t="s">
        <v>1188</v>
      </c>
      <c r="E951" s="69" t="s">
        <v>1189</v>
      </c>
      <c r="F951" s="69" t="s">
        <v>1190</v>
      </c>
    </row>
    <row r="952" spans="1:6" x14ac:dyDescent="0.2">
      <c r="A952" s="65" t="s">
        <v>1191</v>
      </c>
      <c r="B952" s="65" t="s">
        <v>1192</v>
      </c>
      <c r="C952" s="67" t="s">
        <v>204</v>
      </c>
      <c r="D952" s="69" t="s">
        <v>1193</v>
      </c>
      <c r="E952" s="69" t="s">
        <v>1189</v>
      </c>
      <c r="F952" s="69" t="s">
        <v>1194</v>
      </c>
    </row>
    <row r="953" spans="1:6" ht="22.5" x14ac:dyDescent="0.2">
      <c r="A953" s="65" t="s">
        <v>1195</v>
      </c>
      <c r="B953" s="65" t="s">
        <v>1196</v>
      </c>
      <c r="C953" s="67" t="s">
        <v>204</v>
      </c>
      <c r="D953" s="69" t="s">
        <v>1197</v>
      </c>
      <c r="E953" s="69" t="s">
        <v>839</v>
      </c>
      <c r="F953" s="69" t="s">
        <v>1198</v>
      </c>
    </row>
    <row r="954" spans="1:6" x14ac:dyDescent="0.2">
      <c r="A954" s="50">
        <v>17.03</v>
      </c>
      <c r="B954" s="64" t="s">
        <v>1199</v>
      </c>
      <c r="C954" s="47"/>
      <c r="D954" s="47"/>
      <c r="E954" s="47"/>
      <c r="F954" s="47"/>
    </row>
    <row r="955" spans="1:6" x14ac:dyDescent="0.2">
      <c r="A955" s="65" t="s">
        <v>1200</v>
      </c>
      <c r="B955" s="65" t="s">
        <v>1201</v>
      </c>
      <c r="C955" s="67" t="s">
        <v>204</v>
      </c>
      <c r="D955" s="69" t="s">
        <v>1202</v>
      </c>
      <c r="E955" s="69" t="s">
        <v>297</v>
      </c>
      <c r="F955" s="69" t="s">
        <v>1203</v>
      </c>
    </row>
    <row r="956" spans="1:6" ht="22.5" x14ac:dyDescent="0.2">
      <c r="A956" s="65" t="s">
        <v>1204</v>
      </c>
      <c r="B956" s="65" t="s">
        <v>1205</v>
      </c>
      <c r="C956" s="67" t="s">
        <v>204</v>
      </c>
      <c r="D956" s="69" t="s">
        <v>1206</v>
      </c>
      <c r="E956" s="69" t="s">
        <v>839</v>
      </c>
      <c r="F956" s="69" t="s">
        <v>1207</v>
      </c>
    </row>
    <row r="957" spans="1:6" ht="22.5" x14ac:dyDescent="0.2">
      <c r="A957" s="65" t="s">
        <v>1208</v>
      </c>
      <c r="B957" s="65" t="s">
        <v>1209</v>
      </c>
      <c r="C957" s="67" t="s">
        <v>204</v>
      </c>
      <c r="D957" s="69" t="s">
        <v>1210</v>
      </c>
      <c r="E957" s="69" t="s">
        <v>839</v>
      </c>
      <c r="F957" s="69" t="s">
        <v>1211</v>
      </c>
    </row>
    <row r="958" spans="1:6" x14ac:dyDescent="0.2">
      <c r="A958" s="65" t="s">
        <v>1212</v>
      </c>
      <c r="B958" s="65" t="s">
        <v>1213</v>
      </c>
      <c r="C958" s="67" t="s">
        <v>204</v>
      </c>
      <c r="D958" s="69" t="s">
        <v>1202</v>
      </c>
      <c r="E958" s="69" t="s">
        <v>298</v>
      </c>
      <c r="F958" s="69" t="s">
        <v>1214</v>
      </c>
    </row>
    <row r="959" spans="1:6" ht="22.5" x14ac:dyDescent="0.2">
      <c r="A959" s="65" t="s">
        <v>1215</v>
      </c>
      <c r="B959" s="65" t="s">
        <v>1216</v>
      </c>
      <c r="C959" s="67" t="s">
        <v>204</v>
      </c>
      <c r="D959" s="69" t="s">
        <v>1202</v>
      </c>
      <c r="E959" s="69" t="s">
        <v>309</v>
      </c>
      <c r="F959" s="69" t="s">
        <v>1217</v>
      </c>
    </row>
    <row r="960" spans="1:6" x14ac:dyDescent="0.2">
      <c r="A960" s="65" t="s">
        <v>1218</v>
      </c>
      <c r="B960" s="65" t="s">
        <v>1219</v>
      </c>
      <c r="C960" s="67" t="s">
        <v>221</v>
      </c>
      <c r="D960" s="69" t="s">
        <v>1220</v>
      </c>
      <c r="E960" s="69" t="s">
        <v>1221</v>
      </c>
      <c r="F960" s="69" t="s">
        <v>1222</v>
      </c>
    </row>
    <row r="961" spans="1:6" ht="33.75" x14ac:dyDescent="0.2">
      <c r="A961" s="65" t="s">
        <v>1223</v>
      </c>
      <c r="B961" s="65" t="s">
        <v>1224</v>
      </c>
      <c r="C961" s="67" t="s">
        <v>221</v>
      </c>
      <c r="D961" s="69" t="s">
        <v>1225</v>
      </c>
      <c r="E961" s="69" t="s">
        <v>1226</v>
      </c>
      <c r="F961" s="69" t="s">
        <v>1227</v>
      </c>
    </row>
    <row r="962" spans="1:6" ht="33.75" x14ac:dyDescent="0.2">
      <c r="A962" s="65" t="s">
        <v>1228</v>
      </c>
      <c r="B962" s="65" t="s">
        <v>1229</v>
      </c>
      <c r="C962" s="67" t="s">
        <v>221</v>
      </c>
      <c r="D962" s="69" t="s">
        <v>1230</v>
      </c>
      <c r="E962" s="69" t="s">
        <v>1226</v>
      </c>
      <c r="F962" s="69" t="s">
        <v>360</v>
      </c>
    </row>
    <row r="963" spans="1:6" ht="33.75" x14ac:dyDescent="0.2">
      <c r="A963" s="65" t="s">
        <v>1231</v>
      </c>
      <c r="B963" s="65" t="s">
        <v>1232</v>
      </c>
      <c r="C963" s="67" t="s">
        <v>221</v>
      </c>
      <c r="D963" s="69" t="s">
        <v>1233</v>
      </c>
      <c r="E963" s="69" t="s">
        <v>1226</v>
      </c>
      <c r="F963" s="69" t="s">
        <v>1234</v>
      </c>
    </row>
    <row r="964" spans="1:6" ht="33.75" x14ac:dyDescent="0.2">
      <c r="A964" s="65" t="s">
        <v>1235</v>
      </c>
      <c r="B964" s="65" t="s">
        <v>1236</v>
      </c>
      <c r="C964" s="67" t="s">
        <v>221</v>
      </c>
      <c r="D964" s="69" t="s">
        <v>1237</v>
      </c>
      <c r="E964" s="69" t="s">
        <v>1226</v>
      </c>
      <c r="F964" s="69" t="s">
        <v>1238</v>
      </c>
    </row>
    <row r="965" spans="1:6" x14ac:dyDescent="0.2">
      <c r="A965" s="50">
        <v>17.04</v>
      </c>
      <c r="B965" s="64" t="s">
        <v>1239</v>
      </c>
      <c r="C965" s="47"/>
      <c r="D965" s="47"/>
      <c r="E965" s="47"/>
      <c r="F965" s="47"/>
    </row>
    <row r="966" spans="1:6" ht="22.5" x14ac:dyDescent="0.2">
      <c r="A966" s="65" t="s">
        <v>1240</v>
      </c>
      <c r="B966" s="65" t="s">
        <v>1241</v>
      </c>
      <c r="C966" s="67" t="s">
        <v>204</v>
      </c>
      <c r="D966" s="69" t="s">
        <v>227</v>
      </c>
      <c r="E966" s="69" t="s">
        <v>1242</v>
      </c>
      <c r="F966" s="69" t="s">
        <v>1243</v>
      </c>
    </row>
    <row r="967" spans="1:6" ht="22.5" x14ac:dyDescent="0.2">
      <c r="A967" s="65" t="s">
        <v>1244</v>
      </c>
      <c r="B967" s="65" t="s">
        <v>1245</v>
      </c>
      <c r="C967" s="67" t="s">
        <v>204</v>
      </c>
      <c r="D967" s="69" t="s">
        <v>1246</v>
      </c>
      <c r="E967" s="69" t="s">
        <v>1242</v>
      </c>
      <c r="F967" s="69" t="s">
        <v>346</v>
      </c>
    </row>
    <row r="968" spans="1:6" x14ac:dyDescent="0.2">
      <c r="A968" s="50">
        <v>17.05</v>
      </c>
      <c r="B968" s="64" t="s">
        <v>1247</v>
      </c>
      <c r="C968" s="47"/>
      <c r="D968" s="47"/>
      <c r="E968" s="47"/>
      <c r="F968" s="47"/>
    </row>
    <row r="969" spans="1:6" ht="22.5" x14ac:dyDescent="0.2">
      <c r="A969" s="65" t="s">
        <v>1248</v>
      </c>
      <c r="B969" s="65" t="s">
        <v>1249</v>
      </c>
      <c r="C969" s="67" t="s">
        <v>228</v>
      </c>
      <c r="D969" s="69" t="s">
        <v>1250</v>
      </c>
      <c r="E969" s="69" t="s">
        <v>1251</v>
      </c>
      <c r="F969" s="69" t="s">
        <v>1252</v>
      </c>
    </row>
    <row r="970" spans="1:6" ht="33.75" x14ac:dyDescent="0.2">
      <c r="A970" s="65" t="s">
        <v>1253</v>
      </c>
      <c r="B970" s="65" t="s">
        <v>1254</v>
      </c>
      <c r="C970" s="67" t="s">
        <v>228</v>
      </c>
      <c r="D970" s="69" t="s">
        <v>1255</v>
      </c>
      <c r="E970" s="69" t="s">
        <v>1251</v>
      </c>
      <c r="F970" s="69" t="s">
        <v>1256</v>
      </c>
    </row>
    <row r="971" spans="1:6" ht="33.75" x14ac:dyDescent="0.2">
      <c r="A971" s="65" t="s">
        <v>1257</v>
      </c>
      <c r="B971" s="65" t="s">
        <v>1258</v>
      </c>
      <c r="C971" s="67" t="s">
        <v>228</v>
      </c>
      <c r="D971" s="69" t="s">
        <v>1259</v>
      </c>
      <c r="E971" s="69" t="s">
        <v>1251</v>
      </c>
      <c r="F971" s="69" t="s">
        <v>1260</v>
      </c>
    </row>
    <row r="972" spans="1:6" x14ac:dyDescent="0.2">
      <c r="A972" s="65" t="s">
        <v>1261</v>
      </c>
      <c r="B972" s="65" t="s">
        <v>1262</v>
      </c>
      <c r="C972" s="67" t="s">
        <v>221</v>
      </c>
      <c r="D972" s="69" t="s">
        <v>1263</v>
      </c>
      <c r="E972" s="69" t="s">
        <v>1264</v>
      </c>
      <c r="F972" s="69" t="s">
        <v>1265</v>
      </c>
    </row>
    <row r="973" spans="1:6" x14ac:dyDescent="0.2">
      <c r="A973" s="65" t="s">
        <v>1266</v>
      </c>
      <c r="B973" s="65" t="s">
        <v>1267</v>
      </c>
      <c r="C973" s="67" t="s">
        <v>221</v>
      </c>
      <c r="D973" s="69" t="s">
        <v>1268</v>
      </c>
      <c r="E973" s="69" t="s">
        <v>1269</v>
      </c>
      <c r="F973" s="69" t="s">
        <v>1270</v>
      </c>
    </row>
    <row r="974" spans="1:6" ht="22.5" x14ac:dyDescent="0.2">
      <c r="A974" s="50">
        <v>17.100000000000001</v>
      </c>
      <c r="B974" s="64" t="s">
        <v>1271</v>
      </c>
      <c r="C974" s="47"/>
      <c r="D974" s="47"/>
      <c r="E974" s="47"/>
      <c r="F974" s="47"/>
    </row>
    <row r="975" spans="1:6" ht="22.5" x14ac:dyDescent="0.2">
      <c r="A975" s="65" t="s">
        <v>1272</v>
      </c>
      <c r="B975" s="65" t="s">
        <v>1273</v>
      </c>
      <c r="C975" s="67" t="s">
        <v>204</v>
      </c>
      <c r="D975" s="69" t="s">
        <v>1274</v>
      </c>
      <c r="E975" s="69" t="s">
        <v>273</v>
      </c>
      <c r="F975" s="69" t="s">
        <v>1275</v>
      </c>
    </row>
    <row r="976" spans="1:6" ht="22.5" x14ac:dyDescent="0.2">
      <c r="A976" s="65" t="s">
        <v>1276</v>
      </c>
      <c r="B976" s="65" t="s">
        <v>1277</v>
      </c>
      <c r="C976" s="67" t="s">
        <v>221</v>
      </c>
      <c r="D976" s="69" t="s">
        <v>1278</v>
      </c>
      <c r="E976" s="69" t="s">
        <v>243</v>
      </c>
      <c r="F976" s="69" t="s">
        <v>1279</v>
      </c>
    </row>
    <row r="977" spans="1:6" ht="22.5" x14ac:dyDescent="0.2">
      <c r="A977" s="65" t="s">
        <v>1280</v>
      </c>
      <c r="B977" s="65" t="s">
        <v>1281</v>
      </c>
      <c r="C977" s="67" t="s">
        <v>221</v>
      </c>
      <c r="D977" s="69" t="s">
        <v>1282</v>
      </c>
      <c r="E977" s="69" t="s">
        <v>1233</v>
      </c>
      <c r="F977" s="69" t="s">
        <v>1283</v>
      </c>
    </row>
    <row r="978" spans="1:6" ht="22.5" x14ac:dyDescent="0.2">
      <c r="A978" s="65" t="s">
        <v>1284</v>
      </c>
      <c r="B978" s="65" t="s">
        <v>1285</v>
      </c>
      <c r="C978" s="67" t="s">
        <v>221</v>
      </c>
      <c r="D978" s="69" t="s">
        <v>1286</v>
      </c>
      <c r="E978" s="69" t="s">
        <v>249</v>
      </c>
      <c r="F978" s="69" t="s">
        <v>1287</v>
      </c>
    </row>
    <row r="979" spans="1:6" ht="45" x14ac:dyDescent="0.2">
      <c r="A979" s="65" t="s">
        <v>1288</v>
      </c>
      <c r="B979" s="66" t="s">
        <v>1289</v>
      </c>
      <c r="C979" s="67" t="s">
        <v>221</v>
      </c>
      <c r="D979" s="69" t="s">
        <v>1290</v>
      </c>
      <c r="E979" s="69" t="s">
        <v>207</v>
      </c>
      <c r="F979" s="69" t="s">
        <v>1291</v>
      </c>
    </row>
    <row r="980" spans="1:6" ht="22.5" x14ac:dyDescent="0.2">
      <c r="A980" s="65" t="s">
        <v>1292</v>
      </c>
      <c r="B980" s="65" t="s">
        <v>1293</v>
      </c>
      <c r="C980" s="67" t="s">
        <v>204</v>
      </c>
      <c r="D980" s="69" t="s">
        <v>1294</v>
      </c>
      <c r="E980" s="69" t="s">
        <v>256</v>
      </c>
      <c r="F980" s="69" t="s">
        <v>1295</v>
      </c>
    </row>
    <row r="981" spans="1:6" ht="22.5" x14ac:dyDescent="0.2">
      <c r="A981" s="50">
        <v>17.12</v>
      </c>
      <c r="B981" s="64" t="s">
        <v>1296</v>
      </c>
      <c r="C981" s="47"/>
      <c r="D981" s="47"/>
      <c r="E981" s="47"/>
      <c r="F981" s="47"/>
    </row>
    <row r="982" spans="1:6" ht="22.5" x14ac:dyDescent="0.2">
      <c r="A982" s="65" t="s">
        <v>1297</v>
      </c>
      <c r="B982" s="65" t="s">
        <v>1298</v>
      </c>
      <c r="C982" s="67" t="s">
        <v>204</v>
      </c>
      <c r="D982" s="69" t="s">
        <v>1299</v>
      </c>
      <c r="E982" s="69" t="s">
        <v>273</v>
      </c>
      <c r="F982" s="69" t="s">
        <v>1300</v>
      </c>
    </row>
    <row r="983" spans="1:6" ht="22.5" x14ac:dyDescent="0.2">
      <c r="A983" s="65" t="s">
        <v>1301</v>
      </c>
      <c r="B983" s="65" t="s">
        <v>1302</v>
      </c>
      <c r="C983" s="67" t="s">
        <v>221</v>
      </c>
      <c r="D983" s="69" t="s">
        <v>1303</v>
      </c>
      <c r="E983" s="69" t="s">
        <v>243</v>
      </c>
      <c r="F983" s="69" t="s">
        <v>1304</v>
      </c>
    </row>
    <row r="984" spans="1:6" x14ac:dyDescent="0.2">
      <c r="A984" s="65" t="s">
        <v>1305</v>
      </c>
      <c r="B984" s="65" t="s">
        <v>1306</v>
      </c>
      <c r="C984" s="67" t="s">
        <v>221</v>
      </c>
      <c r="D984" s="69" t="s">
        <v>1307</v>
      </c>
      <c r="E984" s="69" t="s">
        <v>1233</v>
      </c>
      <c r="F984" s="69" t="s">
        <v>1308</v>
      </c>
    </row>
    <row r="985" spans="1:6" ht="22.5" x14ac:dyDescent="0.2">
      <c r="A985" s="65" t="s">
        <v>1309</v>
      </c>
      <c r="B985" s="65" t="s">
        <v>1310</v>
      </c>
      <c r="C985" s="67" t="s">
        <v>221</v>
      </c>
      <c r="D985" s="69" t="s">
        <v>1311</v>
      </c>
      <c r="E985" s="69" t="s">
        <v>1233</v>
      </c>
      <c r="F985" s="69" t="s">
        <v>1312</v>
      </c>
    </row>
    <row r="986" spans="1:6" ht="33.75" x14ac:dyDescent="0.2">
      <c r="A986" s="65" t="s">
        <v>1313</v>
      </c>
      <c r="B986" s="65" t="s">
        <v>1314</v>
      </c>
      <c r="C986" s="67" t="s">
        <v>221</v>
      </c>
      <c r="D986" s="69" t="s">
        <v>1315</v>
      </c>
      <c r="E986" s="69" t="s">
        <v>249</v>
      </c>
      <c r="F986" s="69" t="s">
        <v>1316</v>
      </c>
    </row>
    <row r="987" spans="1:6" ht="22.5" x14ac:dyDescent="0.2">
      <c r="A987" s="50">
        <v>17.2</v>
      </c>
      <c r="B987" s="64" t="s">
        <v>1317</v>
      </c>
      <c r="C987" s="47"/>
      <c r="D987" s="47"/>
      <c r="E987" s="47"/>
      <c r="F987" s="47"/>
    </row>
    <row r="988" spans="1:6" x14ac:dyDescent="0.2">
      <c r="A988" s="65" t="s">
        <v>1318</v>
      </c>
      <c r="B988" s="65" t="s">
        <v>1319</v>
      </c>
      <c r="C988" s="67" t="s">
        <v>204</v>
      </c>
      <c r="D988" s="69" t="s">
        <v>1320</v>
      </c>
      <c r="E988" s="69" t="s">
        <v>412</v>
      </c>
      <c r="F988" s="69" t="s">
        <v>1321</v>
      </c>
    </row>
    <row r="989" spans="1:6" ht="45" x14ac:dyDescent="0.2">
      <c r="A989" s="65" t="s">
        <v>1322</v>
      </c>
      <c r="B989" s="66" t="s">
        <v>1323</v>
      </c>
      <c r="C989" s="67" t="s">
        <v>221</v>
      </c>
      <c r="D989" s="69" t="s">
        <v>1324</v>
      </c>
      <c r="E989" s="69" t="s">
        <v>303</v>
      </c>
      <c r="F989" s="69" t="s">
        <v>1325</v>
      </c>
    </row>
    <row r="990" spans="1:6" ht="45" x14ac:dyDescent="0.2">
      <c r="A990" s="65" t="s">
        <v>1326</v>
      </c>
      <c r="B990" s="66" t="s">
        <v>1327</v>
      </c>
      <c r="C990" s="67" t="s">
        <v>221</v>
      </c>
      <c r="D990" s="69" t="s">
        <v>1194</v>
      </c>
      <c r="E990" s="68"/>
      <c r="F990" s="69" t="s">
        <v>1194</v>
      </c>
    </row>
    <row r="991" spans="1:6" ht="22.5" x14ac:dyDescent="0.2">
      <c r="A991" s="65" t="s">
        <v>1328</v>
      </c>
      <c r="B991" s="65" t="s">
        <v>1329</v>
      </c>
      <c r="C991" s="67" t="s">
        <v>204</v>
      </c>
      <c r="D991" s="69" t="s">
        <v>1330</v>
      </c>
      <c r="E991" s="69" t="s">
        <v>303</v>
      </c>
      <c r="F991" s="69" t="s">
        <v>1331</v>
      </c>
    </row>
    <row r="992" spans="1:6" ht="33.75" x14ac:dyDescent="0.2">
      <c r="A992" s="65" t="s">
        <v>1332</v>
      </c>
      <c r="B992" s="65" t="s">
        <v>1333</v>
      </c>
      <c r="C992" s="67" t="s">
        <v>204</v>
      </c>
      <c r="D992" s="69" t="s">
        <v>1334</v>
      </c>
      <c r="E992" s="69" t="s">
        <v>1335</v>
      </c>
      <c r="F992" s="69" t="s">
        <v>1336</v>
      </c>
    </row>
    <row r="993" spans="1:6" ht="22.5" x14ac:dyDescent="0.2">
      <c r="A993" s="50">
        <v>17.399999999999999</v>
      </c>
      <c r="B993" s="64" t="s">
        <v>1337</v>
      </c>
      <c r="C993" s="47"/>
      <c r="D993" s="47"/>
      <c r="E993" s="47"/>
      <c r="F993" s="47"/>
    </row>
    <row r="994" spans="1:6" ht="22.5" x14ac:dyDescent="0.2">
      <c r="A994" s="65" t="s">
        <v>1338</v>
      </c>
      <c r="B994" s="65" t="s">
        <v>1339</v>
      </c>
      <c r="C994" s="67" t="s">
        <v>204</v>
      </c>
      <c r="D994" s="69" t="s">
        <v>1340</v>
      </c>
      <c r="E994" s="73"/>
      <c r="F994" s="69" t="s">
        <v>1340</v>
      </c>
    </row>
    <row r="995" spans="1:6" ht="45" x14ac:dyDescent="0.2">
      <c r="A995" s="65" t="s">
        <v>1341</v>
      </c>
      <c r="B995" s="66" t="s">
        <v>1342</v>
      </c>
      <c r="C995" s="67" t="s">
        <v>204</v>
      </c>
      <c r="D995" s="69" t="s">
        <v>1343</v>
      </c>
      <c r="E995" s="68"/>
      <c r="F995" s="69" t="s">
        <v>1343</v>
      </c>
    </row>
    <row r="996" spans="1:6" ht="33.75" x14ac:dyDescent="0.2">
      <c r="A996" s="65" t="s">
        <v>1344</v>
      </c>
      <c r="B996" s="65" t="s">
        <v>1345</v>
      </c>
      <c r="C996" s="67" t="s">
        <v>221</v>
      </c>
      <c r="D996" s="69" t="s">
        <v>1346</v>
      </c>
      <c r="E996" s="68"/>
      <c r="F996" s="69" t="s">
        <v>1346</v>
      </c>
    </row>
    <row r="997" spans="1:6" ht="22.5" x14ac:dyDescent="0.2">
      <c r="A997" s="65" t="s">
        <v>1347</v>
      </c>
      <c r="B997" s="65" t="s">
        <v>1348</v>
      </c>
      <c r="C997" s="67" t="s">
        <v>221</v>
      </c>
      <c r="D997" s="69" t="s">
        <v>1349</v>
      </c>
      <c r="E997" s="73"/>
      <c r="F997" s="69" t="s">
        <v>1349</v>
      </c>
    </row>
    <row r="998" spans="1:6" ht="33.75" x14ac:dyDescent="0.2">
      <c r="A998" s="65" t="s">
        <v>1350</v>
      </c>
      <c r="B998" s="65" t="s">
        <v>1351</v>
      </c>
      <c r="C998" s="67" t="s">
        <v>221</v>
      </c>
      <c r="D998" s="68"/>
      <c r="E998" s="69" t="s">
        <v>224</v>
      </c>
      <c r="F998" s="69" t="s">
        <v>224</v>
      </c>
    </row>
    <row r="999" spans="1:6" ht="22.5" x14ac:dyDescent="0.2">
      <c r="A999" s="65" t="s">
        <v>1352</v>
      </c>
      <c r="B999" s="65" t="s">
        <v>1353</v>
      </c>
      <c r="C999" s="67" t="s">
        <v>204</v>
      </c>
      <c r="D999" s="69" t="s">
        <v>1354</v>
      </c>
      <c r="E999" s="69" t="s">
        <v>1355</v>
      </c>
      <c r="F999" s="69" t="s">
        <v>1356</v>
      </c>
    </row>
    <row r="1000" spans="1:6" ht="22.5" x14ac:dyDescent="0.2">
      <c r="A1000" s="65" t="s">
        <v>1357</v>
      </c>
      <c r="B1000" s="65" t="s">
        <v>1358</v>
      </c>
      <c r="C1000" s="67" t="s">
        <v>204</v>
      </c>
      <c r="D1000" s="69" t="s">
        <v>1359</v>
      </c>
      <c r="E1000" s="69" t="s">
        <v>1355</v>
      </c>
      <c r="F1000" s="69" t="s">
        <v>1360</v>
      </c>
    </row>
    <row r="1001" spans="1:6" ht="22.5" x14ac:dyDescent="0.2">
      <c r="A1001" s="65" t="s">
        <v>1361</v>
      </c>
      <c r="B1001" s="65" t="s">
        <v>1362</v>
      </c>
      <c r="C1001" s="67" t="s">
        <v>221</v>
      </c>
      <c r="D1001" s="69" t="s">
        <v>1363</v>
      </c>
      <c r="E1001" s="69" t="s">
        <v>1364</v>
      </c>
      <c r="F1001" s="69" t="s">
        <v>1365</v>
      </c>
    </row>
    <row r="1002" spans="1:6" ht="22.5" x14ac:dyDescent="0.2">
      <c r="A1002" s="65" t="s">
        <v>1366</v>
      </c>
      <c r="B1002" s="65" t="s">
        <v>1367</v>
      </c>
      <c r="C1002" s="67" t="s">
        <v>221</v>
      </c>
      <c r="D1002" s="69" t="s">
        <v>1368</v>
      </c>
      <c r="E1002" s="69" t="s">
        <v>1364</v>
      </c>
      <c r="F1002" s="69" t="s">
        <v>1369</v>
      </c>
    </row>
    <row r="1003" spans="1:6" x14ac:dyDescent="0.2">
      <c r="A1003" s="49">
        <v>18</v>
      </c>
      <c r="B1003" s="64" t="s">
        <v>1370</v>
      </c>
      <c r="C1003" s="47"/>
      <c r="D1003" s="47"/>
      <c r="E1003" s="47"/>
      <c r="F1003" s="47"/>
    </row>
    <row r="1004" spans="1:6" ht="22.5" x14ac:dyDescent="0.2">
      <c r="A1004" s="50">
        <v>18.05</v>
      </c>
      <c r="B1004" s="64" t="s">
        <v>1371</v>
      </c>
      <c r="C1004" s="47"/>
      <c r="D1004" s="47"/>
      <c r="E1004" s="47"/>
      <c r="F1004" s="47"/>
    </row>
    <row r="1005" spans="1:6" ht="45" x14ac:dyDescent="0.2">
      <c r="A1005" s="65" t="s">
        <v>1372</v>
      </c>
      <c r="B1005" s="66" t="s">
        <v>1373</v>
      </c>
      <c r="C1005" s="67" t="s">
        <v>204</v>
      </c>
      <c r="D1005" s="69" t="s">
        <v>1374</v>
      </c>
      <c r="E1005" s="69" t="s">
        <v>1375</v>
      </c>
      <c r="F1005" s="69" t="s">
        <v>1376</v>
      </c>
    </row>
    <row r="1006" spans="1:6" ht="22.5" x14ac:dyDescent="0.2">
      <c r="A1006" s="50">
        <v>18.059999999999999</v>
      </c>
      <c r="B1006" s="64" t="s">
        <v>1377</v>
      </c>
      <c r="C1006" s="47"/>
      <c r="D1006" s="47"/>
      <c r="E1006" s="47"/>
      <c r="F1006" s="47"/>
    </row>
    <row r="1007" spans="1:6" ht="67.5" x14ac:dyDescent="0.2">
      <c r="A1007" s="70" t="s">
        <v>1378</v>
      </c>
      <c r="B1007" s="66" t="s">
        <v>1379</v>
      </c>
      <c r="C1007" s="71" t="s">
        <v>204</v>
      </c>
      <c r="D1007" s="72" t="s">
        <v>1380</v>
      </c>
      <c r="E1007" s="72" t="s">
        <v>1381</v>
      </c>
      <c r="F1007" s="72" t="s">
        <v>1382</v>
      </c>
    </row>
    <row r="1008" spans="1:6" ht="78.75" x14ac:dyDescent="0.2">
      <c r="A1008" s="70" t="s">
        <v>1383</v>
      </c>
      <c r="B1008" s="66" t="s">
        <v>1384</v>
      </c>
      <c r="C1008" s="71" t="s">
        <v>221</v>
      </c>
      <c r="D1008" s="72" t="s">
        <v>1385</v>
      </c>
      <c r="E1008" s="72" t="s">
        <v>1386</v>
      </c>
      <c r="F1008" s="72" t="s">
        <v>1176</v>
      </c>
    </row>
    <row r="1009" spans="1:6" ht="78.75" x14ac:dyDescent="0.2">
      <c r="A1009" s="65" t="s">
        <v>1387</v>
      </c>
      <c r="B1009" s="65" t="s">
        <v>1388</v>
      </c>
      <c r="C1009" s="67" t="s">
        <v>204</v>
      </c>
      <c r="D1009" s="69" t="s">
        <v>1389</v>
      </c>
      <c r="E1009" s="69" t="s">
        <v>1381</v>
      </c>
      <c r="F1009" s="69" t="s">
        <v>1390</v>
      </c>
    </row>
    <row r="1010" spans="1:6" ht="90" x14ac:dyDescent="0.2">
      <c r="A1010" s="65" t="s">
        <v>1391</v>
      </c>
      <c r="B1010" s="65" t="s">
        <v>1392</v>
      </c>
      <c r="C1010" s="67" t="s">
        <v>221</v>
      </c>
      <c r="D1010" s="69" t="s">
        <v>1393</v>
      </c>
      <c r="E1010" s="69" t="s">
        <v>1386</v>
      </c>
      <c r="F1010" s="69" t="s">
        <v>1394</v>
      </c>
    </row>
    <row r="1011" spans="1:6" ht="78.75" x14ac:dyDescent="0.2">
      <c r="A1011" s="70" t="s">
        <v>1395</v>
      </c>
      <c r="B1011" s="66" t="s">
        <v>1396</v>
      </c>
      <c r="C1011" s="71" t="s">
        <v>204</v>
      </c>
      <c r="D1011" s="72" t="s">
        <v>1397</v>
      </c>
      <c r="E1011" s="72" t="s">
        <v>1381</v>
      </c>
      <c r="F1011" s="72" t="s">
        <v>1398</v>
      </c>
    </row>
    <row r="1012" spans="1:6" ht="78.75" x14ac:dyDescent="0.2">
      <c r="A1012" s="65" t="s">
        <v>1399</v>
      </c>
      <c r="B1012" s="65" t="s">
        <v>1400</v>
      </c>
      <c r="C1012" s="67" t="s">
        <v>221</v>
      </c>
      <c r="D1012" s="69" t="s">
        <v>1401</v>
      </c>
      <c r="E1012" s="69" t="s">
        <v>1386</v>
      </c>
      <c r="F1012" s="69" t="s">
        <v>1220</v>
      </c>
    </row>
    <row r="1013" spans="1:6" ht="33.75" x14ac:dyDescent="0.2">
      <c r="A1013" s="65" t="s">
        <v>1402</v>
      </c>
      <c r="B1013" s="65" t="s">
        <v>1403</v>
      </c>
      <c r="C1013" s="67" t="s">
        <v>204</v>
      </c>
      <c r="D1013" s="69" t="s">
        <v>1404</v>
      </c>
      <c r="E1013" s="69" t="s">
        <v>1405</v>
      </c>
      <c r="F1013" s="69" t="s">
        <v>1406</v>
      </c>
    </row>
    <row r="1014" spans="1:6" ht="45" x14ac:dyDescent="0.2">
      <c r="A1014" s="65" t="s">
        <v>1407</v>
      </c>
      <c r="B1014" s="66" t="s">
        <v>1408</v>
      </c>
      <c r="C1014" s="67" t="s">
        <v>204</v>
      </c>
      <c r="D1014" s="69" t="s">
        <v>1409</v>
      </c>
      <c r="E1014" s="69" t="s">
        <v>1410</v>
      </c>
      <c r="F1014" s="69" t="s">
        <v>1411</v>
      </c>
    </row>
    <row r="1015" spans="1:6" ht="56.25" x14ac:dyDescent="0.2">
      <c r="A1015" s="65" t="s">
        <v>1412</v>
      </c>
      <c r="B1015" s="66" t="s">
        <v>1413</v>
      </c>
      <c r="C1015" s="67" t="s">
        <v>204</v>
      </c>
      <c r="D1015" s="69" t="s">
        <v>1414</v>
      </c>
      <c r="E1015" s="69" t="s">
        <v>1410</v>
      </c>
      <c r="F1015" s="69" t="s">
        <v>1415</v>
      </c>
    </row>
    <row r="1016" spans="1:6" ht="45" x14ac:dyDescent="0.2">
      <c r="A1016" s="65" t="s">
        <v>1416</v>
      </c>
      <c r="B1016" s="66" t="s">
        <v>1417</v>
      </c>
      <c r="C1016" s="67" t="s">
        <v>204</v>
      </c>
      <c r="D1016" s="69" t="s">
        <v>1418</v>
      </c>
      <c r="E1016" s="69" t="s">
        <v>1410</v>
      </c>
      <c r="F1016" s="69" t="s">
        <v>1419</v>
      </c>
    </row>
    <row r="1017" spans="1:6" ht="56.25" x14ac:dyDescent="0.2">
      <c r="A1017" s="65" t="s">
        <v>1420</v>
      </c>
      <c r="B1017" s="66" t="s">
        <v>1421</v>
      </c>
      <c r="C1017" s="67" t="s">
        <v>204</v>
      </c>
      <c r="D1017" s="69" t="s">
        <v>373</v>
      </c>
      <c r="E1017" s="69" t="s">
        <v>1410</v>
      </c>
      <c r="F1017" s="69" t="s">
        <v>1422</v>
      </c>
    </row>
    <row r="1018" spans="1:6" ht="56.25" x14ac:dyDescent="0.2">
      <c r="A1018" s="65" t="s">
        <v>1423</v>
      </c>
      <c r="B1018" s="66" t="s">
        <v>1424</v>
      </c>
      <c r="C1018" s="67" t="s">
        <v>221</v>
      </c>
      <c r="D1018" s="69" t="s">
        <v>374</v>
      </c>
      <c r="E1018" s="69" t="s">
        <v>215</v>
      </c>
      <c r="F1018" s="69" t="s">
        <v>1425</v>
      </c>
    </row>
    <row r="1019" spans="1:6" ht="56.25" x14ac:dyDescent="0.2">
      <c r="A1019" s="70" t="s">
        <v>1426</v>
      </c>
      <c r="B1019" s="65" t="s">
        <v>1427</v>
      </c>
      <c r="C1019" s="71" t="s">
        <v>221</v>
      </c>
      <c r="D1019" s="72" t="s">
        <v>1428</v>
      </c>
      <c r="E1019" s="72" t="s">
        <v>215</v>
      </c>
      <c r="F1019" s="72" t="s">
        <v>1429</v>
      </c>
    </row>
    <row r="1020" spans="1:6" ht="56.25" x14ac:dyDescent="0.2">
      <c r="A1020" s="65" t="s">
        <v>1430</v>
      </c>
      <c r="B1020" s="66" t="s">
        <v>1431</v>
      </c>
      <c r="C1020" s="67" t="s">
        <v>221</v>
      </c>
      <c r="D1020" s="69" t="s">
        <v>216</v>
      </c>
      <c r="E1020" s="69" t="s">
        <v>215</v>
      </c>
      <c r="F1020" s="69" t="s">
        <v>1432</v>
      </c>
    </row>
    <row r="1021" spans="1:6" ht="67.5" x14ac:dyDescent="0.2">
      <c r="A1021" s="70" t="s">
        <v>1433</v>
      </c>
      <c r="B1021" s="66" t="s">
        <v>1434</v>
      </c>
      <c r="C1021" s="71" t="s">
        <v>221</v>
      </c>
      <c r="D1021" s="72" t="s">
        <v>214</v>
      </c>
      <c r="E1021" s="72" t="s">
        <v>215</v>
      </c>
      <c r="F1021" s="72" t="s">
        <v>1435</v>
      </c>
    </row>
    <row r="1022" spans="1:6" ht="22.5" x14ac:dyDescent="0.2">
      <c r="A1022" s="50">
        <v>18.07</v>
      </c>
      <c r="B1022" s="64" t="s">
        <v>1436</v>
      </c>
      <c r="C1022" s="47"/>
      <c r="D1022" s="47"/>
      <c r="E1022" s="47"/>
      <c r="F1022" s="47"/>
    </row>
    <row r="1023" spans="1:6" ht="78.75" x14ac:dyDescent="0.2">
      <c r="A1023" s="70" t="s">
        <v>1437</v>
      </c>
      <c r="B1023" s="66" t="s">
        <v>1438</v>
      </c>
      <c r="C1023" s="71" t="s">
        <v>204</v>
      </c>
      <c r="D1023" s="72" t="s">
        <v>1439</v>
      </c>
      <c r="E1023" s="72" t="s">
        <v>1381</v>
      </c>
      <c r="F1023" s="72" t="s">
        <v>1440</v>
      </c>
    </row>
    <row r="1024" spans="1:6" ht="67.5" x14ac:dyDescent="0.2">
      <c r="A1024" s="70" t="s">
        <v>1441</v>
      </c>
      <c r="B1024" s="66" t="s">
        <v>1442</v>
      </c>
      <c r="C1024" s="71" t="s">
        <v>204</v>
      </c>
      <c r="D1024" s="72" t="s">
        <v>1443</v>
      </c>
      <c r="E1024" s="72" t="s">
        <v>1381</v>
      </c>
      <c r="F1024" s="72" t="s">
        <v>1444</v>
      </c>
    </row>
    <row r="1025" spans="1:6" ht="78.75" x14ac:dyDescent="0.2">
      <c r="A1025" s="70" t="s">
        <v>1445</v>
      </c>
      <c r="B1025" s="66" t="s">
        <v>1446</v>
      </c>
      <c r="C1025" s="71" t="s">
        <v>204</v>
      </c>
      <c r="D1025" s="72" t="s">
        <v>1447</v>
      </c>
      <c r="E1025" s="72" t="s">
        <v>1381</v>
      </c>
      <c r="F1025" s="72" t="s">
        <v>1448</v>
      </c>
    </row>
    <row r="1026" spans="1:6" ht="78.75" x14ac:dyDescent="0.2">
      <c r="A1026" s="70" t="s">
        <v>1449</v>
      </c>
      <c r="B1026" s="66" t="s">
        <v>1450</v>
      </c>
      <c r="C1026" s="71" t="s">
        <v>221</v>
      </c>
      <c r="D1026" s="72" t="s">
        <v>1451</v>
      </c>
      <c r="E1026" s="72" t="s">
        <v>277</v>
      </c>
      <c r="F1026" s="72" t="s">
        <v>1452</v>
      </c>
    </row>
    <row r="1027" spans="1:6" ht="90" x14ac:dyDescent="0.2">
      <c r="A1027" s="65" t="s">
        <v>1453</v>
      </c>
      <c r="B1027" s="66" t="s">
        <v>1454</v>
      </c>
      <c r="C1027" s="67" t="s">
        <v>204</v>
      </c>
      <c r="D1027" s="69" t="s">
        <v>1455</v>
      </c>
      <c r="E1027" s="69" t="s">
        <v>1381</v>
      </c>
      <c r="F1027" s="69" t="s">
        <v>1456</v>
      </c>
    </row>
    <row r="1028" spans="1:6" ht="90" x14ac:dyDescent="0.2">
      <c r="A1028" s="65" t="s">
        <v>1457</v>
      </c>
      <c r="B1028" s="66" t="s">
        <v>1458</v>
      </c>
      <c r="C1028" s="67" t="s">
        <v>221</v>
      </c>
      <c r="D1028" s="69" t="s">
        <v>1459</v>
      </c>
      <c r="E1028" s="69" t="s">
        <v>277</v>
      </c>
      <c r="F1028" s="69" t="s">
        <v>1460</v>
      </c>
    </row>
    <row r="1029" spans="1:6" ht="67.5" x14ac:dyDescent="0.2">
      <c r="A1029" s="70" t="s">
        <v>1461</v>
      </c>
      <c r="B1029" s="66" t="s">
        <v>1462</v>
      </c>
      <c r="C1029" s="71" t="s">
        <v>204</v>
      </c>
      <c r="D1029" s="72" t="s">
        <v>1463</v>
      </c>
      <c r="E1029" s="72" t="s">
        <v>1410</v>
      </c>
      <c r="F1029" s="72" t="s">
        <v>1464</v>
      </c>
    </row>
    <row r="1030" spans="1:6" ht="78.75" x14ac:dyDescent="0.2">
      <c r="A1030" s="70" t="s">
        <v>1465</v>
      </c>
      <c r="B1030" s="66" t="s">
        <v>1466</v>
      </c>
      <c r="C1030" s="71" t="s">
        <v>204</v>
      </c>
      <c r="D1030" s="72" t="s">
        <v>940</v>
      </c>
      <c r="E1030" s="72" t="s">
        <v>1410</v>
      </c>
      <c r="F1030" s="72" t="s">
        <v>1467</v>
      </c>
    </row>
    <row r="1031" spans="1:6" ht="78.75" x14ac:dyDescent="0.2">
      <c r="A1031" s="65" t="s">
        <v>1468</v>
      </c>
      <c r="B1031" s="65" t="s">
        <v>1469</v>
      </c>
      <c r="C1031" s="67" t="s">
        <v>204</v>
      </c>
      <c r="D1031" s="69" t="s">
        <v>1470</v>
      </c>
      <c r="E1031" s="69" t="s">
        <v>1410</v>
      </c>
      <c r="F1031" s="69" t="s">
        <v>1471</v>
      </c>
    </row>
    <row r="1032" spans="1:6" ht="67.5" x14ac:dyDescent="0.2">
      <c r="A1032" s="70" t="s">
        <v>1472</v>
      </c>
      <c r="B1032" s="66" t="s">
        <v>1473</v>
      </c>
      <c r="C1032" s="71" t="s">
        <v>204</v>
      </c>
      <c r="D1032" s="72" t="s">
        <v>1474</v>
      </c>
      <c r="E1032" s="72" t="s">
        <v>1410</v>
      </c>
      <c r="F1032" s="72" t="s">
        <v>1475</v>
      </c>
    </row>
    <row r="1033" spans="1:6" ht="78.75" x14ac:dyDescent="0.2">
      <c r="A1033" s="65" t="s">
        <v>1476</v>
      </c>
      <c r="B1033" s="65" t="s">
        <v>1477</v>
      </c>
      <c r="C1033" s="67" t="s">
        <v>204</v>
      </c>
      <c r="D1033" s="69" t="s">
        <v>1478</v>
      </c>
      <c r="E1033" s="69" t="s">
        <v>1410</v>
      </c>
      <c r="F1033" s="69" t="s">
        <v>1479</v>
      </c>
    </row>
    <row r="1034" spans="1:6" ht="78.75" x14ac:dyDescent="0.2">
      <c r="A1034" s="65" t="s">
        <v>1480</v>
      </c>
      <c r="B1034" s="65" t="s">
        <v>1481</v>
      </c>
      <c r="C1034" s="67" t="s">
        <v>221</v>
      </c>
      <c r="D1034" s="69" t="s">
        <v>343</v>
      </c>
      <c r="E1034" s="69" t="s">
        <v>247</v>
      </c>
      <c r="F1034" s="69" t="s">
        <v>1482</v>
      </c>
    </row>
    <row r="1035" spans="1:6" ht="78.75" x14ac:dyDescent="0.2">
      <c r="A1035" s="65" t="s">
        <v>1483</v>
      </c>
      <c r="B1035" s="65" t="s">
        <v>1484</v>
      </c>
      <c r="C1035" s="67" t="s">
        <v>221</v>
      </c>
      <c r="D1035" s="69" t="s">
        <v>263</v>
      </c>
      <c r="E1035" s="69" t="s">
        <v>247</v>
      </c>
      <c r="F1035" s="69" t="s">
        <v>782</v>
      </c>
    </row>
    <row r="1036" spans="1:6" x14ac:dyDescent="0.2">
      <c r="A1036" s="50">
        <v>18.079999999999998</v>
      </c>
      <c r="B1036" s="64" t="s">
        <v>1485</v>
      </c>
      <c r="C1036" s="47"/>
      <c r="D1036" s="47"/>
      <c r="E1036" s="47"/>
      <c r="F1036" s="47"/>
    </row>
    <row r="1037" spans="1:6" ht="78.75" x14ac:dyDescent="0.2">
      <c r="A1037" s="65" t="s">
        <v>1486</v>
      </c>
      <c r="B1037" s="65" t="s">
        <v>1487</v>
      </c>
      <c r="C1037" s="67" t="s">
        <v>204</v>
      </c>
      <c r="D1037" s="69" t="s">
        <v>1488</v>
      </c>
      <c r="E1037" s="69" t="s">
        <v>834</v>
      </c>
      <c r="F1037" s="69" t="s">
        <v>1489</v>
      </c>
    </row>
    <row r="1038" spans="1:6" ht="78.75" x14ac:dyDescent="0.2">
      <c r="A1038" s="70" t="s">
        <v>1490</v>
      </c>
      <c r="B1038" s="66" t="s">
        <v>1491</v>
      </c>
      <c r="C1038" s="71" t="s">
        <v>221</v>
      </c>
      <c r="D1038" s="72" t="s">
        <v>1492</v>
      </c>
      <c r="E1038" s="72" t="s">
        <v>1189</v>
      </c>
      <c r="F1038" s="72" t="s">
        <v>1493</v>
      </c>
    </row>
    <row r="1039" spans="1:6" ht="90" x14ac:dyDescent="0.2">
      <c r="A1039" s="70" t="s">
        <v>1494</v>
      </c>
      <c r="B1039" s="66" t="s">
        <v>1495</v>
      </c>
      <c r="C1039" s="71" t="s">
        <v>204</v>
      </c>
      <c r="D1039" s="72" t="s">
        <v>1496</v>
      </c>
      <c r="E1039" s="72" t="s">
        <v>834</v>
      </c>
      <c r="F1039" s="72" t="s">
        <v>1497</v>
      </c>
    </row>
    <row r="1040" spans="1:6" ht="78.75" x14ac:dyDescent="0.2">
      <c r="A1040" s="70" t="s">
        <v>1498</v>
      </c>
      <c r="B1040" s="66" t="s">
        <v>1499</v>
      </c>
      <c r="C1040" s="71" t="s">
        <v>221</v>
      </c>
      <c r="D1040" s="72" t="s">
        <v>1500</v>
      </c>
      <c r="E1040" s="72" t="s">
        <v>1189</v>
      </c>
      <c r="F1040" s="72" t="s">
        <v>1501</v>
      </c>
    </row>
    <row r="1041" spans="1:6" ht="90" x14ac:dyDescent="0.2">
      <c r="A1041" s="65" t="s">
        <v>1502</v>
      </c>
      <c r="B1041" s="65" t="s">
        <v>1503</v>
      </c>
      <c r="C1041" s="67" t="s">
        <v>204</v>
      </c>
      <c r="D1041" s="69" t="s">
        <v>269</v>
      </c>
      <c r="E1041" s="69" t="s">
        <v>834</v>
      </c>
      <c r="F1041" s="69" t="s">
        <v>1504</v>
      </c>
    </row>
    <row r="1042" spans="1:6" ht="90" x14ac:dyDescent="0.2">
      <c r="A1042" s="65" t="s">
        <v>1505</v>
      </c>
      <c r="B1042" s="65" t="s">
        <v>1506</v>
      </c>
      <c r="C1042" s="67" t="s">
        <v>221</v>
      </c>
      <c r="D1042" s="69" t="s">
        <v>847</v>
      </c>
      <c r="E1042" s="69" t="s">
        <v>1189</v>
      </c>
      <c r="F1042" s="69" t="s">
        <v>1507</v>
      </c>
    </row>
    <row r="1043" spans="1:6" ht="67.5" x14ac:dyDescent="0.2">
      <c r="A1043" s="70" t="s">
        <v>1508</v>
      </c>
      <c r="B1043" s="66" t="s">
        <v>1509</v>
      </c>
      <c r="C1043" s="71" t="s">
        <v>204</v>
      </c>
      <c r="D1043" s="72" t="s">
        <v>1510</v>
      </c>
      <c r="E1043" s="72" t="s">
        <v>834</v>
      </c>
      <c r="F1043" s="72" t="s">
        <v>1511</v>
      </c>
    </row>
    <row r="1044" spans="1:6" ht="67.5" x14ac:dyDescent="0.2">
      <c r="A1044" s="70" t="s">
        <v>1512</v>
      </c>
      <c r="B1044" s="66" t="s">
        <v>1513</v>
      </c>
      <c r="C1044" s="71" t="s">
        <v>221</v>
      </c>
      <c r="D1044" s="72" t="s">
        <v>1514</v>
      </c>
      <c r="E1044" s="72" t="s">
        <v>1189</v>
      </c>
      <c r="F1044" s="72" t="s">
        <v>1515</v>
      </c>
    </row>
    <row r="1045" spans="1:6" ht="90" x14ac:dyDescent="0.2">
      <c r="A1045" s="70" t="s">
        <v>1516</v>
      </c>
      <c r="B1045" s="66" t="s">
        <v>1517</v>
      </c>
      <c r="C1045" s="71" t="s">
        <v>204</v>
      </c>
      <c r="D1045" s="72" t="s">
        <v>1518</v>
      </c>
      <c r="E1045" s="72" t="s">
        <v>834</v>
      </c>
      <c r="F1045" s="72" t="s">
        <v>1519</v>
      </c>
    </row>
    <row r="1046" spans="1:6" ht="78.75" x14ac:dyDescent="0.2">
      <c r="A1046" s="70" t="s">
        <v>1520</v>
      </c>
      <c r="B1046" s="66" t="s">
        <v>1521</v>
      </c>
      <c r="C1046" s="71" t="s">
        <v>221</v>
      </c>
      <c r="D1046" s="72" t="s">
        <v>1522</v>
      </c>
      <c r="E1046" s="72" t="s">
        <v>1189</v>
      </c>
      <c r="F1046" s="72" t="s">
        <v>390</v>
      </c>
    </row>
    <row r="1047" spans="1:6" ht="90" x14ac:dyDescent="0.2">
      <c r="A1047" s="65" t="s">
        <v>1523</v>
      </c>
      <c r="B1047" s="65" t="s">
        <v>1524</v>
      </c>
      <c r="C1047" s="67" t="s">
        <v>204</v>
      </c>
      <c r="D1047" s="69" t="s">
        <v>1525</v>
      </c>
      <c r="E1047" s="69" t="s">
        <v>834</v>
      </c>
      <c r="F1047" s="69" t="s">
        <v>1526</v>
      </c>
    </row>
    <row r="1048" spans="1:6" ht="78.75" x14ac:dyDescent="0.2">
      <c r="A1048" s="70" t="s">
        <v>1527</v>
      </c>
      <c r="B1048" s="66" t="s">
        <v>1528</v>
      </c>
      <c r="C1048" s="71" t="s">
        <v>221</v>
      </c>
      <c r="D1048" s="72" t="s">
        <v>1529</v>
      </c>
      <c r="E1048" s="72" t="s">
        <v>1189</v>
      </c>
      <c r="F1048" s="72" t="s">
        <v>1530</v>
      </c>
    </row>
    <row r="1049" spans="1:6" ht="22.5" x14ac:dyDescent="0.2">
      <c r="A1049" s="50">
        <v>18.11</v>
      </c>
      <c r="B1049" s="64" t="s">
        <v>1531</v>
      </c>
      <c r="C1049" s="47"/>
      <c r="D1049" s="47"/>
      <c r="E1049" s="47"/>
      <c r="F1049" s="47"/>
    </row>
    <row r="1050" spans="1:6" ht="56.25" x14ac:dyDescent="0.2">
      <c r="A1050" s="65" t="s">
        <v>1532</v>
      </c>
      <c r="B1050" s="66" t="s">
        <v>1533</v>
      </c>
      <c r="C1050" s="67" t="s">
        <v>204</v>
      </c>
      <c r="D1050" s="69" t="s">
        <v>1534</v>
      </c>
      <c r="E1050" s="69" t="s">
        <v>417</v>
      </c>
      <c r="F1050" s="69" t="s">
        <v>1535</v>
      </c>
    </row>
    <row r="1051" spans="1:6" ht="56.25" x14ac:dyDescent="0.2">
      <c r="A1051" s="65" t="s">
        <v>1536</v>
      </c>
      <c r="B1051" s="66" t="s">
        <v>1537</v>
      </c>
      <c r="C1051" s="67" t="s">
        <v>204</v>
      </c>
      <c r="D1051" s="69" t="s">
        <v>1538</v>
      </c>
      <c r="E1051" s="69" t="s">
        <v>417</v>
      </c>
      <c r="F1051" s="69" t="s">
        <v>1539</v>
      </c>
    </row>
    <row r="1052" spans="1:6" ht="56.25" x14ac:dyDescent="0.2">
      <c r="A1052" s="70" t="s">
        <v>1540</v>
      </c>
      <c r="B1052" s="65" t="s">
        <v>1541</v>
      </c>
      <c r="C1052" s="71" t="s">
        <v>204</v>
      </c>
      <c r="D1052" s="72" t="s">
        <v>1542</v>
      </c>
      <c r="E1052" s="72" t="s">
        <v>417</v>
      </c>
      <c r="F1052" s="72" t="s">
        <v>1543</v>
      </c>
    </row>
    <row r="1053" spans="1:6" ht="56.25" x14ac:dyDescent="0.2">
      <c r="A1053" s="70" t="s">
        <v>1544</v>
      </c>
      <c r="B1053" s="65" t="s">
        <v>1545</v>
      </c>
      <c r="C1053" s="71" t="s">
        <v>204</v>
      </c>
      <c r="D1053" s="72" t="s">
        <v>1546</v>
      </c>
      <c r="E1053" s="72" t="s">
        <v>417</v>
      </c>
      <c r="F1053" s="72" t="s">
        <v>1547</v>
      </c>
    </row>
    <row r="1054" spans="1:6" ht="56.25" x14ac:dyDescent="0.2">
      <c r="A1054" s="70" t="s">
        <v>1548</v>
      </c>
      <c r="B1054" s="65" t="s">
        <v>1549</v>
      </c>
      <c r="C1054" s="71" t="s">
        <v>204</v>
      </c>
      <c r="D1054" s="72" t="s">
        <v>1550</v>
      </c>
      <c r="E1054" s="72" t="s">
        <v>417</v>
      </c>
      <c r="F1054" s="72" t="s">
        <v>1551</v>
      </c>
    </row>
    <row r="1055" spans="1:6" ht="22.5" x14ac:dyDescent="0.2">
      <c r="A1055" s="50">
        <v>18.12</v>
      </c>
      <c r="B1055" s="64" t="s">
        <v>1552</v>
      </c>
      <c r="C1055" s="47"/>
      <c r="D1055" s="47"/>
      <c r="E1055" s="47"/>
      <c r="F1055" s="47"/>
    </row>
    <row r="1056" spans="1:6" ht="56.25" x14ac:dyDescent="0.2">
      <c r="A1056" s="70" t="s">
        <v>1553</v>
      </c>
      <c r="B1056" s="65" t="s">
        <v>1554</v>
      </c>
      <c r="C1056" s="71" t="s">
        <v>204</v>
      </c>
      <c r="D1056" s="72" t="s">
        <v>1555</v>
      </c>
      <c r="E1056" s="72" t="s">
        <v>1556</v>
      </c>
      <c r="F1056" s="72" t="s">
        <v>1557</v>
      </c>
    </row>
    <row r="1057" spans="1:6" ht="56.25" x14ac:dyDescent="0.2">
      <c r="A1057" s="70" t="s">
        <v>1558</v>
      </c>
      <c r="B1057" s="65" t="s">
        <v>1559</v>
      </c>
      <c r="C1057" s="71" t="s">
        <v>204</v>
      </c>
      <c r="D1057" s="72" t="s">
        <v>1560</v>
      </c>
      <c r="E1057" s="72" t="s">
        <v>1556</v>
      </c>
      <c r="F1057" s="72" t="s">
        <v>1561</v>
      </c>
    </row>
    <row r="1058" spans="1:6" ht="56.25" x14ac:dyDescent="0.2">
      <c r="A1058" s="70" t="s">
        <v>1562</v>
      </c>
      <c r="B1058" s="65" t="s">
        <v>1563</v>
      </c>
      <c r="C1058" s="71" t="s">
        <v>204</v>
      </c>
      <c r="D1058" s="72" t="s">
        <v>1564</v>
      </c>
      <c r="E1058" s="72" t="s">
        <v>1556</v>
      </c>
      <c r="F1058" s="72" t="s">
        <v>1565</v>
      </c>
    </row>
    <row r="1059" spans="1:6" ht="22.5" x14ac:dyDescent="0.2">
      <c r="A1059" s="50">
        <v>18.13</v>
      </c>
      <c r="B1059" s="64" t="s">
        <v>1566</v>
      </c>
      <c r="C1059" s="47"/>
      <c r="D1059" s="47"/>
      <c r="E1059" s="47"/>
      <c r="F1059" s="47"/>
    </row>
    <row r="1060" spans="1:6" ht="78.75" x14ac:dyDescent="0.2">
      <c r="A1060" s="70" t="s">
        <v>1567</v>
      </c>
      <c r="B1060" s="66" t="s">
        <v>1568</v>
      </c>
      <c r="C1060" s="71" t="s">
        <v>204</v>
      </c>
      <c r="D1060" s="72" t="s">
        <v>1569</v>
      </c>
      <c r="E1060" s="72" t="s">
        <v>250</v>
      </c>
      <c r="F1060" s="72" t="s">
        <v>1570</v>
      </c>
    </row>
    <row r="1061" spans="1:6" ht="78.75" x14ac:dyDescent="0.2">
      <c r="A1061" s="70" t="s">
        <v>1571</v>
      </c>
      <c r="B1061" s="66" t="s">
        <v>1572</v>
      </c>
      <c r="C1061" s="71" t="s">
        <v>204</v>
      </c>
      <c r="D1061" s="72" t="s">
        <v>1573</v>
      </c>
      <c r="E1061" s="72" t="s">
        <v>250</v>
      </c>
      <c r="F1061" s="72" t="s">
        <v>1574</v>
      </c>
    </row>
    <row r="1062" spans="1:6" ht="67.5" x14ac:dyDescent="0.2">
      <c r="A1062" s="70" t="s">
        <v>1575</v>
      </c>
      <c r="B1062" s="66" t="s">
        <v>1576</v>
      </c>
      <c r="C1062" s="71" t="s">
        <v>204</v>
      </c>
      <c r="D1062" s="72" t="s">
        <v>1577</v>
      </c>
      <c r="E1062" s="72" t="s">
        <v>1410</v>
      </c>
      <c r="F1062" s="72" t="s">
        <v>1578</v>
      </c>
    </row>
    <row r="1063" spans="1:6" x14ac:dyDescent="0.2">
      <c r="A1063" s="49">
        <v>19</v>
      </c>
      <c r="B1063" s="64" t="s">
        <v>1579</v>
      </c>
      <c r="C1063" s="47"/>
      <c r="D1063" s="47"/>
      <c r="E1063" s="47"/>
      <c r="F1063" s="47"/>
    </row>
    <row r="1064" spans="1:6" x14ac:dyDescent="0.2">
      <c r="A1064" s="50">
        <v>19.010000000000002</v>
      </c>
      <c r="B1064" s="64" t="s">
        <v>1580</v>
      </c>
      <c r="C1064" s="47"/>
      <c r="D1064" s="47"/>
      <c r="E1064" s="47"/>
      <c r="F1064" s="47"/>
    </row>
    <row r="1065" spans="1:6" ht="33.75" x14ac:dyDescent="0.2">
      <c r="A1065" s="65" t="s">
        <v>1581</v>
      </c>
      <c r="B1065" s="65" t="s">
        <v>1582</v>
      </c>
      <c r="C1065" s="67" t="s">
        <v>204</v>
      </c>
      <c r="D1065" s="69" t="s">
        <v>1583</v>
      </c>
      <c r="E1065" s="69" t="s">
        <v>1584</v>
      </c>
      <c r="F1065" s="69" t="s">
        <v>1585</v>
      </c>
    </row>
    <row r="1066" spans="1:6" ht="45" x14ac:dyDescent="0.2">
      <c r="A1066" s="65" t="s">
        <v>1586</v>
      </c>
      <c r="B1066" s="66" t="s">
        <v>1587</v>
      </c>
      <c r="C1066" s="67" t="s">
        <v>221</v>
      </c>
      <c r="D1066" s="69" t="s">
        <v>1588</v>
      </c>
      <c r="E1066" s="69" t="s">
        <v>1589</v>
      </c>
      <c r="F1066" s="69" t="s">
        <v>1590</v>
      </c>
    </row>
    <row r="1067" spans="1:6" ht="45" x14ac:dyDescent="0.2">
      <c r="A1067" s="65" t="s">
        <v>1591</v>
      </c>
      <c r="B1067" s="66" t="s">
        <v>1592</v>
      </c>
      <c r="C1067" s="67" t="s">
        <v>221</v>
      </c>
      <c r="D1067" s="69" t="s">
        <v>1593</v>
      </c>
      <c r="E1067" s="69" t="s">
        <v>1594</v>
      </c>
      <c r="F1067" s="69" t="s">
        <v>1595</v>
      </c>
    </row>
    <row r="1068" spans="1:6" ht="33.75" x14ac:dyDescent="0.2">
      <c r="A1068" s="65" t="s">
        <v>1596</v>
      </c>
      <c r="B1068" s="65" t="s">
        <v>1597</v>
      </c>
      <c r="C1068" s="67" t="s">
        <v>221</v>
      </c>
      <c r="D1068" s="69" t="s">
        <v>1598</v>
      </c>
      <c r="E1068" s="69" t="s">
        <v>1599</v>
      </c>
      <c r="F1068" s="69" t="s">
        <v>1600</v>
      </c>
    </row>
    <row r="1069" spans="1:6" ht="45" x14ac:dyDescent="0.2">
      <c r="A1069" s="65" t="s">
        <v>1601</v>
      </c>
      <c r="B1069" s="66" t="s">
        <v>1602</v>
      </c>
      <c r="C1069" s="67" t="s">
        <v>221</v>
      </c>
      <c r="D1069" s="69" t="s">
        <v>1603</v>
      </c>
      <c r="E1069" s="69" t="s">
        <v>355</v>
      </c>
      <c r="F1069" s="69" t="s">
        <v>1604</v>
      </c>
    </row>
    <row r="1070" spans="1:6" ht="45" x14ac:dyDescent="0.2">
      <c r="A1070" s="65" t="s">
        <v>1605</v>
      </c>
      <c r="B1070" s="66" t="s">
        <v>1606</v>
      </c>
      <c r="C1070" s="67" t="s">
        <v>221</v>
      </c>
      <c r="D1070" s="69" t="s">
        <v>1607</v>
      </c>
      <c r="E1070" s="69" t="s">
        <v>355</v>
      </c>
      <c r="F1070" s="69" t="s">
        <v>1608</v>
      </c>
    </row>
    <row r="1071" spans="1:6" ht="33.75" x14ac:dyDescent="0.2">
      <c r="A1071" s="65" t="s">
        <v>1609</v>
      </c>
      <c r="B1071" s="65" t="s">
        <v>1610</v>
      </c>
      <c r="C1071" s="67" t="s">
        <v>204</v>
      </c>
      <c r="D1071" s="69" t="s">
        <v>1611</v>
      </c>
      <c r="E1071" s="69" t="s">
        <v>1584</v>
      </c>
      <c r="F1071" s="69" t="s">
        <v>1612</v>
      </c>
    </row>
    <row r="1072" spans="1:6" ht="45" x14ac:dyDescent="0.2">
      <c r="A1072" s="65" t="s">
        <v>1613</v>
      </c>
      <c r="B1072" s="66" t="s">
        <v>1614</v>
      </c>
      <c r="C1072" s="67" t="s">
        <v>221</v>
      </c>
      <c r="D1072" s="69" t="s">
        <v>1615</v>
      </c>
      <c r="E1072" s="69" t="s">
        <v>355</v>
      </c>
      <c r="F1072" s="69" t="s">
        <v>1616</v>
      </c>
    </row>
    <row r="1073" spans="1:6" ht="33.75" x14ac:dyDescent="0.2">
      <c r="A1073" s="65" t="s">
        <v>1617</v>
      </c>
      <c r="B1073" s="65" t="s">
        <v>1618</v>
      </c>
      <c r="C1073" s="67" t="s">
        <v>221</v>
      </c>
      <c r="D1073" s="69" t="s">
        <v>1619</v>
      </c>
      <c r="E1073" s="69" t="s">
        <v>1599</v>
      </c>
      <c r="F1073" s="69" t="s">
        <v>1620</v>
      </c>
    </row>
    <row r="1074" spans="1:6" ht="45" x14ac:dyDescent="0.2">
      <c r="A1074" s="65" t="s">
        <v>1621</v>
      </c>
      <c r="B1074" s="66" t="s">
        <v>1622</v>
      </c>
      <c r="C1074" s="67" t="s">
        <v>221</v>
      </c>
      <c r="D1074" s="69" t="s">
        <v>1623</v>
      </c>
      <c r="E1074" s="69" t="s">
        <v>1589</v>
      </c>
      <c r="F1074" s="69" t="s">
        <v>1624</v>
      </c>
    </row>
    <row r="1075" spans="1:6" x14ac:dyDescent="0.2">
      <c r="A1075" s="50">
        <v>19.02</v>
      </c>
      <c r="B1075" s="64" t="s">
        <v>1625</v>
      </c>
      <c r="C1075" s="47"/>
      <c r="D1075" s="47"/>
      <c r="E1075" s="47"/>
      <c r="F1075" s="47"/>
    </row>
    <row r="1076" spans="1:6" ht="45" x14ac:dyDescent="0.2">
      <c r="A1076" s="65" t="s">
        <v>1626</v>
      </c>
      <c r="B1076" s="66" t="s">
        <v>1627</v>
      </c>
      <c r="C1076" s="67" t="s">
        <v>204</v>
      </c>
      <c r="D1076" s="69" t="s">
        <v>1628</v>
      </c>
      <c r="E1076" s="69" t="s">
        <v>276</v>
      </c>
      <c r="F1076" s="69" t="s">
        <v>1629</v>
      </c>
    </row>
    <row r="1077" spans="1:6" ht="45" x14ac:dyDescent="0.2">
      <c r="A1077" s="65" t="s">
        <v>1630</v>
      </c>
      <c r="B1077" s="66" t="s">
        <v>1631</v>
      </c>
      <c r="C1077" s="67" t="s">
        <v>204</v>
      </c>
      <c r="D1077" s="69" t="s">
        <v>1632</v>
      </c>
      <c r="E1077" s="69" t="s">
        <v>276</v>
      </c>
      <c r="F1077" s="69" t="s">
        <v>1633</v>
      </c>
    </row>
    <row r="1078" spans="1:6" ht="45" x14ac:dyDescent="0.2">
      <c r="A1078" s="65" t="s">
        <v>1634</v>
      </c>
      <c r="B1078" s="66" t="s">
        <v>1635</v>
      </c>
      <c r="C1078" s="67" t="s">
        <v>204</v>
      </c>
      <c r="D1078" s="69" t="s">
        <v>1636</v>
      </c>
      <c r="E1078" s="69" t="s">
        <v>1637</v>
      </c>
      <c r="F1078" s="69" t="s">
        <v>1638</v>
      </c>
    </row>
    <row r="1079" spans="1:6" ht="45" x14ac:dyDescent="0.2">
      <c r="A1079" s="65" t="s">
        <v>1639</v>
      </c>
      <c r="B1079" s="66" t="s">
        <v>1640</v>
      </c>
      <c r="C1079" s="67" t="s">
        <v>204</v>
      </c>
      <c r="D1079" s="69" t="s">
        <v>1641</v>
      </c>
      <c r="E1079" s="69" t="s">
        <v>1637</v>
      </c>
      <c r="F1079" s="69" t="s">
        <v>1642</v>
      </c>
    </row>
    <row r="1080" spans="1:6" ht="22.5" x14ac:dyDescent="0.2">
      <c r="A1080" s="65" t="s">
        <v>1643</v>
      </c>
      <c r="B1080" s="65" t="s">
        <v>1644</v>
      </c>
      <c r="C1080" s="67" t="s">
        <v>221</v>
      </c>
      <c r="D1080" s="69" t="s">
        <v>1645</v>
      </c>
      <c r="E1080" s="69" t="s">
        <v>1646</v>
      </c>
      <c r="F1080" s="69" t="s">
        <v>1647</v>
      </c>
    </row>
    <row r="1081" spans="1:6" ht="33.75" x14ac:dyDescent="0.2">
      <c r="A1081" s="65" t="s">
        <v>1648</v>
      </c>
      <c r="B1081" s="65" t="s">
        <v>1649</v>
      </c>
      <c r="C1081" s="67" t="s">
        <v>221</v>
      </c>
      <c r="D1081" s="69" t="s">
        <v>1650</v>
      </c>
      <c r="E1081" s="69" t="s">
        <v>1646</v>
      </c>
      <c r="F1081" s="69" t="s">
        <v>1651</v>
      </c>
    </row>
    <row r="1082" spans="1:6" ht="33.75" x14ac:dyDescent="0.2">
      <c r="A1082" s="65" t="s">
        <v>1652</v>
      </c>
      <c r="B1082" s="65" t="s">
        <v>1653</v>
      </c>
      <c r="C1082" s="67" t="s">
        <v>221</v>
      </c>
      <c r="D1082" s="69" t="s">
        <v>1654</v>
      </c>
      <c r="E1082" s="69" t="s">
        <v>243</v>
      </c>
      <c r="F1082" s="69" t="s">
        <v>1655</v>
      </c>
    </row>
    <row r="1083" spans="1:6" x14ac:dyDescent="0.2">
      <c r="A1083" s="50">
        <v>19.03</v>
      </c>
      <c r="B1083" s="64" t="s">
        <v>1656</v>
      </c>
      <c r="C1083" s="47"/>
      <c r="D1083" s="47"/>
      <c r="E1083" s="47"/>
      <c r="F1083" s="47"/>
    </row>
    <row r="1084" spans="1:6" ht="22.5" x14ac:dyDescent="0.2">
      <c r="A1084" s="65" t="s">
        <v>1657</v>
      </c>
      <c r="B1084" s="65" t="s">
        <v>1658</v>
      </c>
      <c r="C1084" s="67" t="s">
        <v>204</v>
      </c>
      <c r="D1084" s="69" t="s">
        <v>1659</v>
      </c>
      <c r="E1084" s="69" t="s">
        <v>340</v>
      </c>
      <c r="F1084" s="69" t="s">
        <v>1660</v>
      </c>
    </row>
    <row r="1085" spans="1:6" ht="22.5" x14ac:dyDescent="0.2">
      <c r="A1085" s="65" t="s">
        <v>1661</v>
      </c>
      <c r="B1085" s="65" t="s">
        <v>1662</v>
      </c>
      <c r="C1085" s="67" t="s">
        <v>204</v>
      </c>
      <c r="D1085" s="69" t="s">
        <v>1663</v>
      </c>
      <c r="E1085" s="69" t="s">
        <v>340</v>
      </c>
      <c r="F1085" s="69" t="s">
        <v>1664</v>
      </c>
    </row>
    <row r="1086" spans="1:6" ht="22.5" x14ac:dyDescent="0.2">
      <c r="A1086" s="65" t="s">
        <v>1665</v>
      </c>
      <c r="B1086" s="65" t="s">
        <v>1666</v>
      </c>
      <c r="C1086" s="67" t="s">
        <v>204</v>
      </c>
      <c r="D1086" s="69" t="s">
        <v>1667</v>
      </c>
      <c r="E1086" s="69" t="s">
        <v>1668</v>
      </c>
      <c r="F1086" s="69" t="s">
        <v>1669</v>
      </c>
    </row>
    <row r="1087" spans="1:6" ht="22.5" x14ac:dyDescent="0.2">
      <c r="A1087" s="65" t="s">
        <v>1670</v>
      </c>
      <c r="B1087" s="65" t="s">
        <v>1671</v>
      </c>
      <c r="C1087" s="67" t="s">
        <v>221</v>
      </c>
      <c r="D1087" s="69" t="s">
        <v>1672</v>
      </c>
      <c r="E1087" s="69" t="s">
        <v>1673</v>
      </c>
      <c r="F1087" s="69" t="s">
        <v>1674</v>
      </c>
    </row>
    <row r="1088" spans="1:6" ht="22.5" x14ac:dyDescent="0.2">
      <c r="A1088" s="65" t="s">
        <v>1675</v>
      </c>
      <c r="B1088" s="65" t="s">
        <v>1676</v>
      </c>
      <c r="C1088" s="67" t="s">
        <v>221</v>
      </c>
      <c r="D1088" s="69" t="s">
        <v>1677</v>
      </c>
      <c r="E1088" s="69" t="s">
        <v>1678</v>
      </c>
      <c r="F1088" s="69" t="s">
        <v>1679</v>
      </c>
    </row>
    <row r="1089" spans="1:6" ht="22.5" x14ac:dyDescent="0.2">
      <c r="A1089" s="65" t="s">
        <v>1680</v>
      </c>
      <c r="B1089" s="65" t="s">
        <v>1681</v>
      </c>
      <c r="C1089" s="67" t="s">
        <v>221</v>
      </c>
      <c r="D1089" s="69" t="s">
        <v>1682</v>
      </c>
      <c r="E1089" s="69" t="s">
        <v>243</v>
      </c>
      <c r="F1089" s="69" t="s">
        <v>1683</v>
      </c>
    </row>
    <row r="1090" spans="1:6" ht="22.5" x14ac:dyDescent="0.2">
      <c r="A1090" s="65" t="s">
        <v>1684</v>
      </c>
      <c r="B1090" s="65" t="s">
        <v>1685</v>
      </c>
      <c r="C1090" s="67" t="s">
        <v>204</v>
      </c>
      <c r="D1090" s="69" t="s">
        <v>1686</v>
      </c>
      <c r="E1090" s="69" t="s">
        <v>1687</v>
      </c>
      <c r="F1090" s="69" t="s">
        <v>1688</v>
      </c>
    </row>
    <row r="1091" spans="1:6" ht="22.5" x14ac:dyDescent="0.2">
      <c r="A1091" s="65" t="s">
        <v>1689</v>
      </c>
      <c r="B1091" s="65" t="s">
        <v>1690</v>
      </c>
      <c r="C1091" s="67" t="s">
        <v>221</v>
      </c>
      <c r="D1091" s="69" t="s">
        <v>1691</v>
      </c>
      <c r="E1091" s="69" t="s">
        <v>1692</v>
      </c>
      <c r="F1091" s="69" t="s">
        <v>1693</v>
      </c>
    </row>
    <row r="1092" spans="1:6" ht="33.75" x14ac:dyDescent="0.2">
      <c r="A1092" s="65" t="s">
        <v>1694</v>
      </c>
      <c r="B1092" s="65" t="s">
        <v>1695</v>
      </c>
      <c r="C1092" s="67" t="s">
        <v>221</v>
      </c>
      <c r="D1092" s="69" t="s">
        <v>1696</v>
      </c>
      <c r="E1092" s="69" t="s">
        <v>249</v>
      </c>
      <c r="F1092" s="69" t="s">
        <v>1697</v>
      </c>
    </row>
    <row r="1093" spans="1:6" ht="22.5" x14ac:dyDescent="0.2">
      <c r="A1093" s="50">
        <v>19.2</v>
      </c>
      <c r="B1093" s="64" t="s">
        <v>1698</v>
      </c>
      <c r="C1093" s="47"/>
      <c r="D1093" s="47"/>
      <c r="E1093" s="47"/>
      <c r="F1093" s="47"/>
    </row>
    <row r="1094" spans="1:6" ht="33.75" x14ac:dyDescent="0.2">
      <c r="A1094" s="65" t="s">
        <v>1699</v>
      </c>
      <c r="B1094" s="65" t="s">
        <v>1700</v>
      </c>
      <c r="C1094" s="67" t="s">
        <v>204</v>
      </c>
      <c r="D1094" s="69" t="s">
        <v>1701</v>
      </c>
      <c r="E1094" s="69" t="s">
        <v>1702</v>
      </c>
      <c r="F1094" s="69" t="s">
        <v>1703</v>
      </c>
    </row>
    <row r="1095" spans="1:6" x14ac:dyDescent="0.2">
      <c r="A1095" s="49">
        <v>20</v>
      </c>
      <c r="B1095" s="64" t="s">
        <v>1704</v>
      </c>
      <c r="C1095" s="47"/>
      <c r="D1095" s="47"/>
      <c r="E1095" s="47"/>
      <c r="F1095" s="47"/>
    </row>
    <row r="1096" spans="1:6" x14ac:dyDescent="0.2">
      <c r="A1096" s="50">
        <v>20.010000000000002</v>
      </c>
      <c r="B1096" s="64" t="s">
        <v>1705</v>
      </c>
      <c r="C1096" s="47"/>
      <c r="D1096" s="47"/>
      <c r="E1096" s="47"/>
      <c r="F1096" s="47"/>
    </row>
    <row r="1097" spans="1:6" ht="33.75" x14ac:dyDescent="0.2">
      <c r="A1097" s="65" t="s">
        <v>1706</v>
      </c>
      <c r="B1097" s="65" t="s">
        <v>1707</v>
      </c>
      <c r="C1097" s="67" t="s">
        <v>204</v>
      </c>
      <c r="D1097" s="69" t="s">
        <v>1708</v>
      </c>
      <c r="E1097" s="69" t="s">
        <v>1709</v>
      </c>
      <c r="F1097" s="69" t="s">
        <v>1710</v>
      </c>
    </row>
    <row r="1098" spans="1:6" x14ac:dyDescent="0.2">
      <c r="A1098" s="50">
        <v>20.03</v>
      </c>
      <c r="B1098" s="64" t="s">
        <v>1711</v>
      </c>
      <c r="C1098" s="47"/>
      <c r="D1098" s="47"/>
      <c r="E1098" s="47"/>
      <c r="F1098" s="47"/>
    </row>
    <row r="1099" spans="1:6" ht="22.5" x14ac:dyDescent="0.2">
      <c r="A1099" s="65" t="s">
        <v>1712</v>
      </c>
      <c r="B1099" s="65" t="s">
        <v>1713</v>
      </c>
      <c r="C1099" s="67" t="s">
        <v>204</v>
      </c>
      <c r="D1099" s="69" t="s">
        <v>1714</v>
      </c>
      <c r="E1099" s="73"/>
      <c r="F1099" s="69" t="s">
        <v>1714</v>
      </c>
    </row>
    <row r="1100" spans="1:6" x14ac:dyDescent="0.2">
      <c r="A1100" s="50">
        <v>20.04</v>
      </c>
      <c r="B1100" s="64" t="s">
        <v>1715</v>
      </c>
      <c r="C1100" s="47"/>
      <c r="D1100" s="47"/>
      <c r="E1100" s="47"/>
      <c r="F1100" s="47"/>
    </row>
    <row r="1101" spans="1:6" x14ac:dyDescent="0.2">
      <c r="A1101" s="65" t="s">
        <v>1716</v>
      </c>
      <c r="B1101" s="65" t="s">
        <v>1717</v>
      </c>
      <c r="C1101" s="67" t="s">
        <v>204</v>
      </c>
      <c r="D1101" s="69" t="s">
        <v>1718</v>
      </c>
      <c r="E1101" s="69" t="s">
        <v>1719</v>
      </c>
      <c r="F1101" s="69" t="s">
        <v>1720</v>
      </c>
    </row>
    <row r="1102" spans="1:6" x14ac:dyDescent="0.2">
      <c r="A1102" s="50">
        <v>20.100000000000001</v>
      </c>
      <c r="B1102" s="64" t="s">
        <v>1721</v>
      </c>
      <c r="C1102" s="47"/>
      <c r="D1102" s="47"/>
      <c r="E1102" s="47"/>
      <c r="F1102" s="47"/>
    </row>
    <row r="1103" spans="1:6" x14ac:dyDescent="0.2">
      <c r="A1103" s="65" t="s">
        <v>1722</v>
      </c>
      <c r="B1103" s="65" t="s">
        <v>1723</v>
      </c>
      <c r="C1103" s="67" t="s">
        <v>221</v>
      </c>
      <c r="D1103" s="69" t="s">
        <v>1724</v>
      </c>
      <c r="E1103" s="69" t="s">
        <v>1725</v>
      </c>
      <c r="F1103" s="69" t="s">
        <v>1726</v>
      </c>
    </row>
    <row r="1104" spans="1:6" x14ac:dyDescent="0.2">
      <c r="A1104" s="65" t="s">
        <v>1727</v>
      </c>
      <c r="B1104" s="65" t="s">
        <v>1728</v>
      </c>
      <c r="C1104" s="67" t="s">
        <v>221</v>
      </c>
      <c r="D1104" s="69" t="s">
        <v>1729</v>
      </c>
      <c r="E1104" s="69" t="s">
        <v>1730</v>
      </c>
      <c r="F1104" s="69" t="s">
        <v>1731</v>
      </c>
    </row>
    <row r="1105" spans="1:6" ht="22.5" x14ac:dyDescent="0.2">
      <c r="A1105" s="50">
        <v>20.2</v>
      </c>
      <c r="B1105" s="64" t="s">
        <v>1732</v>
      </c>
      <c r="C1105" s="47"/>
      <c r="D1105" s="47"/>
      <c r="E1105" s="47"/>
      <c r="F1105" s="47"/>
    </row>
    <row r="1106" spans="1:6" ht="22.5" x14ac:dyDescent="0.2">
      <c r="A1106" s="65" t="s">
        <v>1733</v>
      </c>
      <c r="B1106" s="65" t="s">
        <v>1734</v>
      </c>
      <c r="C1106" s="67" t="s">
        <v>204</v>
      </c>
      <c r="D1106" s="69" t="s">
        <v>210</v>
      </c>
      <c r="E1106" s="69" t="s">
        <v>293</v>
      </c>
      <c r="F1106" s="69" t="s">
        <v>776</v>
      </c>
    </row>
    <row r="1107" spans="1:6" ht="22.5" x14ac:dyDescent="0.2">
      <c r="A1107" s="65" t="s">
        <v>1735</v>
      </c>
      <c r="B1107" s="65" t="s">
        <v>1736</v>
      </c>
      <c r="C1107" s="67" t="s">
        <v>204</v>
      </c>
      <c r="D1107" s="69" t="s">
        <v>422</v>
      </c>
      <c r="E1107" s="69" t="s">
        <v>1719</v>
      </c>
      <c r="F1107" s="69" t="s">
        <v>1737</v>
      </c>
    </row>
    <row r="1108" spans="1:6" ht="22.5" x14ac:dyDescent="0.2">
      <c r="A1108" s="65" t="s">
        <v>1738</v>
      </c>
      <c r="B1108" s="65" t="s">
        <v>1739</v>
      </c>
      <c r="C1108" s="67" t="s">
        <v>221</v>
      </c>
      <c r="D1108" s="69" t="s">
        <v>210</v>
      </c>
      <c r="E1108" s="69" t="s">
        <v>1740</v>
      </c>
      <c r="F1108" s="69" t="s">
        <v>1741</v>
      </c>
    </row>
    <row r="1109" spans="1:6" ht="22.5" x14ac:dyDescent="0.2">
      <c r="A1109" s="65" t="s">
        <v>1742</v>
      </c>
      <c r="B1109" s="65" t="s">
        <v>1743</v>
      </c>
      <c r="C1109" s="67" t="s">
        <v>204</v>
      </c>
      <c r="D1109" s="69" t="s">
        <v>1019</v>
      </c>
      <c r="E1109" s="73"/>
      <c r="F1109" s="69" t="s">
        <v>1019</v>
      </c>
    </row>
    <row r="1110" spans="1:6" ht="22.5" x14ac:dyDescent="0.2">
      <c r="A1110" s="65" t="s">
        <v>1744</v>
      </c>
      <c r="B1110" s="65" t="s">
        <v>1745</v>
      </c>
      <c r="C1110" s="67" t="s">
        <v>204</v>
      </c>
      <c r="D1110" s="69" t="s">
        <v>1746</v>
      </c>
      <c r="E1110" s="73"/>
      <c r="F1110" s="69" t="s">
        <v>1746</v>
      </c>
    </row>
    <row r="1111" spans="1:6" ht="22.5" x14ac:dyDescent="0.2">
      <c r="A1111" s="49">
        <v>21</v>
      </c>
      <c r="B1111" s="64" t="s">
        <v>1747</v>
      </c>
      <c r="C1111" s="47"/>
      <c r="D1111" s="47"/>
      <c r="E1111" s="47"/>
      <c r="F1111" s="47"/>
    </row>
    <row r="1112" spans="1:6" x14ac:dyDescent="0.2">
      <c r="A1112" s="50">
        <v>21.01</v>
      </c>
      <c r="B1112" s="64" t="s">
        <v>1748</v>
      </c>
      <c r="C1112" s="47"/>
      <c r="D1112" s="47"/>
      <c r="E1112" s="47"/>
      <c r="F1112" s="47"/>
    </row>
    <row r="1113" spans="1:6" ht="33.75" x14ac:dyDescent="0.2">
      <c r="A1113" s="65" t="s">
        <v>1749</v>
      </c>
      <c r="B1113" s="65" t="s">
        <v>1750</v>
      </c>
      <c r="C1113" s="67" t="s">
        <v>204</v>
      </c>
      <c r="D1113" s="69" t="s">
        <v>1751</v>
      </c>
      <c r="E1113" s="69" t="s">
        <v>1752</v>
      </c>
      <c r="F1113" s="69" t="s">
        <v>1753</v>
      </c>
    </row>
    <row r="1114" spans="1:6" ht="33.75" x14ac:dyDescent="0.2">
      <c r="A1114" s="65" t="s">
        <v>1754</v>
      </c>
      <c r="B1114" s="65" t="s">
        <v>1755</v>
      </c>
      <c r="C1114" s="67" t="s">
        <v>204</v>
      </c>
      <c r="D1114" s="69" t="s">
        <v>1756</v>
      </c>
      <c r="E1114" s="68"/>
      <c r="F1114" s="69" t="s">
        <v>1756</v>
      </c>
    </row>
    <row r="1115" spans="1:6" x14ac:dyDescent="0.2">
      <c r="A1115" s="50">
        <v>21.02</v>
      </c>
      <c r="B1115" s="64" t="s">
        <v>1757</v>
      </c>
      <c r="C1115" s="47"/>
      <c r="D1115" s="47"/>
      <c r="E1115" s="47"/>
      <c r="F1115" s="47"/>
    </row>
    <row r="1116" spans="1:6" ht="45" x14ac:dyDescent="0.2">
      <c r="A1116" s="65" t="s">
        <v>1758</v>
      </c>
      <c r="B1116" s="66" t="s">
        <v>1759</v>
      </c>
      <c r="C1116" s="67" t="s">
        <v>204</v>
      </c>
      <c r="D1116" s="69" t="s">
        <v>1760</v>
      </c>
      <c r="E1116" s="69" t="s">
        <v>1761</v>
      </c>
      <c r="F1116" s="69" t="s">
        <v>1762</v>
      </c>
    </row>
    <row r="1117" spans="1:6" ht="45" x14ac:dyDescent="0.2">
      <c r="A1117" s="65" t="s">
        <v>1763</v>
      </c>
      <c r="B1117" s="66" t="s">
        <v>1764</v>
      </c>
      <c r="C1117" s="67" t="s">
        <v>204</v>
      </c>
      <c r="D1117" s="69" t="s">
        <v>1765</v>
      </c>
      <c r="E1117" s="69" t="s">
        <v>1761</v>
      </c>
      <c r="F1117" s="69" t="s">
        <v>1766</v>
      </c>
    </row>
    <row r="1118" spans="1:6" ht="45" x14ac:dyDescent="0.2">
      <c r="A1118" s="65" t="s">
        <v>1767</v>
      </c>
      <c r="B1118" s="66" t="s">
        <v>1768</v>
      </c>
      <c r="C1118" s="67" t="s">
        <v>204</v>
      </c>
      <c r="D1118" s="69" t="s">
        <v>1769</v>
      </c>
      <c r="E1118" s="68"/>
      <c r="F1118" s="69" t="s">
        <v>1769</v>
      </c>
    </row>
    <row r="1119" spans="1:6" ht="45" x14ac:dyDescent="0.2">
      <c r="A1119" s="65" t="s">
        <v>1770</v>
      </c>
      <c r="B1119" s="66" t="s">
        <v>1771</v>
      </c>
      <c r="C1119" s="67" t="s">
        <v>204</v>
      </c>
      <c r="D1119" s="69" t="s">
        <v>1772</v>
      </c>
      <c r="E1119" s="69" t="s">
        <v>1761</v>
      </c>
      <c r="F1119" s="69" t="s">
        <v>1773</v>
      </c>
    </row>
    <row r="1120" spans="1:6" ht="56.25" x14ac:dyDescent="0.2">
      <c r="A1120" s="65" t="s">
        <v>1774</v>
      </c>
      <c r="B1120" s="66" t="s">
        <v>1775</v>
      </c>
      <c r="C1120" s="67" t="s">
        <v>204</v>
      </c>
      <c r="D1120" s="69" t="s">
        <v>1776</v>
      </c>
      <c r="E1120" s="69" t="s">
        <v>1761</v>
      </c>
      <c r="F1120" s="69" t="s">
        <v>1777</v>
      </c>
    </row>
    <row r="1121" spans="1:6" ht="56.25" x14ac:dyDescent="0.2">
      <c r="A1121" s="65" t="s">
        <v>1778</v>
      </c>
      <c r="B1121" s="66" t="s">
        <v>1779</v>
      </c>
      <c r="C1121" s="67" t="s">
        <v>204</v>
      </c>
      <c r="D1121" s="69" t="s">
        <v>1780</v>
      </c>
      <c r="E1121" s="69" t="s">
        <v>1761</v>
      </c>
      <c r="F1121" s="69" t="s">
        <v>1781</v>
      </c>
    </row>
    <row r="1122" spans="1:6" ht="45" x14ac:dyDescent="0.2">
      <c r="A1122" s="65" t="s">
        <v>1782</v>
      </c>
      <c r="B1122" s="66" t="s">
        <v>1783</v>
      </c>
      <c r="C1122" s="67" t="s">
        <v>204</v>
      </c>
      <c r="D1122" s="69" t="s">
        <v>1784</v>
      </c>
      <c r="E1122" s="69" t="s">
        <v>1761</v>
      </c>
      <c r="F1122" s="69" t="s">
        <v>1785</v>
      </c>
    </row>
    <row r="1123" spans="1:6" ht="45" x14ac:dyDescent="0.2">
      <c r="A1123" s="65" t="s">
        <v>1786</v>
      </c>
      <c r="B1123" s="66" t="s">
        <v>1787</v>
      </c>
      <c r="C1123" s="67" t="s">
        <v>204</v>
      </c>
      <c r="D1123" s="69" t="s">
        <v>1788</v>
      </c>
      <c r="E1123" s="69" t="s">
        <v>1761</v>
      </c>
      <c r="F1123" s="69" t="s">
        <v>1789</v>
      </c>
    </row>
    <row r="1124" spans="1:6" ht="45" x14ac:dyDescent="0.2">
      <c r="A1124" s="65" t="s">
        <v>1790</v>
      </c>
      <c r="B1124" s="66" t="s">
        <v>1791</v>
      </c>
      <c r="C1124" s="67" t="s">
        <v>204</v>
      </c>
      <c r="D1124" s="69" t="s">
        <v>1792</v>
      </c>
      <c r="E1124" s="69" t="s">
        <v>1793</v>
      </c>
      <c r="F1124" s="69" t="s">
        <v>1794</v>
      </c>
    </row>
    <row r="1125" spans="1:6" x14ac:dyDescent="0.2">
      <c r="A1125" s="50">
        <v>21.03</v>
      </c>
      <c r="B1125" s="64" t="s">
        <v>1795</v>
      </c>
      <c r="C1125" s="47"/>
      <c r="D1125" s="47"/>
      <c r="E1125" s="47"/>
      <c r="F1125" s="47"/>
    </row>
    <row r="1126" spans="1:6" ht="56.25" x14ac:dyDescent="0.2">
      <c r="A1126" s="65" t="s">
        <v>1796</v>
      </c>
      <c r="B1126" s="66" t="s">
        <v>1797</v>
      </c>
      <c r="C1126" s="67" t="s">
        <v>204</v>
      </c>
      <c r="D1126" s="69" t="s">
        <v>1798</v>
      </c>
      <c r="E1126" s="68"/>
      <c r="F1126" s="69" t="s">
        <v>1798</v>
      </c>
    </row>
    <row r="1127" spans="1:6" ht="22.5" x14ac:dyDescent="0.2">
      <c r="A1127" s="65" t="s">
        <v>1799</v>
      </c>
      <c r="B1127" s="65" t="s">
        <v>1800</v>
      </c>
      <c r="C1127" s="67" t="s">
        <v>204</v>
      </c>
      <c r="D1127" s="69" t="s">
        <v>1801</v>
      </c>
      <c r="E1127" s="68"/>
      <c r="F1127" s="69" t="s">
        <v>1801</v>
      </c>
    </row>
    <row r="1128" spans="1:6" ht="45" x14ac:dyDescent="0.2">
      <c r="A1128" s="65" t="s">
        <v>1802</v>
      </c>
      <c r="B1128" s="66" t="s">
        <v>1803</v>
      </c>
      <c r="C1128" s="67" t="s">
        <v>204</v>
      </c>
      <c r="D1128" s="69" t="s">
        <v>1804</v>
      </c>
      <c r="E1128" s="68"/>
      <c r="F1128" s="69" t="s">
        <v>1804</v>
      </c>
    </row>
    <row r="1129" spans="1:6" ht="56.25" x14ac:dyDescent="0.2">
      <c r="A1129" s="65" t="s">
        <v>1805</v>
      </c>
      <c r="B1129" s="66" t="s">
        <v>1806</v>
      </c>
      <c r="C1129" s="67" t="s">
        <v>204</v>
      </c>
      <c r="D1129" s="69" t="s">
        <v>1807</v>
      </c>
      <c r="E1129" s="68"/>
      <c r="F1129" s="69" t="s">
        <v>1807</v>
      </c>
    </row>
    <row r="1130" spans="1:6" x14ac:dyDescent="0.2">
      <c r="A1130" s="50">
        <v>21.04</v>
      </c>
      <c r="B1130" s="64" t="s">
        <v>1808</v>
      </c>
      <c r="C1130" s="47"/>
      <c r="D1130" s="47"/>
      <c r="E1130" s="47"/>
      <c r="F1130" s="47"/>
    </row>
    <row r="1131" spans="1:6" ht="45" x14ac:dyDescent="0.2">
      <c r="A1131" s="65" t="s">
        <v>1809</v>
      </c>
      <c r="B1131" s="66" t="s">
        <v>1810</v>
      </c>
      <c r="C1131" s="67" t="s">
        <v>204</v>
      </c>
      <c r="D1131" s="69" t="s">
        <v>1811</v>
      </c>
      <c r="E1131" s="68"/>
      <c r="F1131" s="69" t="s">
        <v>1811</v>
      </c>
    </row>
    <row r="1132" spans="1:6" ht="45" x14ac:dyDescent="0.2">
      <c r="A1132" s="65" t="s">
        <v>1812</v>
      </c>
      <c r="B1132" s="66" t="s">
        <v>1813</v>
      </c>
      <c r="C1132" s="67" t="s">
        <v>204</v>
      </c>
      <c r="D1132" s="69" t="s">
        <v>1814</v>
      </c>
      <c r="E1132" s="68"/>
      <c r="F1132" s="69" t="s">
        <v>1814</v>
      </c>
    </row>
    <row r="1133" spans="1:6" ht="33.75" x14ac:dyDescent="0.2">
      <c r="A1133" s="50">
        <v>21.05</v>
      </c>
      <c r="B1133" s="64" t="s">
        <v>1815</v>
      </c>
      <c r="C1133" s="47"/>
      <c r="D1133" s="47"/>
      <c r="E1133" s="47"/>
      <c r="F1133" s="47"/>
    </row>
    <row r="1134" spans="1:6" ht="56.25" x14ac:dyDescent="0.2">
      <c r="A1134" s="70" t="s">
        <v>1816</v>
      </c>
      <c r="B1134" s="65" t="s">
        <v>1817</v>
      </c>
      <c r="C1134" s="71" t="s">
        <v>204</v>
      </c>
      <c r="D1134" s="72" t="s">
        <v>1818</v>
      </c>
      <c r="E1134" s="72" t="s">
        <v>1819</v>
      </c>
      <c r="F1134" s="72" t="s">
        <v>1820</v>
      </c>
    </row>
    <row r="1135" spans="1:6" ht="45" x14ac:dyDescent="0.2">
      <c r="A1135" s="65" t="s">
        <v>1821</v>
      </c>
      <c r="B1135" s="66" t="s">
        <v>1822</v>
      </c>
      <c r="C1135" s="67" t="s">
        <v>204</v>
      </c>
      <c r="D1135" s="69" t="s">
        <v>1823</v>
      </c>
      <c r="E1135" s="68"/>
      <c r="F1135" s="69" t="s">
        <v>1823</v>
      </c>
    </row>
    <row r="1136" spans="1:6" x14ac:dyDescent="0.2">
      <c r="A1136" s="50">
        <v>21.07</v>
      </c>
      <c r="B1136" s="64" t="s">
        <v>1824</v>
      </c>
      <c r="C1136" s="47"/>
      <c r="D1136" s="47"/>
      <c r="E1136" s="47"/>
      <c r="F1136" s="47"/>
    </row>
    <row r="1137" spans="1:6" ht="22.5" x14ac:dyDescent="0.2">
      <c r="A1137" s="65" t="s">
        <v>1825</v>
      </c>
      <c r="B1137" s="65" t="s">
        <v>1826</v>
      </c>
      <c r="C1137" s="67" t="s">
        <v>204</v>
      </c>
      <c r="D1137" s="69" t="s">
        <v>1827</v>
      </c>
      <c r="E1137" s="73"/>
      <c r="F1137" s="69" t="s">
        <v>1827</v>
      </c>
    </row>
    <row r="1138" spans="1:6" x14ac:dyDescent="0.2">
      <c r="A1138" s="50">
        <v>21.1</v>
      </c>
      <c r="B1138" s="64" t="s">
        <v>1828</v>
      </c>
      <c r="C1138" s="47"/>
      <c r="D1138" s="47"/>
      <c r="E1138" s="47"/>
      <c r="F1138" s="47"/>
    </row>
    <row r="1139" spans="1:6" ht="22.5" x14ac:dyDescent="0.2">
      <c r="A1139" s="65" t="s">
        <v>1829</v>
      </c>
      <c r="B1139" s="65" t="s">
        <v>1830</v>
      </c>
      <c r="C1139" s="67" t="s">
        <v>221</v>
      </c>
      <c r="D1139" s="69" t="s">
        <v>1831</v>
      </c>
      <c r="E1139" s="69" t="s">
        <v>1832</v>
      </c>
      <c r="F1139" s="69" t="s">
        <v>1833</v>
      </c>
    </row>
    <row r="1140" spans="1:6" ht="22.5" x14ac:dyDescent="0.2">
      <c r="A1140" s="65" t="s">
        <v>1834</v>
      </c>
      <c r="B1140" s="65" t="s">
        <v>1835</v>
      </c>
      <c r="C1140" s="67" t="s">
        <v>221</v>
      </c>
      <c r="D1140" s="69" t="s">
        <v>1836</v>
      </c>
      <c r="E1140" s="69" t="s">
        <v>1832</v>
      </c>
      <c r="F1140" s="69" t="s">
        <v>1837</v>
      </c>
    </row>
    <row r="1141" spans="1:6" ht="56.25" x14ac:dyDescent="0.2">
      <c r="A1141" s="65" t="s">
        <v>1838</v>
      </c>
      <c r="B1141" s="66" t="s">
        <v>1839</v>
      </c>
      <c r="C1141" s="67" t="s">
        <v>221</v>
      </c>
      <c r="D1141" s="69" t="s">
        <v>1840</v>
      </c>
      <c r="E1141" s="69" t="s">
        <v>1752</v>
      </c>
      <c r="F1141" s="69" t="s">
        <v>1841</v>
      </c>
    </row>
    <row r="1142" spans="1:6" ht="56.25" x14ac:dyDescent="0.2">
      <c r="A1142" s="65" t="s">
        <v>1842</v>
      </c>
      <c r="B1142" s="66" t="s">
        <v>1843</v>
      </c>
      <c r="C1142" s="67" t="s">
        <v>221</v>
      </c>
      <c r="D1142" s="69" t="s">
        <v>1844</v>
      </c>
      <c r="E1142" s="69" t="s">
        <v>1752</v>
      </c>
      <c r="F1142" s="69" t="s">
        <v>1845</v>
      </c>
    </row>
    <row r="1143" spans="1:6" ht="56.25" x14ac:dyDescent="0.2">
      <c r="A1143" s="65" t="s">
        <v>1846</v>
      </c>
      <c r="B1143" s="66" t="s">
        <v>1847</v>
      </c>
      <c r="C1143" s="67" t="s">
        <v>221</v>
      </c>
      <c r="D1143" s="69" t="s">
        <v>1848</v>
      </c>
      <c r="E1143" s="69" t="s">
        <v>1832</v>
      </c>
      <c r="F1143" s="69" t="s">
        <v>1849</v>
      </c>
    </row>
    <row r="1144" spans="1:6" ht="22.5" x14ac:dyDescent="0.2">
      <c r="A1144" s="65" t="s">
        <v>1850</v>
      </c>
      <c r="B1144" s="65" t="s">
        <v>1851</v>
      </c>
      <c r="C1144" s="67" t="s">
        <v>221</v>
      </c>
      <c r="D1144" s="69" t="s">
        <v>1852</v>
      </c>
      <c r="E1144" s="69" t="s">
        <v>1853</v>
      </c>
      <c r="F1144" s="69" t="s">
        <v>245</v>
      </c>
    </row>
    <row r="1145" spans="1:6" x14ac:dyDescent="0.2">
      <c r="A1145" s="65" t="s">
        <v>1854</v>
      </c>
      <c r="B1145" s="65" t="s">
        <v>1855</v>
      </c>
      <c r="C1145" s="67" t="s">
        <v>221</v>
      </c>
      <c r="D1145" s="69" t="s">
        <v>1856</v>
      </c>
      <c r="E1145" s="73"/>
      <c r="F1145" s="69" t="s">
        <v>1856</v>
      </c>
    </row>
    <row r="1146" spans="1:6" ht="45" x14ac:dyDescent="0.2">
      <c r="A1146" s="65" t="s">
        <v>1857</v>
      </c>
      <c r="B1146" s="66" t="s">
        <v>1858</v>
      </c>
      <c r="C1146" s="67" t="s">
        <v>221</v>
      </c>
      <c r="D1146" s="69" t="s">
        <v>1859</v>
      </c>
      <c r="E1146" s="68"/>
      <c r="F1146" s="69" t="s">
        <v>1859</v>
      </c>
    </row>
    <row r="1147" spans="1:6" x14ac:dyDescent="0.2">
      <c r="A1147" s="50">
        <v>21.11</v>
      </c>
      <c r="B1147" s="64" t="s">
        <v>1860</v>
      </c>
      <c r="C1147" s="47"/>
      <c r="D1147" s="47"/>
      <c r="E1147" s="47"/>
      <c r="F1147" s="47"/>
    </row>
    <row r="1148" spans="1:6" ht="33.75" x14ac:dyDescent="0.2">
      <c r="A1148" s="65" t="s">
        <v>1861</v>
      </c>
      <c r="B1148" s="65" t="s">
        <v>1862</v>
      </c>
      <c r="C1148" s="67" t="s">
        <v>221</v>
      </c>
      <c r="D1148" s="69" t="s">
        <v>1863</v>
      </c>
      <c r="E1148" s="69" t="s">
        <v>1864</v>
      </c>
      <c r="F1148" s="69" t="s">
        <v>1865</v>
      </c>
    </row>
    <row r="1149" spans="1:6" ht="56.25" x14ac:dyDescent="0.2">
      <c r="A1149" s="65" t="s">
        <v>1866</v>
      </c>
      <c r="B1149" s="66" t="s">
        <v>1867</v>
      </c>
      <c r="C1149" s="67" t="s">
        <v>221</v>
      </c>
      <c r="D1149" s="69" t="s">
        <v>1868</v>
      </c>
      <c r="E1149" s="69" t="s">
        <v>1832</v>
      </c>
      <c r="F1149" s="69" t="s">
        <v>1080</v>
      </c>
    </row>
    <row r="1150" spans="1:6" ht="22.5" x14ac:dyDescent="0.2">
      <c r="A1150" s="50">
        <v>21.2</v>
      </c>
      <c r="B1150" s="64" t="s">
        <v>1869</v>
      </c>
      <c r="C1150" s="47"/>
      <c r="D1150" s="47"/>
      <c r="E1150" s="47"/>
      <c r="F1150" s="47"/>
    </row>
    <row r="1151" spans="1:6" ht="22.5" x14ac:dyDescent="0.2">
      <c r="A1151" s="65" t="s">
        <v>1870</v>
      </c>
      <c r="B1151" s="65" t="s">
        <v>1871</v>
      </c>
      <c r="C1151" s="67" t="s">
        <v>204</v>
      </c>
      <c r="D1151" s="69" t="s">
        <v>289</v>
      </c>
      <c r="E1151" s="69" t="s">
        <v>293</v>
      </c>
      <c r="F1151" s="69" t="s">
        <v>1872</v>
      </c>
    </row>
    <row r="1152" spans="1:6" ht="22.5" x14ac:dyDescent="0.2">
      <c r="A1152" s="65" t="s">
        <v>1873</v>
      </c>
      <c r="B1152" s="65" t="s">
        <v>1874</v>
      </c>
      <c r="C1152" s="67" t="s">
        <v>204</v>
      </c>
      <c r="D1152" s="69" t="s">
        <v>1875</v>
      </c>
      <c r="E1152" s="69" t="s">
        <v>309</v>
      </c>
      <c r="F1152" s="69" t="s">
        <v>1876</v>
      </c>
    </row>
    <row r="1153" spans="1:6" ht="45" x14ac:dyDescent="0.2">
      <c r="A1153" s="65" t="s">
        <v>1877</v>
      </c>
      <c r="B1153" s="66" t="s">
        <v>1878</v>
      </c>
      <c r="C1153" s="67" t="s">
        <v>204</v>
      </c>
      <c r="D1153" s="68"/>
      <c r="E1153" s="69" t="s">
        <v>1879</v>
      </c>
      <c r="F1153" s="69" t="s">
        <v>1879</v>
      </c>
    </row>
    <row r="1154" spans="1:6" ht="22.5" x14ac:dyDescent="0.2">
      <c r="A1154" s="65" t="s">
        <v>1880</v>
      </c>
      <c r="B1154" s="65" t="s">
        <v>1881</v>
      </c>
      <c r="C1154" s="67" t="s">
        <v>203</v>
      </c>
      <c r="D1154" s="69" t="s">
        <v>1882</v>
      </c>
      <c r="E1154" s="73"/>
      <c r="F1154" s="69" t="s">
        <v>1882</v>
      </c>
    </row>
    <row r="1155" spans="1:6" ht="22.5" x14ac:dyDescent="0.2">
      <c r="A1155" s="65" t="s">
        <v>1883</v>
      </c>
      <c r="B1155" s="65" t="s">
        <v>1884</v>
      </c>
      <c r="C1155" s="67" t="s">
        <v>221</v>
      </c>
      <c r="D1155" s="73"/>
      <c r="E1155" s="69" t="s">
        <v>1740</v>
      </c>
      <c r="F1155" s="69" t="s">
        <v>1740</v>
      </c>
    </row>
    <row r="1156" spans="1:6" ht="22.5" x14ac:dyDescent="0.2">
      <c r="A1156" s="65" t="s">
        <v>1885</v>
      </c>
      <c r="B1156" s="65" t="s">
        <v>1886</v>
      </c>
      <c r="C1156" s="67" t="s">
        <v>221</v>
      </c>
      <c r="D1156" s="69" t="s">
        <v>1887</v>
      </c>
      <c r="E1156" s="69" t="s">
        <v>302</v>
      </c>
      <c r="F1156" s="69" t="s">
        <v>1888</v>
      </c>
    </row>
    <row r="1157" spans="1:6" ht="33.75" x14ac:dyDescent="0.2">
      <c r="A1157" s="65" t="s">
        <v>1889</v>
      </c>
      <c r="B1157" s="65" t="s">
        <v>1890</v>
      </c>
      <c r="C1157" s="67" t="s">
        <v>221</v>
      </c>
      <c r="D1157" s="69" t="s">
        <v>908</v>
      </c>
      <c r="E1157" s="69" t="s">
        <v>302</v>
      </c>
      <c r="F1157" s="69" t="s">
        <v>1891</v>
      </c>
    </row>
    <row r="1158" spans="1:6" ht="22.5" x14ac:dyDescent="0.2">
      <c r="A1158" s="65" t="s">
        <v>1892</v>
      </c>
      <c r="B1158" s="65" t="s">
        <v>1893</v>
      </c>
      <c r="C1158" s="67" t="s">
        <v>203</v>
      </c>
      <c r="D1158" s="69" t="s">
        <v>1894</v>
      </c>
      <c r="E1158" s="69" t="s">
        <v>1853</v>
      </c>
      <c r="F1158" s="69" t="s">
        <v>434</v>
      </c>
    </row>
    <row r="1159" spans="1:6" ht="22.5" x14ac:dyDescent="0.2">
      <c r="A1159" s="65" t="s">
        <v>1895</v>
      </c>
      <c r="B1159" s="65" t="s">
        <v>1896</v>
      </c>
      <c r="C1159" s="67" t="s">
        <v>221</v>
      </c>
      <c r="D1159" s="69" t="s">
        <v>1897</v>
      </c>
      <c r="E1159" s="69" t="s">
        <v>286</v>
      </c>
      <c r="F1159" s="69" t="s">
        <v>424</v>
      </c>
    </row>
    <row r="1160" spans="1:6" ht="22.5" x14ac:dyDescent="0.2">
      <c r="A1160" s="65" t="s">
        <v>1898</v>
      </c>
      <c r="B1160" s="65" t="s">
        <v>1899</v>
      </c>
      <c r="C1160" s="67" t="s">
        <v>221</v>
      </c>
      <c r="D1160" s="69" t="s">
        <v>1900</v>
      </c>
      <c r="E1160" s="69" t="s">
        <v>307</v>
      </c>
      <c r="F1160" s="69" t="s">
        <v>1901</v>
      </c>
    </row>
    <row r="1161" spans="1:6" x14ac:dyDescent="0.2">
      <c r="A1161" s="49">
        <v>22</v>
      </c>
      <c r="B1161" s="64" t="s">
        <v>1902</v>
      </c>
      <c r="C1161" s="47"/>
      <c r="D1161" s="47"/>
      <c r="E1161" s="47"/>
      <c r="F1161" s="47"/>
    </row>
    <row r="1162" spans="1:6" x14ac:dyDescent="0.2">
      <c r="A1162" s="50">
        <v>22.01</v>
      </c>
      <c r="B1162" s="64" t="s">
        <v>1903</v>
      </c>
      <c r="C1162" s="47"/>
      <c r="D1162" s="47"/>
      <c r="E1162" s="47"/>
      <c r="F1162" s="47"/>
    </row>
    <row r="1163" spans="1:6" ht="22.5" x14ac:dyDescent="0.2">
      <c r="A1163" s="65" t="s">
        <v>1904</v>
      </c>
      <c r="B1163" s="65" t="s">
        <v>1905</v>
      </c>
      <c r="C1163" s="67" t="s">
        <v>204</v>
      </c>
      <c r="D1163" s="69" t="s">
        <v>1906</v>
      </c>
      <c r="E1163" s="69" t="s">
        <v>305</v>
      </c>
      <c r="F1163" s="69" t="s">
        <v>1907</v>
      </c>
    </row>
    <row r="1164" spans="1:6" ht="33.75" x14ac:dyDescent="0.2">
      <c r="A1164" s="65" t="s">
        <v>1908</v>
      </c>
      <c r="B1164" s="65" t="s">
        <v>1909</v>
      </c>
      <c r="C1164" s="67" t="s">
        <v>204</v>
      </c>
      <c r="D1164" s="69" t="s">
        <v>1910</v>
      </c>
      <c r="E1164" s="69" t="s">
        <v>403</v>
      </c>
      <c r="F1164" s="69" t="s">
        <v>1911</v>
      </c>
    </row>
    <row r="1165" spans="1:6" ht="45" x14ac:dyDescent="0.2">
      <c r="A1165" s="65" t="s">
        <v>1912</v>
      </c>
      <c r="B1165" s="66" t="s">
        <v>1913</v>
      </c>
      <c r="C1165" s="67" t="s">
        <v>204</v>
      </c>
      <c r="D1165" s="69" t="s">
        <v>1914</v>
      </c>
      <c r="E1165" s="69" t="s">
        <v>401</v>
      </c>
      <c r="F1165" s="69" t="s">
        <v>1915</v>
      </c>
    </row>
    <row r="1166" spans="1:6" ht="22.5" x14ac:dyDescent="0.2">
      <c r="A1166" s="65" t="s">
        <v>1916</v>
      </c>
      <c r="B1166" s="65" t="s">
        <v>1917</v>
      </c>
      <c r="C1166" s="67" t="s">
        <v>221</v>
      </c>
      <c r="D1166" s="69" t="s">
        <v>1918</v>
      </c>
      <c r="E1166" s="69" t="s">
        <v>298</v>
      </c>
      <c r="F1166" s="69" t="s">
        <v>1919</v>
      </c>
    </row>
    <row r="1167" spans="1:6" ht="45" x14ac:dyDescent="0.2">
      <c r="A1167" s="65" t="s">
        <v>1920</v>
      </c>
      <c r="B1167" s="66" t="s">
        <v>1921</v>
      </c>
      <c r="C1167" s="67" t="s">
        <v>204</v>
      </c>
      <c r="D1167" s="69" t="s">
        <v>1922</v>
      </c>
      <c r="E1167" s="69" t="s">
        <v>403</v>
      </c>
      <c r="F1167" s="69" t="s">
        <v>1923</v>
      </c>
    </row>
    <row r="1168" spans="1:6" ht="45" x14ac:dyDescent="0.2">
      <c r="A1168" s="65" t="s">
        <v>1924</v>
      </c>
      <c r="B1168" s="66" t="s">
        <v>1925</v>
      </c>
      <c r="C1168" s="67" t="s">
        <v>204</v>
      </c>
      <c r="D1168" s="69" t="s">
        <v>1926</v>
      </c>
      <c r="E1168" s="69" t="s">
        <v>305</v>
      </c>
      <c r="F1168" s="69" t="s">
        <v>1927</v>
      </c>
    </row>
    <row r="1169" spans="1:6" x14ac:dyDescent="0.2">
      <c r="A1169" s="50">
        <v>22.02</v>
      </c>
      <c r="B1169" s="64" t="s">
        <v>1928</v>
      </c>
      <c r="C1169" s="47"/>
      <c r="D1169" s="47"/>
      <c r="E1169" s="47"/>
      <c r="F1169" s="47"/>
    </row>
    <row r="1170" spans="1:6" x14ac:dyDescent="0.2">
      <c r="A1170" s="65" t="s">
        <v>1929</v>
      </c>
      <c r="B1170" s="65" t="s">
        <v>1930</v>
      </c>
      <c r="C1170" s="67" t="s">
        <v>204</v>
      </c>
      <c r="D1170" s="69" t="s">
        <v>1931</v>
      </c>
      <c r="E1170" s="73"/>
      <c r="F1170" s="69" t="s">
        <v>1931</v>
      </c>
    </row>
    <row r="1171" spans="1:6" ht="33.75" x14ac:dyDescent="0.2">
      <c r="A1171" s="65" t="s">
        <v>1932</v>
      </c>
      <c r="B1171" s="65" t="s">
        <v>1933</v>
      </c>
      <c r="C1171" s="67" t="s">
        <v>204</v>
      </c>
      <c r="D1171" s="69" t="s">
        <v>1934</v>
      </c>
      <c r="E1171" s="68"/>
      <c r="F1171" s="69" t="s">
        <v>1934</v>
      </c>
    </row>
    <row r="1172" spans="1:6" ht="56.25" x14ac:dyDescent="0.2">
      <c r="A1172" s="70" t="s">
        <v>1935</v>
      </c>
      <c r="B1172" s="65" t="s">
        <v>1936</v>
      </c>
      <c r="C1172" s="71" t="s">
        <v>204</v>
      </c>
      <c r="D1172" s="72" t="s">
        <v>1937</v>
      </c>
      <c r="E1172" s="66"/>
      <c r="F1172" s="72" t="s">
        <v>1937</v>
      </c>
    </row>
    <row r="1173" spans="1:6" ht="33.75" x14ac:dyDescent="0.2">
      <c r="A1173" s="65" t="s">
        <v>1938</v>
      </c>
      <c r="B1173" s="65" t="s">
        <v>1939</v>
      </c>
      <c r="C1173" s="67" t="s">
        <v>204</v>
      </c>
      <c r="D1173" s="69" t="s">
        <v>1940</v>
      </c>
      <c r="E1173" s="68"/>
      <c r="F1173" s="69" t="s">
        <v>1940</v>
      </c>
    </row>
    <row r="1174" spans="1:6" x14ac:dyDescent="0.2">
      <c r="A1174" s="50">
        <v>22.03</v>
      </c>
      <c r="B1174" s="64" t="s">
        <v>1941</v>
      </c>
      <c r="C1174" s="47"/>
      <c r="D1174" s="47"/>
      <c r="E1174" s="47"/>
      <c r="F1174" s="47"/>
    </row>
    <row r="1175" spans="1:6" ht="22.5" x14ac:dyDescent="0.2">
      <c r="A1175" s="65" t="s">
        <v>1942</v>
      </c>
      <c r="B1175" s="65" t="s">
        <v>1943</v>
      </c>
      <c r="C1175" s="67" t="s">
        <v>204</v>
      </c>
      <c r="D1175" s="69" t="s">
        <v>1944</v>
      </c>
      <c r="E1175" s="73"/>
      <c r="F1175" s="69" t="s">
        <v>1944</v>
      </c>
    </row>
    <row r="1176" spans="1:6" ht="22.5" x14ac:dyDescent="0.2">
      <c r="A1176" s="65" t="s">
        <v>1945</v>
      </c>
      <c r="B1176" s="65" t="s">
        <v>1946</v>
      </c>
      <c r="C1176" s="67" t="s">
        <v>204</v>
      </c>
      <c r="D1176" s="69" t="s">
        <v>1947</v>
      </c>
      <c r="E1176" s="73"/>
      <c r="F1176" s="69" t="s">
        <v>1947</v>
      </c>
    </row>
    <row r="1177" spans="1:6" ht="22.5" x14ac:dyDescent="0.2">
      <c r="A1177" s="65" t="s">
        <v>1948</v>
      </c>
      <c r="B1177" s="65" t="s">
        <v>1949</v>
      </c>
      <c r="C1177" s="67" t="s">
        <v>204</v>
      </c>
      <c r="D1177" s="69" t="s">
        <v>1950</v>
      </c>
      <c r="E1177" s="73"/>
      <c r="F1177" s="69" t="s">
        <v>1950</v>
      </c>
    </row>
    <row r="1178" spans="1:6" ht="22.5" x14ac:dyDescent="0.2">
      <c r="A1178" s="65" t="s">
        <v>1951</v>
      </c>
      <c r="B1178" s="65" t="s">
        <v>1952</v>
      </c>
      <c r="C1178" s="67" t="s">
        <v>204</v>
      </c>
      <c r="D1178" s="69" t="s">
        <v>1953</v>
      </c>
      <c r="E1178" s="73"/>
      <c r="F1178" s="69" t="s">
        <v>1953</v>
      </c>
    </row>
    <row r="1179" spans="1:6" x14ac:dyDescent="0.2">
      <c r="A1179" s="65" t="s">
        <v>1954</v>
      </c>
      <c r="B1179" s="65" t="s">
        <v>1955</v>
      </c>
      <c r="C1179" s="67" t="s">
        <v>204</v>
      </c>
      <c r="D1179" s="69" t="s">
        <v>1956</v>
      </c>
      <c r="E1179" s="73"/>
      <c r="F1179" s="69" t="s">
        <v>1956</v>
      </c>
    </row>
    <row r="1180" spans="1:6" ht="45" x14ac:dyDescent="0.2">
      <c r="A1180" s="65" t="s">
        <v>1957</v>
      </c>
      <c r="B1180" s="66" t="s">
        <v>1958</v>
      </c>
      <c r="C1180" s="67" t="s">
        <v>204</v>
      </c>
      <c r="D1180" s="69" t="s">
        <v>1959</v>
      </c>
      <c r="E1180" s="68"/>
      <c r="F1180" s="69" t="s">
        <v>1959</v>
      </c>
    </row>
    <row r="1181" spans="1:6" ht="45" x14ac:dyDescent="0.2">
      <c r="A1181" s="65" t="s">
        <v>1960</v>
      </c>
      <c r="B1181" s="66" t="s">
        <v>1961</v>
      </c>
      <c r="C1181" s="67" t="s">
        <v>204</v>
      </c>
      <c r="D1181" s="69" t="s">
        <v>1962</v>
      </c>
      <c r="E1181" s="68"/>
      <c r="F1181" s="69" t="s">
        <v>1962</v>
      </c>
    </row>
    <row r="1182" spans="1:6" x14ac:dyDescent="0.2">
      <c r="A1182" s="50">
        <v>22.04</v>
      </c>
      <c r="B1182" s="64" t="s">
        <v>1963</v>
      </c>
      <c r="C1182" s="47"/>
      <c r="D1182" s="47"/>
      <c r="E1182" s="47"/>
      <c r="F1182" s="47"/>
    </row>
    <row r="1183" spans="1:6" ht="33.75" x14ac:dyDescent="0.2">
      <c r="A1183" s="65" t="s">
        <v>1964</v>
      </c>
      <c r="B1183" s="65" t="s">
        <v>1965</v>
      </c>
      <c r="C1183" s="67" t="s">
        <v>204</v>
      </c>
      <c r="D1183" s="69" t="s">
        <v>1966</v>
      </c>
      <c r="E1183" s="68"/>
      <c r="F1183" s="69" t="s">
        <v>1966</v>
      </c>
    </row>
    <row r="1184" spans="1:6" x14ac:dyDescent="0.2">
      <c r="A1184" s="50">
        <v>22.06</v>
      </c>
      <c r="B1184" s="64" t="s">
        <v>1967</v>
      </c>
      <c r="C1184" s="47"/>
      <c r="D1184" s="47"/>
      <c r="E1184" s="47"/>
      <c r="F1184" s="47"/>
    </row>
    <row r="1185" spans="1:6" ht="33.75" x14ac:dyDescent="0.2">
      <c r="A1185" s="65" t="s">
        <v>1968</v>
      </c>
      <c r="B1185" s="65" t="s">
        <v>1969</v>
      </c>
      <c r="C1185" s="67" t="s">
        <v>204</v>
      </c>
      <c r="D1185" s="69" t="s">
        <v>1970</v>
      </c>
      <c r="E1185" s="69" t="s">
        <v>764</v>
      </c>
      <c r="F1185" s="69" t="s">
        <v>1971</v>
      </c>
    </row>
    <row r="1186" spans="1:6" ht="45" x14ac:dyDescent="0.2">
      <c r="A1186" s="65" t="s">
        <v>1972</v>
      </c>
      <c r="B1186" s="66" t="s">
        <v>1973</v>
      </c>
      <c r="C1186" s="67" t="s">
        <v>204</v>
      </c>
      <c r="D1186" s="69" t="s">
        <v>1974</v>
      </c>
      <c r="E1186" s="68"/>
      <c r="F1186" s="69" t="s">
        <v>1974</v>
      </c>
    </row>
    <row r="1187" spans="1:6" ht="45" x14ac:dyDescent="0.2">
      <c r="A1187" s="65" t="s">
        <v>1975</v>
      </c>
      <c r="B1187" s="66" t="s">
        <v>1976</v>
      </c>
      <c r="C1187" s="67" t="s">
        <v>204</v>
      </c>
      <c r="D1187" s="69" t="s">
        <v>1977</v>
      </c>
      <c r="E1187" s="68"/>
      <c r="F1187" s="69" t="s">
        <v>1977</v>
      </c>
    </row>
    <row r="1188" spans="1:6" ht="45" x14ac:dyDescent="0.2">
      <c r="A1188" s="65" t="s">
        <v>1978</v>
      </c>
      <c r="B1188" s="66" t="s">
        <v>1979</v>
      </c>
      <c r="C1188" s="67" t="s">
        <v>204</v>
      </c>
      <c r="D1188" s="69" t="s">
        <v>1980</v>
      </c>
      <c r="E1188" s="68"/>
      <c r="F1188" s="69" t="s">
        <v>1980</v>
      </c>
    </row>
    <row r="1189" spans="1:6" ht="45" x14ac:dyDescent="0.2">
      <c r="A1189" s="65" t="s">
        <v>1981</v>
      </c>
      <c r="B1189" s="66" t="s">
        <v>1982</v>
      </c>
      <c r="C1189" s="67" t="s">
        <v>204</v>
      </c>
      <c r="D1189" s="69" t="s">
        <v>1983</v>
      </c>
      <c r="E1189" s="68"/>
      <c r="F1189" s="69" t="s">
        <v>1983</v>
      </c>
    </row>
    <row r="1190" spans="1:6" ht="45" x14ac:dyDescent="0.2">
      <c r="A1190" s="65" t="s">
        <v>1984</v>
      </c>
      <c r="B1190" s="66" t="s">
        <v>1985</v>
      </c>
      <c r="C1190" s="67" t="s">
        <v>204</v>
      </c>
      <c r="D1190" s="69" t="s">
        <v>1986</v>
      </c>
      <c r="E1190" s="68"/>
      <c r="F1190" s="69" t="s">
        <v>1986</v>
      </c>
    </row>
    <row r="1191" spans="1:6" ht="22.5" x14ac:dyDescent="0.2">
      <c r="A1191" s="50">
        <v>22.2</v>
      </c>
      <c r="B1191" s="64" t="s">
        <v>1987</v>
      </c>
      <c r="C1191" s="47"/>
      <c r="D1191" s="47"/>
      <c r="E1191" s="47"/>
      <c r="F1191" s="47"/>
    </row>
    <row r="1192" spans="1:6" ht="22.5" x14ac:dyDescent="0.2">
      <c r="A1192" s="65" t="s">
        <v>1988</v>
      </c>
      <c r="B1192" s="65" t="s">
        <v>1989</v>
      </c>
      <c r="C1192" s="67" t="s">
        <v>204</v>
      </c>
      <c r="D1192" s="69" t="s">
        <v>1990</v>
      </c>
      <c r="E1192" s="73"/>
      <c r="F1192" s="69" t="s">
        <v>1990</v>
      </c>
    </row>
    <row r="1193" spans="1:6" x14ac:dyDescent="0.2">
      <c r="A1193" s="65" t="s">
        <v>1991</v>
      </c>
      <c r="B1193" s="65" t="s">
        <v>1992</v>
      </c>
      <c r="C1193" s="67" t="s">
        <v>204</v>
      </c>
      <c r="D1193" s="69" t="s">
        <v>372</v>
      </c>
      <c r="E1193" s="69" t="s">
        <v>299</v>
      </c>
      <c r="F1193" s="69" t="s">
        <v>933</v>
      </c>
    </row>
    <row r="1194" spans="1:6" ht="22.5" x14ac:dyDescent="0.2">
      <c r="A1194" s="65" t="s">
        <v>1993</v>
      </c>
      <c r="B1194" s="65" t="s">
        <v>1994</v>
      </c>
      <c r="C1194" s="67" t="s">
        <v>204</v>
      </c>
      <c r="D1194" s="73"/>
      <c r="E1194" s="69" t="s">
        <v>307</v>
      </c>
      <c r="F1194" s="69" t="s">
        <v>307</v>
      </c>
    </row>
    <row r="1195" spans="1:6" ht="22.5" x14ac:dyDescent="0.2">
      <c r="A1195" s="65" t="s">
        <v>1995</v>
      </c>
      <c r="B1195" s="65" t="s">
        <v>1996</v>
      </c>
      <c r="C1195" s="67" t="s">
        <v>221</v>
      </c>
      <c r="D1195" s="69" t="s">
        <v>1997</v>
      </c>
      <c r="E1195" s="73"/>
      <c r="F1195" s="69" t="s">
        <v>1997</v>
      </c>
    </row>
    <row r="1196" spans="1:6" ht="22.5" x14ac:dyDescent="0.2">
      <c r="A1196" s="65" t="s">
        <v>1998</v>
      </c>
      <c r="B1196" s="65" t="s">
        <v>1999</v>
      </c>
      <c r="C1196" s="67" t="s">
        <v>203</v>
      </c>
      <c r="D1196" s="69" t="s">
        <v>2000</v>
      </c>
      <c r="E1196" s="73"/>
      <c r="F1196" s="69" t="s">
        <v>2000</v>
      </c>
    </row>
    <row r="1197" spans="1:6" ht="22.5" x14ac:dyDescent="0.2">
      <c r="A1197" s="49">
        <v>23</v>
      </c>
      <c r="B1197" s="64" t="s">
        <v>2001</v>
      </c>
      <c r="C1197" s="47"/>
      <c r="D1197" s="47"/>
      <c r="E1197" s="47"/>
      <c r="F1197" s="47"/>
    </row>
    <row r="1198" spans="1:6" x14ac:dyDescent="0.2">
      <c r="A1198" s="50">
        <v>23.01</v>
      </c>
      <c r="B1198" s="64" t="s">
        <v>2002</v>
      </c>
      <c r="C1198" s="47"/>
      <c r="D1198" s="47"/>
      <c r="E1198" s="47"/>
      <c r="F1198" s="47"/>
    </row>
    <row r="1199" spans="1:6" x14ac:dyDescent="0.2">
      <c r="A1199" s="65" t="s">
        <v>2003</v>
      </c>
      <c r="B1199" s="65" t="s">
        <v>2004</v>
      </c>
      <c r="C1199" s="67" t="s">
        <v>204</v>
      </c>
      <c r="D1199" s="69" t="s">
        <v>2005</v>
      </c>
      <c r="E1199" s="69" t="s">
        <v>2006</v>
      </c>
      <c r="F1199" s="69" t="s">
        <v>2007</v>
      </c>
    </row>
    <row r="1200" spans="1:6" ht="22.5" x14ac:dyDescent="0.2">
      <c r="A1200" s="65" t="s">
        <v>2008</v>
      </c>
      <c r="B1200" s="65" t="s">
        <v>2009</v>
      </c>
      <c r="C1200" s="67" t="s">
        <v>204</v>
      </c>
      <c r="D1200" s="69" t="s">
        <v>2010</v>
      </c>
      <c r="E1200" s="69" t="s">
        <v>2006</v>
      </c>
      <c r="F1200" s="69" t="s">
        <v>2011</v>
      </c>
    </row>
    <row r="1201" spans="1:6" ht="22.5" x14ac:dyDescent="0.2">
      <c r="A1201" s="50">
        <v>23.02</v>
      </c>
      <c r="B1201" s="64" t="s">
        <v>2012</v>
      </c>
      <c r="C1201" s="47"/>
      <c r="D1201" s="47"/>
      <c r="E1201" s="47"/>
      <c r="F1201" s="47"/>
    </row>
    <row r="1202" spans="1:6" ht="33.75" x14ac:dyDescent="0.2">
      <c r="A1202" s="65" t="s">
        <v>2013</v>
      </c>
      <c r="B1202" s="65" t="s">
        <v>2014</v>
      </c>
      <c r="C1202" s="67" t="s">
        <v>204</v>
      </c>
      <c r="D1202" s="69" t="s">
        <v>2015</v>
      </c>
      <c r="E1202" s="69" t="s">
        <v>2016</v>
      </c>
      <c r="F1202" s="69" t="s">
        <v>2017</v>
      </c>
    </row>
    <row r="1203" spans="1:6" ht="33.75" x14ac:dyDescent="0.2">
      <c r="A1203" s="65" t="s">
        <v>2018</v>
      </c>
      <c r="B1203" s="65" t="s">
        <v>2019</v>
      </c>
      <c r="C1203" s="67" t="s">
        <v>203</v>
      </c>
      <c r="D1203" s="69" t="s">
        <v>2020</v>
      </c>
      <c r="E1203" s="69" t="s">
        <v>2021</v>
      </c>
      <c r="F1203" s="69" t="s">
        <v>2022</v>
      </c>
    </row>
    <row r="1204" spans="1:6" ht="33.75" x14ac:dyDescent="0.2">
      <c r="A1204" s="65" t="s">
        <v>2023</v>
      </c>
      <c r="B1204" s="65" t="s">
        <v>2024</v>
      </c>
      <c r="C1204" s="67" t="s">
        <v>203</v>
      </c>
      <c r="D1204" s="69" t="s">
        <v>2025</v>
      </c>
      <c r="E1204" s="69" t="s">
        <v>2021</v>
      </c>
      <c r="F1204" s="69" t="s">
        <v>2026</v>
      </c>
    </row>
    <row r="1205" spans="1:6" ht="33.75" x14ac:dyDescent="0.2">
      <c r="A1205" s="65" t="s">
        <v>2027</v>
      </c>
      <c r="B1205" s="65" t="s">
        <v>2028</v>
      </c>
      <c r="C1205" s="67" t="s">
        <v>203</v>
      </c>
      <c r="D1205" s="69" t="s">
        <v>2029</v>
      </c>
      <c r="E1205" s="69" t="s">
        <v>2021</v>
      </c>
      <c r="F1205" s="69" t="s">
        <v>2030</v>
      </c>
    </row>
    <row r="1206" spans="1:6" ht="33.75" x14ac:dyDescent="0.2">
      <c r="A1206" s="65" t="s">
        <v>2031</v>
      </c>
      <c r="B1206" s="65" t="s">
        <v>2032</v>
      </c>
      <c r="C1206" s="67" t="s">
        <v>203</v>
      </c>
      <c r="D1206" s="69" t="s">
        <v>2033</v>
      </c>
      <c r="E1206" s="69" t="s">
        <v>2034</v>
      </c>
      <c r="F1206" s="69" t="s">
        <v>2035</v>
      </c>
    </row>
    <row r="1207" spans="1:6" ht="22.5" x14ac:dyDescent="0.2">
      <c r="A1207" s="50">
        <v>23.04</v>
      </c>
      <c r="B1207" s="64" t="s">
        <v>2036</v>
      </c>
      <c r="C1207" s="47"/>
      <c r="D1207" s="47"/>
      <c r="E1207" s="47"/>
      <c r="F1207" s="47"/>
    </row>
    <row r="1208" spans="1:6" ht="45" x14ac:dyDescent="0.2">
      <c r="A1208" s="65" t="s">
        <v>2037</v>
      </c>
      <c r="B1208" s="66" t="s">
        <v>2038</v>
      </c>
      <c r="C1208" s="67" t="s">
        <v>203</v>
      </c>
      <c r="D1208" s="69" t="s">
        <v>2039</v>
      </c>
      <c r="E1208" s="69" t="s">
        <v>313</v>
      </c>
      <c r="F1208" s="69" t="s">
        <v>2040</v>
      </c>
    </row>
    <row r="1209" spans="1:6" ht="45" x14ac:dyDescent="0.2">
      <c r="A1209" s="65" t="s">
        <v>2041</v>
      </c>
      <c r="B1209" s="66" t="s">
        <v>2042</v>
      </c>
      <c r="C1209" s="67" t="s">
        <v>203</v>
      </c>
      <c r="D1209" s="69" t="s">
        <v>2043</v>
      </c>
      <c r="E1209" s="69" t="s">
        <v>313</v>
      </c>
      <c r="F1209" s="69" t="s">
        <v>2044</v>
      </c>
    </row>
    <row r="1210" spans="1:6" ht="56.25" x14ac:dyDescent="0.2">
      <c r="A1210" s="65" t="s">
        <v>2045</v>
      </c>
      <c r="B1210" s="66" t="s">
        <v>2046</v>
      </c>
      <c r="C1210" s="67" t="s">
        <v>203</v>
      </c>
      <c r="D1210" s="69" t="s">
        <v>2047</v>
      </c>
      <c r="E1210" s="69" t="s">
        <v>2021</v>
      </c>
      <c r="F1210" s="69" t="s">
        <v>2048</v>
      </c>
    </row>
    <row r="1211" spans="1:6" ht="56.25" x14ac:dyDescent="0.2">
      <c r="A1211" s="65" t="s">
        <v>2049</v>
      </c>
      <c r="B1211" s="66" t="s">
        <v>2050</v>
      </c>
      <c r="C1211" s="67" t="s">
        <v>203</v>
      </c>
      <c r="D1211" s="69" t="s">
        <v>2051</v>
      </c>
      <c r="E1211" s="69" t="s">
        <v>2021</v>
      </c>
      <c r="F1211" s="69" t="s">
        <v>2052</v>
      </c>
    </row>
    <row r="1212" spans="1:6" ht="56.25" x14ac:dyDescent="0.2">
      <c r="A1212" s="65" t="s">
        <v>2053</v>
      </c>
      <c r="B1212" s="66" t="s">
        <v>2054</v>
      </c>
      <c r="C1212" s="67" t="s">
        <v>203</v>
      </c>
      <c r="D1212" s="69" t="s">
        <v>2055</v>
      </c>
      <c r="E1212" s="69" t="s">
        <v>2021</v>
      </c>
      <c r="F1212" s="69" t="s">
        <v>2056</v>
      </c>
    </row>
    <row r="1213" spans="1:6" ht="56.25" x14ac:dyDescent="0.2">
      <c r="A1213" s="65" t="s">
        <v>2057</v>
      </c>
      <c r="B1213" s="66" t="s">
        <v>2058</v>
      </c>
      <c r="C1213" s="67" t="s">
        <v>203</v>
      </c>
      <c r="D1213" s="69" t="s">
        <v>2059</v>
      </c>
      <c r="E1213" s="69" t="s">
        <v>2034</v>
      </c>
      <c r="F1213" s="69" t="s">
        <v>2060</v>
      </c>
    </row>
    <row r="1214" spans="1:6" ht="56.25" x14ac:dyDescent="0.2">
      <c r="A1214" s="65" t="s">
        <v>2061</v>
      </c>
      <c r="B1214" s="66" t="s">
        <v>2062</v>
      </c>
      <c r="C1214" s="67" t="s">
        <v>203</v>
      </c>
      <c r="D1214" s="69" t="s">
        <v>2063</v>
      </c>
      <c r="E1214" s="69" t="s">
        <v>2034</v>
      </c>
      <c r="F1214" s="69" t="s">
        <v>2064</v>
      </c>
    </row>
    <row r="1215" spans="1:6" ht="56.25" x14ac:dyDescent="0.2">
      <c r="A1215" s="65" t="s">
        <v>2065</v>
      </c>
      <c r="B1215" s="66" t="s">
        <v>2066</v>
      </c>
      <c r="C1215" s="67" t="s">
        <v>203</v>
      </c>
      <c r="D1215" s="69" t="s">
        <v>2067</v>
      </c>
      <c r="E1215" s="69" t="s">
        <v>2068</v>
      </c>
      <c r="F1215" s="69" t="s">
        <v>2069</v>
      </c>
    </row>
    <row r="1216" spans="1:6" ht="56.25" x14ac:dyDescent="0.2">
      <c r="A1216" s="65" t="s">
        <v>2070</v>
      </c>
      <c r="B1216" s="66" t="s">
        <v>2071</v>
      </c>
      <c r="C1216" s="67" t="s">
        <v>203</v>
      </c>
      <c r="D1216" s="69" t="s">
        <v>2072</v>
      </c>
      <c r="E1216" s="69" t="s">
        <v>304</v>
      </c>
      <c r="F1216" s="69" t="s">
        <v>2073</v>
      </c>
    </row>
    <row r="1217" spans="1:6" ht="45" x14ac:dyDescent="0.2">
      <c r="A1217" s="65" t="s">
        <v>2074</v>
      </c>
      <c r="B1217" s="66" t="s">
        <v>2075</v>
      </c>
      <c r="C1217" s="67" t="s">
        <v>203</v>
      </c>
      <c r="D1217" s="69" t="s">
        <v>2076</v>
      </c>
      <c r="E1217" s="69" t="s">
        <v>2077</v>
      </c>
      <c r="F1217" s="69" t="s">
        <v>2078</v>
      </c>
    </row>
    <row r="1218" spans="1:6" ht="45" x14ac:dyDescent="0.2">
      <c r="A1218" s="65" t="s">
        <v>2079</v>
      </c>
      <c r="B1218" s="66" t="s">
        <v>2080</v>
      </c>
      <c r="C1218" s="67" t="s">
        <v>203</v>
      </c>
      <c r="D1218" s="69" t="s">
        <v>2081</v>
      </c>
      <c r="E1218" s="69" t="s">
        <v>2082</v>
      </c>
      <c r="F1218" s="69" t="s">
        <v>2083</v>
      </c>
    </row>
    <row r="1219" spans="1:6" ht="45" x14ac:dyDescent="0.2">
      <c r="A1219" s="65" t="s">
        <v>2084</v>
      </c>
      <c r="B1219" s="66" t="s">
        <v>2085</v>
      </c>
      <c r="C1219" s="67" t="s">
        <v>203</v>
      </c>
      <c r="D1219" s="69" t="s">
        <v>2086</v>
      </c>
      <c r="E1219" s="69" t="s">
        <v>2082</v>
      </c>
      <c r="F1219" s="69" t="s">
        <v>2087</v>
      </c>
    </row>
    <row r="1220" spans="1:6" ht="45" x14ac:dyDescent="0.2">
      <c r="A1220" s="65" t="s">
        <v>2088</v>
      </c>
      <c r="B1220" s="66" t="s">
        <v>2089</v>
      </c>
      <c r="C1220" s="67" t="s">
        <v>203</v>
      </c>
      <c r="D1220" s="69" t="s">
        <v>2090</v>
      </c>
      <c r="E1220" s="69" t="s">
        <v>2082</v>
      </c>
      <c r="F1220" s="69" t="s">
        <v>2091</v>
      </c>
    </row>
    <row r="1221" spans="1:6" ht="45" x14ac:dyDescent="0.2">
      <c r="A1221" s="65" t="s">
        <v>2092</v>
      </c>
      <c r="B1221" s="66" t="s">
        <v>2093</v>
      </c>
      <c r="C1221" s="67" t="s">
        <v>203</v>
      </c>
      <c r="D1221" s="69" t="s">
        <v>2094</v>
      </c>
      <c r="E1221" s="69" t="s">
        <v>2095</v>
      </c>
      <c r="F1221" s="69" t="s">
        <v>2096</v>
      </c>
    </row>
    <row r="1222" spans="1:6" x14ac:dyDescent="0.2">
      <c r="A1222" s="50">
        <v>23.08</v>
      </c>
      <c r="B1222" s="64" t="s">
        <v>2097</v>
      </c>
      <c r="C1222" s="47"/>
      <c r="D1222" s="47"/>
      <c r="E1222" s="47"/>
      <c r="F1222" s="47"/>
    </row>
    <row r="1223" spans="1:6" x14ac:dyDescent="0.2">
      <c r="A1223" s="65" t="s">
        <v>2098</v>
      </c>
      <c r="B1223" s="65" t="s">
        <v>2099</v>
      </c>
      <c r="C1223" s="67" t="s">
        <v>204</v>
      </c>
      <c r="D1223" s="69" t="s">
        <v>2100</v>
      </c>
      <c r="E1223" s="69" t="s">
        <v>224</v>
      </c>
      <c r="F1223" s="69" t="s">
        <v>2101</v>
      </c>
    </row>
    <row r="1224" spans="1:6" ht="33.75" x14ac:dyDescent="0.2">
      <c r="A1224" s="65" t="s">
        <v>2102</v>
      </c>
      <c r="B1224" s="65" t="s">
        <v>2103</v>
      </c>
      <c r="C1224" s="67" t="s">
        <v>221</v>
      </c>
      <c r="D1224" s="69" t="s">
        <v>2104</v>
      </c>
      <c r="E1224" s="69" t="s">
        <v>293</v>
      </c>
      <c r="F1224" s="69" t="s">
        <v>2105</v>
      </c>
    </row>
    <row r="1225" spans="1:6" ht="56.25" x14ac:dyDescent="0.2">
      <c r="A1225" s="65" t="s">
        <v>2106</v>
      </c>
      <c r="B1225" s="66" t="s">
        <v>2107</v>
      </c>
      <c r="C1225" s="67" t="s">
        <v>221</v>
      </c>
      <c r="D1225" s="69" t="s">
        <v>2108</v>
      </c>
      <c r="E1225" s="69" t="s">
        <v>2109</v>
      </c>
      <c r="F1225" s="69" t="s">
        <v>2110</v>
      </c>
    </row>
    <row r="1226" spans="1:6" ht="45" x14ac:dyDescent="0.2">
      <c r="A1226" s="65" t="s">
        <v>2111</v>
      </c>
      <c r="B1226" s="66" t="s">
        <v>2112</v>
      </c>
      <c r="C1226" s="67" t="s">
        <v>204</v>
      </c>
      <c r="D1226" s="69" t="s">
        <v>2113</v>
      </c>
      <c r="E1226" s="68"/>
      <c r="F1226" s="69" t="s">
        <v>2113</v>
      </c>
    </row>
    <row r="1227" spans="1:6" ht="45" x14ac:dyDescent="0.2">
      <c r="A1227" s="65" t="s">
        <v>2114</v>
      </c>
      <c r="B1227" s="66" t="s">
        <v>2115</v>
      </c>
      <c r="C1227" s="67" t="s">
        <v>204</v>
      </c>
      <c r="D1227" s="69" t="s">
        <v>2116</v>
      </c>
      <c r="E1227" s="68"/>
      <c r="F1227" s="69" t="s">
        <v>2116</v>
      </c>
    </row>
    <row r="1228" spans="1:6" ht="45" x14ac:dyDescent="0.2">
      <c r="A1228" s="65" t="s">
        <v>2117</v>
      </c>
      <c r="B1228" s="66" t="s">
        <v>2118</v>
      </c>
      <c r="C1228" s="67" t="s">
        <v>204</v>
      </c>
      <c r="D1228" s="69" t="s">
        <v>2119</v>
      </c>
      <c r="E1228" s="69" t="s">
        <v>298</v>
      </c>
      <c r="F1228" s="69" t="s">
        <v>2120</v>
      </c>
    </row>
    <row r="1229" spans="1:6" ht="56.25" x14ac:dyDescent="0.2">
      <c r="A1229" s="65" t="s">
        <v>2121</v>
      </c>
      <c r="B1229" s="66" t="s">
        <v>2122</v>
      </c>
      <c r="C1229" s="67" t="s">
        <v>204</v>
      </c>
      <c r="D1229" s="69" t="s">
        <v>2123</v>
      </c>
      <c r="E1229" s="68"/>
      <c r="F1229" s="69" t="s">
        <v>2123</v>
      </c>
    </row>
    <row r="1230" spans="1:6" ht="22.5" x14ac:dyDescent="0.2">
      <c r="A1230" s="65" t="s">
        <v>2124</v>
      </c>
      <c r="B1230" s="65" t="s">
        <v>2125</v>
      </c>
      <c r="C1230" s="67" t="s">
        <v>204</v>
      </c>
      <c r="D1230" s="69" t="s">
        <v>2126</v>
      </c>
      <c r="E1230" s="69" t="s">
        <v>224</v>
      </c>
      <c r="F1230" s="69" t="s">
        <v>2127</v>
      </c>
    </row>
    <row r="1231" spans="1:6" ht="33.75" x14ac:dyDescent="0.2">
      <c r="A1231" s="65" t="s">
        <v>2128</v>
      </c>
      <c r="B1231" s="65" t="s">
        <v>2129</v>
      </c>
      <c r="C1231" s="67" t="s">
        <v>240</v>
      </c>
      <c r="D1231" s="69" t="s">
        <v>2130</v>
      </c>
      <c r="E1231" s="69" t="s">
        <v>2131</v>
      </c>
      <c r="F1231" s="69" t="s">
        <v>2132</v>
      </c>
    </row>
    <row r="1232" spans="1:6" ht="22.5" x14ac:dyDescent="0.2">
      <c r="A1232" s="65" t="s">
        <v>2133</v>
      </c>
      <c r="B1232" s="65" t="s">
        <v>2134</v>
      </c>
      <c r="C1232" s="67" t="s">
        <v>204</v>
      </c>
      <c r="D1232" s="69" t="s">
        <v>2135</v>
      </c>
      <c r="E1232" s="69" t="s">
        <v>2136</v>
      </c>
      <c r="F1232" s="69" t="s">
        <v>2137</v>
      </c>
    </row>
    <row r="1233" spans="1:6" ht="56.25" x14ac:dyDescent="0.2">
      <c r="A1233" s="65" t="s">
        <v>2138</v>
      </c>
      <c r="B1233" s="66" t="s">
        <v>2139</v>
      </c>
      <c r="C1233" s="67" t="s">
        <v>204</v>
      </c>
      <c r="D1233" s="69" t="s">
        <v>2140</v>
      </c>
      <c r="E1233" s="68"/>
      <c r="F1233" s="69" t="s">
        <v>2140</v>
      </c>
    </row>
    <row r="1234" spans="1:6" ht="56.25" x14ac:dyDescent="0.2">
      <c r="A1234" s="65" t="s">
        <v>2141</v>
      </c>
      <c r="B1234" s="66" t="s">
        <v>2142</v>
      </c>
      <c r="C1234" s="67" t="s">
        <v>204</v>
      </c>
      <c r="D1234" s="69" t="s">
        <v>2143</v>
      </c>
      <c r="E1234" s="68"/>
      <c r="F1234" s="69" t="s">
        <v>2143</v>
      </c>
    </row>
    <row r="1235" spans="1:6" x14ac:dyDescent="0.2">
      <c r="A1235" s="65" t="s">
        <v>2144</v>
      </c>
      <c r="B1235" s="65" t="s">
        <v>2145</v>
      </c>
      <c r="C1235" s="67" t="s">
        <v>204</v>
      </c>
      <c r="D1235" s="69" t="s">
        <v>2146</v>
      </c>
      <c r="E1235" s="69" t="s">
        <v>2147</v>
      </c>
      <c r="F1235" s="69" t="s">
        <v>2148</v>
      </c>
    </row>
    <row r="1236" spans="1:6" ht="45" x14ac:dyDescent="0.2">
      <c r="A1236" s="65" t="s">
        <v>2149</v>
      </c>
      <c r="B1236" s="66" t="s">
        <v>2150</v>
      </c>
      <c r="C1236" s="67" t="s">
        <v>221</v>
      </c>
      <c r="D1236" s="69" t="s">
        <v>2151</v>
      </c>
      <c r="E1236" s="69" t="s">
        <v>293</v>
      </c>
      <c r="F1236" s="69" t="s">
        <v>2152</v>
      </c>
    </row>
    <row r="1237" spans="1:6" ht="22.5" x14ac:dyDescent="0.2">
      <c r="A1237" s="50">
        <v>23.09</v>
      </c>
      <c r="B1237" s="64" t="s">
        <v>2153</v>
      </c>
      <c r="C1237" s="47"/>
      <c r="D1237" s="47"/>
      <c r="E1237" s="47"/>
      <c r="F1237" s="47"/>
    </row>
    <row r="1238" spans="1:6" ht="33.75" x14ac:dyDescent="0.2">
      <c r="A1238" s="65" t="s">
        <v>2154</v>
      </c>
      <c r="B1238" s="65" t="s">
        <v>2155</v>
      </c>
      <c r="C1238" s="67" t="s">
        <v>204</v>
      </c>
      <c r="D1238" s="69" t="s">
        <v>2156</v>
      </c>
      <c r="E1238" s="69" t="s">
        <v>2016</v>
      </c>
      <c r="F1238" s="69" t="s">
        <v>2157</v>
      </c>
    </row>
    <row r="1239" spans="1:6" ht="22.5" x14ac:dyDescent="0.2">
      <c r="A1239" s="65" t="s">
        <v>2158</v>
      </c>
      <c r="B1239" s="65" t="s">
        <v>2159</v>
      </c>
      <c r="C1239" s="67" t="s">
        <v>203</v>
      </c>
      <c r="D1239" s="69" t="s">
        <v>2160</v>
      </c>
      <c r="E1239" s="69" t="s">
        <v>2021</v>
      </c>
      <c r="F1239" s="69" t="s">
        <v>2161</v>
      </c>
    </row>
    <row r="1240" spans="1:6" ht="22.5" x14ac:dyDescent="0.2">
      <c r="A1240" s="65" t="s">
        <v>2162</v>
      </c>
      <c r="B1240" s="65" t="s">
        <v>2163</v>
      </c>
      <c r="C1240" s="67" t="s">
        <v>203</v>
      </c>
      <c r="D1240" s="69" t="s">
        <v>2164</v>
      </c>
      <c r="E1240" s="69" t="s">
        <v>2021</v>
      </c>
      <c r="F1240" s="69" t="s">
        <v>2165</v>
      </c>
    </row>
    <row r="1241" spans="1:6" ht="22.5" x14ac:dyDescent="0.2">
      <c r="A1241" s="65" t="s">
        <v>2166</v>
      </c>
      <c r="B1241" s="65" t="s">
        <v>2167</v>
      </c>
      <c r="C1241" s="67" t="s">
        <v>203</v>
      </c>
      <c r="D1241" s="69" t="s">
        <v>2168</v>
      </c>
      <c r="E1241" s="69" t="s">
        <v>2021</v>
      </c>
      <c r="F1241" s="69" t="s">
        <v>2169</v>
      </c>
    </row>
    <row r="1242" spans="1:6" ht="22.5" x14ac:dyDescent="0.2">
      <c r="A1242" s="65" t="s">
        <v>2170</v>
      </c>
      <c r="B1242" s="65" t="s">
        <v>2171</v>
      </c>
      <c r="C1242" s="67" t="s">
        <v>203</v>
      </c>
      <c r="D1242" s="69" t="s">
        <v>2172</v>
      </c>
      <c r="E1242" s="69" t="s">
        <v>2021</v>
      </c>
      <c r="F1242" s="69" t="s">
        <v>2173</v>
      </c>
    </row>
    <row r="1243" spans="1:6" ht="22.5" x14ac:dyDescent="0.2">
      <c r="A1243" s="65" t="s">
        <v>2174</v>
      </c>
      <c r="B1243" s="65" t="s">
        <v>2175</v>
      </c>
      <c r="C1243" s="67" t="s">
        <v>203</v>
      </c>
      <c r="D1243" s="69" t="s">
        <v>2176</v>
      </c>
      <c r="E1243" s="69" t="s">
        <v>2021</v>
      </c>
      <c r="F1243" s="69" t="s">
        <v>2177</v>
      </c>
    </row>
    <row r="1244" spans="1:6" ht="22.5" x14ac:dyDescent="0.2">
      <c r="A1244" s="65" t="s">
        <v>2178</v>
      </c>
      <c r="B1244" s="65" t="s">
        <v>2179</v>
      </c>
      <c r="C1244" s="67" t="s">
        <v>203</v>
      </c>
      <c r="D1244" s="69" t="s">
        <v>2180</v>
      </c>
      <c r="E1244" s="69" t="s">
        <v>2034</v>
      </c>
      <c r="F1244" s="69" t="s">
        <v>2181</v>
      </c>
    </row>
    <row r="1245" spans="1:6" ht="22.5" x14ac:dyDescent="0.2">
      <c r="A1245" s="65" t="s">
        <v>2182</v>
      </c>
      <c r="B1245" s="65" t="s">
        <v>2183</v>
      </c>
      <c r="C1245" s="67" t="s">
        <v>203</v>
      </c>
      <c r="D1245" s="69" t="s">
        <v>2184</v>
      </c>
      <c r="E1245" s="69" t="s">
        <v>2185</v>
      </c>
      <c r="F1245" s="69" t="s">
        <v>2186</v>
      </c>
    </row>
    <row r="1246" spans="1:6" ht="45" x14ac:dyDescent="0.2">
      <c r="A1246" s="65" t="s">
        <v>2187</v>
      </c>
      <c r="B1246" s="66" t="s">
        <v>2188</v>
      </c>
      <c r="C1246" s="67" t="s">
        <v>203</v>
      </c>
      <c r="D1246" s="69" t="s">
        <v>2189</v>
      </c>
      <c r="E1246" s="69" t="s">
        <v>313</v>
      </c>
      <c r="F1246" s="69" t="s">
        <v>2190</v>
      </c>
    </row>
    <row r="1247" spans="1:6" ht="45" x14ac:dyDescent="0.2">
      <c r="A1247" s="65" t="s">
        <v>2191</v>
      </c>
      <c r="B1247" s="66" t="s">
        <v>2192</v>
      </c>
      <c r="C1247" s="67" t="s">
        <v>203</v>
      </c>
      <c r="D1247" s="69" t="s">
        <v>2193</v>
      </c>
      <c r="E1247" s="69" t="s">
        <v>313</v>
      </c>
      <c r="F1247" s="69" t="s">
        <v>2194</v>
      </c>
    </row>
    <row r="1248" spans="1:6" ht="45" x14ac:dyDescent="0.2">
      <c r="A1248" s="65" t="s">
        <v>2195</v>
      </c>
      <c r="B1248" s="66" t="s">
        <v>2196</v>
      </c>
      <c r="C1248" s="67" t="s">
        <v>203</v>
      </c>
      <c r="D1248" s="69" t="s">
        <v>2197</v>
      </c>
      <c r="E1248" s="69" t="s">
        <v>313</v>
      </c>
      <c r="F1248" s="69" t="s">
        <v>2198</v>
      </c>
    </row>
    <row r="1249" spans="1:6" ht="22.5" x14ac:dyDescent="0.2">
      <c r="A1249" s="65" t="s">
        <v>2199</v>
      </c>
      <c r="B1249" s="65" t="s">
        <v>2200</v>
      </c>
      <c r="C1249" s="67" t="s">
        <v>203</v>
      </c>
      <c r="D1249" s="69" t="s">
        <v>2201</v>
      </c>
      <c r="E1249" s="69" t="s">
        <v>313</v>
      </c>
      <c r="F1249" s="69" t="s">
        <v>2202</v>
      </c>
    </row>
    <row r="1250" spans="1:6" ht="22.5" x14ac:dyDescent="0.2">
      <c r="A1250" s="65" t="s">
        <v>2203</v>
      </c>
      <c r="B1250" s="65" t="s">
        <v>2204</v>
      </c>
      <c r="C1250" s="67" t="s">
        <v>203</v>
      </c>
      <c r="D1250" s="69" t="s">
        <v>2205</v>
      </c>
      <c r="E1250" s="69" t="s">
        <v>313</v>
      </c>
      <c r="F1250" s="69" t="s">
        <v>2206</v>
      </c>
    </row>
    <row r="1251" spans="1:6" ht="22.5" x14ac:dyDescent="0.2">
      <c r="A1251" s="65" t="s">
        <v>2207</v>
      </c>
      <c r="B1251" s="65" t="s">
        <v>2208</v>
      </c>
      <c r="C1251" s="67" t="s">
        <v>203</v>
      </c>
      <c r="D1251" s="69" t="s">
        <v>2209</v>
      </c>
      <c r="E1251" s="69" t="s">
        <v>2082</v>
      </c>
      <c r="F1251" s="69" t="s">
        <v>2210</v>
      </c>
    </row>
    <row r="1252" spans="1:6" ht="22.5" x14ac:dyDescent="0.2">
      <c r="A1252" s="65" t="s">
        <v>2211</v>
      </c>
      <c r="B1252" s="65" t="s">
        <v>2212</v>
      </c>
      <c r="C1252" s="67" t="s">
        <v>203</v>
      </c>
      <c r="D1252" s="69" t="s">
        <v>2213</v>
      </c>
      <c r="E1252" s="69" t="s">
        <v>2082</v>
      </c>
      <c r="F1252" s="69" t="s">
        <v>2214</v>
      </c>
    </row>
    <row r="1253" spans="1:6" ht="22.5" x14ac:dyDescent="0.2">
      <c r="A1253" s="65" t="s">
        <v>2215</v>
      </c>
      <c r="B1253" s="65" t="s">
        <v>2216</v>
      </c>
      <c r="C1253" s="67" t="s">
        <v>203</v>
      </c>
      <c r="D1253" s="69" t="s">
        <v>2217</v>
      </c>
      <c r="E1253" s="69" t="s">
        <v>2082</v>
      </c>
      <c r="F1253" s="69" t="s">
        <v>2218</v>
      </c>
    </row>
    <row r="1254" spans="1:6" ht="22.5" x14ac:dyDescent="0.2">
      <c r="A1254" s="65" t="s">
        <v>2219</v>
      </c>
      <c r="B1254" s="65" t="s">
        <v>2220</v>
      </c>
      <c r="C1254" s="67" t="s">
        <v>203</v>
      </c>
      <c r="D1254" s="69" t="s">
        <v>2221</v>
      </c>
      <c r="E1254" s="69" t="s">
        <v>2095</v>
      </c>
      <c r="F1254" s="69" t="s">
        <v>2222</v>
      </c>
    </row>
    <row r="1255" spans="1:6" ht="22.5" x14ac:dyDescent="0.2">
      <c r="A1255" s="65" t="s">
        <v>2223</v>
      </c>
      <c r="B1255" s="65" t="s">
        <v>2224</v>
      </c>
      <c r="C1255" s="67" t="s">
        <v>203</v>
      </c>
      <c r="D1255" s="69" t="s">
        <v>2225</v>
      </c>
      <c r="E1255" s="69" t="s">
        <v>2095</v>
      </c>
      <c r="F1255" s="69" t="s">
        <v>2226</v>
      </c>
    </row>
    <row r="1256" spans="1:6" ht="22.5" x14ac:dyDescent="0.2">
      <c r="A1256" s="65" t="s">
        <v>2227</v>
      </c>
      <c r="B1256" s="65" t="s">
        <v>2228</v>
      </c>
      <c r="C1256" s="67" t="s">
        <v>203</v>
      </c>
      <c r="D1256" s="69" t="s">
        <v>2229</v>
      </c>
      <c r="E1256" s="69" t="s">
        <v>313</v>
      </c>
      <c r="F1256" s="69" t="s">
        <v>2230</v>
      </c>
    </row>
    <row r="1257" spans="1:6" ht="22.5" x14ac:dyDescent="0.2">
      <c r="A1257" s="65" t="s">
        <v>2231</v>
      </c>
      <c r="B1257" s="65" t="s">
        <v>2232</v>
      </c>
      <c r="C1257" s="67" t="s">
        <v>203</v>
      </c>
      <c r="D1257" s="69" t="s">
        <v>2233</v>
      </c>
      <c r="E1257" s="69" t="s">
        <v>313</v>
      </c>
      <c r="F1257" s="69" t="s">
        <v>2234</v>
      </c>
    </row>
    <row r="1258" spans="1:6" ht="22.5" x14ac:dyDescent="0.2">
      <c r="A1258" s="65" t="s">
        <v>2235</v>
      </c>
      <c r="B1258" s="65" t="s">
        <v>2236</v>
      </c>
      <c r="C1258" s="67" t="s">
        <v>203</v>
      </c>
      <c r="D1258" s="69" t="s">
        <v>2237</v>
      </c>
      <c r="E1258" s="69" t="s">
        <v>2034</v>
      </c>
      <c r="F1258" s="69" t="s">
        <v>2238</v>
      </c>
    </row>
    <row r="1259" spans="1:6" ht="22.5" x14ac:dyDescent="0.2">
      <c r="A1259" s="50">
        <v>23.11</v>
      </c>
      <c r="B1259" s="64" t="s">
        <v>2239</v>
      </c>
      <c r="C1259" s="47"/>
      <c r="D1259" s="47"/>
      <c r="E1259" s="47"/>
      <c r="F1259" s="47"/>
    </row>
    <row r="1260" spans="1:6" ht="45" x14ac:dyDescent="0.2">
      <c r="A1260" s="65" t="s">
        <v>2240</v>
      </c>
      <c r="B1260" s="66" t="s">
        <v>2241</v>
      </c>
      <c r="C1260" s="67" t="s">
        <v>204</v>
      </c>
      <c r="D1260" s="69" t="s">
        <v>2242</v>
      </c>
      <c r="E1260" s="69" t="s">
        <v>2016</v>
      </c>
      <c r="F1260" s="69" t="s">
        <v>2243</v>
      </c>
    </row>
    <row r="1261" spans="1:6" ht="45" x14ac:dyDescent="0.2">
      <c r="A1261" s="65" t="s">
        <v>2244</v>
      </c>
      <c r="B1261" s="66" t="s">
        <v>2245</v>
      </c>
      <c r="C1261" s="67" t="s">
        <v>203</v>
      </c>
      <c r="D1261" s="69" t="s">
        <v>2246</v>
      </c>
      <c r="E1261" s="69" t="s">
        <v>2021</v>
      </c>
      <c r="F1261" s="69" t="s">
        <v>2247</v>
      </c>
    </row>
    <row r="1262" spans="1:6" ht="45" x14ac:dyDescent="0.2">
      <c r="A1262" s="65" t="s">
        <v>2248</v>
      </c>
      <c r="B1262" s="66" t="s">
        <v>2249</v>
      </c>
      <c r="C1262" s="67" t="s">
        <v>203</v>
      </c>
      <c r="D1262" s="69" t="s">
        <v>2250</v>
      </c>
      <c r="E1262" s="69" t="s">
        <v>2021</v>
      </c>
      <c r="F1262" s="69" t="s">
        <v>2251</v>
      </c>
    </row>
    <row r="1263" spans="1:6" ht="45" x14ac:dyDescent="0.2">
      <c r="A1263" s="65" t="s">
        <v>2252</v>
      </c>
      <c r="B1263" s="66" t="s">
        <v>2253</v>
      </c>
      <c r="C1263" s="67" t="s">
        <v>203</v>
      </c>
      <c r="D1263" s="69" t="s">
        <v>2254</v>
      </c>
      <c r="E1263" s="69" t="s">
        <v>2021</v>
      </c>
      <c r="F1263" s="69" t="s">
        <v>2255</v>
      </c>
    </row>
    <row r="1264" spans="1:6" ht="33.75" x14ac:dyDescent="0.2">
      <c r="A1264" s="50">
        <v>23.12</v>
      </c>
      <c r="B1264" s="64" t="s">
        <v>2256</v>
      </c>
      <c r="C1264" s="48"/>
      <c r="D1264" s="48"/>
      <c r="E1264" s="48"/>
      <c r="F1264" s="48"/>
    </row>
    <row r="1265" spans="1:6" ht="56.25" x14ac:dyDescent="0.2">
      <c r="A1265" s="70" t="s">
        <v>2257</v>
      </c>
      <c r="B1265" s="65" t="s">
        <v>2258</v>
      </c>
      <c r="C1265" s="71" t="s">
        <v>203</v>
      </c>
      <c r="D1265" s="72" t="s">
        <v>2259</v>
      </c>
      <c r="E1265" s="66"/>
      <c r="F1265" s="72" t="s">
        <v>2259</v>
      </c>
    </row>
    <row r="1266" spans="1:6" ht="33.75" x14ac:dyDescent="0.2">
      <c r="A1266" s="50">
        <v>23.13</v>
      </c>
      <c r="B1266" s="64" t="s">
        <v>2260</v>
      </c>
      <c r="C1266" s="48"/>
      <c r="D1266" s="48"/>
      <c r="E1266" s="48"/>
      <c r="F1266" s="48"/>
    </row>
    <row r="1267" spans="1:6" ht="67.5" x14ac:dyDescent="0.2">
      <c r="A1267" s="70" t="s">
        <v>2261</v>
      </c>
      <c r="B1267" s="66" t="s">
        <v>2262</v>
      </c>
      <c r="C1267" s="71" t="s">
        <v>203</v>
      </c>
      <c r="D1267" s="72" t="s">
        <v>2259</v>
      </c>
      <c r="E1267" s="66"/>
      <c r="F1267" s="72" t="s">
        <v>2259</v>
      </c>
    </row>
    <row r="1268" spans="1:6" ht="67.5" x14ac:dyDescent="0.2">
      <c r="A1268" s="70" t="s">
        <v>2263</v>
      </c>
      <c r="B1268" s="66" t="s">
        <v>2264</v>
      </c>
      <c r="C1268" s="71" t="s">
        <v>203</v>
      </c>
      <c r="D1268" s="72" t="s">
        <v>2265</v>
      </c>
      <c r="E1268" s="66"/>
      <c r="F1268" s="72" t="s">
        <v>2265</v>
      </c>
    </row>
    <row r="1269" spans="1:6" ht="78.75" x14ac:dyDescent="0.2">
      <c r="A1269" s="70" t="s">
        <v>2266</v>
      </c>
      <c r="B1269" s="66" t="s">
        <v>2267</v>
      </c>
      <c r="C1269" s="71" t="s">
        <v>203</v>
      </c>
      <c r="D1269" s="72" t="s">
        <v>2259</v>
      </c>
      <c r="E1269" s="66"/>
      <c r="F1269" s="72" t="s">
        <v>2259</v>
      </c>
    </row>
    <row r="1270" spans="1:6" ht="78.75" x14ac:dyDescent="0.2">
      <c r="A1270" s="65" t="s">
        <v>2268</v>
      </c>
      <c r="B1270" s="65" t="s">
        <v>2269</v>
      </c>
      <c r="C1270" s="67" t="s">
        <v>203</v>
      </c>
      <c r="D1270" s="69" t="s">
        <v>2259</v>
      </c>
      <c r="E1270" s="66"/>
      <c r="F1270" s="69" t="s">
        <v>2259</v>
      </c>
    </row>
    <row r="1271" spans="1:6" ht="78.75" x14ac:dyDescent="0.2">
      <c r="A1271" s="65" t="s">
        <v>2270</v>
      </c>
      <c r="B1271" s="65" t="s">
        <v>2271</v>
      </c>
      <c r="C1271" s="67" t="s">
        <v>203</v>
      </c>
      <c r="D1271" s="69" t="s">
        <v>2265</v>
      </c>
      <c r="E1271" s="66"/>
      <c r="F1271" s="69" t="s">
        <v>2265</v>
      </c>
    </row>
    <row r="1272" spans="1:6" ht="90" x14ac:dyDescent="0.2">
      <c r="A1272" s="65" t="s">
        <v>2272</v>
      </c>
      <c r="B1272" s="66" t="s">
        <v>2273</v>
      </c>
      <c r="C1272" s="67" t="s">
        <v>203</v>
      </c>
      <c r="D1272" s="69" t="s">
        <v>2274</v>
      </c>
      <c r="E1272" s="66"/>
      <c r="F1272" s="69" t="s">
        <v>2274</v>
      </c>
    </row>
    <row r="1273" spans="1:6" ht="22.5" x14ac:dyDescent="0.2">
      <c r="A1273" s="50">
        <v>23.2</v>
      </c>
      <c r="B1273" s="64" t="s">
        <v>2275</v>
      </c>
      <c r="C1273" s="47"/>
      <c r="D1273" s="47"/>
      <c r="E1273" s="47"/>
      <c r="F1273" s="47"/>
    </row>
    <row r="1274" spans="1:6" ht="22.5" x14ac:dyDescent="0.2">
      <c r="A1274" s="65" t="s">
        <v>2276</v>
      </c>
      <c r="B1274" s="65" t="s">
        <v>2277</v>
      </c>
      <c r="C1274" s="67" t="s">
        <v>203</v>
      </c>
      <c r="D1274" s="73"/>
      <c r="E1274" s="69" t="s">
        <v>401</v>
      </c>
      <c r="F1274" s="69" t="s">
        <v>401</v>
      </c>
    </row>
    <row r="1275" spans="1:6" ht="22.5" x14ac:dyDescent="0.2">
      <c r="A1275" s="65" t="s">
        <v>2278</v>
      </c>
      <c r="B1275" s="65" t="s">
        <v>2279</v>
      </c>
      <c r="C1275" s="67" t="s">
        <v>203</v>
      </c>
      <c r="D1275" s="73"/>
      <c r="E1275" s="69" t="s">
        <v>2280</v>
      </c>
      <c r="F1275" s="69" t="s">
        <v>2280</v>
      </c>
    </row>
    <row r="1276" spans="1:6" ht="22.5" x14ac:dyDescent="0.2">
      <c r="A1276" s="65" t="s">
        <v>2281</v>
      </c>
      <c r="B1276" s="65" t="s">
        <v>2282</v>
      </c>
      <c r="C1276" s="67" t="s">
        <v>221</v>
      </c>
      <c r="D1276" s="73"/>
      <c r="E1276" s="69" t="s">
        <v>389</v>
      </c>
      <c r="F1276" s="69" t="s">
        <v>389</v>
      </c>
    </row>
    <row r="1277" spans="1:6" x14ac:dyDescent="0.2">
      <c r="A1277" s="65" t="s">
        <v>2283</v>
      </c>
      <c r="B1277" s="65" t="s">
        <v>2284</v>
      </c>
      <c r="C1277" s="67" t="s">
        <v>221</v>
      </c>
      <c r="D1277" s="69" t="s">
        <v>2285</v>
      </c>
      <c r="E1277" s="69" t="s">
        <v>299</v>
      </c>
      <c r="F1277" s="69" t="s">
        <v>2286</v>
      </c>
    </row>
    <row r="1278" spans="1:6" ht="22.5" x14ac:dyDescent="0.2">
      <c r="A1278" s="65" t="s">
        <v>2287</v>
      </c>
      <c r="B1278" s="65" t="s">
        <v>2288</v>
      </c>
      <c r="C1278" s="67" t="s">
        <v>204</v>
      </c>
      <c r="D1278" s="69" t="s">
        <v>2289</v>
      </c>
      <c r="E1278" s="69" t="s">
        <v>2068</v>
      </c>
      <c r="F1278" s="69" t="s">
        <v>2290</v>
      </c>
    </row>
    <row r="1279" spans="1:6" x14ac:dyDescent="0.2">
      <c r="A1279" s="65" t="s">
        <v>2291</v>
      </c>
      <c r="B1279" s="65" t="s">
        <v>2292</v>
      </c>
      <c r="C1279" s="67" t="s">
        <v>221</v>
      </c>
      <c r="D1279" s="69" t="s">
        <v>2293</v>
      </c>
      <c r="E1279" s="69" t="s">
        <v>389</v>
      </c>
      <c r="F1279" s="69" t="s">
        <v>2294</v>
      </c>
    </row>
    <row r="1280" spans="1:6" ht="22.5" x14ac:dyDescent="0.2">
      <c r="A1280" s="65" t="s">
        <v>2295</v>
      </c>
      <c r="B1280" s="65" t="s">
        <v>2296</v>
      </c>
      <c r="C1280" s="67" t="s">
        <v>203</v>
      </c>
      <c r="D1280" s="69" t="s">
        <v>2297</v>
      </c>
      <c r="E1280" s="73"/>
      <c r="F1280" s="69" t="s">
        <v>2297</v>
      </c>
    </row>
    <row r="1281" spans="1:6" ht="22.5" x14ac:dyDescent="0.2">
      <c r="A1281" s="65" t="s">
        <v>2298</v>
      </c>
      <c r="B1281" s="65" t="s">
        <v>2299</v>
      </c>
      <c r="C1281" s="67" t="s">
        <v>204</v>
      </c>
      <c r="D1281" s="69" t="s">
        <v>2300</v>
      </c>
      <c r="E1281" s="69" t="s">
        <v>308</v>
      </c>
      <c r="F1281" s="69" t="s">
        <v>2301</v>
      </c>
    </row>
    <row r="1282" spans="1:6" ht="22.5" x14ac:dyDescent="0.2">
      <c r="A1282" s="65" t="s">
        <v>2302</v>
      </c>
      <c r="B1282" s="65" t="s">
        <v>2303</v>
      </c>
      <c r="C1282" s="67" t="s">
        <v>204</v>
      </c>
      <c r="D1282" s="69" t="s">
        <v>2304</v>
      </c>
      <c r="E1282" s="69" t="s">
        <v>308</v>
      </c>
      <c r="F1282" s="69" t="s">
        <v>2305</v>
      </c>
    </row>
    <row r="1283" spans="1:6" ht="22.5" x14ac:dyDescent="0.2">
      <c r="A1283" s="65" t="s">
        <v>2306</v>
      </c>
      <c r="B1283" s="65" t="s">
        <v>2307</v>
      </c>
      <c r="C1283" s="67" t="s">
        <v>204</v>
      </c>
      <c r="D1283" s="69" t="s">
        <v>2308</v>
      </c>
      <c r="E1283" s="69" t="s">
        <v>308</v>
      </c>
      <c r="F1283" s="69" t="s">
        <v>2309</v>
      </c>
    </row>
    <row r="1284" spans="1:6" ht="22.5" x14ac:dyDescent="0.2">
      <c r="A1284" s="65" t="s">
        <v>2310</v>
      </c>
      <c r="B1284" s="65" t="s">
        <v>2311</v>
      </c>
      <c r="C1284" s="67" t="s">
        <v>203</v>
      </c>
      <c r="D1284" s="69" t="s">
        <v>2312</v>
      </c>
      <c r="E1284" s="69" t="s">
        <v>402</v>
      </c>
      <c r="F1284" s="69" t="s">
        <v>2313</v>
      </c>
    </row>
    <row r="1285" spans="1:6" ht="22.5" x14ac:dyDescent="0.2">
      <c r="A1285" s="65" t="s">
        <v>2314</v>
      </c>
      <c r="B1285" s="65" t="s">
        <v>2315</v>
      </c>
      <c r="C1285" s="67" t="s">
        <v>203</v>
      </c>
      <c r="D1285" s="69" t="s">
        <v>2316</v>
      </c>
      <c r="E1285" s="69" t="s">
        <v>402</v>
      </c>
      <c r="F1285" s="69" t="s">
        <v>2317</v>
      </c>
    </row>
    <row r="1286" spans="1:6" ht="22.5" x14ac:dyDescent="0.2">
      <c r="A1286" s="65" t="s">
        <v>2318</v>
      </c>
      <c r="B1286" s="65" t="s">
        <v>2319</v>
      </c>
      <c r="C1286" s="67" t="s">
        <v>203</v>
      </c>
      <c r="D1286" s="69" t="s">
        <v>2320</v>
      </c>
      <c r="E1286" s="69" t="s">
        <v>402</v>
      </c>
      <c r="F1286" s="69" t="s">
        <v>2321</v>
      </c>
    </row>
    <row r="1287" spans="1:6" ht="22.5" x14ac:dyDescent="0.2">
      <c r="A1287" s="65" t="s">
        <v>2322</v>
      </c>
      <c r="B1287" s="65" t="s">
        <v>2323</v>
      </c>
      <c r="C1287" s="74" t="s">
        <v>203</v>
      </c>
      <c r="D1287" s="69" t="s">
        <v>2324</v>
      </c>
      <c r="E1287" s="69" t="s">
        <v>402</v>
      </c>
      <c r="F1287" s="69" t="s">
        <v>2325</v>
      </c>
    </row>
    <row r="1288" spans="1:6" ht="45" x14ac:dyDescent="0.2">
      <c r="A1288" s="65" t="s">
        <v>2326</v>
      </c>
      <c r="B1288" s="66" t="s">
        <v>2327</v>
      </c>
      <c r="C1288" s="74" t="s">
        <v>203</v>
      </c>
      <c r="D1288" s="69" t="s">
        <v>2328</v>
      </c>
      <c r="E1288" s="69" t="s">
        <v>402</v>
      </c>
      <c r="F1288" s="69" t="s">
        <v>2329</v>
      </c>
    </row>
    <row r="1289" spans="1:6" ht="45" x14ac:dyDescent="0.2">
      <c r="A1289" s="65" t="s">
        <v>2330</v>
      </c>
      <c r="B1289" s="66" t="s">
        <v>2331</v>
      </c>
      <c r="C1289" s="74" t="s">
        <v>203</v>
      </c>
      <c r="D1289" s="69" t="s">
        <v>2332</v>
      </c>
      <c r="E1289" s="69" t="s">
        <v>402</v>
      </c>
      <c r="F1289" s="69" t="s">
        <v>2333</v>
      </c>
    </row>
    <row r="1290" spans="1:6" ht="45" x14ac:dyDescent="0.2">
      <c r="A1290" s="65" t="s">
        <v>2334</v>
      </c>
      <c r="B1290" s="66" t="s">
        <v>2335</v>
      </c>
      <c r="C1290" s="74" t="s">
        <v>203</v>
      </c>
      <c r="D1290" s="69" t="s">
        <v>2336</v>
      </c>
      <c r="E1290" s="69" t="s">
        <v>402</v>
      </c>
      <c r="F1290" s="69" t="s">
        <v>2337</v>
      </c>
    </row>
    <row r="1291" spans="1:6" ht="33.75" x14ac:dyDescent="0.2">
      <c r="A1291" s="65" t="s">
        <v>2338</v>
      </c>
      <c r="B1291" s="65" t="s">
        <v>2339</v>
      </c>
      <c r="C1291" s="74" t="s">
        <v>204</v>
      </c>
      <c r="D1291" s="69" t="s">
        <v>2340</v>
      </c>
      <c r="E1291" s="69" t="s">
        <v>402</v>
      </c>
      <c r="F1291" s="69" t="s">
        <v>2341</v>
      </c>
    </row>
    <row r="1292" spans="1:6" ht="22.5" x14ac:dyDescent="0.2">
      <c r="A1292" s="49">
        <v>24</v>
      </c>
      <c r="B1292" s="64" t="s">
        <v>2342</v>
      </c>
      <c r="C1292" s="47"/>
      <c r="D1292" s="47"/>
      <c r="E1292" s="47"/>
      <c r="F1292" s="47"/>
    </row>
    <row r="1293" spans="1:6" x14ac:dyDescent="0.2">
      <c r="A1293" s="50">
        <v>24.01</v>
      </c>
      <c r="B1293" s="64" t="s">
        <v>2343</v>
      </c>
      <c r="C1293" s="47"/>
      <c r="D1293" s="47"/>
      <c r="E1293" s="47"/>
      <c r="F1293" s="47"/>
    </row>
    <row r="1294" spans="1:6" ht="22.5" x14ac:dyDescent="0.2">
      <c r="A1294" s="65" t="s">
        <v>2344</v>
      </c>
      <c r="B1294" s="65" t="s">
        <v>2345</v>
      </c>
      <c r="C1294" s="74" t="s">
        <v>204</v>
      </c>
      <c r="D1294" s="69" t="s">
        <v>2346</v>
      </c>
      <c r="E1294" s="69" t="s">
        <v>2347</v>
      </c>
      <c r="F1294" s="69" t="s">
        <v>2348</v>
      </c>
    </row>
    <row r="1295" spans="1:6" ht="22.5" x14ac:dyDescent="0.2">
      <c r="A1295" s="65" t="s">
        <v>2349</v>
      </c>
      <c r="B1295" s="65" t="s">
        <v>2350</v>
      </c>
      <c r="C1295" s="74" t="s">
        <v>204</v>
      </c>
      <c r="D1295" s="69" t="s">
        <v>2351</v>
      </c>
      <c r="E1295" s="69" t="s">
        <v>2347</v>
      </c>
      <c r="F1295" s="69" t="s">
        <v>2352</v>
      </c>
    </row>
    <row r="1296" spans="1:6" ht="22.5" x14ac:dyDescent="0.2">
      <c r="A1296" s="65" t="s">
        <v>2353</v>
      </c>
      <c r="B1296" s="65" t="s">
        <v>2354</v>
      </c>
      <c r="C1296" s="74" t="s">
        <v>204</v>
      </c>
      <c r="D1296" s="69" t="s">
        <v>2355</v>
      </c>
      <c r="E1296" s="69" t="s">
        <v>2347</v>
      </c>
      <c r="F1296" s="69" t="s">
        <v>2356</v>
      </c>
    </row>
    <row r="1297" spans="1:6" ht="22.5" x14ac:dyDescent="0.2">
      <c r="A1297" s="65" t="s">
        <v>2357</v>
      </c>
      <c r="B1297" s="65" t="s">
        <v>2358</v>
      </c>
      <c r="C1297" s="74" t="s">
        <v>204</v>
      </c>
      <c r="D1297" s="69" t="s">
        <v>2359</v>
      </c>
      <c r="E1297" s="69" t="s">
        <v>2347</v>
      </c>
      <c r="F1297" s="69" t="s">
        <v>2360</v>
      </c>
    </row>
    <row r="1298" spans="1:6" ht="22.5" x14ac:dyDescent="0.2">
      <c r="A1298" s="65" t="s">
        <v>2361</v>
      </c>
      <c r="B1298" s="65" t="s">
        <v>2362</v>
      </c>
      <c r="C1298" s="74" t="s">
        <v>204</v>
      </c>
      <c r="D1298" s="69" t="s">
        <v>2363</v>
      </c>
      <c r="E1298" s="69" t="s">
        <v>2347</v>
      </c>
      <c r="F1298" s="69" t="s">
        <v>2364</v>
      </c>
    </row>
    <row r="1299" spans="1:6" ht="22.5" x14ac:dyDescent="0.2">
      <c r="A1299" s="65" t="s">
        <v>2365</v>
      </c>
      <c r="B1299" s="65" t="s">
        <v>2366</v>
      </c>
      <c r="C1299" s="74" t="s">
        <v>204</v>
      </c>
      <c r="D1299" s="69" t="s">
        <v>2367</v>
      </c>
      <c r="E1299" s="69" t="s">
        <v>2347</v>
      </c>
      <c r="F1299" s="69" t="s">
        <v>2368</v>
      </c>
    </row>
    <row r="1300" spans="1:6" ht="45" x14ac:dyDescent="0.2">
      <c r="A1300" s="65" t="s">
        <v>2369</v>
      </c>
      <c r="B1300" s="66" t="s">
        <v>2370</v>
      </c>
      <c r="C1300" s="74" t="s">
        <v>204</v>
      </c>
      <c r="D1300" s="69" t="s">
        <v>2371</v>
      </c>
      <c r="E1300" s="68"/>
      <c r="F1300" s="69" t="s">
        <v>2371</v>
      </c>
    </row>
    <row r="1301" spans="1:6" ht="56.25" x14ac:dyDescent="0.2">
      <c r="A1301" s="70" t="s">
        <v>2372</v>
      </c>
      <c r="B1301" s="65" t="s">
        <v>2373</v>
      </c>
      <c r="C1301" s="75" t="s">
        <v>204</v>
      </c>
      <c r="D1301" s="72" t="s">
        <v>2374</v>
      </c>
      <c r="E1301" s="72" t="s">
        <v>2375</v>
      </c>
      <c r="F1301" s="72" t="s">
        <v>2376</v>
      </c>
    </row>
    <row r="1302" spans="1:6" ht="56.25" x14ac:dyDescent="0.2">
      <c r="A1302" s="70" t="s">
        <v>2377</v>
      </c>
      <c r="B1302" s="65" t="s">
        <v>2378</v>
      </c>
      <c r="C1302" s="75" t="s">
        <v>204</v>
      </c>
      <c r="D1302" s="72" t="s">
        <v>2379</v>
      </c>
      <c r="E1302" s="72" t="s">
        <v>2375</v>
      </c>
      <c r="F1302" s="72" t="s">
        <v>2380</v>
      </c>
    </row>
    <row r="1303" spans="1:6" ht="45" x14ac:dyDescent="0.2">
      <c r="A1303" s="65" t="s">
        <v>2381</v>
      </c>
      <c r="B1303" s="66" t="s">
        <v>2382</v>
      </c>
      <c r="C1303" s="74" t="s">
        <v>204</v>
      </c>
      <c r="D1303" s="69" t="s">
        <v>2383</v>
      </c>
      <c r="E1303" s="69" t="s">
        <v>2384</v>
      </c>
      <c r="F1303" s="69" t="s">
        <v>2385</v>
      </c>
    </row>
    <row r="1304" spans="1:6" ht="22.5" x14ac:dyDescent="0.2">
      <c r="A1304" s="65" t="s">
        <v>2386</v>
      </c>
      <c r="B1304" s="65" t="s">
        <v>2387</v>
      </c>
      <c r="C1304" s="74" t="s">
        <v>204</v>
      </c>
      <c r="D1304" s="69" t="s">
        <v>2388</v>
      </c>
      <c r="E1304" s="69" t="s">
        <v>2389</v>
      </c>
      <c r="F1304" s="69" t="s">
        <v>2390</v>
      </c>
    </row>
    <row r="1305" spans="1:6" x14ac:dyDescent="0.2">
      <c r="A1305" s="50">
        <v>24.02</v>
      </c>
      <c r="B1305" s="64" t="s">
        <v>2391</v>
      </c>
      <c r="C1305" s="47"/>
      <c r="D1305" s="47"/>
      <c r="E1305" s="47"/>
      <c r="F1305" s="47"/>
    </row>
    <row r="1306" spans="1:6" ht="22.5" x14ac:dyDescent="0.2">
      <c r="A1306" s="65" t="s">
        <v>2392</v>
      </c>
      <c r="B1306" s="65" t="s">
        <v>2393</v>
      </c>
      <c r="C1306" s="74" t="s">
        <v>204</v>
      </c>
      <c r="D1306" s="69" t="s">
        <v>2394</v>
      </c>
      <c r="E1306" s="69" t="s">
        <v>411</v>
      </c>
      <c r="F1306" s="69" t="s">
        <v>2395</v>
      </c>
    </row>
    <row r="1307" spans="1:6" ht="22.5" x14ac:dyDescent="0.2">
      <c r="A1307" s="65" t="s">
        <v>2396</v>
      </c>
      <c r="B1307" s="65" t="s">
        <v>2397</v>
      </c>
      <c r="C1307" s="74" t="s">
        <v>204</v>
      </c>
      <c r="D1307" s="69" t="s">
        <v>2398</v>
      </c>
      <c r="E1307" s="69" t="s">
        <v>411</v>
      </c>
      <c r="F1307" s="69" t="s">
        <v>2399</v>
      </c>
    </row>
    <row r="1308" spans="1:6" ht="45" x14ac:dyDescent="0.2">
      <c r="A1308" s="65" t="s">
        <v>2400</v>
      </c>
      <c r="B1308" s="66" t="s">
        <v>2401</v>
      </c>
      <c r="C1308" s="74" t="s">
        <v>203</v>
      </c>
      <c r="D1308" s="69" t="s">
        <v>2402</v>
      </c>
      <c r="E1308" s="69" t="s">
        <v>2403</v>
      </c>
      <c r="F1308" s="69" t="s">
        <v>2404</v>
      </c>
    </row>
    <row r="1309" spans="1:6" ht="45" x14ac:dyDescent="0.2">
      <c r="A1309" s="65" t="s">
        <v>2405</v>
      </c>
      <c r="B1309" s="66" t="s">
        <v>2406</v>
      </c>
      <c r="C1309" s="74" t="s">
        <v>203</v>
      </c>
      <c r="D1309" s="69" t="s">
        <v>2407</v>
      </c>
      <c r="E1309" s="69" t="s">
        <v>2403</v>
      </c>
      <c r="F1309" s="69" t="s">
        <v>2408</v>
      </c>
    </row>
    <row r="1310" spans="1:6" ht="45" x14ac:dyDescent="0.2">
      <c r="A1310" s="65" t="s">
        <v>2409</v>
      </c>
      <c r="B1310" s="66" t="s">
        <v>2410</v>
      </c>
      <c r="C1310" s="74" t="s">
        <v>204</v>
      </c>
      <c r="D1310" s="69" t="s">
        <v>2411</v>
      </c>
      <c r="E1310" s="69" t="s">
        <v>2403</v>
      </c>
      <c r="F1310" s="69" t="s">
        <v>2412</v>
      </c>
    </row>
    <row r="1311" spans="1:6" ht="45" x14ac:dyDescent="0.2">
      <c r="A1311" s="65" t="s">
        <v>2413</v>
      </c>
      <c r="B1311" s="66" t="s">
        <v>2414</v>
      </c>
      <c r="C1311" s="74" t="s">
        <v>203</v>
      </c>
      <c r="D1311" s="69" t="s">
        <v>2415</v>
      </c>
      <c r="E1311" s="69" t="s">
        <v>2416</v>
      </c>
      <c r="F1311" s="69" t="s">
        <v>2417</v>
      </c>
    </row>
    <row r="1312" spans="1:6" ht="45" x14ac:dyDescent="0.2">
      <c r="A1312" s="65" t="s">
        <v>2418</v>
      </c>
      <c r="B1312" s="66" t="s">
        <v>2419</v>
      </c>
      <c r="C1312" s="74" t="s">
        <v>203</v>
      </c>
      <c r="D1312" s="69" t="s">
        <v>2420</v>
      </c>
      <c r="E1312" s="69" t="s">
        <v>2416</v>
      </c>
      <c r="F1312" s="69" t="s">
        <v>2421</v>
      </c>
    </row>
    <row r="1313" spans="1:6" ht="22.5" x14ac:dyDescent="0.2">
      <c r="A1313" s="65" t="s">
        <v>2422</v>
      </c>
      <c r="B1313" s="65" t="s">
        <v>2423</v>
      </c>
      <c r="C1313" s="74" t="s">
        <v>204</v>
      </c>
      <c r="D1313" s="69" t="s">
        <v>2424</v>
      </c>
      <c r="E1313" s="69" t="s">
        <v>411</v>
      </c>
      <c r="F1313" s="69" t="s">
        <v>2425</v>
      </c>
    </row>
    <row r="1314" spans="1:6" ht="22.5" x14ac:dyDescent="0.2">
      <c r="A1314" s="65" t="s">
        <v>2426</v>
      </c>
      <c r="B1314" s="65" t="s">
        <v>2427</v>
      </c>
      <c r="C1314" s="74" t="s">
        <v>204</v>
      </c>
      <c r="D1314" s="69" t="s">
        <v>2428</v>
      </c>
      <c r="E1314" s="69" t="s">
        <v>411</v>
      </c>
      <c r="F1314" s="69" t="s">
        <v>2429</v>
      </c>
    </row>
    <row r="1315" spans="1:6" ht="22.5" x14ac:dyDescent="0.2">
      <c r="A1315" s="65" t="s">
        <v>2430</v>
      </c>
      <c r="B1315" s="65" t="s">
        <v>2431</v>
      </c>
      <c r="C1315" s="74" t="s">
        <v>204</v>
      </c>
      <c r="D1315" s="69" t="s">
        <v>2432</v>
      </c>
      <c r="E1315" s="69" t="s">
        <v>411</v>
      </c>
      <c r="F1315" s="69" t="s">
        <v>2433</v>
      </c>
    </row>
    <row r="1316" spans="1:6" ht="33.75" x14ac:dyDescent="0.2">
      <c r="A1316" s="65" t="s">
        <v>2434</v>
      </c>
      <c r="B1316" s="65" t="s">
        <v>2435</v>
      </c>
      <c r="C1316" s="74" t="s">
        <v>204</v>
      </c>
      <c r="D1316" s="69" t="s">
        <v>2436</v>
      </c>
      <c r="E1316" s="69" t="s">
        <v>2437</v>
      </c>
      <c r="F1316" s="69" t="s">
        <v>2438</v>
      </c>
    </row>
    <row r="1317" spans="1:6" ht="45" x14ac:dyDescent="0.2">
      <c r="A1317" s="65" t="s">
        <v>2439</v>
      </c>
      <c r="B1317" s="66" t="s">
        <v>2440</v>
      </c>
      <c r="C1317" s="74" t="s">
        <v>204</v>
      </c>
      <c r="D1317" s="69" t="s">
        <v>2441</v>
      </c>
      <c r="E1317" s="69" t="s">
        <v>411</v>
      </c>
      <c r="F1317" s="69" t="s">
        <v>2442</v>
      </c>
    </row>
    <row r="1318" spans="1:6" ht="33.75" x14ac:dyDescent="0.2">
      <c r="A1318" s="65" t="s">
        <v>2443</v>
      </c>
      <c r="B1318" s="65" t="s">
        <v>2444</v>
      </c>
      <c r="C1318" s="74" t="s">
        <v>204</v>
      </c>
      <c r="D1318" s="69" t="s">
        <v>2445</v>
      </c>
      <c r="E1318" s="69" t="s">
        <v>411</v>
      </c>
      <c r="F1318" s="69" t="s">
        <v>2446</v>
      </c>
    </row>
    <row r="1319" spans="1:6" ht="22.5" x14ac:dyDescent="0.2">
      <c r="A1319" s="65" t="s">
        <v>2447</v>
      </c>
      <c r="B1319" s="65" t="s">
        <v>2448</v>
      </c>
      <c r="C1319" s="74" t="s">
        <v>204</v>
      </c>
      <c r="D1319" s="69" t="s">
        <v>2449</v>
      </c>
      <c r="E1319" s="69" t="s">
        <v>411</v>
      </c>
      <c r="F1319" s="69" t="s">
        <v>2450</v>
      </c>
    </row>
    <row r="1320" spans="1:6" ht="22.5" x14ac:dyDescent="0.2">
      <c r="A1320" s="65" t="s">
        <v>2451</v>
      </c>
      <c r="B1320" s="65" t="s">
        <v>2452</v>
      </c>
      <c r="C1320" s="74" t="s">
        <v>204</v>
      </c>
      <c r="D1320" s="69" t="s">
        <v>2453</v>
      </c>
      <c r="E1320" s="69" t="s">
        <v>411</v>
      </c>
      <c r="F1320" s="69" t="s">
        <v>2454</v>
      </c>
    </row>
    <row r="1321" spans="1:6" ht="45" x14ac:dyDescent="0.2">
      <c r="A1321" s="65" t="s">
        <v>2455</v>
      </c>
      <c r="B1321" s="66" t="s">
        <v>2456</v>
      </c>
      <c r="C1321" s="74" t="s">
        <v>204</v>
      </c>
      <c r="D1321" s="69" t="s">
        <v>2457</v>
      </c>
      <c r="E1321" s="69" t="s">
        <v>411</v>
      </c>
      <c r="F1321" s="69" t="s">
        <v>2458</v>
      </c>
    </row>
    <row r="1322" spans="1:6" ht="22.5" x14ac:dyDescent="0.2">
      <c r="A1322" s="65" t="s">
        <v>2459</v>
      </c>
      <c r="B1322" s="65" t="s">
        <v>2460</v>
      </c>
      <c r="C1322" s="74" t="s">
        <v>204</v>
      </c>
      <c r="D1322" s="69" t="s">
        <v>2461</v>
      </c>
      <c r="E1322" s="69" t="s">
        <v>2462</v>
      </c>
      <c r="F1322" s="69" t="s">
        <v>2463</v>
      </c>
    </row>
    <row r="1323" spans="1:6" ht="22.5" x14ac:dyDescent="0.2">
      <c r="A1323" s="65" t="s">
        <v>2464</v>
      </c>
      <c r="B1323" s="65" t="s">
        <v>2465</v>
      </c>
      <c r="C1323" s="74" t="s">
        <v>204</v>
      </c>
      <c r="D1323" s="69" t="s">
        <v>2466</v>
      </c>
      <c r="E1323" s="69" t="s">
        <v>2467</v>
      </c>
      <c r="F1323" s="69" t="s">
        <v>2468</v>
      </c>
    </row>
    <row r="1324" spans="1:6" ht="45" x14ac:dyDescent="0.2">
      <c r="A1324" s="65" t="s">
        <v>2469</v>
      </c>
      <c r="B1324" s="66" t="s">
        <v>2470</v>
      </c>
      <c r="C1324" s="67" t="s">
        <v>204</v>
      </c>
      <c r="D1324" s="69" t="s">
        <v>2471</v>
      </c>
      <c r="E1324" s="69" t="s">
        <v>2462</v>
      </c>
      <c r="F1324" s="69" t="s">
        <v>2472</v>
      </c>
    </row>
    <row r="1325" spans="1:6" ht="33.75" x14ac:dyDescent="0.2">
      <c r="A1325" s="65" t="s">
        <v>2473</v>
      </c>
      <c r="B1325" s="65" t="s">
        <v>2474</v>
      </c>
      <c r="C1325" s="67" t="s">
        <v>204</v>
      </c>
      <c r="D1325" s="69" t="s">
        <v>2475</v>
      </c>
      <c r="E1325" s="69" t="s">
        <v>2462</v>
      </c>
      <c r="F1325" s="69" t="s">
        <v>2476</v>
      </c>
    </row>
    <row r="1326" spans="1:6" ht="22.5" x14ac:dyDescent="0.2">
      <c r="A1326" s="65" t="s">
        <v>2477</v>
      </c>
      <c r="B1326" s="65" t="s">
        <v>2478</v>
      </c>
      <c r="C1326" s="67" t="s">
        <v>204</v>
      </c>
      <c r="D1326" s="69" t="s">
        <v>2479</v>
      </c>
      <c r="E1326" s="69" t="s">
        <v>2347</v>
      </c>
      <c r="F1326" s="69" t="s">
        <v>2480</v>
      </c>
    </row>
    <row r="1327" spans="1:6" ht="22.5" x14ac:dyDescent="0.2">
      <c r="A1327" s="65" t="s">
        <v>2481</v>
      </c>
      <c r="B1327" s="65" t="s">
        <v>2482</v>
      </c>
      <c r="C1327" s="67" t="s">
        <v>204</v>
      </c>
      <c r="D1327" s="69" t="s">
        <v>2483</v>
      </c>
      <c r="E1327" s="69" t="s">
        <v>224</v>
      </c>
      <c r="F1327" s="69" t="s">
        <v>2484</v>
      </c>
    </row>
    <row r="1328" spans="1:6" ht="56.25" x14ac:dyDescent="0.2">
      <c r="A1328" s="65" t="s">
        <v>2485</v>
      </c>
      <c r="B1328" s="66" t="s">
        <v>2486</v>
      </c>
      <c r="C1328" s="67" t="s">
        <v>204</v>
      </c>
      <c r="D1328" s="69" t="s">
        <v>2487</v>
      </c>
      <c r="E1328" s="69" t="s">
        <v>411</v>
      </c>
      <c r="F1328" s="69" t="s">
        <v>2488</v>
      </c>
    </row>
    <row r="1329" spans="1:6" ht="45" x14ac:dyDescent="0.2">
      <c r="A1329" s="65" t="s">
        <v>2489</v>
      </c>
      <c r="B1329" s="66" t="s">
        <v>2490</v>
      </c>
      <c r="C1329" s="67" t="s">
        <v>204</v>
      </c>
      <c r="D1329" s="69" t="s">
        <v>2491</v>
      </c>
      <c r="E1329" s="69" t="s">
        <v>2492</v>
      </c>
      <c r="F1329" s="69" t="s">
        <v>2493</v>
      </c>
    </row>
    <row r="1330" spans="1:6" ht="56.25" x14ac:dyDescent="0.2">
      <c r="A1330" s="65" t="s">
        <v>2494</v>
      </c>
      <c r="B1330" s="66" t="s">
        <v>2495</v>
      </c>
      <c r="C1330" s="67" t="s">
        <v>204</v>
      </c>
      <c r="D1330" s="69" t="s">
        <v>2496</v>
      </c>
      <c r="E1330" s="69" t="s">
        <v>2497</v>
      </c>
      <c r="F1330" s="69" t="s">
        <v>2498</v>
      </c>
    </row>
    <row r="1331" spans="1:6" ht="33.75" x14ac:dyDescent="0.2">
      <c r="A1331" s="65" t="s">
        <v>2499</v>
      </c>
      <c r="B1331" s="65" t="s">
        <v>2500</v>
      </c>
      <c r="C1331" s="67" t="s">
        <v>204</v>
      </c>
      <c r="D1331" s="69" t="s">
        <v>2501</v>
      </c>
      <c r="E1331" s="69" t="s">
        <v>2502</v>
      </c>
      <c r="F1331" s="69" t="s">
        <v>2503</v>
      </c>
    </row>
    <row r="1332" spans="1:6" ht="33.75" x14ac:dyDescent="0.2">
      <c r="A1332" s="65" t="s">
        <v>2504</v>
      </c>
      <c r="B1332" s="65" t="s">
        <v>2505</v>
      </c>
      <c r="C1332" s="67" t="s">
        <v>204</v>
      </c>
      <c r="D1332" s="69" t="s">
        <v>2506</v>
      </c>
      <c r="E1332" s="69" t="s">
        <v>2507</v>
      </c>
      <c r="F1332" s="69" t="s">
        <v>2508</v>
      </c>
    </row>
    <row r="1333" spans="1:6" ht="45" x14ac:dyDescent="0.2">
      <c r="A1333" s="65" t="s">
        <v>2509</v>
      </c>
      <c r="B1333" s="66" t="s">
        <v>2510</v>
      </c>
      <c r="C1333" s="67" t="s">
        <v>204</v>
      </c>
      <c r="D1333" s="69" t="s">
        <v>2511</v>
      </c>
      <c r="E1333" s="69" t="s">
        <v>411</v>
      </c>
      <c r="F1333" s="69" t="s">
        <v>2512</v>
      </c>
    </row>
    <row r="1334" spans="1:6" x14ac:dyDescent="0.2">
      <c r="A1334" s="50">
        <v>24.03</v>
      </c>
      <c r="B1334" s="64" t="s">
        <v>2513</v>
      </c>
      <c r="C1334" s="47"/>
      <c r="D1334" s="47"/>
      <c r="E1334" s="47"/>
      <c r="F1334" s="47"/>
    </row>
    <row r="1335" spans="1:6" ht="33.75" x14ac:dyDescent="0.2">
      <c r="A1335" s="65" t="s">
        <v>2514</v>
      </c>
      <c r="B1335" s="65" t="s">
        <v>2515</v>
      </c>
      <c r="C1335" s="67" t="s">
        <v>221</v>
      </c>
      <c r="D1335" s="69" t="s">
        <v>2516</v>
      </c>
      <c r="E1335" s="69" t="s">
        <v>224</v>
      </c>
      <c r="F1335" s="69" t="s">
        <v>2517</v>
      </c>
    </row>
    <row r="1336" spans="1:6" x14ac:dyDescent="0.2">
      <c r="A1336" s="65" t="s">
        <v>2518</v>
      </c>
      <c r="B1336" s="65" t="s">
        <v>2519</v>
      </c>
      <c r="C1336" s="67" t="s">
        <v>221</v>
      </c>
      <c r="D1336" s="69" t="s">
        <v>2520</v>
      </c>
      <c r="E1336" s="69" t="s">
        <v>298</v>
      </c>
      <c r="F1336" s="69" t="s">
        <v>2521</v>
      </c>
    </row>
    <row r="1337" spans="1:6" ht="22.5" x14ac:dyDescent="0.2">
      <c r="A1337" s="65" t="s">
        <v>2522</v>
      </c>
      <c r="B1337" s="65" t="s">
        <v>2523</v>
      </c>
      <c r="C1337" s="67" t="s">
        <v>221</v>
      </c>
      <c r="D1337" s="69" t="s">
        <v>2524</v>
      </c>
      <c r="E1337" s="69" t="s">
        <v>224</v>
      </c>
      <c r="F1337" s="69" t="s">
        <v>2525</v>
      </c>
    </row>
    <row r="1338" spans="1:6" ht="22.5" x14ac:dyDescent="0.2">
      <c r="A1338" s="65" t="s">
        <v>2526</v>
      </c>
      <c r="B1338" s="65" t="s">
        <v>2527</v>
      </c>
      <c r="C1338" s="67" t="s">
        <v>204</v>
      </c>
      <c r="D1338" s="69" t="s">
        <v>2528</v>
      </c>
      <c r="E1338" s="69" t="s">
        <v>2109</v>
      </c>
      <c r="F1338" s="69" t="s">
        <v>2529</v>
      </c>
    </row>
    <row r="1339" spans="1:6" ht="45" x14ac:dyDescent="0.2">
      <c r="A1339" s="65" t="s">
        <v>2530</v>
      </c>
      <c r="B1339" s="66" t="s">
        <v>2531</v>
      </c>
      <c r="C1339" s="67" t="s">
        <v>204</v>
      </c>
      <c r="D1339" s="69" t="s">
        <v>2532</v>
      </c>
      <c r="E1339" s="69" t="s">
        <v>2533</v>
      </c>
      <c r="F1339" s="69" t="s">
        <v>2534</v>
      </c>
    </row>
    <row r="1340" spans="1:6" ht="33.75" x14ac:dyDescent="0.2">
      <c r="A1340" s="65" t="s">
        <v>2535</v>
      </c>
      <c r="B1340" s="65" t="s">
        <v>2536</v>
      </c>
      <c r="C1340" s="67" t="s">
        <v>204</v>
      </c>
      <c r="D1340" s="69" t="s">
        <v>2537</v>
      </c>
      <c r="E1340" s="69" t="s">
        <v>224</v>
      </c>
      <c r="F1340" s="69" t="s">
        <v>2538</v>
      </c>
    </row>
    <row r="1341" spans="1:6" ht="56.25" x14ac:dyDescent="0.2">
      <c r="A1341" s="65" t="s">
        <v>2539</v>
      </c>
      <c r="B1341" s="66" t="s">
        <v>2540</v>
      </c>
      <c r="C1341" s="67" t="s">
        <v>204</v>
      </c>
      <c r="D1341" s="69" t="s">
        <v>2541</v>
      </c>
      <c r="E1341" s="69" t="s">
        <v>2347</v>
      </c>
      <c r="F1341" s="69" t="s">
        <v>2542</v>
      </c>
    </row>
    <row r="1342" spans="1:6" ht="56.25" x14ac:dyDescent="0.2">
      <c r="A1342" s="65" t="s">
        <v>2543</v>
      </c>
      <c r="B1342" s="66" t="s">
        <v>2544</v>
      </c>
      <c r="C1342" s="67" t="s">
        <v>204</v>
      </c>
      <c r="D1342" s="69" t="s">
        <v>2545</v>
      </c>
      <c r="E1342" s="69" t="s">
        <v>2462</v>
      </c>
      <c r="F1342" s="69" t="s">
        <v>2546</v>
      </c>
    </row>
    <row r="1343" spans="1:6" ht="22.5" x14ac:dyDescent="0.2">
      <c r="A1343" s="65" t="s">
        <v>2547</v>
      </c>
      <c r="B1343" s="65" t="s">
        <v>2548</v>
      </c>
      <c r="C1343" s="67" t="s">
        <v>221</v>
      </c>
      <c r="D1343" s="69" t="s">
        <v>2549</v>
      </c>
      <c r="E1343" s="69" t="s">
        <v>308</v>
      </c>
      <c r="F1343" s="69" t="s">
        <v>2550</v>
      </c>
    </row>
    <row r="1344" spans="1:6" ht="22.5" x14ac:dyDescent="0.2">
      <c r="A1344" s="65" t="s">
        <v>2551</v>
      </c>
      <c r="B1344" s="65" t="s">
        <v>2552</v>
      </c>
      <c r="C1344" s="67" t="s">
        <v>221</v>
      </c>
      <c r="D1344" s="69" t="s">
        <v>2553</v>
      </c>
      <c r="E1344" s="69" t="s">
        <v>308</v>
      </c>
      <c r="F1344" s="69" t="s">
        <v>2554</v>
      </c>
    </row>
    <row r="1345" spans="1:6" ht="45" x14ac:dyDescent="0.2">
      <c r="A1345" s="65" t="s">
        <v>2555</v>
      </c>
      <c r="B1345" s="66" t="s">
        <v>2556</v>
      </c>
      <c r="C1345" s="67" t="s">
        <v>204</v>
      </c>
      <c r="D1345" s="69" t="s">
        <v>2557</v>
      </c>
      <c r="E1345" s="69" t="s">
        <v>2437</v>
      </c>
      <c r="F1345" s="69" t="s">
        <v>2558</v>
      </c>
    </row>
    <row r="1346" spans="1:6" ht="56.25" x14ac:dyDescent="0.2">
      <c r="A1346" s="65" t="s">
        <v>2559</v>
      </c>
      <c r="B1346" s="66" t="s">
        <v>2560</v>
      </c>
      <c r="C1346" s="67" t="s">
        <v>204</v>
      </c>
      <c r="D1346" s="69" t="s">
        <v>2561</v>
      </c>
      <c r="E1346" s="69" t="s">
        <v>2347</v>
      </c>
      <c r="F1346" s="69" t="s">
        <v>2562</v>
      </c>
    </row>
    <row r="1347" spans="1:6" ht="45" x14ac:dyDescent="0.2">
      <c r="A1347" s="65" t="s">
        <v>2563</v>
      </c>
      <c r="B1347" s="66" t="s">
        <v>2564</v>
      </c>
      <c r="C1347" s="67" t="s">
        <v>204</v>
      </c>
      <c r="D1347" s="69" t="s">
        <v>2565</v>
      </c>
      <c r="E1347" s="69" t="s">
        <v>2462</v>
      </c>
      <c r="F1347" s="69" t="s">
        <v>2566</v>
      </c>
    </row>
    <row r="1348" spans="1:6" ht="45" x14ac:dyDescent="0.2">
      <c r="A1348" s="65" t="s">
        <v>2567</v>
      </c>
      <c r="B1348" s="66" t="s">
        <v>2568</v>
      </c>
      <c r="C1348" s="67" t="s">
        <v>204</v>
      </c>
      <c r="D1348" s="69" t="s">
        <v>2569</v>
      </c>
      <c r="E1348" s="69" t="s">
        <v>298</v>
      </c>
      <c r="F1348" s="69" t="s">
        <v>2570</v>
      </c>
    </row>
    <row r="1349" spans="1:6" ht="56.25" x14ac:dyDescent="0.2">
      <c r="A1349" s="70" t="s">
        <v>2571</v>
      </c>
      <c r="B1349" s="65" t="s">
        <v>2572</v>
      </c>
      <c r="C1349" s="71" t="s">
        <v>204</v>
      </c>
      <c r="D1349" s="72" t="s">
        <v>2573</v>
      </c>
      <c r="E1349" s="66"/>
      <c r="F1349" s="72" t="s">
        <v>2573</v>
      </c>
    </row>
    <row r="1350" spans="1:6" ht="22.5" x14ac:dyDescent="0.2">
      <c r="A1350" s="50">
        <v>24.04</v>
      </c>
      <c r="B1350" s="64" t="s">
        <v>2574</v>
      </c>
      <c r="C1350" s="47"/>
      <c r="D1350" s="47"/>
      <c r="E1350" s="47"/>
      <c r="F1350" s="47"/>
    </row>
    <row r="1351" spans="1:6" ht="56.25" x14ac:dyDescent="0.2">
      <c r="A1351" s="65" t="s">
        <v>2575</v>
      </c>
      <c r="B1351" s="66" t="s">
        <v>2576</v>
      </c>
      <c r="C1351" s="67" t="s">
        <v>204</v>
      </c>
      <c r="D1351" s="69" t="s">
        <v>2577</v>
      </c>
      <c r="E1351" s="69" t="s">
        <v>2578</v>
      </c>
      <c r="F1351" s="69" t="s">
        <v>2579</v>
      </c>
    </row>
    <row r="1352" spans="1:6" ht="45" x14ac:dyDescent="0.2">
      <c r="A1352" s="65" t="s">
        <v>2580</v>
      </c>
      <c r="B1352" s="66" t="s">
        <v>2581</v>
      </c>
      <c r="C1352" s="67" t="s">
        <v>204</v>
      </c>
      <c r="D1352" s="69" t="s">
        <v>2582</v>
      </c>
      <c r="E1352" s="69" t="s">
        <v>2578</v>
      </c>
      <c r="F1352" s="69" t="s">
        <v>2583</v>
      </c>
    </row>
    <row r="1353" spans="1:6" ht="45" x14ac:dyDescent="0.2">
      <c r="A1353" s="65" t="s">
        <v>2584</v>
      </c>
      <c r="B1353" s="66" t="s">
        <v>2585</v>
      </c>
      <c r="C1353" s="67" t="s">
        <v>204</v>
      </c>
      <c r="D1353" s="69" t="s">
        <v>2586</v>
      </c>
      <c r="E1353" s="69" t="s">
        <v>2578</v>
      </c>
      <c r="F1353" s="69" t="s">
        <v>2587</v>
      </c>
    </row>
    <row r="1354" spans="1:6" ht="45" x14ac:dyDescent="0.2">
      <c r="A1354" s="65" t="s">
        <v>2588</v>
      </c>
      <c r="B1354" s="66" t="s">
        <v>2589</v>
      </c>
      <c r="C1354" s="67" t="s">
        <v>204</v>
      </c>
      <c r="D1354" s="69" t="s">
        <v>2590</v>
      </c>
      <c r="E1354" s="69" t="s">
        <v>2578</v>
      </c>
      <c r="F1354" s="69" t="s">
        <v>2591</v>
      </c>
    </row>
    <row r="1355" spans="1:6" ht="56.25" x14ac:dyDescent="0.2">
      <c r="A1355" s="65" t="s">
        <v>2592</v>
      </c>
      <c r="B1355" s="66" t="s">
        <v>2593</v>
      </c>
      <c r="C1355" s="67" t="s">
        <v>204</v>
      </c>
      <c r="D1355" s="69" t="s">
        <v>2594</v>
      </c>
      <c r="E1355" s="69" t="s">
        <v>543</v>
      </c>
      <c r="F1355" s="69" t="s">
        <v>2595</v>
      </c>
    </row>
    <row r="1356" spans="1:6" ht="56.25" x14ac:dyDescent="0.2">
      <c r="A1356" s="65" t="s">
        <v>2596</v>
      </c>
      <c r="B1356" s="66" t="s">
        <v>2597</v>
      </c>
      <c r="C1356" s="67" t="s">
        <v>204</v>
      </c>
      <c r="D1356" s="69" t="s">
        <v>2598</v>
      </c>
      <c r="E1356" s="69" t="s">
        <v>543</v>
      </c>
      <c r="F1356" s="69" t="s">
        <v>2599</v>
      </c>
    </row>
    <row r="1357" spans="1:6" ht="67.5" x14ac:dyDescent="0.2">
      <c r="A1357" s="70" t="s">
        <v>2600</v>
      </c>
      <c r="B1357" s="66" t="s">
        <v>2601</v>
      </c>
      <c r="C1357" s="71" t="s">
        <v>204</v>
      </c>
      <c r="D1357" s="72" t="s">
        <v>2602</v>
      </c>
      <c r="E1357" s="72" t="s">
        <v>543</v>
      </c>
      <c r="F1357" s="72" t="s">
        <v>2603</v>
      </c>
    </row>
    <row r="1358" spans="1:6" ht="56.25" x14ac:dyDescent="0.2">
      <c r="A1358" s="70" t="s">
        <v>2604</v>
      </c>
      <c r="B1358" s="65" t="s">
        <v>2605</v>
      </c>
      <c r="C1358" s="71" t="s">
        <v>204</v>
      </c>
      <c r="D1358" s="72" t="s">
        <v>2606</v>
      </c>
      <c r="E1358" s="72" t="s">
        <v>543</v>
      </c>
      <c r="F1358" s="72" t="s">
        <v>2607</v>
      </c>
    </row>
    <row r="1359" spans="1:6" ht="45" x14ac:dyDescent="0.2">
      <c r="A1359" s="65" t="s">
        <v>2608</v>
      </c>
      <c r="B1359" s="66" t="s">
        <v>2609</v>
      </c>
      <c r="C1359" s="67" t="s">
        <v>204</v>
      </c>
      <c r="D1359" s="69" t="s">
        <v>2610</v>
      </c>
      <c r="E1359" s="69" t="s">
        <v>2578</v>
      </c>
      <c r="F1359" s="69" t="s">
        <v>2611</v>
      </c>
    </row>
    <row r="1360" spans="1:6" ht="45" x14ac:dyDescent="0.2">
      <c r="A1360" s="65" t="s">
        <v>2612</v>
      </c>
      <c r="B1360" s="66" t="s">
        <v>2613</v>
      </c>
      <c r="C1360" s="67" t="s">
        <v>204</v>
      </c>
      <c r="D1360" s="69" t="s">
        <v>2614</v>
      </c>
      <c r="E1360" s="69" t="s">
        <v>2578</v>
      </c>
      <c r="F1360" s="69" t="s">
        <v>2615</v>
      </c>
    </row>
    <row r="1361" spans="1:6" ht="45" x14ac:dyDescent="0.2">
      <c r="A1361" s="65" t="s">
        <v>2616</v>
      </c>
      <c r="B1361" s="66" t="s">
        <v>2617</v>
      </c>
      <c r="C1361" s="67" t="s">
        <v>204</v>
      </c>
      <c r="D1361" s="69" t="s">
        <v>2618</v>
      </c>
      <c r="E1361" s="69" t="s">
        <v>2578</v>
      </c>
      <c r="F1361" s="69" t="s">
        <v>2619</v>
      </c>
    </row>
    <row r="1362" spans="1:6" ht="56.25" x14ac:dyDescent="0.2">
      <c r="A1362" s="65" t="s">
        <v>2620</v>
      </c>
      <c r="B1362" s="66" t="s">
        <v>2621</v>
      </c>
      <c r="C1362" s="67" t="s">
        <v>204</v>
      </c>
      <c r="D1362" s="69" t="s">
        <v>2622</v>
      </c>
      <c r="E1362" s="69" t="s">
        <v>543</v>
      </c>
      <c r="F1362" s="69" t="s">
        <v>2623</v>
      </c>
    </row>
    <row r="1363" spans="1:6" ht="56.25" x14ac:dyDescent="0.2">
      <c r="A1363" s="65" t="s">
        <v>2624</v>
      </c>
      <c r="B1363" s="66" t="s">
        <v>2625</v>
      </c>
      <c r="C1363" s="67" t="s">
        <v>204</v>
      </c>
      <c r="D1363" s="69" t="s">
        <v>2626</v>
      </c>
      <c r="E1363" s="69" t="s">
        <v>543</v>
      </c>
      <c r="F1363" s="69" t="s">
        <v>2627</v>
      </c>
    </row>
    <row r="1364" spans="1:6" ht="67.5" x14ac:dyDescent="0.2">
      <c r="A1364" s="70" t="s">
        <v>2628</v>
      </c>
      <c r="B1364" s="66" t="s">
        <v>2629</v>
      </c>
      <c r="C1364" s="71" t="s">
        <v>204</v>
      </c>
      <c r="D1364" s="72" t="s">
        <v>2630</v>
      </c>
      <c r="E1364" s="72" t="s">
        <v>543</v>
      </c>
      <c r="F1364" s="72" t="s">
        <v>2631</v>
      </c>
    </row>
    <row r="1365" spans="1:6" ht="56.25" x14ac:dyDescent="0.2">
      <c r="A1365" s="70" t="s">
        <v>2632</v>
      </c>
      <c r="B1365" s="65" t="s">
        <v>2633</v>
      </c>
      <c r="C1365" s="71" t="s">
        <v>204</v>
      </c>
      <c r="D1365" s="72" t="s">
        <v>2634</v>
      </c>
      <c r="E1365" s="72" t="s">
        <v>543</v>
      </c>
      <c r="F1365" s="72" t="s">
        <v>2635</v>
      </c>
    </row>
    <row r="1366" spans="1:6" ht="56.25" x14ac:dyDescent="0.2">
      <c r="A1366" s="70" t="s">
        <v>2636</v>
      </c>
      <c r="B1366" s="65" t="s">
        <v>2637</v>
      </c>
      <c r="C1366" s="71" t="s">
        <v>204</v>
      </c>
      <c r="D1366" s="72" t="s">
        <v>2638</v>
      </c>
      <c r="E1366" s="72" t="s">
        <v>543</v>
      </c>
      <c r="F1366" s="72" t="s">
        <v>2639</v>
      </c>
    </row>
    <row r="1367" spans="1:6" ht="56.25" x14ac:dyDescent="0.2">
      <c r="A1367" s="70" t="s">
        <v>2640</v>
      </c>
      <c r="B1367" s="65" t="s">
        <v>2641</v>
      </c>
      <c r="C1367" s="71" t="s">
        <v>204</v>
      </c>
      <c r="D1367" s="72" t="s">
        <v>2642</v>
      </c>
      <c r="E1367" s="72" t="s">
        <v>2578</v>
      </c>
      <c r="F1367" s="72" t="s">
        <v>2643</v>
      </c>
    </row>
    <row r="1368" spans="1:6" ht="56.25" x14ac:dyDescent="0.2">
      <c r="A1368" s="65" t="s">
        <v>2644</v>
      </c>
      <c r="B1368" s="66" t="s">
        <v>2645</v>
      </c>
      <c r="C1368" s="67" t="s">
        <v>204</v>
      </c>
      <c r="D1368" s="69" t="s">
        <v>2646</v>
      </c>
      <c r="E1368" s="69" t="s">
        <v>2578</v>
      </c>
      <c r="F1368" s="69" t="s">
        <v>2647</v>
      </c>
    </row>
    <row r="1369" spans="1:6" ht="56.25" x14ac:dyDescent="0.2">
      <c r="A1369" s="70" t="s">
        <v>2648</v>
      </c>
      <c r="B1369" s="65" t="s">
        <v>2649</v>
      </c>
      <c r="C1369" s="71" t="s">
        <v>204</v>
      </c>
      <c r="D1369" s="72" t="s">
        <v>2650</v>
      </c>
      <c r="E1369" s="72" t="s">
        <v>2578</v>
      </c>
      <c r="F1369" s="72" t="s">
        <v>2651</v>
      </c>
    </row>
    <row r="1370" spans="1:6" ht="56.25" x14ac:dyDescent="0.2">
      <c r="A1370" s="70" t="s">
        <v>2652</v>
      </c>
      <c r="B1370" s="65" t="s">
        <v>2653</v>
      </c>
      <c r="C1370" s="71" t="s">
        <v>204</v>
      </c>
      <c r="D1370" s="72" t="s">
        <v>2654</v>
      </c>
      <c r="E1370" s="72" t="s">
        <v>2655</v>
      </c>
      <c r="F1370" s="72" t="s">
        <v>2656</v>
      </c>
    </row>
    <row r="1371" spans="1:6" ht="56.25" x14ac:dyDescent="0.2">
      <c r="A1371" s="65" t="s">
        <v>2657</v>
      </c>
      <c r="B1371" s="66" t="s">
        <v>2658</v>
      </c>
      <c r="C1371" s="67" t="s">
        <v>204</v>
      </c>
      <c r="D1371" s="69" t="s">
        <v>2659</v>
      </c>
      <c r="E1371" s="69" t="s">
        <v>2578</v>
      </c>
      <c r="F1371" s="69" t="s">
        <v>2660</v>
      </c>
    </row>
    <row r="1372" spans="1:6" ht="56.25" x14ac:dyDescent="0.2">
      <c r="A1372" s="65" t="s">
        <v>2661</v>
      </c>
      <c r="B1372" s="66" t="s">
        <v>2662</v>
      </c>
      <c r="C1372" s="67" t="s">
        <v>204</v>
      </c>
      <c r="D1372" s="69" t="s">
        <v>2663</v>
      </c>
      <c r="E1372" s="69" t="s">
        <v>2578</v>
      </c>
      <c r="F1372" s="69" t="s">
        <v>2664</v>
      </c>
    </row>
    <row r="1373" spans="1:6" ht="45" x14ac:dyDescent="0.2">
      <c r="A1373" s="65" t="s">
        <v>2665</v>
      </c>
      <c r="B1373" s="66" t="s">
        <v>2666</v>
      </c>
      <c r="C1373" s="67" t="s">
        <v>204</v>
      </c>
      <c r="D1373" s="69" t="s">
        <v>2667</v>
      </c>
      <c r="E1373" s="69" t="s">
        <v>2578</v>
      </c>
      <c r="F1373" s="69" t="s">
        <v>2668</v>
      </c>
    </row>
    <row r="1374" spans="1:6" ht="45" x14ac:dyDescent="0.2">
      <c r="A1374" s="65" t="s">
        <v>2669</v>
      </c>
      <c r="B1374" s="66" t="s">
        <v>2670</v>
      </c>
      <c r="C1374" s="67" t="s">
        <v>204</v>
      </c>
      <c r="D1374" s="69" t="s">
        <v>2671</v>
      </c>
      <c r="E1374" s="69" t="s">
        <v>2578</v>
      </c>
      <c r="F1374" s="69" t="s">
        <v>2672</v>
      </c>
    </row>
    <row r="1375" spans="1:6" ht="22.5" x14ac:dyDescent="0.2">
      <c r="A1375" s="50">
        <v>24.06</v>
      </c>
      <c r="B1375" s="64" t="s">
        <v>2673</v>
      </c>
      <c r="C1375" s="47"/>
      <c r="D1375" s="47"/>
      <c r="E1375" s="47"/>
      <c r="F1375" s="47"/>
    </row>
    <row r="1376" spans="1:6" ht="45" x14ac:dyDescent="0.2">
      <c r="A1376" s="65" t="s">
        <v>2674</v>
      </c>
      <c r="B1376" s="66" t="s">
        <v>2675</v>
      </c>
      <c r="C1376" s="67" t="s">
        <v>221</v>
      </c>
      <c r="D1376" s="69" t="s">
        <v>2676</v>
      </c>
      <c r="E1376" s="69" t="s">
        <v>2677</v>
      </c>
      <c r="F1376" s="69" t="s">
        <v>2678</v>
      </c>
    </row>
    <row r="1377" spans="1:6" x14ac:dyDescent="0.2">
      <c r="A1377" s="50">
        <v>24.07</v>
      </c>
      <c r="B1377" s="64" t="s">
        <v>2679</v>
      </c>
      <c r="C1377" s="47"/>
      <c r="D1377" s="47"/>
      <c r="E1377" s="47"/>
      <c r="F1377" s="47"/>
    </row>
    <row r="1378" spans="1:6" ht="45" x14ac:dyDescent="0.2">
      <c r="A1378" s="65" t="s">
        <v>2680</v>
      </c>
      <c r="B1378" s="66" t="s">
        <v>2681</v>
      </c>
      <c r="C1378" s="67" t="s">
        <v>204</v>
      </c>
      <c r="D1378" s="69" t="s">
        <v>2682</v>
      </c>
      <c r="E1378" s="69" t="s">
        <v>224</v>
      </c>
      <c r="F1378" s="69" t="s">
        <v>2683</v>
      </c>
    </row>
    <row r="1379" spans="1:6" ht="45" x14ac:dyDescent="0.2">
      <c r="A1379" s="65" t="s">
        <v>2684</v>
      </c>
      <c r="B1379" s="66" t="s">
        <v>2685</v>
      </c>
      <c r="C1379" s="67" t="s">
        <v>204</v>
      </c>
      <c r="D1379" s="69" t="s">
        <v>2686</v>
      </c>
      <c r="E1379" s="69" t="s">
        <v>2687</v>
      </c>
      <c r="F1379" s="69" t="s">
        <v>2688</v>
      </c>
    </row>
    <row r="1380" spans="1:6" ht="22.5" x14ac:dyDescent="0.2">
      <c r="A1380" s="50">
        <v>24.08</v>
      </c>
      <c r="B1380" s="64" t="s">
        <v>2689</v>
      </c>
      <c r="C1380" s="47"/>
      <c r="D1380" s="47"/>
      <c r="E1380" s="47"/>
      <c r="F1380" s="47"/>
    </row>
    <row r="1381" spans="1:6" ht="56.25" x14ac:dyDescent="0.2">
      <c r="A1381" s="65" t="s">
        <v>2690</v>
      </c>
      <c r="B1381" s="66" t="s">
        <v>2691</v>
      </c>
      <c r="C1381" s="67" t="s">
        <v>221</v>
      </c>
      <c r="D1381" s="69" t="s">
        <v>2692</v>
      </c>
      <c r="E1381" s="69" t="s">
        <v>403</v>
      </c>
      <c r="F1381" s="69" t="s">
        <v>2693</v>
      </c>
    </row>
    <row r="1382" spans="1:6" ht="33.75" x14ac:dyDescent="0.2">
      <c r="A1382" s="65" t="s">
        <v>2694</v>
      </c>
      <c r="B1382" s="65" t="s">
        <v>2695</v>
      </c>
      <c r="C1382" s="67" t="s">
        <v>221</v>
      </c>
      <c r="D1382" s="69" t="s">
        <v>2696</v>
      </c>
      <c r="E1382" s="69" t="s">
        <v>308</v>
      </c>
      <c r="F1382" s="69" t="s">
        <v>2697</v>
      </c>
    </row>
    <row r="1383" spans="1:6" ht="45" x14ac:dyDescent="0.2">
      <c r="A1383" s="65" t="s">
        <v>2698</v>
      </c>
      <c r="B1383" s="66" t="s">
        <v>2699</v>
      </c>
      <c r="C1383" s="67" t="s">
        <v>221</v>
      </c>
      <c r="D1383" s="69" t="s">
        <v>2700</v>
      </c>
      <c r="E1383" s="69" t="s">
        <v>224</v>
      </c>
      <c r="F1383" s="69" t="s">
        <v>2701</v>
      </c>
    </row>
    <row r="1384" spans="1:6" ht="22.5" x14ac:dyDescent="0.2">
      <c r="A1384" s="50">
        <v>24.2</v>
      </c>
      <c r="B1384" s="64" t="s">
        <v>2702</v>
      </c>
      <c r="C1384" s="47"/>
      <c r="D1384" s="47"/>
      <c r="E1384" s="47"/>
      <c r="F1384" s="47"/>
    </row>
    <row r="1385" spans="1:6" ht="22.5" x14ac:dyDescent="0.2">
      <c r="A1385" s="65" t="s">
        <v>2703</v>
      </c>
      <c r="B1385" s="65" t="s">
        <v>2704</v>
      </c>
      <c r="C1385" s="67" t="s">
        <v>204</v>
      </c>
      <c r="D1385" s="73"/>
      <c r="E1385" s="69" t="s">
        <v>224</v>
      </c>
      <c r="F1385" s="69" t="s">
        <v>224</v>
      </c>
    </row>
    <row r="1386" spans="1:6" x14ac:dyDescent="0.2">
      <c r="A1386" s="65" t="s">
        <v>2705</v>
      </c>
      <c r="B1386" s="65" t="s">
        <v>2706</v>
      </c>
      <c r="C1386" s="67" t="s">
        <v>221</v>
      </c>
      <c r="D1386" s="69" t="s">
        <v>2707</v>
      </c>
      <c r="E1386" s="69" t="s">
        <v>2708</v>
      </c>
      <c r="F1386" s="69" t="s">
        <v>2709</v>
      </c>
    </row>
    <row r="1387" spans="1:6" ht="22.5" x14ac:dyDescent="0.2">
      <c r="A1387" s="65" t="s">
        <v>2710</v>
      </c>
      <c r="B1387" s="65" t="s">
        <v>2711</v>
      </c>
      <c r="C1387" s="67" t="s">
        <v>221</v>
      </c>
      <c r="D1387" s="73"/>
      <c r="E1387" s="69" t="s">
        <v>305</v>
      </c>
      <c r="F1387" s="69" t="s">
        <v>305</v>
      </c>
    </row>
    <row r="1388" spans="1:6" ht="22.5" x14ac:dyDescent="0.2">
      <c r="A1388" s="65" t="s">
        <v>2712</v>
      </c>
      <c r="B1388" s="65" t="s">
        <v>2713</v>
      </c>
      <c r="C1388" s="67" t="s">
        <v>221</v>
      </c>
      <c r="D1388" s="69" t="s">
        <v>2714</v>
      </c>
      <c r="E1388" s="69" t="s">
        <v>2715</v>
      </c>
      <c r="F1388" s="69" t="s">
        <v>2716</v>
      </c>
    </row>
    <row r="1389" spans="1:6" ht="22.5" x14ac:dyDescent="0.2">
      <c r="A1389" s="65" t="s">
        <v>2717</v>
      </c>
      <c r="B1389" s="65" t="s">
        <v>2718</v>
      </c>
      <c r="C1389" s="67" t="s">
        <v>240</v>
      </c>
      <c r="D1389" s="69" t="s">
        <v>2719</v>
      </c>
      <c r="E1389" s="69" t="s">
        <v>2720</v>
      </c>
      <c r="F1389" s="69" t="s">
        <v>2721</v>
      </c>
    </row>
    <row r="1390" spans="1:6" ht="22.5" x14ac:dyDescent="0.2">
      <c r="A1390" s="65" t="s">
        <v>2722</v>
      </c>
      <c r="B1390" s="65" t="s">
        <v>2723</v>
      </c>
      <c r="C1390" s="67" t="s">
        <v>221</v>
      </c>
      <c r="D1390" s="69" t="s">
        <v>2724</v>
      </c>
      <c r="E1390" s="69" t="s">
        <v>2708</v>
      </c>
      <c r="F1390" s="69" t="s">
        <v>2725</v>
      </c>
    </row>
    <row r="1391" spans="1:6" ht="45" x14ac:dyDescent="0.2">
      <c r="A1391" s="65" t="s">
        <v>2726</v>
      </c>
      <c r="B1391" s="66" t="s">
        <v>2727</v>
      </c>
      <c r="C1391" s="67" t="s">
        <v>221</v>
      </c>
      <c r="D1391" s="69" t="s">
        <v>2728</v>
      </c>
      <c r="E1391" s="69" t="s">
        <v>2708</v>
      </c>
      <c r="F1391" s="69" t="s">
        <v>2729</v>
      </c>
    </row>
    <row r="1392" spans="1:6" ht="22.5" x14ac:dyDescent="0.2">
      <c r="A1392" s="65" t="s">
        <v>2730</v>
      </c>
      <c r="B1392" s="65" t="s">
        <v>2731</v>
      </c>
      <c r="C1392" s="67" t="s">
        <v>204</v>
      </c>
      <c r="D1392" s="69" t="s">
        <v>2732</v>
      </c>
      <c r="E1392" s="69" t="s">
        <v>403</v>
      </c>
      <c r="F1392" s="69" t="s">
        <v>2733</v>
      </c>
    </row>
    <row r="1393" spans="1:6" ht="33.75" x14ac:dyDescent="0.2">
      <c r="A1393" s="65" t="s">
        <v>2734</v>
      </c>
      <c r="B1393" s="65" t="s">
        <v>2735</v>
      </c>
      <c r="C1393" s="67" t="s">
        <v>204</v>
      </c>
      <c r="D1393" s="69" t="s">
        <v>2736</v>
      </c>
      <c r="E1393" s="69" t="s">
        <v>2737</v>
      </c>
      <c r="F1393" s="69" t="s">
        <v>2738</v>
      </c>
    </row>
    <row r="1394" spans="1:6" ht="33.75" x14ac:dyDescent="0.2">
      <c r="A1394" s="65" t="s">
        <v>2739</v>
      </c>
      <c r="B1394" s="65" t="s">
        <v>2740</v>
      </c>
      <c r="C1394" s="67" t="s">
        <v>204</v>
      </c>
      <c r="D1394" s="69" t="s">
        <v>2741</v>
      </c>
      <c r="E1394" s="69" t="s">
        <v>2737</v>
      </c>
      <c r="F1394" s="69" t="s">
        <v>948</v>
      </c>
    </row>
    <row r="1395" spans="1:6" ht="56.25" x14ac:dyDescent="0.2">
      <c r="A1395" s="65" t="s">
        <v>2742</v>
      </c>
      <c r="B1395" s="66" t="s">
        <v>2743</v>
      </c>
      <c r="C1395" s="67" t="s">
        <v>204</v>
      </c>
      <c r="D1395" s="69" t="s">
        <v>2744</v>
      </c>
      <c r="E1395" s="69" t="s">
        <v>2745</v>
      </c>
      <c r="F1395" s="69" t="s">
        <v>2746</v>
      </c>
    </row>
    <row r="1396" spans="1:6" ht="56.25" x14ac:dyDescent="0.2">
      <c r="A1396" s="65" t="s">
        <v>2747</v>
      </c>
      <c r="B1396" s="66" t="s">
        <v>2748</v>
      </c>
      <c r="C1396" s="67" t="s">
        <v>204</v>
      </c>
      <c r="D1396" s="69" t="s">
        <v>2749</v>
      </c>
      <c r="E1396" s="69" t="s">
        <v>2745</v>
      </c>
      <c r="F1396" s="69" t="s">
        <v>2750</v>
      </c>
    </row>
    <row r="1397" spans="1:6" ht="22.5" x14ac:dyDescent="0.2">
      <c r="A1397" s="49">
        <v>25</v>
      </c>
      <c r="B1397" s="64" t="s">
        <v>2751</v>
      </c>
      <c r="C1397" s="47"/>
      <c r="D1397" s="47"/>
      <c r="E1397" s="47"/>
      <c r="F1397" s="47"/>
    </row>
    <row r="1398" spans="1:6" x14ac:dyDescent="0.2">
      <c r="A1398" s="50">
        <v>25.01</v>
      </c>
      <c r="B1398" s="64" t="s">
        <v>2752</v>
      </c>
      <c r="C1398" s="47"/>
      <c r="D1398" s="47"/>
      <c r="E1398" s="47"/>
      <c r="F1398" s="47"/>
    </row>
    <row r="1399" spans="1:6" ht="22.5" x14ac:dyDescent="0.2">
      <c r="A1399" s="65" t="s">
        <v>2753</v>
      </c>
      <c r="B1399" s="65" t="s">
        <v>2754</v>
      </c>
      <c r="C1399" s="67" t="s">
        <v>204</v>
      </c>
      <c r="D1399" s="69" t="s">
        <v>2755</v>
      </c>
      <c r="E1399" s="69" t="s">
        <v>402</v>
      </c>
      <c r="F1399" s="69" t="s">
        <v>2756</v>
      </c>
    </row>
    <row r="1400" spans="1:6" ht="22.5" x14ac:dyDescent="0.2">
      <c r="A1400" s="65" t="s">
        <v>2757</v>
      </c>
      <c r="B1400" s="65" t="s">
        <v>2758</v>
      </c>
      <c r="C1400" s="67" t="s">
        <v>204</v>
      </c>
      <c r="D1400" s="69" t="s">
        <v>2759</v>
      </c>
      <c r="E1400" s="69" t="s">
        <v>402</v>
      </c>
      <c r="F1400" s="69" t="s">
        <v>2760</v>
      </c>
    </row>
    <row r="1401" spans="1:6" ht="22.5" x14ac:dyDescent="0.2">
      <c r="A1401" s="65" t="s">
        <v>2761</v>
      </c>
      <c r="B1401" s="65" t="s">
        <v>2762</v>
      </c>
      <c r="C1401" s="67" t="s">
        <v>204</v>
      </c>
      <c r="D1401" s="69" t="s">
        <v>2763</v>
      </c>
      <c r="E1401" s="69" t="s">
        <v>402</v>
      </c>
      <c r="F1401" s="69" t="s">
        <v>2764</v>
      </c>
    </row>
    <row r="1402" spans="1:6" ht="22.5" x14ac:dyDescent="0.2">
      <c r="A1402" s="65" t="s">
        <v>2765</v>
      </c>
      <c r="B1402" s="65" t="s">
        <v>2766</v>
      </c>
      <c r="C1402" s="67" t="s">
        <v>204</v>
      </c>
      <c r="D1402" s="69" t="s">
        <v>2767</v>
      </c>
      <c r="E1402" s="69" t="s">
        <v>402</v>
      </c>
      <c r="F1402" s="69" t="s">
        <v>2768</v>
      </c>
    </row>
    <row r="1403" spans="1:6" ht="22.5" x14ac:dyDescent="0.2">
      <c r="A1403" s="65" t="s">
        <v>2769</v>
      </c>
      <c r="B1403" s="65" t="s">
        <v>2770</v>
      </c>
      <c r="C1403" s="67" t="s">
        <v>204</v>
      </c>
      <c r="D1403" s="69" t="s">
        <v>2771</v>
      </c>
      <c r="E1403" s="69" t="s">
        <v>402</v>
      </c>
      <c r="F1403" s="69" t="s">
        <v>2772</v>
      </c>
    </row>
    <row r="1404" spans="1:6" ht="22.5" x14ac:dyDescent="0.2">
      <c r="A1404" s="65" t="s">
        <v>2773</v>
      </c>
      <c r="B1404" s="65" t="s">
        <v>2774</v>
      </c>
      <c r="C1404" s="67" t="s">
        <v>204</v>
      </c>
      <c r="D1404" s="69" t="s">
        <v>2775</v>
      </c>
      <c r="E1404" s="69" t="s">
        <v>402</v>
      </c>
      <c r="F1404" s="69" t="s">
        <v>2776</v>
      </c>
    </row>
    <row r="1405" spans="1:6" ht="22.5" x14ac:dyDescent="0.2">
      <c r="A1405" s="65" t="s">
        <v>2777</v>
      </c>
      <c r="B1405" s="65" t="s">
        <v>2778</v>
      </c>
      <c r="C1405" s="67" t="s">
        <v>204</v>
      </c>
      <c r="D1405" s="69" t="s">
        <v>2779</v>
      </c>
      <c r="E1405" s="69" t="s">
        <v>402</v>
      </c>
      <c r="F1405" s="69" t="s">
        <v>2780</v>
      </c>
    </row>
    <row r="1406" spans="1:6" ht="33.75" x14ac:dyDescent="0.2">
      <c r="A1406" s="65" t="s">
        <v>2781</v>
      </c>
      <c r="B1406" s="65" t="s">
        <v>2782</v>
      </c>
      <c r="C1406" s="67" t="s">
        <v>204</v>
      </c>
      <c r="D1406" s="69" t="s">
        <v>2783</v>
      </c>
      <c r="E1406" s="69" t="s">
        <v>402</v>
      </c>
      <c r="F1406" s="69" t="s">
        <v>2784</v>
      </c>
    </row>
    <row r="1407" spans="1:6" ht="22.5" x14ac:dyDescent="0.2">
      <c r="A1407" s="65" t="s">
        <v>2785</v>
      </c>
      <c r="B1407" s="65" t="s">
        <v>2786</v>
      </c>
      <c r="C1407" s="67" t="s">
        <v>204</v>
      </c>
      <c r="D1407" s="69" t="s">
        <v>2787</v>
      </c>
      <c r="E1407" s="69" t="s">
        <v>402</v>
      </c>
      <c r="F1407" s="69" t="s">
        <v>2788</v>
      </c>
    </row>
    <row r="1408" spans="1:6" ht="22.5" x14ac:dyDescent="0.2">
      <c r="A1408" s="65" t="s">
        <v>2789</v>
      </c>
      <c r="B1408" s="65" t="s">
        <v>2790</v>
      </c>
      <c r="C1408" s="67" t="s">
        <v>204</v>
      </c>
      <c r="D1408" s="69" t="s">
        <v>2791</v>
      </c>
      <c r="E1408" s="69" t="s">
        <v>402</v>
      </c>
      <c r="F1408" s="69" t="s">
        <v>2792</v>
      </c>
    </row>
    <row r="1409" spans="1:6" ht="45" x14ac:dyDescent="0.2">
      <c r="A1409" s="65" t="s">
        <v>2793</v>
      </c>
      <c r="B1409" s="66" t="s">
        <v>2794</v>
      </c>
      <c r="C1409" s="67" t="s">
        <v>204</v>
      </c>
      <c r="D1409" s="69" t="s">
        <v>2795</v>
      </c>
      <c r="E1409" s="68"/>
      <c r="F1409" s="69" t="s">
        <v>2795</v>
      </c>
    </row>
    <row r="1410" spans="1:6" ht="22.5" x14ac:dyDescent="0.2">
      <c r="A1410" s="65" t="s">
        <v>2796</v>
      </c>
      <c r="B1410" s="65" t="s">
        <v>2797</v>
      </c>
      <c r="C1410" s="67" t="s">
        <v>204</v>
      </c>
      <c r="D1410" s="69" t="s">
        <v>2798</v>
      </c>
      <c r="E1410" s="69" t="s">
        <v>2799</v>
      </c>
      <c r="F1410" s="69" t="s">
        <v>2800</v>
      </c>
    </row>
    <row r="1411" spans="1:6" ht="22.5" x14ac:dyDescent="0.2">
      <c r="A1411" s="65" t="s">
        <v>2801</v>
      </c>
      <c r="B1411" s="65" t="s">
        <v>2802</v>
      </c>
      <c r="C1411" s="67" t="s">
        <v>204</v>
      </c>
      <c r="D1411" s="69" t="s">
        <v>2803</v>
      </c>
      <c r="E1411" s="69" t="s">
        <v>402</v>
      </c>
      <c r="F1411" s="69" t="s">
        <v>2804</v>
      </c>
    </row>
    <row r="1412" spans="1:6" ht="22.5" x14ac:dyDescent="0.2">
      <c r="A1412" s="65" t="s">
        <v>2805</v>
      </c>
      <c r="B1412" s="65" t="s">
        <v>2806</v>
      </c>
      <c r="C1412" s="67" t="s">
        <v>204</v>
      </c>
      <c r="D1412" s="69" t="s">
        <v>2807</v>
      </c>
      <c r="E1412" s="69" t="s">
        <v>402</v>
      </c>
      <c r="F1412" s="69" t="s">
        <v>2808</v>
      </c>
    </row>
    <row r="1413" spans="1:6" ht="22.5" x14ac:dyDescent="0.2">
      <c r="A1413" s="65" t="s">
        <v>2809</v>
      </c>
      <c r="B1413" s="65" t="s">
        <v>2810</v>
      </c>
      <c r="C1413" s="67" t="s">
        <v>204</v>
      </c>
      <c r="D1413" s="69" t="s">
        <v>2811</v>
      </c>
      <c r="E1413" s="69" t="s">
        <v>402</v>
      </c>
      <c r="F1413" s="69" t="s">
        <v>2812</v>
      </c>
    </row>
    <row r="1414" spans="1:6" ht="22.5" x14ac:dyDescent="0.2">
      <c r="A1414" s="65" t="s">
        <v>2813</v>
      </c>
      <c r="B1414" s="65" t="s">
        <v>2814</v>
      </c>
      <c r="C1414" s="67" t="s">
        <v>204</v>
      </c>
      <c r="D1414" s="69" t="s">
        <v>2815</v>
      </c>
      <c r="E1414" s="69" t="s">
        <v>2799</v>
      </c>
      <c r="F1414" s="69" t="s">
        <v>2816</v>
      </c>
    </row>
    <row r="1415" spans="1:6" ht="22.5" x14ac:dyDescent="0.2">
      <c r="A1415" s="65" t="s">
        <v>2817</v>
      </c>
      <c r="B1415" s="65" t="s">
        <v>2818</v>
      </c>
      <c r="C1415" s="67" t="s">
        <v>204</v>
      </c>
      <c r="D1415" s="69" t="s">
        <v>2819</v>
      </c>
      <c r="E1415" s="69" t="s">
        <v>2799</v>
      </c>
      <c r="F1415" s="69" t="s">
        <v>2820</v>
      </c>
    </row>
    <row r="1416" spans="1:6" ht="22.5" x14ac:dyDescent="0.2">
      <c r="A1416" s="65" t="s">
        <v>2821</v>
      </c>
      <c r="B1416" s="65" t="s">
        <v>2822</v>
      </c>
      <c r="C1416" s="67" t="s">
        <v>204</v>
      </c>
      <c r="D1416" s="69" t="s">
        <v>2823</v>
      </c>
      <c r="E1416" s="69" t="s">
        <v>2824</v>
      </c>
      <c r="F1416" s="69" t="s">
        <v>2825</v>
      </c>
    </row>
    <row r="1417" spans="1:6" ht="22.5" x14ac:dyDescent="0.2">
      <c r="A1417" s="65" t="s">
        <v>2826</v>
      </c>
      <c r="B1417" s="65" t="s">
        <v>2827</v>
      </c>
      <c r="C1417" s="67" t="s">
        <v>204</v>
      </c>
      <c r="D1417" s="69" t="s">
        <v>2828</v>
      </c>
      <c r="E1417" s="69" t="s">
        <v>2824</v>
      </c>
      <c r="F1417" s="69" t="s">
        <v>2829</v>
      </c>
    </row>
    <row r="1418" spans="1:6" ht="22.5" x14ac:dyDescent="0.2">
      <c r="A1418" s="65" t="s">
        <v>2830</v>
      </c>
      <c r="B1418" s="65" t="s">
        <v>2831</v>
      </c>
      <c r="C1418" s="67" t="s">
        <v>204</v>
      </c>
      <c r="D1418" s="69" t="s">
        <v>2832</v>
      </c>
      <c r="E1418" s="69" t="s">
        <v>2824</v>
      </c>
      <c r="F1418" s="69" t="s">
        <v>2833</v>
      </c>
    </row>
    <row r="1419" spans="1:6" ht="22.5" x14ac:dyDescent="0.2">
      <c r="A1419" s="65" t="s">
        <v>2834</v>
      </c>
      <c r="B1419" s="65" t="s">
        <v>2835</v>
      </c>
      <c r="C1419" s="67" t="s">
        <v>204</v>
      </c>
      <c r="D1419" s="69" t="s">
        <v>2836</v>
      </c>
      <c r="E1419" s="73"/>
      <c r="F1419" s="69" t="s">
        <v>2836</v>
      </c>
    </row>
    <row r="1420" spans="1:6" ht="33.75" x14ac:dyDescent="0.2">
      <c r="A1420" s="65" t="s">
        <v>2837</v>
      </c>
      <c r="B1420" s="65" t="s">
        <v>2838</v>
      </c>
      <c r="C1420" s="67" t="s">
        <v>204</v>
      </c>
      <c r="D1420" s="69" t="s">
        <v>2421</v>
      </c>
      <c r="E1420" s="68"/>
      <c r="F1420" s="69" t="s">
        <v>2421</v>
      </c>
    </row>
    <row r="1421" spans="1:6" ht="45" x14ac:dyDescent="0.2">
      <c r="A1421" s="65" t="s">
        <v>2839</v>
      </c>
      <c r="B1421" s="66" t="s">
        <v>2840</v>
      </c>
      <c r="C1421" s="67" t="s">
        <v>204</v>
      </c>
      <c r="D1421" s="69" t="s">
        <v>2841</v>
      </c>
      <c r="E1421" s="68"/>
      <c r="F1421" s="69" t="s">
        <v>2841</v>
      </c>
    </row>
    <row r="1422" spans="1:6" ht="45" x14ac:dyDescent="0.2">
      <c r="A1422" s="65" t="s">
        <v>2842</v>
      </c>
      <c r="B1422" s="66" t="s">
        <v>2843</v>
      </c>
      <c r="C1422" s="67" t="s">
        <v>204</v>
      </c>
      <c r="D1422" s="69" t="s">
        <v>2844</v>
      </c>
      <c r="E1422" s="68"/>
      <c r="F1422" s="69" t="s">
        <v>2844</v>
      </c>
    </row>
    <row r="1423" spans="1:6" ht="22.5" x14ac:dyDescent="0.2">
      <c r="A1423" s="65" t="s">
        <v>2845</v>
      </c>
      <c r="B1423" s="65" t="s">
        <v>2846</v>
      </c>
      <c r="C1423" s="67" t="s">
        <v>204</v>
      </c>
      <c r="D1423" s="69" t="s">
        <v>2847</v>
      </c>
      <c r="E1423" s="69" t="s">
        <v>402</v>
      </c>
      <c r="F1423" s="69" t="s">
        <v>2848</v>
      </c>
    </row>
    <row r="1424" spans="1:6" ht="33.75" x14ac:dyDescent="0.2">
      <c r="A1424" s="65" t="s">
        <v>2849</v>
      </c>
      <c r="B1424" s="65" t="s">
        <v>2850</v>
      </c>
      <c r="C1424" s="74" t="s">
        <v>204</v>
      </c>
      <c r="D1424" s="69" t="s">
        <v>2851</v>
      </c>
      <c r="E1424" s="69" t="s">
        <v>402</v>
      </c>
      <c r="F1424" s="69" t="s">
        <v>2852</v>
      </c>
    </row>
    <row r="1425" spans="1:6" ht="33.75" x14ac:dyDescent="0.2">
      <c r="A1425" s="65" t="s">
        <v>2853</v>
      </c>
      <c r="B1425" s="65" t="s">
        <v>2854</v>
      </c>
      <c r="C1425" s="74" t="s">
        <v>204</v>
      </c>
      <c r="D1425" s="69" t="s">
        <v>2855</v>
      </c>
      <c r="E1425" s="69" t="s">
        <v>402</v>
      </c>
      <c r="F1425" s="69" t="s">
        <v>2856</v>
      </c>
    </row>
    <row r="1426" spans="1:6" ht="33.75" x14ac:dyDescent="0.2">
      <c r="A1426" s="65" t="s">
        <v>2857</v>
      </c>
      <c r="B1426" s="65" t="s">
        <v>2858</v>
      </c>
      <c r="C1426" s="74" t="s">
        <v>204</v>
      </c>
      <c r="D1426" s="69" t="s">
        <v>2859</v>
      </c>
      <c r="E1426" s="69" t="s">
        <v>402</v>
      </c>
      <c r="F1426" s="69" t="s">
        <v>2860</v>
      </c>
    </row>
    <row r="1427" spans="1:6" x14ac:dyDescent="0.2">
      <c r="A1427" s="50">
        <v>25.02</v>
      </c>
      <c r="B1427" s="64" t="s">
        <v>2861</v>
      </c>
      <c r="C1427" s="47"/>
      <c r="D1427" s="47"/>
      <c r="E1427" s="47"/>
      <c r="F1427" s="47"/>
    </row>
    <row r="1428" spans="1:6" ht="33.75" x14ac:dyDescent="0.2">
      <c r="A1428" s="65" t="s">
        <v>2862</v>
      </c>
      <c r="B1428" s="65" t="s">
        <v>2863</v>
      </c>
      <c r="C1428" s="74" t="s">
        <v>204</v>
      </c>
      <c r="D1428" s="69" t="s">
        <v>2864</v>
      </c>
      <c r="E1428" s="69" t="s">
        <v>400</v>
      </c>
      <c r="F1428" s="69" t="s">
        <v>2865</v>
      </c>
    </row>
    <row r="1429" spans="1:6" ht="22.5" x14ac:dyDescent="0.2">
      <c r="A1429" s="65" t="s">
        <v>2866</v>
      </c>
      <c r="B1429" s="65" t="s">
        <v>2867</v>
      </c>
      <c r="C1429" s="74" t="s">
        <v>204</v>
      </c>
      <c r="D1429" s="69" t="s">
        <v>2868</v>
      </c>
      <c r="E1429" s="69" t="s">
        <v>400</v>
      </c>
      <c r="F1429" s="69" t="s">
        <v>2869</v>
      </c>
    </row>
    <row r="1430" spans="1:6" ht="22.5" x14ac:dyDescent="0.2">
      <c r="A1430" s="65" t="s">
        <v>2870</v>
      </c>
      <c r="B1430" s="65" t="s">
        <v>2871</v>
      </c>
      <c r="C1430" s="74" t="s">
        <v>204</v>
      </c>
      <c r="D1430" s="69" t="s">
        <v>2872</v>
      </c>
      <c r="E1430" s="69" t="s">
        <v>400</v>
      </c>
      <c r="F1430" s="69" t="s">
        <v>2873</v>
      </c>
    </row>
    <row r="1431" spans="1:6" ht="22.5" x14ac:dyDescent="0.2">
      <c r="A1431" s="65" t="s">
        <v>2874</v>
      </c>
      <c r="B1431" s="65" t="s">
        <v>2875</v>
      </c>
      <c r="C1431" s="74" t="s">
        <v>204</v>
      </c>
      <c r="D1431" s="69" t="s">
        <v>2876</v>
      </c>
      <c r="E1431" s="69" t="s">
        <v>402</v>
      </c>
      <c r="F1431" s="69" t="s">
        <v>2877</v>
      </c>
    </row>
    <row r="1432" spans="1:6" ht="22.5" x14ac:dyDescent="0.2">
      <c r="A1432" s="65" t="s">
        <v>2878</v>
      </c>
      <c r="B1432" s="65" t="s">
        <v>2879</v>
      </c>
      <c r="C1432" s="74" t="s">
        <v>204</v>
      </c>
      <c r="D1432" s="69" t="s">
        <v>2880</v>
      </c>
      <c r="E1432" s="69" t="s">
        <v>400</v>
      </c>
      <c r="F1432" s="69" t="s">
        <v>2881</v>
      </c>
    </row>
    <row r="1433" spans="1:6" ht="22.5" x14ac:dyDescent="0.2">
      <c r="A1433" s="65" t="s">
        <v>2882</v>
      </c>
      <c r="B1433" s="65" t="s">
        <v>2883</v>
      </c>
      <c r="C1433" s="74" t="s">
        <v>204</v>
      </c>
      <c r="D1433" s="69" t="s">
        <v>2884</v>
      </c>
      <c r="E1433" s="69" t="s">
        <v>400</v>
      </c>
      <c r="F1433" s="69" t="s">
        <v>2885</v>
      </c>
    </row>
    <row r="1434" spans="1:6" ht="22.5" x14ac:dyDescent="0.2">
      <c r="A1434" s="65" t="s">
        <v>2886</v>
      </c>
      <c r="B1434" s="65" t="s">
        <v>2887</v>
      </c>
      <c r="C1434" s="74" t="s">
        <v>204</v>
      </c>
      <c r="D1434" s="69" t="s">
        <v>2888</v>
      </c>
      <c r="E1434" s="69" t="s">
        <v>400</v>
      </c>
      <c r="F1434" s="69" t="s">
        <v>2889</v>
      </c>
    </row>
    <row r="1435" spans="1:6" ht="22.5" x14ac:dyDescent="0.2">
      <c r="A1435" s="65" t="s">
        <v>2890</v>
      </c>
      <c r="B1435" s="65" t="s">
        <v>2891</v>
      </c>
      <c r="C1435" s="74" t="s">
        <v>204</v>
      </c>
      <c r="D1435" s="69" t="s">
        <v>2892</v>
      </c>
      <c r="E1435" s="69" t="s">
        <v>400</v>
      </c>
      <c r="F1435" s="69" t="s">
        <v>2893</v>
      </c>
    </row>
    <row r="1436" spans="1:6" ht="22.5" x14ac:dyDescent="0.2">
      <c r="A1436" s="65" t="s">
        <v>2894</v>
      </c>
      <c r="B1436" s="65" t="s">
        <v>2895</v>
      </c>
      <c r="C1436" s="74" t="s">
        <v>204</v>
      </c>
      <c r="D1436" s="69" t="s">
        <v>2896</v>
      </c>
      <c r="E1436" s="69" t="s">
        <v>400</v>
      </c>
      <c r="F1436" s="69" t="s">
        <v>2897</v>
      </c>
    </row>
    <row r="1437" spans="1:6" ht="22.5" x14ac:dyDescent="0.2">
      <c r="A1437" s="65" t="s">
        <v>2898</v>
      </c>
      <c r="B1437" s="65" t="s">
        <v>2899</v>
      </c>
      <c r="C1437" s="74" t="s">
        <v>204</v>
      </c>
      <c r="D1437" s="69" t="s">
        <v>2900</v>
      </c>
      <c r="E1437" s="69" t="s">
        <v>400</v>
      </c>
      <c r="F1437" s="69" t="s">
        <v>2901</v>
      </c>
    </row>
    <row r="1438" spans="1:6" ht="22.5" x14ac:dyDescent="0.2">
      <c r="A1438" s="65" t="s">
        <v>2902</v>
      </c>
      <c r="B1438" s="65" t="s">
        <v>2903</v>
      </c>
      <c r="C1438" s="74" t="s">
        <v>204</v>
      </c>
      <c r="D1438" s="69" t="s">
        <v>2904</v>
      </c>
      <c r="E1438" s="69" t="s">
        <v>402</v>
      </c>
      <c r="F1438" s="69" t="s">
        <v>2905</v>
      </c>
    </row>
    <row r="1439" spans="1:6" ht="33.75" x14ac:dyDescent="0.2">
      <c r="A1439" s="65" t="s">
        <v>2906</v>
      </c>
      <c r="B1439" s="65" t="s">
        <v>2907</v>
      </c>
      <c r="C1439" s="74" t="s">
        <v>204</v>
      </c>
      <c r="D1439" s="69" t="s">
        <v>2908</v>
      </c>
      <c r="E1439" s="69" t="s">
        <v>402</v>
      </c>
      <c r="F1439" s="69" t="s">
        <v>2909</v>
      </c>
    </row>
    <row r="1440" spans="1:6" ht="45" x14ac:dyDescent="0.2">
      <c r="A1440" s="65" t="s">
        <v>2910</v>
      </c>
      <c r="B1440" s="66" t="s">
        <v>2911</v>
      </c>
      <c r="C1440" s="74" t="s">
        <v>204</v>
      </c>
      <c r="D1440" s="69" t="s">
        <v>2912</v>
      </c>
      <c r="E1440" s="69" t="s">
        <v>402</v>
      </c>
      <c r="F1440" s="69" t="s">
        <v>2913</v>
      </c>
    </row>
    <row r="1441" spans="1:6" ht="45" x14ac:dyDescent="0.2">
      <c r="A1441" s="65" t="s">
        <v>2914</v>
      </c>
      <c r="B1441" s="66" t="s">
        <v>2915</v>
      </c>
      <c r="C1441" s="74" t="s">
        <v>204</v>
      </c>
      <c r="D1441" s="69" t="s">
        <v>2916</v>
      </c>
      <c r="E1441" s="69" t="s">
        <v>402</v>
      </c>
      <c r="F1441" s="69" t="s">
        <v>2917</v>
      </c>
    </row>
    <row r="1442" spans="1:6" ht="45" x14ac:dyDescent="0.2">
      <c r="A1442" s="65" t="s">
        <v>2918</v>
      </c>
      <c r="B1442" s="66" t="s">
        <v>2919</v>
      </c>
      <c r="C1442" s="74" t="s">
        <v>204</v>
      </c>
      <c r="D1442" s="69" t="s">
        <v>2920</v>
      </c>
      <c r="E1442" s="69" t="s">
        <v>400</v>
      </c>
      <c r="F1442" s="69" t="s">
        <v>2921</v>
      </c>
    </row>
    <row r="1443" spans="1:6" ht="22.5" x14ac:dyDescent="0.2">
      <c r="A1443" s="65" t="s">
        <v>2922</v>
      </c>
      <c r="B1443" s="65" t="s">
        <v>2923</v>
      </c>
      <c r="C1443" s="74" t="s">
        <v>204</v>
      </c>
      <c r="D1443" s="69" t="s">
        <v>2924</v>
      </c>
      <c r="E1443" s="69" t="s">
        <v>400</v>
      </c>
      <c r="F1443" s="69" t="s">
        <v>2925</v>
      </c>
    </row>
    <row r="1444" spans="1:6" ht="22.5" x14ac:dyDescent="0.2">
      <c r="A1444" s="50">
        <v>25.2</v>
      </c>
      <c r="B1444" s="64" t="s">
        <v>2926</v>
      </c>
      <c r="C1444" s="47"/>
      <c r="D1444" s="47"/>
      <c r="E1444" s="47"/>
      <c r="F1444" s="47"/>
    </row>
    <row r="1445" spans="1:6" ht="56.25" x14ac:dyDescent="0.2">
      <c r="A1445" s="65" t="s">
        <v>2927</v>
      </c>
      <c r="B1445" s="66" t="s">
        <v>2928</v>
      </c>
      <c r="C1445" s="74" t="s">
        <v>204</v>
      </c>
      <c r="D1445" s="69" t="s">
        <v>2929</v>
      </c>
      <c r="E1445" s="68"/>
      <c r="F1445" s="69" t="s">
        <v>2929</v>
      </c>
    </row>
    <row r="1446" spans="1:6" ht="22.5" x14ac:dyDescent="0.2">
      <c r="A1446" s="49">
        <v>26</v>
      </c>
      <c r="B1446" s="64" t="s">
        <v>2930</v>
      </c>
      <c r="C1446" s="47"/>
      <c r="D1446" s="47"/>
      <c r="E1446" s="47"/>
      <c r="F1446" s="47"/>
    </row>
    <row r="1447" spans="1:6" x14ac:dyDescent="0.2">
      <c r="A1447" s="50">
        <v>26.01</v>
      </c>
      <c r="B1447" s="64" t="s">
        <v>2931</v>
      </c>
      <c r="C1447" s="47"/>
      <c r="D1447" s="47"/>
      <c r="E1447" s="47"/>
      <c r="F1447" s="47"/>
    </row>
    <row r="1448" spans="1:6" x14ac:dyDescent="0.2">
      <c r="A1448" s="65" t="s">
        <v>2932</v>
      </c>
      <c r="B1448" s="65" t="s">
        <v>2933</v>
      </c>
      <c r="C1448" s="74" t="s">
        <v>204</v>
      </c>
      <c r="D1448" s="69" t="s">
        <v>2934</v>
      </c>
      <c r="E1448" s="69" t="s">
        <v>2935</v>
      </c>
      <c r="F1448" s="69" t="s">
        <v>2936</v>
      </c>
    </row>
    <row r="1449" spans="1:6" x14ac:dyDescent="0.2">
      <c r="A1449" s="65" t="s">
        <v>2937</v>
      </c>
      <c r="B1449" s="65" t="s">
        <v>2938</v>
      </c>
      <c r="C1449" s="74" t="s">
        <v>204</v>
      </c>
      <c r="D1449" s="69" t="s">
        <v>2939</v>
      </c>
      <c r="E1449" s="69" t="s">
        <v>2935</v>
      </c>
      <c r="F1449" s="69" t="s">
        <v>2738</v>
      </c>
    </row>
    <row r="1450" spans="1:6" x14ac:dyDescent="0.2">
      <c r="A1450" s="65" t="s">
        <v>2940</v>
      </c>
      <c r="B1450" s="65" t="s">
        <v>2941</v>
      </c>
      <c r="C1450" s="74" t="s">
        <v>204</v>
      </c>
      <c r="D1450" s="69" t="s">
        <v>2942</v>
      </c>
      <c r="E1450" s="69" t="s">
        <v>2935</v>
      </c>
      <c r="F1450" s="69" t="s">
        <v>2943</v>
      </c>
    </row>
    <row r="1451" spans="1:6" x14ac:dyDescent="0.2">
      <c r="A1451" s="65" t="s">
        <v>2944</v>
      </c>
      <c r="B1451" s="65" t="s">
        <v>2945</v>
      </c>
      <c r="C1451" s="74" t="s">
        <v>204</v>
      </c>
      <c r="D1451" s="69" t="s">
        <v>2946</v>
      </c>
      <c r="E1451" s="69" t="s">
        <v>2935</v>
      </c>
      <c r="F1451" s="69" t="s">
        <v>2947</v>
      </c>
    </row>
    <row r="1452" spans="1:6" ht="22.5" x14ac:dyDescent="0.2">
      <c r="A1452" s="65" t="s">
        <v>2948</v>
      </c>
      <c r="B1452" s="65" t="s">
        <v>2949</v>
      </c>
      <c r="C1452" s="74" t="s">
        <v>204</v>
      </c>
      <c r="D1452" s="69" t="s">
        <v>2950</v>
      </c>
      <c r="E1452" s="69" t="s">
        <v>2935</v>
      </c>
      <c r="F1452" s="69" t="s">
        <v>2951</v>
      </c>
    </row>
    <row r="1453" spans="1:6" ht="22.5" x14ac:dyDescent="0.2">
      <c r="A1453" s="65" t="s">
        <v>2952</v>
      </c>
      <c r="B1453" s="65" t="s">
        <v>2953</v>
      </c>
      <c r="C1453" s="74" t="s">
        <v>204</v>
      </c>
      <c r="D1453" s="69" t="s">
        <v>2954</v>
      </c>
      <c r="E1453" s="69" t="s">
        <v>2935</v>
      </c>
      <c r="F1453" s="69" t="s">
        <v>2955</v>
      </c>
    </row>
    <row r="1454" spans="1:6" ht="22.5" x14ac:dyDescent="0.2">
      <c r="A1454" s="65" t="s">
        <v>2956</v>
      </c>
      <c r="B1454" s="65" t="s">
        <v>2957</v>
      </c>
      <c r="C1454" s="74" t="s">
        <v>204</v>
      </c>
      <c r="D1454" s="69" t="s">
        <v>2958</v>
      </c>
      <c r="E1454" s="69" t="s">
        <v>2935</v>
      </c>
      <c r="F1454" s="69" t="s">
        <v>2959</v>
      </c>
    </row>
    <row r="1455" spans="1:6" ht="22.5" x14ac:dyDescent="0.2">
      <c r="A1455" s="65" t="s">
        <v>2960</v>
      </c>
      <c r="B1455" s="65" t="s">
        <v>2961</v>
      </c>
      <c r="C1455" s="74" t="s">
        <v>204</v>
      </c>
      <c r="D1455" s="69" t="s">
        <v>2962</v>
      </c>
      <c r="E1455" s="69" t="s">
        <v>2935</v>
      </c>
      <c r="F1455" s="69" t="s">
        <v>2963</v>
      </c>
    </row>
    <row r="1456" spans="1:6" ht="22.5" x14ac:dyDescent="0.2">
      <c r="A1456" s="65" t="s">
        <v>2964</v>
      </c>
      <c r="B1456" s="65" t="s">
        <v>2965</v>
      </c>
      <c r="C1456" s="74" t="s">
        <v>204</v>
      </c>
      <c r="D1456" s="69" t="s">
        <v>2966</v>
      </c>
      <c r="E1456" s="69" t="s">
        <v>2935</v>
      </c>
      <c r="F1456" s="69" t="s">
        <v>2967</v>
      </c>
    </row>
    <row r="1457" spans="1:6" ht="22.5" x14ac:dyDescent="0.2">
      <c r="A1457" s="65" t="s">
        <v>2968</v>
      </c>
      <c r="B1457" s="65" t="s">
        <v>2969</v>
      </c>
      <c r="C1457" s="74" t="s">
        <v>204</v>
      </c>
      <c r="D1457" s="69" t="s">
        <v>2970</v>
      </c>
      <c r="E1457" s="69" t="s">
        <v>2935</v>
      </c>
      <c r="F1457" s="69" t="s">
        <v>2971</v>
      </c>
    </row>
    <row r="1458" spans="1:6" ht="22.5" x14ac:dyDescent="0.2">
      <c r="A1458" s="65" t="s">
        <v>2972</v>
      </c>
      <c r="B1458" s="65" t="s">
        <v>2973</v>
      </c>
      <c r="C1458" s="74" t="s">
        <v>204</v>
      </c>
      <c r="D1458" s="69" t="s">
        <v>2974</v>
      </c>
      <c r="E1458" s="69" t="s">
        <v>2935</v>
      </c>
      <c r="F1458" s="69" t="s">
        <v>2975</v>
      </c>
    </row>
    <row r="1459" spans="1:6" x14ac:dyDescent="0.2">
      <c r="A1459" s="65" t="s">
        <v>2976</v>
      </c>
      <c r="B1459" s="65" t="s">
        <v>2977</v>
      </c>
      <c r="C1459" s="74" t="s">
        <v>204</v>
      </c>
      <c r="D1459" s="69" t="s">
        <v>2978</v>
      </c>
      <c r="E1459" s="69" t="s">
        <v>2935</v>
      </c>
      <c r="F1459" s="69" t="s">
        <v>2979</v>
      </c>
    </row>
    <row r="1460" spans="1:6" ht="33.75" x14ac:dyDescent="0.2">
      <c r="A1460" s="65" t="s">
        <v>2980</v>
      </c>
      <c r="B1460" s="65" t="s">
        <v>2981</v>
      </c>
      <c r="C1460" s="74" t="s">
        <v>204</v>
      </c>
      <c r="D1460" s="69" t="s">
        <v>2982</v>
      </c>
      <c r="E1460" s="68"/>
      <c r="F1460" s="69" t="s">
        <v>2982</v>
      </c>
    </row>
    <row r="1461" spans="1:6" ht="45" x14ac:dyDescent="0.2">
      <c r="A1461" s="65" t="s">
        <v>2983</v>
      </c>
      <c r="B1461" s="66" t="s">
        <v>2984</v>
      </c>
      <c r="C1461" s="74" t="s">
        <v>204</v>
      </c>
      <c r="D1461" s="69" t="s">
        <v>2985</v>
      </c>
      <c r="E1461" s="68"/>
      <c r="F1461" s="69" t="s">
        <v>2985</v>
      </c>
    </row>
    <row r="1462" spans="1:6" ht="22.5" x14ac:dyDescent="0.2">
      <c r="A1462" s="65" t="s">
        <v>2986</v>
      </c>
      <c r="B1462" s="65" t="s">
        <v>2987</v>
      </c>
      <c r="C1462" s="74" t="s">
        <v>204</v>
      </c>
      <c r="D1462" s="69" t="s">
        <v>2988</v>
      </c>
      <c r="E1462" s="69" t="s">
        <v>2935</v>
      </c>
      <c r="F1462" s="69" t="s">
        <v>2989</v>
      </c>
    </row>
    <row r="1463" spans="1:6" x14ac:dyDescent="0.2">
      <c r="A1463" s="50">
        <v>26.02</v>
      </c>
      <c r="B1463" s="64" t="s">
        <v>2990</v>
      </c>
      <c r="C1463" s="47"/>
      <c r="D1463" s="47"/>
      <c r="E1463" s="47"/>
      <c r="F1463" s="47"/>
    </row>
    <row r="1464" spans="1:6" ht="22.5" x14ac:dyDescent="0.2">
      <c r="A1464" s="65" t="s">
        <v>2991</v>
      </c>
      <c r="B1464" s="65" t="s">
        <v>2992</v>
      </c>
      <c r="C1464" s="74" t="s">
        <v>204</v>
      </c>
      <c r="D1464" s="69" t="s">
        <v>2993</v>
      </c>
      <c r="E1464" s="73"/>
      <c r="F1464" s="69" t="s">
        <v>2993</v>
      </c>
    </row>
    <row r="1465" spans="1:6" ht="22.5" x14ac:dyDescent="0.2">
      <c r="A1465" s="65" t="s">
        <v>2994</v>
      </c>
      <c r="B1465" s="65" t="s">
        <v>2995</v>
      </c>
      <c r="C1465" s="74" t="s">
        <v>204</v>
      </c>
      <c r="D1465" s="69" t="s">
        <v>2996</v>
      </c>
      <c r="E1465" s="73"/>
      <c r="F1465" s="69" t="s">
        <v>2996</v>
      </c>
    </row>
    <row r="1466" spans="1:6" ht="22.5" x14ac:dyDescent="0.2">
      <c r="A1466" s="65" t="s">
        <v>2997</v>
      </c>
      <c r="B1466" s="65" t="s">
        <v>2998</v>
      </c>
      <c r="C1466" s="74" t="s">
        <v>204</v>
      </c>
      <c r="D1466" s="69" t="s">
        <v>2999</v>
      </c>
      <c r="E1466" s="73"/>
      <c r="F1466" s="69" t="s">
        <v>2999</v>
      </c>
    </row>
    <row r="1467" spans="1:6" ht="22.5" x14ac:dyDescent="0.2">
      <c r="A1467" s="65" t="s">
        <v>3000</v>
      </c>
      <c r="B1467" s="65" t="s">
        <v>3001</v>
      </c>
      <c r="C1467" s="74" t="s">
        <v>204</v>
      </c>
      <c r="D1467" s="69" t="s">
        <v>3002</v>
      </c>
      <c r="E1467" s="73"/>
      <c r="F1467" s="69" t="s">
        <v>3002</v>
      </c>
    </row>
    <row r="1468" spans="1:6" ht="21" x14ac:dyDescent="0.2">
      <c r="A1468" s="60" t="s">
        <v>197</v>
      </c>
      <c r="B1468" s="61" t="s">
        <v>198</v>
      </c>
      <c r="C1468" s="61" t="s">
        <v>199</v>
      </c>
      <c r="D1468" s="62" t="s">
        <v>200</v>
      </c>
      <c r="E1468" s="63" t="s">
        <v>201</v>
      </c>
      <c r="F1468" s="60" t="s">
        <v>202</v>
      </c>
    </row>
    <row r="1469" spans="1:6" ht="22.5" x14ac:dyDescent="0.2">
      <c r="A1469" s="65" t="s">
        <v>3003</v>
      </c>
      <c r="B1469" s="65" t="s">
        <v>3004</v>
      </c>
      <c r="C1469" s="67" t="s">
        <v>204</v>
      </c>
      <c r="D1469" s="69" t="s">
        <v>3005</v>
      </c>
      <c r="E1469" s="73"/>
      <c r="F1469" s="69" t="s">
        <v>3005</v>
      </c>
    </row>
    <row r="1470" spans="1:6" ht="22.5" x14ac:dyDescent="0.2">
      <c r="A1470" s="65" t="s">
        <v>3006</v>
      </c>
      <c r="B1470" s="65" t="s">
        <v>3007</v>
      </c>
      <c r="C1470" s="67" t="s">
        <v>204</v>
      </c>
      <c r="D1470" s="69" t="s">
        <v>3008</v>
      </c>
      <c r="E1470" s="73"/>
      <c r="F1470" s="69" t="s">
        <v>3008</v>
      </c>
    </row>
    <row r="1471" spans="1:6" ht="22.5" x14ac:dyDescent="0.2">
      <c r="A1471" s="65" t="s">
        <v>3009</v>
      </c>
      <c r="B1471" s="65" t="s">
        <v>3010</v>
      </c>
      <c r="C1471" s="67" t="s">
        <v>204</v>
      </c>
      <c r="D1471" s="69" t="s">
        <v>3011</v>
      </c>
      <c r="E1471" s="73"/>
      <c r="F1471" s="69" t="s">
        <v>3011</v>
      </c>
    </row>
    <row r="1472" spans="1:6" ht="22.5" x14ac:dyDescent="0.2">
      <c r="A1472" s="65" t="s">
        <v>3012</v>
      </c>
      <c r="B1472" s="65" t="s">
        <v>3013</v>
      </c>
      <c r="C1472" s="67" t="s">
        <v>204</v>
      </c>
      <c r="D1472" s="69" t="s">
        <v>3014</v>
      </c>
      <c r="E1472" s="73"/>
      <c r="F1472" s="69" t="s">
        <v>3014</v>
      </c>
    </row>
    <row r="1473" spans="1:6" x14ac:dyDescent="0.2">
      <c r="A1473" s="50">
        <v>26.03</v>
      </c>
      <c r="B1473" s="64" t="s">
        <v>3015</v>
      </c>
      <c r="C1473" s="47"/>
      <c r="D1473" s="47"/>
      <c r="E1473" s="47"/>
      <c r="F1473" s="47"/>
    </row>
    <row r="1474" spans="1:6" ht="22.5" x14ac:dyDescent="0.2">
      <c r="A1474" s="65" t="s">
        <v>3016</v>
      </c>
      <c r="B1474" s="65" t="s">
        <v>3017</v>
      </c>
      <c r="C1474" s="67" t="s">
        <v>204</v>
      </c>
      <c r="D1474" s="69" t="s">
        <v>3018</v>
      </c>
      <c r="E1474" s="73"/>
      <c r="F1474" s="69" t="s">
        <v>3018</v>
      </c>
    </row>
    <row r="1475" spans="1:6" ht="22.5" x14ac:dyDescent="0.2">
      <c r="A1475" s="65" t="s">
        <v>3019</v>
      </c>
      <c r="B1475" s="65" t="s">
        <v>3020</v>
      </c>
      <c r="C1475" s="67" t="s">
        <v>204</v>
      </c>
      <c r="D1475" s="69" t="s">
        <v>3021</v>
      </c>
      <c r="E1475" s="73"/>
      <c r="F1475" s="69" t="s">
        <v>3021</v>
      </c>
    </row>
    <row r="1476" spans="1:6" ht="22.5" x14ac:dyDescent="0.2">
      <c r="A1476" s="65" t="s">
        <v>3022</v>
      </c>
      <c r="B1476" s="65" t="s">
        <v>3023</v>
      </c>
      <c r="C1476" s="67" t="s">
        <v>204</v>
      </c>
      <c r="D1476" s="69" t="s">
        <v>3024</v>
      </c>
      <c r="E1476" s="73"/>
      <c r="F1476" s="69" t="s">
        <v>3024</v>
      </c>
    </row>
    <row r="1477" spans="1:6" ht="22.5" x14ac:dyDescent="0.2">
      <c r="A1477" s="65" t="s">
        <v>3025</v>
      </c>
      <c r="B1477" s="65" t="s">
        <v>3026</v>
      </c>
      <c r="C1477" s="67" t="s">
        <v>204</v>
      </c>
      <c r="D1477" s="69" t="s">
        <v>3027</v>
      </c>
      <c r="E1477" s="73"/>
      <c r="F1477" s="69" t="s">
        <v>3027</v>
      </c>
    </row>
    <row r="1478" spans="1:6" x14ac:dyDescent="0.2">
      <c r="A1478" s="50">
        <v>26.04</v>
      </c>
      <c r="B1478" s="64" t="s">
        <v>3028</v>
      </c>
      <c r="C1478" s="47"/>
      <c r="D1478" s="47"/>
      <c r="E1478" s="47"/>
      <c r="F1478" s="47"/>
    </row>
    <row r="1479" spans="1:6" ht="22.5" x14ac:dyDescent="0.2">
      <c r="A1479" s="65" t="s">
        <v>3029</v>
      </c>
      <c r="B1479" s="65" t="s">
        <v>3030</v>
      </c>
      <c r="C1479" s="67" t="s">
        <v>204</v>
      </c>
      <c r="D1479" s="69" t="s">
        <v>3031</v>
      </c>
      <c r="E1479" s="73"/>
      <c r="F1479" s="69" t="s">
        <v>3031</v>
      </c>
    </row>
    <row r="1480" spans="1:6" ht="22.5" x14ac:dyDescent="0.2">
      <c r="A1480" s="65" t="s">
        <v>3032</v>
      </c>
      <c r="B1480" s="65" t="s">
        <v>3033</v>
      </c>
      <c r="C1480" s="67" t="s">
        <v>204</v>
      </c>
      <c r="D1480" s="69" t="s">
        <v>3034</v>
      </c>
      <c r="E1480" s="69" t="s">
        <v>308</v>
      </c>
      <c r="F1480" s="69" t="s">
        <v>3035</v>
      </c>
    </row>
    <row r="1481" spans="1:6" ht="22.5" x14ac:dyDescent="0.2">
      <c r="A1481" s="50">
        <v>26.2</v>
      </c>
      <c r="B1481" s="64" t="s">
        <v>3036</v>
      </c>
      <c r="C1481" s="47"/>
      <c r="D1481" s="47"/>
      <c r="E1481" s="47"/>
      <c r="F1481" s="47"/>
    </row>
    <row r="1482" spans="1:6" x14ac:dyDescent="0.2">
      <c r="A1482" s="65" t="s">
        <v>3037</v>
      </c>
      <c r="B1482" s="65" t="s">
        <v>3038</v>
      </c>
      <c r="C1482" s="67" t="s">
        <v>221</v>
      </c>
      <c r="D1482" s="69" t="s">
        <v>3039</v>
      </c>
      <c r="E1482" s="69" t="s">
        <v>3040</v>
      </c>
      <c r="F1482" s="69" t="s">
        <v>3041</v>
      </c>
    </row>
    <row r="1483" spans="1:6" ht="33.75" x14ac:dyDescent="0.2">
      <c r="A1483" s="65" t="s">
        <v>3042</v>
      </c>
      <c r="B1483" s="65" t="s">
        <v>3043</v>
      </c>
      <c r="C1483" s="67" t="s">
        <v>204</v>
      </c>
      <c r="D1483" s="69" t="s">
        <v>3044</v>
      </c>
      <c r="E1483" s="69" t="s">
        <v>3045</v>
      </c>
      <c r="F1483" s="69" t="s">
        <v>3046</v>
      </c>
    </row>
    <row r="1484" spans="1:6" ht="22.5" x14ac:dyDescent="0.2">
      <c r="A1484" s="49">
        <v>27</v>
      </c>
      <c r="B1484" s="64" t="s">
        <v>3047</v>
      </c>
      <c r="C1484" s="47"/>
      <c r="D1484" s="47"/>
      <c r="E1484" s="47"/>
      <c r="F1484" s="47"/>
    </row>
    <row r="1485" spans="1:6" x14ac:dyDescent="0.2">
      <c r="A1485" s="50">
        <v>27.02</v>
      </c>
      <c r="B1485" s="64" t="s">
        <v>3048</v>
      </c>
      <c r="C1485" s="47"/>
      <c r="D1485" s="47"/>
      <c r="E1485" s="47"/>
      <c r="F1485" s="47"/>
    </row>
    <row r="1486" spans="1:6" ht="33.75" x14ac:dyDescent="0.2">
      <c r="A1486" s="65" t="s">
        <v>3049</v>
      </c>
      <c r="B1486" s="65" t="s">
        <v>3050</v>
      </c>
      <c r="C1486" s="67" t="s">
        <v>204</v>
      </c>
      <c r="D1486" s="69" t="s">
        <v>3051</v>
      </c>
      <c r="E1486" s="69" t="s">
        <v>3052</v>
      </c>
      <c r="F1486" s="69" t="s">
        <v>3053</v>
      </c>
    </row>
    <row r="1487" spans="1:6" ht="33.75" x14ac:dyDescent="0.2">
      <c r="A1487" s="65" t="s">
        <v>3054</v>
      </c>
      <c r="B1487" s="65" t="s">
        <v>3055</v>
      </c>
      <c r="C1487" s="67" t="s">
        <v>204</v>
      </c>
      <c r="D1487" s="69" t="s">
        <v>3056</v>
      </c>
      <c r="E1487" s="69" t="s">
        <v>3052</v>
      </c>
      <c r="F1487" s="69" t="s">
        <v>3057</v>
      </c>
    </row>
    <row r="1488" spans="1:6" ht="33.75" x14ac:dyDescent="0.2">
      <c r="A1488" s="65" t="s">
        <v>3058</v>
      </c>
      <c r="B1488" s="65" t="s">
        <v>3059</v>
      </c>
      <c r="C1488" s="67" t="s">
        <v>204</v>
      </c>
      <c r="D1488" s="69" t="s">
        <v>3060</v>
      </c>
      <c r="E1488" s="69" t="s">
        <v>3052</v>
      </c>
      <c r="F1488" s="69" t="s">
        <v>3061</v>
      </c>
    </row>
    <row r="1489" spans="1:6" ht="22.5" x14ac:dyDescent="0.2">
      <c r="A1489" s="65" t="s">
        <v>3062</v>
      </c>
      <c r="B1489" s="65" t="s">
        <v>3063</v>
      </c>
      <c r="C1489" s="67" t="s">
        <v>204</v>
      </c>
      <c r="D1489" s="69" t="s">
        <v>3064</v>
      </c>
      <c r="E1489" s="69" t="s">
        <v>3052</v>
      </c>
      <c r="F1489" s="69" t="s">
        <v>3065</v>
      </c>
    </row>
    <row r="1490" spans="1:6" x14ac:dyDescent="0.2">
      <c r="A1490" s="50">
        <v>27.03</v>
      </c>
      <c r="B1490" s="64" t="s">
        <v>3066</v>
      </c>
      <c r="C1490" s="47"/>
      <c r="D1490" s="47"/>
      <c r="E1490" s="47"/>
      <c r="F1490" s="47"/>
    </row>
    <row r="1491" spans="1:6" ht="22.5" x14ac:dyDescent="0.2">
      <c r="A1491" s="65" t="s">
        <v>3067</v>
      </c>
      <c r="B1491" s="65" t="s">
        <v>3068</v>
      </c>
      <c r="C1491" s="67" t="s">
        <v>204</v>
      </c>
      <c r="D1491" s="69" t="s">
        <v>3069</v>
      </c>
      <c r="E1491" s="69" t="s">
        <v>3045</v>
      </c>
      <c r="F1491" s="69" t="s">
        <v>3070</v>
      </c>
    </row>
    <row r="1492" spans="1:6" x14ac:dyDescent="0.2">
      <c r="A1492" s="50">
        <v>27.04</v>
      </c>
      <c r="B1492" s="64" t="s">
        <v>3071</v>
      </c>
      <c r="C1492" s="47"/>
      <c r="D1492" s="47"/>
      <c r="E1492" s="47"/>
      <c r="F1492" s="47"/>
    </row>
    <row r="1493" spans="1:6" ht="22.5" x14ac:dyDescent="0.2">
      <c r="A1493" s="65" t="s">
        <v>3072</v>
      </c>
      <c r="B1493" s="65" t="s">
        <v>3073</v>
      </c>
      <c r="C1493" s="67" t="s">
        <v>204</v>
      </c>
      <c r="D1493" s="69" t="s">
        <v>3074</v>
      </c>
      <c r="E1493" s="69" t="s">
        <v>3075</v>
      </c>
      <c r="F1493" s="69" t="s">
        <v>3076</v>
      </c>
    </row>
    <row r="1494" spans="1:6" ht="45" x14ac:dyDescent="0.2">
      <c r="A1494" s="65" t="s">
        <v>3077</v>
      </c>
      <c r="B1494" s="66" t="s">
        <v>3078</v>
      </c>
      <c r="C1494" s="67" t="s">
        <v>221</v>
      </c>
      <c r="D1494" s="69" t="s">
        <v>3079</v>
      </c>
      <c r="E1494" s="69" t="s">
        <v>3080</v>
      </c>
      <c r="F1494" s="69" t="s">
        <v>3081</v>
      </c>
    </row>
    <row r="1495" spans="1:6" ht="45" x14ac:dyDescent="0.2">
      <c r="A1495" s="65" t="s">
        <v>3082</v>
      </c>
      <c r="B1495" s="66" t="s">
        <v>3083</v>
      </c>
      <c r="C1495" s="67" t="s">
        <v>221</v>
      </c>
      <c r="D1495" s="69" t="s">
        <v>3084</v>
      </c>
      <c r="E1495" s="69" t="s">
        <v>305</v>
      </c>
      <c r="F1495" s="69" t="s">
        <v>3085</v>
      </c>
    </row>
    <row r="1496" spans="1:6" ht="45" x14ac:dyDescent="0.2">
      <c r="A1496" s="65" t="s">
        <v>3086</v>
      </c>
      <c r="B1496" s="66" t="s">
        <v>3087</v>
      </c>
      <c r="C1496" s="67" t="s">
        <v>221</v>
      </c>
      <c r="D1496" s="69" t="s">
        <v>3088</v>
      </c>
      <c r="E1496" s="69" t="s">
        <v>302</v>
      </c>
      <c r="F1496" s="69" t="s">
        <v>3089</v>
      </c>
    </row>
    <row r="1497" spans="1:6" ht="22.5" x14ac:dyDescent="0.2">
      <c r="A1497" s="65" t="s">
        <v>3090</v>
      </c>
      <c r="B1497" s="65" t="s">
        <v>3091</v>
      </c>
      <c r="C1497" s="67" t="s">
        <v>221</v>
      </c>
      <c r="D1497" s="69" t="s">
        <v>3092</v>
      </c>
      <c r="E1497" s="69" t="s">
        <v>307</v>
      </c>
      <c r="F1497" s="69" t="s">
        <v>3093</v>
      </c>
    </row>
    <row r="1498" spans="1:6" ht="45" x14ac:dyDescent="0.2">
      <c r="A1498" s="65" t="s">
        <v>3094</v>
      </c>
      <c r="B1498" s="66" t="s">
        <v>3095</v>
      </c>
      <c r="C1498" s="67" t="s">
        <v>221</v>
      </c>
      <c r="D1498" s="69" t="s">
        <v>3096</v>
      </c>
      <c r="E1498" s="69" t="s">
        <v>3097</v>
      </c>
      <c r="F1498" s="69" t="s">
        <v>3098</v>
      </c>
    </row>
    <row r="1499" spans="1:6" ht="45" x14ac:dyDescent="0.2">
      <c r="A1499" s="65" t="s">
        <v>3099</v>
      </c>
      <c r="B1499" s="66" t="s">
        <v>3100</v>
      </c>
      <c r="C1499" s="67" t="s">
        <v>221</v>
      </c>
      <c r="D1499" s="69" t="s">
        <v>3101</v>
      </c>
      <c r="E1499" s="69" t="s">
        <v>3102</v>
      </c>
      <c r="F1499" s="69" t="s">
        <v>3103</v>
      </c>
    </row>
    <row r="1500" spans="1:6" ht="22.5" x14ac:dyDescent="0.2">
      <c r="A1500" s="49">
        <v>28</v>
      </c>
      <c r="B1500" s="64" t="s">
        <v>3104</v>
      </c>
      <c r="C1500" s="47"/>
      <c r="D1500" s="47"/>
      <c r="E1500" s="47"/>
      <c r="F1500" s="47"/>
    </row>
    <row r="1501" spans="1:6" x14ac:dyDescent="0.2">
      <c r="A1501" s="50">
        <v>28.01</v>
      </c>
      <c r="B1501" s="64" t="s">
        <v>3105</v>
      </c>
      <c r="C1501" s="47"/>
      <c r="D1501" s="47"/>
      <c r="E1501" s="47"/>
      <c r="F1501" s="47"/>
    </row>
    <row r="1502" spans="1:6" ht="45" x14ac:dyDescent="0.2">
      <c r="A1502" s="65" t="s">
        <v>3106</v>
      </c>
      <c r="B1502" s="66" t="s">
        <v>3107</v>
      </c>
      <c r="C1502" s="67" t="s">
        <v>240</v>
      </c>
      <c r="D1502" s="69" t="s">
        <v>3108</v>
      </c>
      <c r="E1502" s="69" t="s">
        <v>402</v>
      </c>
      <c r="F1502" s="69" t="s">
        <v>3109</v>
      </c>
    </row>
    <row r="1503" spans="1:6" ht="45" x14ac:dyDescent="0.2">
      <c r="A1503" s="65" t="s">
        <v>3110</v>
      </c>
      <c r="B1503" s="66" t="s">
        <v>3111</v>
      </c>
      <c r="C1503" s="67" t="s">
        <v>240</v>
      </c>
      <c r="D1503" s="69" t="s">
        <v>3112</v>
      </c>
      <c r="E1503" s="69" t="s">
        <v>2109</v>
      </c>
      <c r="F1503" s="69" t="s">
        <v>3113</v>
      </c>
    </row>
    <row r="1504" spans="1:6" ht="45" x14ac:dyDescent="0.2">
      <c r="A1504" s="65" t="s">
        <v>3114</v>
      </c>
      <c r="B1504" s="66" t="s">
        <v>3115</v>
      </c>
      <c r="C1504" s="67" t="s">
        <v>240</v>
      </c>
      <c r="D1504" s="69" t="s">
        <v>3116</v>
      </c>
      <c r="E1504" s="69" t="s">
        <v>402</v>
      </c>
      <c r="F1504" s="69" t="s">
        <v>3117</v>
      </c>
    </row>
    <row r="1505" spans="1:6" ht="45" x14ac:dyDescent="0.2">
      <c r="A1505" s="65" t="s">
        <v>3118</v>
      </c>
      <c r="B1505" s="66" t="s">
        <v>3119</v>
      </c>
      <c r="C1505" s="67" t="s">
        <v>240</v>
      </c>
      <c r="D1505" s="69" t="s">
        <v>3120</v>
      </c>
      <c r="E1505" s="69" t="s">
        <v>2109</v>
      </c>
      <c r="F1505" s="69" t="s">
        <v>3121</v>
      </c>
    </row>
    <row r="1506" spans="1:6" ht="22.5" x14ac:dyDescent="0.2">
      <c r="A1506" s="65" t="s">
        <v>3122</v>
      </c>
      <c r="B1506" s="65" t="s">
        <v>3123</v>
      </c>
      <c r="C1506" s="67" t="s">
        <v>240</v>
      </c>
      <c r="D1506" s="69" t="s">
        <v>3124</v>
      </c>
      <c r="E1506" s="69" t="s">
        <v>402</v>
      </c>
      <c r="F1506" s="69" t="s">
        <v>3125</v>
      </c>
    </row>
    <row r="1507" spans="1:6" ht="22.5" x14ac:dyDescent="0.2">
      <c r="A1507" s="65" t="s">
        <v>3126</v>
      </c>
      <c r="B1507" s="65" t="s">
        <v>3127</v>
      </c>
      <c r="C1507" s="67" t="s">
        <v>240</v>
      </c>
      <c r="D1507" s="69" t="s">
        <v>3128</v>
      </c>
      <c r="E1507" s="73"/>
      <c r="F1507" s="69" t="s">
        <v>3128</v>
      </c>
    </row>
    <row r="1508" spans="1:6" ht="22.5" x14ac:dyDescent="0.2">
      <c r="A1508" s="65" t="s">
        <v>3129</v>
      </c>
      <c r="B1508" s="65" t="s">
        <v>3130</v>
      </c>
      <c r="C1508" s="67" t="s">
        <v>240</v>
      </c>
      <c r="D1508" s="69" t="s">
        <v>3131</v>
      </c>
      <c r="E1508" s="73"/>
      <c r="F1508" s="69" t="s">
        <v>3131</v>
      </c>
    </row>
    <row r="1509" spans="1:6" ht="33.75" x14ac:dyDescent="0.2">
      <c r="A1509" s="65" t="s">
        <v>3132</v>
      </c>
      <c r="B1509" s="65" t="s">
        <v>3133</v>
      </c>
      <c r="C1509" s="67" t="s">
        <v>203</v>
      </c>
      <c r="D1509" s="69" t="s">
        <v>3134</v>
      </c>
      <c r="E1509" s="69" t="s">
        <v>317</v>
      </c>
      <c r="F1509" s="69" t="s">
        <v>3135</v>
      </c>
    </row>
    <row r="1510" spans="1:6" ht="33.75" x14ac:dyDescent="0.2">
      <c r="A1510" s="65" t="s">
        <v>3136</v>
      </c>
      <c r="B1510" s="65" t="s">
        <v>3137</v>
      </c>
      <c r="C1510" s="67" t="s">
        <v>240</v>
      </c>
      <c r="D1510" s="69" t="s">
        <v>3138</v>
      </c>
      <c r="E1510" s="69" t="s">
        <v>317</v>
      </c>
      <c r="F1510" s="69" t="s">
        <v>3139</v>
      </c>
    </row>
    <row r="1511" spans="1:6" ht="22.5" x14ac:dyDescent="0.2">
      <c r="A1511" s="65" t="s">
        <v>3140</v>
      </c>
      <c r="B1511" s="65" t="s">
        <v>3141</v>
      </c>
      <c r="C1511" s="67" t="s">
        <v>203</v>
      </c>
      <c r="D1511" s="69" t="s">
        <v>3142</v>
      </c>
      <c r="E1511" s="69" t="s">
        <v>3143</v>
      </c>
      <c r="F1511" s="69" t="s">
        <v>3144</v>
      </c>
    </row>
    <row r="1512" spans="1:6" ht="22.5" x14ac:dyDescent="0.2">
      <c r="A1512" s="65" t="s">
        <v>3145</v>
      </c>
      <c r="B1512" s="65" t="s">
        <v>3146</v>
      </c>
      <c r="C1512" s="67" t="s">
        <v>203</v>
      </c>
      <c r="D1512" s="69" t="s">
        <v>3147</v>
      </c>
      <c r="E1512" s="69" t="s">
        <v>3143</v>
      </c>
      <c r="F1512" s="69" t="s">
        <v>3148</v>
      </c>
    </row>
    <row r="1513" spans="1:6" ht="22.5" x14ac:dyDescent="0.2">
      <c r="A1513" s="65" t="s">
        <v>3149</v>
      </c>
      <c r="B1513" s="65" t="s">
        <v>3150</v>
      </c>
      <c r="C1513" s="67" t="s">
        <v>203</v>
      </c>
      <c r="D1513" s="69" t="s">
        <v>3151</v>
      </c>
      <c r="E1513" s="69" t="s">
        <v>2677</v>
      </c>
      <c r="F1513" s="69" t="s">
        <v>3152</v>
      </c>
    </row>
    <row r="1514" spans="1:6" ht="22.5" x14ac:dyDescent="0.2">
      <c r="A1514" s="65" t="s">
        <v>3153</v>
      </c>
      <c r="B1514" s="65" t="s">
        <v>3154</v>
      </c>
      <c r="C1514" s="67" t="s">
        <v>203</v>
      </c>
      <c r="D1514" s="69" t="s">
        <v>3155</v>
      </c>
      <c r="E1514" s="69" t="s">
        <v>3156</v>
      </c>
      <c r="F1514" s="69" t="s">
        <v>3157</v>
      </c>
    </row>
    <row r="1515" spans="1:6" x14ac:dyDescent="0.2">
      <c r="A1515" s="65" t="s">
        <v>3158</v>
      </c>
      <c r="B1515" s="65" t="s">
        <v>3159</v>
      </c>
      <c r="C1515" s="67" t="s">
        <v>203</v>
      </c>
      <c r="D1515" s="69" t="s">
        <v>3160</v>
      </c>
      <c r="E1515" s="69" t="s">
        <v>299</v>
      </c>
      <c r="F1515" s="69" t="s">
        <v>3161</v>
      </c>
    </row>
    <row r="1516" spans="1:6" ht="45" x14ac:dyDescent="0.2">
      <c r="A1516" s="65" t="s">
        <v>3162</v>
      </c>
      <c r="B1516" s="66" t="s">
        <v>3163</v>
      </c>
      <c r="C1516" s="67" t="s">
        <v>240</v>
      </c>
      <c r="D1516" s="69" t="s">
        <v>3164</v>
      </c>
      <c r="E1516" s="69" t="s">
        <v>3165</v>
      </c>
      <c r="F1516" s="69" t="s">
        <v>3166</v>
      </c>
    </row>
    <row r="1517" spans="1:6" ht="45" x14ac:dyDescent="0.2">
      <c r="A1517" s="65" t="s">
        <v>3167</v>
      </c>
      <c r="B1517" s="66" t="s">
        <v>3168</v>
      </c>
      <c r="C1517" s="67" t="s">
        <v>240</v>
      </c>
      <c r="D1517" s="69" t="s">
        <v>3169</v>
      </c>
      <c r="E1517" s="69" t="s">
        <v>3165</v>
      </c>
      <c r="F1517" s="69" t="s">
        <v>3170</v>
      </c>
    </row>
    <row r="1518" spans="1:6" ht="45" x14ac:dyDescent="0.2">
      <c r="A1518" s="65" t="s">
        <v>3171</v>
      </c>
      <c r="B1518" s="66" t="s">
        <v>3172</v>
      </c>
      <c r="C1518" s="67" t="s">
        <v>240</v>
      </c>
      <c r="D1518" s="69" t="s">
        <v>3173</v>
      </c>
      <c r="E1518" s="69" t="s">
        <v>3165</v>
      </c>
      <c r="F1518" s="69" t="s">
        <v>3174</v>
      </c>
    </row>
    <row r="1519" spans="1:6" ht="45" x14ac:dyDescent="0.2">
      <c r="A1519" s="65" t="s">
        <v>3175</v>
      </c>
      <c r="B1519" s="66" t="s">
        <v>3176</v>
      </c>
      <c r="C1519" s="67" t="s">
        <v>203</v>
      </c>
      <c r="D1519" s="69" t="s">
        <v>3177</v>
      </c>
      <c r="E1519" s="69" t="s">
        <v>2677</v>
      </c>
      <c r="F1519" s="69" t="s">
        <v>3178</v>
      </c>
    </row>
    <row r="1520" spans="1:6" ht="45" x14ac:dyDescent="0.2">
      <c r="A1520" s="65" t="s">
        <v>3179</v>
      </c>
      <c r="B1520" s="66" t="s">
        <v>3180</v>
      </c>
      <c r="C1520" s="67" t="s">
        <v>203</v>
      </c>
      <c r="D1520" s="69" t="s">
        <v>3181</v>
      </c>
      <c r="E1520" s="69" t="s">
        <v>2720</v>
      </c>
      <c r="F1520" s="69" t="s">
        <v>3182</v>
      </c>
    </row>
    <row r="1521" spans="1:6" ht="45" x14ac:dyDescent="0.2">
      <c r="A1521" s="65" t="s">
        <v>3183</v>
      </c>
      <c r="B1521" s="66" t="s">
        <v>3184</v>
      </c>
      <c r="C1521" s="67" t="s">
        <v>203</v>
      </c>
      <c r="D1521" s="69" t="s">
        <v>3185</v>
      </c>
      <c r="E1521" s="69" t="s">
        <v>402</v>
      </c>
      <c r="F1521" s="69" t="s">
        <v>3186</v>
      </c>
    </row>
    <row r="1522" spans="1:6" x14ac:dyDescent="0.2">
      <c r="A1522" s="50">
        <v>28.05</v>
      </c>
      <c r="B1522" s="64" t="s">
        <v>3187</v>
      </c>
      <c r="C1522" s="47"/>
      <c r="D1522" s="47"/>
      <c r="E1522" s="47"/>
      <c r="F1522" s="47"/>
    </row>
    <row r="1523" spans="1:6" ht="22.5" x14ac:dyDescent="0.2">
      <c r="A1523" s="65" t="s">
        <v>3188</v>
      </c>
      <c r="B1523" s="65" t="s">
        <v>3189</v>
      </c>
      <c r="C1523" s="67" t="s">
        <v>203</v>
      </c>
      <c r="D1523" s="69" t="s">
        <v>3190</v>
      </c>
      <c r="E1523" s="73"/>
      <c r="F1523" s="69" t="s">
        <v>3190</v>
      </c>
    </row>
    <row r="1524" spans="1:6" ht="22.5" x14ac:dyDescent="0.2">
      <c r="A1524" s="65" t="s">
        <v>3191</v>
      </c>
      <c r="B1524" s="65" t="s">
        <v>3192</v>
      </c>
      <c r="C1524" s="67" t="s">
        <v>203</v>
      </c>
      <c r="D1524" s="69" t="s">
        <v>3193</v>
      </c>
      <c r="E1524" s="73"/>
      <c r="F1524" s="69" t="s">
        <v>3193</v>
      </c>
    </row>
    <row r="1525" spans="1:6" ht="22.5" x14ac:dyDescent="0.2">
      <c r="A1525" s="65" t="s">
        <v>3194</v>
      </c>
      <c r="B1525" s="65" t="s">
        <v>3195</v>
      </c>
      <c r="C1525" s="67" t="s">
        <v>203</v>
      </c>
      <c r="D1525" s="69" t="s">
        <v>3196</v>
      </c>
      <c r="E1525" s="73"/>
      <c r="F1525" s="69" t="s">
        <v>3196</v>
      </c>
    </row>
    <row r="1526" spans="1:6" ht="45" x14ac:dyDescent="0.2">
      <c r="A1526" s="65" t="s">
        <v>3197</v>
      </c>
      <c r="B1526" s="66" t="s">
        <v>3198</v>
      </c>
      <c r="C1526" s="67" t="s">
        <v>203</v>
      </c>
      <c r="D1526" s="69" t="s">
        <v>3199</v>
      </c>
      <c r="E1526" s="68"/>
      <c r="F1526" s="69" t="s">
        <v>3199</v>
      </c>
    </row>
    <row r="1527" spans="1:6" ht="22.5" x14ac:dyDescent="0.2">
      <c r="A1527" s="65" t="s">
        <v>3200</v>
      </c>
      <c r="B1527" s="65" t="s">
        <v>3201</v>
      </c>
      <c r="C1527" s="67" t="s">
        <v>203</v>
      </c>
      <c r="D1527" s="69" t="s">
        <v>3202</v>
      </c>
      <c r="E1527" s="73"/>
      <c r="F1527" s="69" t="s">
        <v>3202</v>
      </c>
    </row>
    <row r="1528" spans="1:6" ht="22.5" x14ac:dyDescent="0.2">
      <c r="A1528" s="50">
        <v>28.2</v>
      </c>
      <c r="B1528" s="64" t="s">
        <v>3203</v>
      </c>
      <c r="C1528" s="47"/>
      <c r="D1528" s="47"/>
      <c r="E1528" s="47"/>
      <c r="F1528" s="47"/>
    </row>
    <row r="1529" spans="1:6" ht="22.5" x14ac:dyDescent="0.2">
      <c r="A1529" s="65" t="s">
        <v>3204</v>
      </c>
      <c r="B1529" s="65" t="s">
        <v>3205</v>
      </c>
      <c r="C1529" s="67" t="s">
        <v>203</v>
      </c>
      <c r="D1529" s="73"/>
      <c r="E1529" s="69" t="s">
        <v>402</v>
      </c>
      <c r="F1529" s="69" t="s">
        <v>402</v>
      </c>
    </row>
    <row r="1530" spans="1:6" ht="22.5" x14ac:dyDescent="0.2">
      <c r="A1530" s="65" t="s">
        <v>3206</v>
      </c>
      <c r="B1530" s="65" t="s">
        <v>3207</v>
      </c>
      <c r="C1530" s="67" t="s">
        <v>203</v>
      </c>
      <c r="D1530" s="69" t="s">
        <v>3208</v>
      </c>
      <c r="E1530" s="69" t="s">
        <v>2677</v>
      </c>
      <c r="F1530" s="69" t="s">
        <v>3209</v>
      </c>
    </row>
    <row r="1531" spans="1:6" ht="22.5" x14ac:dyDescent="0.2">
      <c r="A1531" s="65" t="s">
        <v>3210</v>
      </c>
      <c r="B1531" s="65" t="s">
        <v>3211</v>
      </c>
      <c r="C1531" s="67" t="s">
        <v>203</v>
      </c>
      <c r="D1531" s="73"/>
      <c r="E1531" s="69" t="s">
        <v>3212</v>
      </c>
      <c r="F1531" s="69" t="s">
        <v>3212</v>
      </c>
    </row>
    <row r="1532" spans="1:6" ht="33.75" x14ac:dyDescent="0.2">
      <c r="A1532" s="65" t="s">
        <v>3213</v>
      </c>
      <c r="B1532" s="65" t="s">
        <v>3214</v>
      </c>
      <c r="C1532" s="67" t="s">
        <v>240</v>
      </c>
      <c r="D1532" s="69" t="s">
        <v>3215</v>
      </c>
      <c r="E1532" s="69" t="s">
        <v>3216</v>
      </c>
      <c r="F1532" s="69" t="s">
        <v>3217</v>
      </c>
    </row>
    <row r="1533" spans="1:6" x14ac:dyDescent="0.2">
      <c r="A1533" s="65" t="s">
        <v>3218</v>
      </c>
      <c r="B1533" s="65" t="s">
        <v>3219</v>
      </c>
      <c r="C1533" s="67" t="s">
        <v>203</v>
      </c>
      <c r="D1533" s="73"/>
      <c r="E1533" s="69" t="s">
        <v>329</v>
      </c>
      <c r="F1533" s="69" t="s">
        <v>329</v>
      </c>
    </row>
    <row r="1534" spans="1:6" ht="22.5" x14ac:dyDescent="0.2">
      <c r="A1534" s="65" t="s">
        <v>3220</v>
      </c>
      <c r="B1534" s="65" t="s">
        <v>3221</v>
      </c>
      <c r="C1534" s="67" t="s">
        <v>240</v>
      </c>
      <c r="D1534" s="69" t="s">
        <v>3222</v>
      </c>
      <c r="E1534" s="69" t="s">
        <v>400</v>
      </c>
      <c r="F1534" s="69" t="s">
        <v>3223</v>
      </c>
    </row>
    <row r="1535" spans="1:6" ht="22.5" x14ac:dyDescent="0.2">
      <c r="A1535" s="65" t="s">
        <v>3224</v>
      </c>
      <c r="B1535" s="65" t="s">
        <v>3225</v>
      </c>
      <c r="C1535" s="67" t="s">
        <v>203</v>
      </c>
      <c r="D1535" s="69" t="s">
        <v>3226</v>
      </c>
      <c r="E1535" s="69" t="s">
        <v>233</v>
      </c>
      <c r="F1535" s="69" t="s">
        <v>3227</v>
      </c>
    </row>
    <row r="1536" spans="1:6" ht="33.75" x14ac:dyDescent="0.2">
      <c r="A1536" s="65" t="s">
        <v>3228</v>
      </c>
      <c r="B1536" s="65" t="s">
        <v>3229</v>
      </c>
      <c r="C1536" s="67" t="s">
        <v>240</v>
      </c>
      <c r="D1536" s="69" t="s">
        <v>3230</v>
      </c>
      <c r="E1536" s="69" t="s">
        <v>1439</v>
      </c>
      <c r="F1536" s="69" t="s">
        <v>3231</v>
      </c>
    </row>
    <row r="1537" spans="1:6" ht="22.5" x14ac:dyDescent="0.2">
      <c r="A1537" s="65" t="s">
        <v>3232</v>
      </c>
      <c r="B1537" s="65" t="s">
        <v>3233</v>
      </c>
      <c r="C1537" s="67" t="s">
        <v>203</v>
      </c>
      <c r="D1537" s="69" t="s">
        <v>3234</v>
      </c>
      <c r="E1537" s="69" t="s">
        <v>2677</v>
      </c>
      <c r="F1537" s="69" t="s">
        <v>3235</v>
      </c>
    </row>
    <row r="1538" spans="1:6" ht="33.75" x14ac:dyDescent="0.2">
      <c r="A1538" s="65" t="s">
        <v>3236</v>
      </c>
      <c r="B1538" s="65" t="s">
        <v>3237</v>
      </c>
      <c r="C1538" s="67" t="s">
        <v>203</v>
      </c>
      <c r="D1538" s="69" t="s">
        <v>3238</v>
      </c>
      <c r="E1538" s="69" t="s">
        <v>3156</v>
      </c>
      <c r="F1538" s="69" t="s">
        <v>3239</v>
      </c>
    </row>
    <row r="1539" spans="1:6" ht="22.5" x14ac:dyDescent="0.2">
      <c r="A1539" s="65" t="s">
        <v>3240</v>
      </c>
      <c r="B1539" s="65" t="s">
        <v>3241</v>
      </c>
      <c r="C1539" s="67" t="s">
        <v>203</v>
      </c>
      <c r="D1539" s="69" t="s">
        <v>3242</v>
      </c>
      <c r="E1539" s="69" t="s">
        <v>3243</v>
      </c>
      <c r="F1539" s="69" t="s">
        <v>3244</v>
      </c>
    </row>
    <row r="1540" spans="1:6" ht="22.5" x14ac:dyDescent="0.2">
      <c r="A1540" s="65" t="s">
        <v>3245</v>
      </c>
      <c r="B1540" s="65" t="s">
        <v>3246</v>
      </c>
      <c r="C1540" s="67" t="s">
        <v>203</v>
      </c>
      <c r="D1540" s="69" t="s">
        <v>3247</v>
      </c>
      <c r="E1540" s="69" t="s">
        <v>3243</v>
      </c>
      <c r="F1540" s="69" t="s">
        <v>3248</v>
      </c>
    </row>
    <row r="1541" spans="1:6" ht="22.5" x14ac:dyDescent="0.2">
      <c r="A1541" s="65" t="s">
        <v>3249</v>
      </c>
      <c r="B1541" s="65" t="s">
        <v>3250</v>
      </c>
      <c r="C1541" s="67" t="s">
        <v>203</v>
      </c>
      <c r="D1541" s="69" t="s">
        <v>3251</v>
      </c>
      <c r="E1541" s="69" t="s">
        <v>3243</v>
      </c>
      <c r="F1541" s="69" t="s">
        <v>3252</v>
      </c>
    </row>
    <row r="1542" spans="1:6" ht="22.5" x14ac:dyDescent="0.2">
      <c r="A1542" s="65" t="s">
        <v>3253</v>
      </c>
      <c r="B1542" s="65" t="s">
        <v>3254</v>
      </c>
      <c r="C1542" s="67" t="s">
        <v>240</v>
      </c>
      <c r="D1542" s="69" t="s">
        <v>3255</v>
      </c>
      <c r="E1542" s="69" t="s">
        <v>329</v>
      </c>
      <c r="F1542" s="69" t="s">
        <v>3256</v>
      </c>
    </row>
    <row r="1543" spans="1:6" ht="33.75" x14ac:dyDescent="0.2">
      <c r="A1543" s="65" t="s">
        <v>3257</v>
      </c>
      <c r="B1543" s="65" t="s">
        <v>3258</v>
      </c>
      <c r="C1543" s="67" t="s">
        <v>203</v>
      </c>
      <c r="D1543" s="69" t="s">
        <v>3259</v>
      </c>
      <c r="E1543" s="69" t="s">
        <v>329</v>
      </c>
      <c r="F1543" s="69" t="s">
        <v>3260</v>
      </c>
    </row>
    <row r="1544" spans="1:6" ht="45" x14ac:dyDescent="0.2">
      <c r="A1544" s="65" t="s">
        <v>3261</v>
      </c>
      <c r="B1544" s="66" t="s">
        <v>3262</v>
      </c>
      <c r="C1544" s="67" t="s">
        <v>203</v>
      </c>
      <c r="D1544" s="69" t="s">
        <v>3263</v>
      </c>
      <c r="E1544" s="69" t="s">
        <v>329</v>
      </c>
      <c r="F1544" s="69" t="s">
        <v>3264</v>
      </c>
    </row>
    <row r="1545" spans="1:6" ht="22.5" x14ac:dyDescent="0.2">
      <c r="A1545" s="65" t="s">
        <v>3265</v>
      </c>
      <c r="B1545" s="65" t="s">
        <v>3266</v>
      </c>
      <c r="C1545" s="67" t="s">
        <v>240</v>
      </c>
      <c r="D1545" s="69" t="s">
        <v>3267</v>
      </c>
      <c r="E1545" s="69" t="s">
        <v>3268</v>
      </c>
      <c r="F1545" s="69" t="s">
        <v>3269</v>
      </c>
    </row>
    <row r="1546" spans="1:6" ht="22.5" x14ac:dyDescent="0.2">
      <c r="A1546" s="65" t="s">
        <v>3270</v>
      </c>
      <c r="B1546" s="65" t="s">
        <v>3271</v>
      </c>
      <c r="C1546" s="67" t="s">
        <v>203</v>
      </c>
      <c r="D1546" s="69" t="s">
        <v>3272</v>
      </c>
      <c r="E1546" s="69" t="s">
        <v>3243</v>
      </c>
      <c r="F1546" s="69" t="s">
        <v>3273</v>
      </c>
    </row>
    <row r="1547" spans="1:6" ht="22.5" x14ac:dyDescent="0.2">
      <c r="A1547" s="65" t="s">
        <v>3274</v>
      </c>
      <c r="B1547" s="65" t="s">
        <v>3275</v>
      </c>
      <c r="C1547" s="67" t="s">
        <v>203</v>
      </c>
      <c r="D1547" s="69" t="s">
        <v>3276</v>
      </c>
      <c r="E1547" s="69" t="s">
        <v>3243</v>
      </c>
      <c r="F1547" s="69" t="s">
        <v>3277</v>
      </c>
    </row>
    <row r="1548" spans="1:6" ht="22.5" x14ac:dyDescent="0.2">
      <c r="A1548" s="65" t="s">
        <v>3278</v>
      </c>
      <c r="B1548" s="65" t="s">
        <v>3279</v>
      </c>
      <c r="C1548" s="67" t="s">
        <v>203</v>
      </c>
      <c r="D1548" s="69" t="s">
        <v>3280</v>
      </c>
      <c r="E1548" s="69" t="s">
        <v>3165</v>
      </c>
      <c r="F1548" s="69" t="s">
        <v>3281</v>
      </c>
    </row>
    <row r="1549" spans="1:6" ht="33.75" x14ac:dyDescent="0.2">
      <c r="A1549" s="65" t="s">
        <v>3282</v>
      </c>
      <c r="B1549" s="65" t="s">
        <v>3283</v>
      </c>
      <c r="C1549" s="67" t="s">
        <v>203</v>
      </c>
      <c r="D1549" s="69" t="s">
        <v>3284</v>
      </c>
      <c r="E1549" s="69" t="s">
        <v>3243</v>
      </c>
      <c r="F1549" s="69" t="s">
        <v>3285</v>
      </c>
    </row>
    <row r="1550" spans="1:6" ht="45" x14ac:dyDescent="0.2">
      <c r="A1550" s="65" t="s">
        <v>3286</v>
      </c>
      <c r="B1550" s="66" t="s">
        <v>3287</v>
      </c>
      <c r="C1550" s="67" t="s">
        <v>203</v>
      </c>
      <c r="D1550" s="69" t="s">
        <v>3288</v>
      </c>
      <c r="E1550" s="69" t="s">
        <v>3289</v>
      </c>
      <c r="F1550" s="69" t="s">
        <v>3290</v>
      </c>
    </row>
    <row r="1551" spans="1:6" ht="22.5" x14ac:dyDescent="0.2">
      <c r="A1551" s="65" t="s">
        <v>3291</v>
      </c>
      <c r="B1551" s="65" t="s">
        <v>3292</v>
      </c>
      <c r="C1551" s="67" t="s">
        <v>203</v>
      </c>
      <c r="D1551" s="69" t="s">
        <v>436</v>
      </c>
      <c r="E1551" s="69" t="s">
        <v>3293</v>
      </c>
      <c r="F1551" s="69" t="s">
        <v>3294</v>
      </c>
    </row>
    <row r="1552" spans="1:6" ht="22.5" x14ac:dyDescent="0.2">
      <c r="A1552" s="65" t="s">
        <v>3295</v>
      </c>
      <c r="B1552" s="65" t="s">
        <v>3296</v>
      </c>
      <c r="C1552" s="67" t="s">
        <v>203</v>
      </c>
      <c r="D1552" s="69" t="s">
        <v>3297</v>
      </c>
      <c r="E1552" s="69" t="s">
        <v>3243</v>
      </c>
      <c r="F1552" s="69" t="s">
        <v>3298</v>
      </c>
    </row>
    <row r="1553" spans="1:6" ht="33.75" x14ac:dyDescent="0.2">
      <c r="A1553" s="65" t="s">
        <v>3299</v>
      </c>
      <c r="B1553" s="65" t="s">
        <v>3300</v>
      </c>
      <c r="C1553" s="67" t="s">
        <v>203</v>
      </c>
      <c r="D1553" s="69" t="s">
        <v>3301</v>
      </c>
      <c r="E1553" s="68"/>
      <c r="F1553" s="69" t="s">
        <v>3301</v>
      </c>
    </row>
    <row r="1554" spans="1:6" ht="45" x14ac:dyDescent="0.2">
      <c r="A1554" s="65" t="s">
        <v>3302</v>
      </c>
      <c r="B1554" s="66" t="s">
        <v>3303</v>
      </c>
      <c r="C1554" s="67" t="s">
        <v>203</v>
      </c>
      <c r="D1554" s="69" t="s">
        <v>3304</v>
      </c>
      <c r="E1554" s="68"/>
      <c r="F1554" s="69" t="s">
        <v>3304</v>
      </c>
    </row>
    <row r="1555" spans="1:6" ht="45" x14ac:dyDescent="0.2">
      <c r="A1555" s="65" t="s">
        <v>3305</v>
      </c>
      <c r="B1555" s="66" t="s">
        <v>3306</v>
      </c>
      <c r="C1555" s="67" t="s">
        <v>240</v>
      </c>
      <c r="D1555" s="69" t="s">
        <v>3307</v>
      </c>
      <c r="E1555" s="69" t="s">
        <v>2720</v>
      </c>
      <c r="F1555" s="69" t="s">
        <v>3308</v>
      </c>
    </row>
    <row r="1556" spans="1:6" ht="45" x14ac:dyDescent="0.2">
      <c r="A1556" s="65" t="s">
        <v>3309</v>
      </c>
      <c r="B1556" s="66" t="s">
        <v>3310</v>
      </c>
      <c r="C1556" s="67" t="s">
        <v>240</v>
      </c>
      <c r="D1556" s="69" t="s">
        <v>3311</v>
      </c>
      <c r="E1556" s="69" t="s">
        <v>3312</v>
      </c>
      <c r="F1556" s="69" t="s">
        <v>3313</v>
      </c>
    </row>
    <row r="1557" spans="1:6" ht="67.5" x14ac:dyDescent="0.2">
      <c r="A1557" s="70" t="s">
        <v>3314</v>
      </c>
      <c r="B1557" s="66" t="s">
        <v>3315</v>
      </c>
      <c r="C1557" s="71" t="s">
        <v>240</v>
      </c>
      <c r="D1557" s="72" t="s">
        <v>3316</v>
      </c>
      <c r="E1557" s="72" t="s">
        <v>3312</v>
      </c>
      <c r="F1557" s="72" t="s">
        <v>3317</v>
      </c>
    </row>
    <row r="1558" spans="1:6" ht="67.5" x14ac:dyDescent="0.2">
      <c r="A1558" s="70" t="s">
        <v>3318</v>
      </c>
      <c r="B1558" s="66" t="s">
        <v>3319</v>
      </c>
      <c r="C1558" s="71" t="s">
        <v>240</v>
      </c>
      <c r="D1558" s="72" t="s">
        <v>3320</v>
      </c>
      <c r="E1558" s="72" t="s">
        <v>3312</v>
      </c>
      <c r="F1558" s="72" t="s">
        <v>3321</v>
      </c>
    </row>
    <row r="1559" spans="1:6" ht="22.5" x14ac:dyDescent="0.2">
      <c r="A1559" s="65" t="s">
        <v>3322</v>
      </c>
      <c r="B1559" s="65" t="s">
        <v>3323</v>
      </c>
      <c r="C1559" s="67" t="s">
        <v>221</v>
      </c>
      <c r="D1559" s="69" t="s">
        <v>3324</v>
      </c>
      <c r="E1559" s="69" t="s">
        <v>302</v>
      </c>
      <c r="F1559" s="69" t="s">
        <v>3325</v>
      </c>
    </row>
    <row r="1560" spans="1:6" x14ac:dyDescent="0.2">
      <c r="A1560" s="49">
        <v>29</v>
      </c>
      <c r="B1560" s="64" t="s">
        <v>3326</v>
      </c>
      <c r="C1560" s="47"/>
      <c r="D1560" s="47"/>
      <c r="E1560" s="47"/>
      <c r="F1560" s="47"/>
    </row>
    <row r="1561" spans="1:6" x14ac:dyDescent="0.2">
      <c r="A1561" s="50">
        <v>29.01</v>
      </c>
      <c r="B1561" s="64" t="s">
        <v>3327</v>
      </c>
      <c r="C1561" s="47"/>
      <c r="D1561" s="47"/>
      <c r="E1561" s="47"/>
      <c r="F1561" s="47"/>
    </row>
    <row r="1562" spans="1:6" ht="22.5" x14ac:dyDescent="0.2">
      <c r="A1562" s="65" t="s">
        <v>3328</v>
      </c>
      <c r="B1562" s="65" t="s">
        <v>3329</v>
      </c>
      <c r="C1562" s="67" t="s">
        <v>221</v>
      </c>
      <c r="D1562" s="69" t="s">
        <v>281</v>
      </c>
      <c r="E1562" s="69" t="s">
        <v>3330</v>
      </c>
      <c r="F1562" s="69" t="s">
        <v>3331</v>
      </c>
    </row>
    <row r="1563" spans="1:6" x14ac:dyDescent="0.2">
      <c r="A1563" s="65" t="s">
        <v>3332</v>
      </c>
      <c r="B1563" s="65" t="s">
        <v>3333</v>
      </c>
      <c r="C1563" s="67" t="s">
        <v>300</v>
      </c>
      <c r="D1563" s="69" t="s">
        <v>3334</v>
      </c>
      <c r="E1563" s="69" t="s">
        <v>3335</v>
      </c>
      <c r="F1563" s="69" t="s">
        <v>3336</v>
      </c>
    </row>
    <row r="1564" spans="1:6" x14ac:dyDescent="0.2">
      <c r="A1564" s="65" t="s">
        <v>3337</v>
      </c>
      <c r="B1564" s="65" t="s">
        <v>3338</v>
      </c>
      <c r="C1564" s="67" t="s">
        <v>221</v>
      </c>
      <c r="D1564" s="69" t="s">
        <v>3339</v>
      </c>
      <c r="E1564" s="69" t="s">
        <v>3330</v>
      </c>
      <c r="F1564" s="69" t="s">
        <v>3340</v>
      </c>
    </row>
    <row r="1565" spans="1:6" x14ac:dyDescent="0.2">
      <c r="A1565" s="65" t="s">
        <v>3341</v>
      </c>
      <c r="B1565" s="65" t="s">
        <v>3342</v>
      </c>
      <c r="C1565" s="67" t="s">
        <v>300</v>
      </c>
      <c r="D1565" s="69" t="s">
        <v>3343</v>
      </c>
      <c r="E1565" s="69" t="s">
        <v>3330</v>
      </c>
      <c r="F1565" s="69" t="s">
        <v>3344</v>
      </c>
    </row>
    <row r="1566" spans="1:6" x14ac:dyDescent="0.2">
      <c r="A1566" s="65" t="s">
        <v>3345</v>
      </c>
      <c r="B1566" s="65" t="s">
        <v>3346</v>
      </c>
      <c r="C1566" s="67" t="s">
        <v>300</v>
      </c>
      <c r="D1566" s="69" t="s">
        <v>3347</v>
      </c>
      <c r="E1566" s="69" t="s">
        <v>3330</v>
      </c>
      <c r="F1566" s="69" t="s">
        <v>3348</v>
      </c>
    </row>
    <row r="1567" spans="1:6" x14ac:dyDescent="0.2">
      <c r="A1567" s="50">
        <v>29.03</v>
      </c>
      <c r="B1567" s="64" t="s">
        <v>3349</v>
      </c>
      <c r="C1567" s="47"/>
      <c r="D1567" s="47"/>
      <c r="E1567" s="47"/>
      <c r="F1567" s="47"/>
    </row>
    <row r="1568" spans="1:6" ht="33.75" x14ac:dyDescent="0.2">
      <c r="A1568" s="65" t="s">
        <v>3350</v>
      </c>
      <c r="B1568" s="65" t="s">
        <v>3351</v>
      </c>
      <c r="C1568" s="67" t="s">
        <v>221</v>
      </c>
      <c r="D1568" s="69" t="s">
        <v>3352</v>
      </c>
      <c r="E1568" s="69" t="s">
        <v>299</v>
      </c>
      <c r="F1568" s="69" t="s">
        <v>3353</v>
      </c>
    </row>
    <row r="1569" spans="1:6" ht="33.75" x14ac:dyDescent="0.2">
      <c r="A1569" s="65" t="s">
        <v>3354</v>
      </c>
      <c r="B1569" s="65" t="s">
        <v>3355</v>
      </c>
      <c r="C1569" s="67" t="s">
        <v>221</v>
      </c>
      <c r="D1569" s="69" t="s">
        <v>3356</v>
      </c>
      <c r="E1569" s="69" t="s">
        <v>299</v>
      </c>
      <c r="F1569" s="69" t="s">
        <v>3357</v>
      </c>
    </row>
    <row r="1570" spans="1:6" ht="22.5" x14ac:dyDescent="0.2">
      <c r="A1570" s="65" t="s">
        <v>3358</v>
      </c>
      <c r="B1570" s="65" t="s">
        <v>3359</v>
      </c>
      <c r="C1570" s="67" t="s">
        <v>221</v>
      </c>
      <c r="D1570" s="69" t="s">
        <v>324</v>
      </c>
      <c r="E1570" s="69" t="s">
        <v>299</v>
      </c>
      <c r="F1570" s="69" t="s">
        <v>3360</v>
      </c>
    </row>
    <row r="1571" spans="1:6" ht="33.75" x14ac:dyDescent="0.2">
      <c r="A1571" s="65" t="s">
        <v>3361</v>
      </c>
      <c r="B1571" s="65" t="s">
        <v>3362</v>
      </c>
      <c r="C1571" s="67" t="s">
        <v>221</v>
      </c>
      <c r="D1571" s="69" t="s">
        <v>3363</v>
      </c>
      <c r="E1571" s="69" t="s">
        <v>299</v>
      </c>
      <c r="F1571" s="69" t="s">
        <v>3364</v>
      </c>
    </row>
    <row r="1572" spans="1:6" ht="22.5" x14ac:dyDescent="0.2">
      <c r="A1572" s="50">
        <v>29.2</v>
      </c>
      <c r="B1572" s="64" t="s">
        <v>3365</v>
      </c>
      <c r="C1572" s="47"/>
      <c r="D1572" s="47"/>
      <c r="E1572" s="47"/>
      <c r="F1572" s="47"/>
    </row>
    <row r="1573" spans="1:6" ht="22.5" x14ac:dyDescent="0.2">
      <c r="A1573" s="65" t="s">
        <v>3366</v>
      </c>
      <c r="B1573" s="65" t="s">
        <v>3367</v>
      </c>
      <c r="C1573" s="67" t="s">
        <v>300</v>
      </c>
      <c r="D1573" s="69" t="s">
        <v>3368</v>
      </c>
      <c r="E1573" s="69" t="s">
        <v>351</v>
      </c>
      <c r="F1573" s="69" t="s">
        <v>3369</v>
      </c>
    </row>
    <row r="1574" spans="1:6" x14ac:dyDescent="0.2">
      <c r="A1574" s="49">
        <v>30</v>
      </c>
      <c r="B1574" s="64" t="s">
        <v>3370</v>
      </c>
      <c r="C1574" s="47"/>
      <c r="D1574" s="47"/>
      <c r="E1574" s="47"/>
      <c r="F1574" s="47"/>
    </row>
    <row r="1575" spans="1:6" x14ac:dyDescent="0.2">
      <c r="A1575" s="50">
        <v>30.01</v>
      </c>
      <c r="B1575" s="64" t="s">
        <v>3371</v>
      </c>
      <c r="C1575" s="47"/>
      <c r="D1575" s="47"/>
      <c r="E1575" s="47"/>
      <c r="F1575" s="47"/>
    </row>
    <row r="1576" spans="1:6" ht="45" x14ac:dyDescent="0.2">
      <c r="A1576" s="65" t="s">
        <v>3372</v>
      </c>
      <c r="B1576" s="66" t="s">
        <v>3373</v>
      </c>
      <c r="C1576" s="67" t="s">
        <v>221</v>
      </c>
      <c r="D1576" s="69" t="s">
        <v>3374</v>
      </c>
      <c r="E1576" s="69" t="s">
        <v>299</v>
      </c>
      <c r="F1576" s="69" t="s">
        <v>3375</v>
      </c>
    </row>
    <row r="1577" spans="1:6" ht="56.25" x14ac:dyDescent="0.2">
      <c r="A1577" s="65" t="s">
        <v>3376</v>
      </c>
      <c r="B1577" s="66" t="s">
        <v>3377</v>
      </c>
      <c r="C1577" s="67" t="s">
        <v>203</v>
      </c>
      <c r="D1577" s="69" t="s">
        <v>3378</v>
      </c>
      <c r="E1577" s="69" t="s">
        <v>299</v>
      </c>
      <c r="F1577" s="69" t="s">
        <v>3379</v>
      </c>
    </row>
    <row r="1578" spans="1:6" ht="56.25" x14ac:dyDescent="0.2">
      <c r="A1578" s="65" t="s">
        <v>3380</v>
      </c>
      <c r="B1578" s="66" t="s">
        <v>3381</v>
      </c>
      <c r="C1578" s="67" t="s">
        <v>203</v>
      </c>
      <c r="D1578" s="69" t="s">
        <v>3382</v>
      </c>
      <c r="E1578" s="69" t="s">
        <v>299</v>
      </c>
      <c r="F1578" s="69" t="s">
        <v>3383</v>
      </c>
    </row>
    <row r="1579" spans="1:6" ht="56.25" x14ac:dyDescent="0.2">
      <c r="A1579" s="65" t="s">
        <v>3384</v>
      </c>
      <c r="B1579" s="66" t="s">
        <v>3385</v>
      </c>
      <c r="C1579" s="67" t="s">
        <v>203</v>
      </c>
      <c r="D1579" s="69" t="s">
        <v>3386</v>
      </c>
      <c r="E1579" s="69" t="s">
        <v>299</v>
      </c>
      <c r="F1579" s="69" t="s">
        <v>3387</v>
      </c>
    </row>
    <row r="1580" spans="1:6" ht="56.25" x14ac:dyDescent="0.2">
      <c r="A1580" s="70" t="s">
        <v>3388</v>
      </c>
      <c r="B1580" s="65" t="s">
        <v>3389</v>
      </c>
      <c r="C1580" s="71" t="s">
        <v>203</v>
      </c>
      <c r="D1580" s="72" t="s">
        <v>3390</v>
      </c>
      <c r="E1580" s="72" t="s">
        <v>299</v>
      </c>
      <c r="F1580" s="72" t="s">
        <v>3391</v>
      </c>
    </row>
    <row r="1581" spans="1:6" ht="56.25" x14ac:dyDescent="0.2">
      <c r="A1581" s="70" t="s">
        <v>3392</v>
      </c>
      <c r="B1581" s="65" t="s">
        <v>3393</v>
      </c>
      <c r="C1581" s="71" t="s">
        <v>203</v>
      </c>
      <c r="D1581" s="72" t="s">
        <v>3394</v>
      </c>
      <c r="E1581" s="72" t="s">
        <v>299</v>
      </c>
      <c r="F1581" s="72" t="s">
        <v>3395</v>
      </c>
    </row>
    <row r="1582" spans="1:6" ht="67.5" x14ac:dyDescent="0.2">
      <c r="A1582" s="70" t="s">
        <v>3396</v>
      </c>
      <c r="B1582" s="66" t="s">
        <v>3397</v>
      </c>
      <c r="C1582" s="71" t="s">
        <v>203</v>
      </c>
      <c r="D1582" s="72" t="s">
        <v>3398</v>
      </c>
      <c r="E1582" s="72" t="s">
        <v>299</v>
      </c>
      <c r="F1582" s="72" t="s">
        <v>3399</v>
      </c>
    </row>
    <row r="1583" spans="1:6" ht="56.25" x14ac:dyDescent="0.2">
      <c r="A1583" s="65" t="s">
        <v>3400</v>
      </c>
      <c r="B1583" s="66" t="s">
        <v>3401</v>
      </c>
      <c r="C1583" s="67" t="s">
        <v>203</v>
      </c>
      <c r="D1583" s="69" t="s">
        <v>3402</v>
      </c>
      <c r="E1583" s="69" t="s">
        <v>299</v>
      </c>
      <c r="F1583" s="69" t="s">
        <v>3403</v>
      </c>
    </row>
    <row r="1584" spans="1:6" ht="56.25" x14ac:dyDescent="0.2">
      <c r="A1584" s="65" t="s">
        <v>3404</v>
      </c>
      <c r="B1584" s="66" t="s">
        <v>3405</v>
      </c>
      <c r="C1584" s="67" t="s">
        <v>203</v>
      </c>
      <c r="D1584" s="69" t="s">
        <v>3406</v>
      </c>
      <c r="E1584" s="69" t="s">
        <v>299</v>
      </c>
      <c r="F1584" s="69" t="s">
        <v>3407</v>
      </c>
    </row>
    <row r="1585" spans="1:6" ht="56.25" x14ac:dyDescent="0.2">
      <c r="A1585" s="65" t="s">
        <v>3408</v>
      </c>
      <c r="B1585" s="66" t="s">
        <v>3409</v>
      </c>
      <c r="C1585" s="67" t="s">
        <v>203</v>
      </c>
      <c r="D1585" s="69" t="s">
        <v>3410</v>
      </c>
      <c r="E1585" s="69" t="s">
        <v>308</v>
      </c>
      <c r="F1585" s="69" t="s">
        <v>3411</v>
      </c>
    </row>
    <row r="1586" spans="1:6" ht="22.5" x14ac:dyDescent="0.2">
      <c r="A1586" s="50">
        <v>30.03</v>
      </c>
      <c r="B1586" s="64" t="s">
        <v>3412</v>
      </c>
      <c r="C1586" s="47"/>
      <c r="D1586" s="47"/>
      <c r="E1586" s="47"/>
      <c r="F1586" s="47"/>
    </row>
    <row r="1587" spans="1:6" ht="56.25" x14ac:dyDescent="0.2">
      <c r="A1587" s="70" t="s">
        <v>3413</v>
      </c>
      <c r="B1587" s="65" t="s">
        <v>3414</v>
      </c>
      <c r="C1587" s="71" t="s">
        <v>203</v>
      </c>
      <c r="D1587" s="72" t="s">
        <v>3415</v>
      </c>
      <c r="E1587" s="72" t="s">
        <v>337</v>
      </c>
      <c r="F1587" s="72" t="s">
        <v>3416</v>
      </c>
    </row>
    <row r="1588" spans="1:6" ht="56.25" x14ac:dyDescent="0.2">
      <c r="A1588" s="70" t="s">
        <v>3417</v>
      </c>
      <c r="B1588" s="65" t="s">
        <v>3418</v>
      </c>
      <c r="C1588" s="71" t="s">
        <v>203</v>
      </c>
      <c r="D1588" s="72" t="s">
        <v>3419</v>
      </c>
      <c r="E1588" s="72" t="s">
        <v>337</v>
      </c>
      <c r="F1588" s="72" t="s">
        <v>3420</v>
      </c>
    </row>
    <row r="1589" spans="1:6" x14ac:dyDescent="0.2">
      <c r="A1589" s="50">
        <v>30.04</v>
      </c>
      <c r="B1589" s="64" t="s">
        <v>3421</v>
      </c>
      <c r="C1589" s="47"/>
      <c r="D1589" s="47"/>
      <c r="E1589" s="47"/>
      <c r="F1589" s="47"/>
    </row>
    <row r="1590" spans="1:6" ht="56.25" x14ac:dyDescent="0.2">
      <c r="A1590" s="70" t="s">
        <v>3422</v>
      </c>
      <c r="B1590" s="65" t="s">
        <v>3423</v>
      </c>
      <c r="C1590" s="71" t="s">
        <v>204</v>
      </c>
      <c r="D1590" s="72" t="s">
        <v>3424</v>
      </c>
      <c r="E1590" s="72" t="s">
        <v>3425</v>
      </c>
      <c r="F1590" s="72" t="s">
        <v>3426</v>
      </c>
    </row>
    <row r="1591" spans="1:6" ht="56.25" x14ac:dyDescent="0.2">
      <c r="A1591" s="65" t="s">
        <v>3427</v>
      </c>
      <c r="B1591" s="66" t="s">
        <v>3428</v>
      </c>
      <c r="C1591" s="67" t="s">
        <v>204</v>
      </c>
      <c r="D1591" s="69" t="s">
        <v>3429</v>
      </c>
      <c r="E1591" s="69" t="s">
        <v>1752</v>
      </c>
      <c r="F1591" s="69" t="s">
        <v>3430</v>
      </c>
    </row>
    <row r="1592" spans="1:6" ht="45" x14ac:dyDescent="0.2">
      <c r="A1592" s="65" t="s">
        <v>3431</v>
      </c>
      <c r="B1592" s="66" t="s">
        <v>3432</v>
      </c>
      <c r="C1592" s="67" t="s">
        <v>204</v>
      </c>
      <c r="D1592" s="69" t="s">
        <v>3433</v>
      </c>
      <c r="E1592" s="69" t="s">
        <v>1556</v>
      </c>
      <c r="F1592" s="69" t="s">
        <v>3434</v>
      </c>
    </row>
    <row r="1593" spans="1:6" ht="45" x14ac:dyDescent="0.2">
      <c r="A1593" s="65" t="s">
        <v>3435</v>
      </c>
      <c r="B1593" s="66" t="s">
        <v>3436</v>
      </c>
      <c r="C1593" s="67" t="s">
        <v>203</v>
      </c>
      <c r="D1593" s="69" t="s">
        <v>3437</v>
      </c>
      <c r="E1593" s="69" t="s">
        <v>286</v>
      </c>
      <c r="F1593" s="69" t="s">
        <v>3438</v>
      </c>
    </row>
    <row r="1594" spans="1:6" ht="45" x14ac:dyDescent="0.2">
      <c r="A1594" s="65" t="s">
        <v>3439</v>
      </c>
      <c r="B1594" s="66" t="s">
        <v>3440</v>
      </c>
      <c r="C1594" s="67" t="s">
        <v>221</v>
      </c>
      <c r="D1594" s="69" t="s">
        <v>3441</v>
      </c>
      <c r="E1594" s="68"/>
      <c r="F1594" s="69" t="s">
        <v>3441</v>
      </c>
    </row>
    <row r="1595" spans="1:6" ht="56.25" x14ac:dyDescent="0.2">
      <c r="A1595" s="65" t="s">
        <v>3442</v>
      </c>
      <c r="B1595" s="66" t="s">
        <v>3443</v>
      </c>
      <c r="C1595" s="67" t="s">
        <v>204</v>
      </c>
      <c r="D1595" s="69" t="s">
        <v>270</v>
      </c>
      <c r="E1595" s="69" t="s">
        <v>1410</v>
      </c>
      <c r="F1595" s="69" t="s">
        <v>3444</v>
      </c>
    </row>
    <row r="1596" spans="1:6" ht="45" x14ac:dyDescent="0.2">
      <c r="A1596" s="65" t="s">
        <v>3445</v>
      </c>
      <c r="B1596" s="66" t="s">
        <v>3446</v>
      </c>
      <c r="C1596" s="67" t="s">
        <v>203</v>
      </c>
      <c r="D1596" s="69" t="s">
        <v>205</v>
      </c>
      <c r="E1596" s="69" t="s">
        <v>3447</v>
      </c>
      <c r="F1596" s="69" t="s">
        <v>3448</v>
      </c>
    </row>
    <row r="1597" spans="1:6" ht="45" x14ac:dyDescent="0.2">
      <c r="A1597" s="65" t="s">
        <v>3449</v>
      </c>
      <c r="B1597" s="66" t="s">
        <v>3450</v>
      </c>
      <c r="C1597" s="67" t="s">
        <v>204</v>
      </c>
      <c r="D1597" s="69" t="s">
        <v>3451</v>
      </c>
      <c r="E1597" s="69" t="s">
        <v>641</v>
      </c>
      <c r="F1597" s="69" t="s">
        <v>3452</v>
      </c>
    </row>
    <row r="1598" spans="1:6" x14ac:dyDescent="0.2">
      <c r="A1598" s="50">
        <v>30.06</v>
      </c>
      <c r="B1598" s="64" t="s">
        <v>3453</v>
      </c>
      <c r="C1598" s="47"/>
      <c r="D1598" s="47"/>
      <c r="E1598" s="47"/>
      <c r="F1598" s="47"/>
    </row>
    <row r="1599" spans="1:6" ht="33.75" x14ac:dyDescent="0.2">
      <c r="A1599" s="65" t="s">
        <v>3454</v>
      </c>
      <c r="B1599" s="65" t="s">
        <v>3455</v>
      </c>
      <c r="C1599" s="67" t="s">
        <v>203</v>
      </c>
      <c r="D1599" s="69" t="s">
        <v>1110</v>
      </c>
      <c r="E1599" s="69" t="s">
        <v>286</v>
      </c>
      <c r="F1599" s="69" t="s">
        <v>348</v>
      </c>
    </row>
    <row r="1600" spans="1:6" ht="33.75" x14ac:dyDescent="0.2">
      <c r="A1600" s="65" t="s">
        <v>3456</v>
      </c>
      <c r="B1600" s="65" t="s">
        <v>3457</v>
      </c>
      <c r="C1600" s="67" t="s">
        <v>203</v>
      </c>
      <c r="D1600" s="69" t="s">
        <v>3458</v>
      </c>
      <c r="E1600" s="69" t="s">
        <v>286</v>
      </c>
      <c r="F1600" s="69" t="s">
        <v>3459</v>
      </c>
    </row>
    <row r="1601" spans="1:6" ht="33.75" x14ac:dyDescent="0.2">
      <c r="A1601" s="65" t="s">
        <v>3460</v>
      </c>
      <c r="B1601" s="65" t="s">
        <v>3461</v>
      </c>
      <c r="C1601" s="67" t="s">
        <v>203</v>
      </c>
      <c r="D1601" s="69" t="s">
        <v>3462</v>
      </c>
      <c r="E1601" s="69" t="s">
        <v>286</v>
      </c>
      <c r="F1601" s="69" t="s">
        <v>3463</v>
      </c>
    </row>
    <row r="1602" spans="1:6" ht="45" x14ac:dyDescent="0.2">
      <c r="A1602" s="65" t="s">
        <v>3464</v>
      </c>
      <c r="B1602" s="66" t="s">
        <v>3465</v>
      </c>
      <c r="C1602" s="67" t="s">
        <v>221</v>
      </c>
      <c r="D1602" s="69" t="s">
        <v>437</v>
      </c>
      <c r="E1602" s="69" t="s">
        <v>864</v>
      </c>
      <c r="F1602" s="69" t="s">
        <v>3466</v>
      </c>
    </row>
    <row r="1603" spans="1:6" ht="56.25" x14ac:dyDescent="0.2">
      <c r="A1603" s="65" t="s">
        <v>3467</v>
      </c>
      <c r="B1603" s="66" t="s">
        <v>3468</v>
      </c>
      <c r="C1603" s="67" t="s">
        <v>240</v>
      </c>
      <c r="D1603" s="69" t="s">
        <v>3469</v>
      </c>
      <c r="E1603" s="69" t="s">
        <v>319</v>
      </c>
      <c r="F1603" s="69" t="s">
        <v>3470</v>
      </c>
    </row>
    <row r="1604" spans="1:6" ht="56.25" x14ac:dyDescent="0.2">
      <c r="A1604" s="70" t="s">
        <v>3471</v>
      </c>
      <c r="B1604" s="65" t="s">
        <v>3472</v>
      </c>
      <c r="C1604" s="71" t="s">
        <v>240</v>
      </c>
      <c r="D1604" s="72" t="s">
        <v>3473</v>
      </c>
      <c r="E1604" s="72" t="s">
        <v>319</v>
      </c>
      <c r="F1604" s="72" t="s">
        <v>3474</v>
      </c>
    </row>
    <row r="1605" spans="1:6" ht="45" x14ac:dyDescent="0.2">
      <c r="A1605" s="65" t="s">
        <v>3475</v>
      </c>
      <c r="B1605" s="66" t="s">
        <v>3476</v>
      </c>
      <c r="C1605" s="67" t="s">
        <v>203</v>
      </c>
      <c r="D1605" s="69" t="s">
        <v>3477</v>
      </c>
      <c r="E1605" s="69" t="s">
        <v>249</v>
      </c>
      <c r="F1605" s="69" t="s">
        <v>3478</v>
      </c>
    </row>
    <row r="1606" spans="1:6" ht="45" x14ac:dyDescent="0.2">
      <c r="A1606" s="65" t="s">
        <v>3479</v>
      </c>
      <c r="B1606" s="66" t="s">
        <v>3480</v>
      </c>
      <c r="C1606" s="67" t="s">
        <v>203</v>
      </c>
      <c r="D1606" s="69" t="s">
        <v>432</v>
      </c>
      <c r="E1606" s="69" t="s">
        <v>261</v>
      </c>
      <c r="F1606" s="69" t="s">
        <v>3481</v>
      </c>
    </row>
    <row r="1607" spans="1:6" ht="22.5" x14ac:dyDescent="0.2">
      <c r="A1607" s="65" t="s">
        <v>3482</v>
      </c>
      <c r="B1607" s="65" t="s">
        <v>3483</v>
      </c>
      <c r="C1607" s="67" t="s">
        <v>203</v>
      </c>
      <c r="D1607" s="69" t="s">
        <v>3484</v>
      </c>
      <c r="E1607" s="69" t="s">
        <v>3485</v>
      </c>
      <c r="F1607" s="69" t="s">
        <v>3486</v>
      </c>
    </row>
    <row r="1608" spans="1:6" ht="45" x14ac:dyDescent="0.2">
      <c r="A1608" s="65" t="s">
        <v>3487</v>
      </c>
      <c r="B1608" s="66" t="s">
        <v>3488</v>
      </c>
      <c r="C1608" s="67" t="s">
        <v>203</v>
      </c>
      <c r="D1608" s="69" t="s">
        <v>3489</v>
      </c>
      <c r="E1608" s="69" t="s">
        <v>3490</v>
      </c>
      <c r="F1608" s="69" t="s">
        <v>3491</v>
      </c>
    </row>
    <row r="1609" spans="1:6" ht="45" x14ac:dyDescent="0.2">
      <c r="A1609" s="65" t="s">
        <v>3492</v>
      </c>
      <c r="B1609" s="66" t="s">
        <v>3493</v>
      </c>
      <c r="C1609" s="67" t="s">
        <v>203</v>
      </c>
      <c r="D1609" s="69" t="s">
        <v>3494</v>
      </c>
      <c r="E1609" s="69" t="s">
        <v>308</v>
      </c>
      <c r="F1609" s="69" t="s">
        <v>3495</v>
      </c>
    </row>
    <row r="1610" spans="1:6" ht="45" x14ac:dyDescent="0.2">
      <c r="A1610" s="65" t="s">
        <v>3496</v>
      </c>
      <c r="B1610" s="66" t="s">
        <v>3497</v>
      </c>
      <c r="C1610" s="67" t="s">
        <v>203</v>
      </c>
      <c r="D1610" s="69" t="s">
        <v>3498</v>
      </c>
      <c r="E1610" s="69" t="s">
        <v>249</v>
      </c>
      <c r="F1610" s="69" t="s">
        <v>3499</v>
      </c>
    </row>
    <row r="1611" spans="1:6" x14ac:dyDescent="0.2">
      <c r="A1611" s="50">
        <v>30.08</v>
      </c>
      <c r="B1611" s="64" t="s">
        <v>3500</v>
      </c>
      <c r="C1611" s="47"/>
      <c r="D1611" s="47"/>
      <c r="E1611" s="47"/>
      <c r="F1611" s="47"/>
    </row>
    <row r="1612" spans="1:6" ht="45" x14ac:dyDescent="0.2">
      <c r="A1612" s="65" t="s">
        <v>3501</v>
      </c>
      <c r="B1612" s="66" t="s">
        <v>3502</v>
      </c>
      <c r="C1612" s="67" t="s">
        <v>203</v>
      </c>
      <c r="D1612" s="69" t="s">
        <v>3503</v>
      </c>
      <c r="E1612" s="69" t="s">
        <v>261</v>
      </c>
      <c r="F1612" s="69" t="s">
        <v>3504</v>
      </c>
    </row>
    <row r="1613" spans="1:6" ht="45" x14ac:dyDescent="0.2">
      <c r="A1613" s="65" t="s">
        <v>3505</v>
      </c>
      <c r="B1613" s="66" t="s">
        <v>3506</v>
      </c>
      <c r="C1613" s="67" t="s">
        <v>203</v>
      </c>
      <c r="D1613" s="69" t="s">
        <v>3507</v>
      </c>
      <c r="E1613" s="69" t="s">
        <v>337</v>
      </c>
      <c r="F1613" s="69" t="s">
        <v>3508</v>
      </c>
    </row>
    <row r="1614" spans="1:6" ht="45" x14ac:dyDescent="0.2">
      <c r="A1614" s="65" t="s">
        <v>3509</v>
      </c>
      <c r="B1614" s="66" t="s">
        <v>3510</v>
      </c>
      <c r="C1614" s="67" t="s">
        <v>203</v>
      </c>
      <c r="D1614" s="69" t="s">
        <v>3511</v>
      </c>
      <c r="E1614" s="69" t="s">
        <v>3512</v>
      </c>
      <c r="F1614" s="69" t="s">
        <v>3513</v>
      </c>
    </row>
    <row r="1615" spans="1:6" ht="45" x14ac:dyDescent="0.2">
      <c r="A1615" s="65" t="s">
        <v>3514</v>
      </c>
      <c r="B1615" s="66" t="s">
        <v>3515</v>
      </c>
      <c r="C1615" s="67" t="s">
        <v>203</v>
      </c>
      <c r="D1615" s="69" t="s">
        <v>3516</v>
      </c>
      <c r="E1615" s="69" t="s">
        <v>3517</v>
      </c>
      <c r="F1615" s="69" t="s">
        <v>3518</v>
      </c>
    </row>
    <row r="1616" spans="1:6" x14ac:dyDescent="0.2">
      <c r="A1616" s="50">
        <v>30.14</v>
      </c>
      <c r="B1616" s="64" t="s">
        <v>3519</v>
      </c>
      <c r="C1616" s="47"/>
      <c r="D1616" s="47"/>
      <c r="E1616" s="47"/>
      <c r="F1616" s="47"/>
    </row>
    <row r="1617" spans="1:6" ht="56.25" x14ac:dyDescent="0.2">
      <c r="A1617" s="70" t="s">
        <v>3520</v>
      </c>
      <c r="B1617" s="65" t="s">
        <v>3521</v>
      </c>
      <c r="C1617" s="71" t="s">
        <v>240</v>
      </c>
      <c r="D1617" s="72" t="s">
        <v>3522</v>
      </c>
      <c r="E1617" s="66"/>
      <c r="F1617" s="72" t="s">
        <v>3522</v>
      </c>
    </row>
    <row r="1618" spans="1:6" ht="56.25" x14ac:dyDescent="0.2">
      <c r="A1618" s="70" t="s">
        <v>3523</v>
      </c>
      <c r="B1618" s="65" t="s">
        <v>3524</v>
      </c>
      <c r="C1618" s="71" t="s">
        <v>240</v>
      </c>
      <c r="D1618" s="72" t="s">
        <v>3525</v>
      </c>
      <c r="E1618" s="66"/>
      <c r="F1618" s="72" t="s">
        <v>3525</v>
      </c>
    </row>
    <row r="1619" spans="1:6" ht="56.25" x14ac:dyDescent="0.2">
      <c r="A1619" s="65" t="s">
        <v>3526</v>
      </c>
      <c r="B1619" s="66" t="s">
        <v>3527</v>
      </c>
      <c r="C1619" s="67" t="s">
        <v>240</v>
      </c>
      <c r="D1619" s="69" t="s">
        <v>3528</v>
      </c>
      <c r="E1619" s="68"/>
      <c r="F1619" s="69" t="s">
        <v>3528</v>
      </c>
    </row>
    <row r="1620" spans="1:6" ht="56.25" x14ac:dyDescent="0.2">
      <c r="A1620" s="70" t="s">
        <v>3529</v>
      </c>
      <c r="B1620" s="65" t="s">
        <v>3530</v>
      </c>
      <c r="C1620" s="71" t="s">
        <v>240</v>
      </c>
      <c r="D1620" s="72" t="s">
        <v>3531</v>
      </c>
      <c r="E1620" s="66"/>
      <c r="F1620" s="72" t="s">
        <v>3531</v>
      </c>
    </row>
    <row r="1621" spans="1:6" ht="22.5" x14ac:dyDescent="0.2">
      <c r="A1621" s="49">
        <v>32</v>
      </c>
      <c r="B1621" s="64" t="s">
        <v>3532</v>
      </c>
      <c r="C1621" s="47"/>
      <c r="D1621" s="47"/>
      <c r="E1621" s="47"/>
      <c r="F1621" s="47"/>
    </row>
    <row r="1622" spans="1:6" ht="22.5" x14ac:dyDescent="0.2">
      <c r="A1622" s="50">
        <v>32.06</v>
      </c>
      <c r="B1622" s="64" t="s">
        <v>3533</v>
      </c>
      <c r="C1622" s="47"/>
      <c r="D1622" s="47"/>
      <c r="E1622" s="47"/>
      <c r="F1622" s="47"/>
    </row>
    <row r="1623" spans="1:6" ht="22.5" x14ac:dyDescent="0.2">
      <c r="A1623" s="65" t="s">
        <v>3534</v>
      </c>
      <c r="B1623" s="65" t="s">
        <v>3535</v>
      </c>
      <c r="C1623" s="67" t="s">
        <v>204</v>
      </c>
      <c r="D1623" s="69" t="s">
        <v>3536</v>
      </c>
      <c r="E1623" s="69" t="s">
        <v>249</v>
      </c>
      <c r="F1623" s="69" t="s">
        <v>3537</v>
      </c>
    </row>
    <row r="1624" spans="1:6" ht="22.5" x14ac:dyDescent="0.2">
      <c r="A1624" s="65" t="s">
        <v>3538</v>
      </c>
      <c r="B1624" s="65" t="s">
        <v>3539</v>
      </c>
      <c r="C1624" s="67" t="s">
        <v>204</v>
      </c>
      <c r="D1624" s="69" t="s">
        <v>3540</v>
      </c>
      <c r="E1624" s="69" t="s">
        <v>249</v>
      </c>
      <c r="F1624" s="69" t="s">
        <v>3541</v>
      </c>
    </row>
    <row r="1625" spans="1:6" x14ac:dyDescent="0.2">
      <c r="A1625" s="65" t="s">
        <v>3542</v>
      </c>
      <c r="B1625" s="65" t="s">
        <v>3543</v>
      </c>
      <c r="C1625" s="67" t="s">
        <v>228</v>
      </c>
      <c r="D1625" s="69" t="s">
        <v>3544</v>
      </c>
      <c r="E1625" s="69" t="s">
        <v>3545</v>
      </c>
      <c r="F1625" s="69" t="s">
        <v>3546</v>
      </c>
    </row>
    <row r="1626" spans="1:6" ht="45" x14ac:dyDescent="0.2">
      <c r="A1626" s="65" t="s">
        <v>3547</v>
      </c>
      <c r="B1626" s="66" t="s">
        <v>3548</v>
      </c>
      <c r="C1626" s="67" t="s">
        <v>204</v>
      </c>
      <c r="D1626" s="69" t="s">
        <v>3549</v>
      </c>
      <c r="E1626" s="69" t="s">
        <v>3550</v>
      </c>
      <c r="F1626" s="69" t="s">
        <v>3551</v>
      </c>
    </row>
    <row r="1627" spans="1:6" ht="56.25" x14ac:dyDescent="0.2">
      <c r="A1627" s="70" t="s">
        <v>3552</v>
      </c>
      <c r="B1627" s="65" t="s">
        <v>3553</v>
      </c>
      <c r="C1627" s="71" t="s">
        <v>204</v>
      </c>
      <c r="D1627" s="72" t="s">
        <v>3554</v>
      </c>
      <c r="E1627" s="72" t="s">
        <v>3555</v>
      </c>
      <c r="F1627" s="72" t="s">
        <v>3556</v>
      </c>
    </row>
    <row r="1628" spans="1:6" ht="33.75" x14ac:dyDescent="0.2">
      <c r="A1628" s="65" t="s">
        <v>3557</v>
      </c>
      <c r="B1628" s="65" t="s">
        <v>3558</v>
      </c>
      <c r="C1628" s="67" t="s">
        <v>204</v>
      </c>
      <c r="D1628" s="69" t="s">
        <v>3559</v>
      </c>
      <c r="E1628" s="68"/>
      <c r="F1628" s="69" t="s">
        <v>3559</v>
      </c>
    </row>
    <row r="1629" spans="1:6" ht="56.25" x14ac:dyDescent="0.2">
      <c r="A1629" s="65" t="s">
        <v>3560</v>
      </c>
      <c r="B1629" s="66" t="s">
        <v>3561</v>
      </c>
      <c r="C1629" s="67" t="s">
        <v>204</v>
      </c>
      <c r="D1629" s="69" t="s">
        <v>3562</v>
      </c>
      <c r="E1629" s="68"/>
      <c r="F1629" s="69" t="s">
        <v>3562</v>
      </c>
    </row>
    <row r="1630" spans="1:6" ht="45" x14ac:dyDescent="0.2">
      <c r="A1630" s="65" t="s">
        <v>3563</v>
      </c>
      <c r="B1630" s="66" t="s">
        <v>3564</v>
      </c>
      <c r="C1630" s="67" t="s">
        <v>204</v>
      </c>
      <c r="D1630" s="69" t="s">
        <v>3565</v>
      </c>
      <c r="E1630" s="69" t="s">
        <v>331</v>
      </c>
      <c r="F1630" s="69" t="s">
        <v>3566</v>
      </c>
    </row>
    <row r="1631" spans="1:6" ht="56.25" x14ac:dyDescent="0.2">
      <c r="A1631" s="70" t="s">
        <v>3567</v>
      </c>
      <c r="B1631" s="65" t="s">
        <v>3568</v>
      </c>
      <c r="C1631" s="71" t="s">
        <v>204</v>
      </c>
      <c r="D1631" s="72" t="s">
        <v>3569</v>
      </c>
      <c r="E1631" s="66"/>
      <c r="F1631" s="72" t="s">
        <v>3569</v>
      </c>
    </row>
    <row r="1632" spans="1:6" x14ac:dyDescent="0.2">
      <c r="A1632" s="50">
        <v>32.07</v>
      </c>
      <c r="B1632" s="64" t="s">
        <v>3570</v>
      </c>
      <c r="C1632" s="47"/>
      <c r="D1632" s="47"/>
      <c r="E1632" s="47"/>
      <c r="F1632" s="47"/>
    </row>
    <row r="1633" spans="1:6" x14ac:dyDescent="0.2">
      <c r="A1633" s="65" t="s">
        <v>3571</v>
      </c>
      <c r="B1633" s="65" t="s">
        <v>3572</v>
      </c>
      <c r="C1633" s="67" t="s">
        <v>221</v>
      </c>
      <c r="D1633" s="69" t="s">
        <v>372</v>
      </c>
      <c r="E1633" s="69" t="s">
        <v>329</v>
      </c>
      <c r="F1633" s="69" t="s">
        <v>3573</v>
      </c>
    </row>
    <row r="1634" spans="1:6" x14ac:dyDescent="0.2">
      <c r="A1634" s="65" t="s">
        <v>3574</v>
      </c>
      <c r="B1634" s="65" t="s">
        <v>3575</v>
      </c>
      <c r="C1634" s="67" t="s">
        <v>221</v>
      </c>
      <c r="D1634" s="69" t="s">
        <v>3576</v>
      </c>
      <c r="E1634" s="69" t="s">
        <v>329</v>
      </c>
      <c r="F1634" s="69" t="s">
        <v>3577</v>
      </c>
    </row>
    <row r="1635" spans="1:6" ht="56.25" x14ac:dyDescent="0.2">
      <c r="A1635" s="65" t="s">
        <v>3578</v>
      </c>
      <c r="B1635" s="66" t="s">
        <v>3579</v>
      </c>
      <c r="C1635" s="67" t="s">
        <v>221</v>
      </c>
      <c r="D1635" s="69" t="s">
        <v>1692</v>
      </c>
      <c r="E1635" s="69" t="s">
        <v>3580</v>
      </c>
      <c r="F1635" s="69" t="s">
        <v>3581</v>
      </c>
    </row>
    <row r="1636" spans="1:6" ht="22.5" x14ac:dyDescent="0.2">
      <c r="A1636" s="65" t="s">
        <v>3582</v>
      </c>
      <c r="B1636" s="65" t="s">
        <v>3583</v>
      </c>
      <c r="C1636" s="67" t="s">
        <v>3584</v>
      </c>
      <c r="D1636" s="69" t="s">
        <v>218</v>
      </c>
      <c r="E1636" s="69" t="s">
        <v>3585</v>
      </c>
      <c r="F1636" s="69" t="s">
        <v>216</v>
      </c>
    </row>
    <row r="1637" spans="1:6" ht="22.5" x14ac:dyDescent="0.2">
      <c r="A1637" s="65" t="s">
        <v>3586</v>
      </c>
      <c r="B1637" s="65" t="s">
        <v>3587</v>
      </c>
      <c r="C1637" s="67" t="s">
        <v>221</v>
      </c>
      <c r="D1637" s="69" t="s">
        <v>3588</v>
      </c>
      <c r="E1637" s="69" t="s">
        <v>311</v>
      </c>
      <c r="F1637" s="69" t="s">
        <v>3589</v>
      </c>
    </row>
    <row r="1638" spans="1:6" ht="22.5" x14ac:dyDescent="0.2">
      <c r="A1638" s="65" t="s">
        <v>3590</v>
      </c>
      <c r="B1638" s="65" t="s">
        <v>3591</v>
      </c>
      <c r="C1638" s="67" t="s">
        <v>3584</v>
      </c>
      <c r="D1638" s="69" t="s">
        <v>3592</v>
      </c>
      <c r="E1638" s="69" t="s">
        <v>219</v>
      </c>
      <c r="F1638" s="69" t="s">
        <v>213</v>
      </c>
    </row>
    <row r="1639" spans="1:6" ht="56.25" x14ac:dyDescent="0.2">
      <c r="A1639" s="65" t="s">
        <v>3593</v>
      </c>
      <c r="B1639" s="66" t="s">
        <v>3594</v>
      </c>
      <c r="C1639" s="67" t="s">
        <v>221</v>
      </c>
      <c r="D1639" s="69" t="s">
        <v>3595</v>
      </c>
      <c r="E1639" s="69" t="s">
        <v>226</v>
      </c>
      <c r="F1639" s="69" t="s">
        <v>3596</v>
      </c>
    </row>
    <row r="1640" spans="1:6" ht="56.25" x14ac:dyDescent="0.2">
      <c r="A1640" s="70" t="s">
        <v>3597</v>
      </c>
      <c r="B1640" s="65" t="s">
        <v>3598</v>
      </c>
      <c r="C1640" s="71" t="s">
        <v>221</v>
      </c>
      <c r="D1640" s="72" t="s">
        <v>3599</v>
      </c>
      <c r="E1640" s="72" t="s">
        <v>226</v>
      </c>
      <c r="F1640" s="72" t="s">
        <v>3600</v>
      </c>
    </row>
    <row r="1641" spans="1:6" ht="67.5" x14ac:dyDescent="0.2">
      <c r="A1641" s="70" t="s">
        <v>3601</v>
      </c>
      <c r="B1641" s="66" t="s">
        <v>3602</v>
      </c>
      <c r="C1641" s="71" t="s">
        <v>221</v>
      </c>
      <c r="D1641" s="72" t="s">
        <v>3603</v>
      </c>
      <c r="E1641" s="72" t="s">
        <v>226</v>
      </c>
      <c r="F1641" s="72" t="s">
        <v>3604</v>
      </c>
    </row>
    <row r="1642" spans="1:6" ht="67.5" x14ac:dyDescent="0.2">
      <c r="A1642" s="70" t="s">
        <v>3605</v>
      </c>
      <c r="B1642" s="66" t="s">
        <v>3606</v>
      </c>
      <c r="C1642" s="71" t="s">
        <v>221</v>
      </c>
      <c r="D1642" s="72" t="s">
        <v>3607</v>
      </c>
      <c r="E1642" s="72" t="s">
        <v>226</v>
      </c>
      <c r="F1642" s="72" t="s">
        <v>3608</v>
      </c>
    </row>
    <row r="1643" spans="1:6" x14ac:dyDescent="0.2">
      <c r="A1643" s="50">
        <v>32.08</v>
      </c>
      <c r="B1643" s="64" t="s">
        <v>3609</v>
      </c>
      <c r="C1643" s="47"/>
      <c r="D1643" s="47"/>
      <c r="E1643" s="47"/>
      <c r="F1643" s="47"/>
    </row>
    <row r="1644" spans="1:6" ht="45" x14ac:dyDescent="0.2">
      <c r="A1644" s="65" t="s">
        <v>3610</v>
      </c>
      <c r="B1644" s="66" t="s">
        <v>3611</v>
      </c>
      <c r="C1644" s="67" t="s">
        <v>204</v>
      </c>
      <c r="D1644" s="69" t="s">
        <v>3612</v>
      </c>
      <c r="E1644" s="69" t="s">
        <v>274</v>
      </c>
      <c r="F1644" s="69" t="s">
        <v>3613</v>
      </c>
    </row>
    <row r="1645" spans="1:6" ht="45" x14ac:dyDescent="0.2">
      <c r="A1645" s="65" t="s">
        <v>3614</v>
      </c>
      <c r="B1645" s="66" t="s">
        <v>3615</v>
      </c>
      <c r="C1645" s="67" t="s">
        <v>204</v>
      </c>
      <c r="D1645" s="69" t="s">
        <v>3616</v>
      </c>
      <c r="E1645" s="69" t="s">
        <v>274</v>
      </c>
      <c r="F1645" s="69" t="s">
        <v>3617</v>
      </c>
    </row>
    <row r="1646" spans="1:6" ht="33.75" x14ac:dyDescent="0.2">
      <c r="A1646" s="65" t="s">
        <v>3618</v>
      </c>
      <c r="B1646" s="65" t="s">
        <v>3619</v>
      </c>
      <c r="C1646" s="67" t="s">
        <v>221</v>
      </c>
      <c r="D1646" s="69" t="s">
        <v>3517</v>
      </c>
      <c r="E1646" s="69" t="s">
        <v>3620</v>
      </c>
      <c r="F1646" s="69" t="s">
        <v>3621</v>
      </c>
    </row>
    <row r="1647" spans="1:6" ht="33.75" x14ac:dyDescent="0.2">
      <c r="A1647" s="65" t="s">
        <v>3622</v>
      </c>
      <c r="B1647" s="65" t="s">
        <v>3623</v>
      </c>
      <c r="C1647" s="67" t="s">
        <v>221</v>
      </c>
      <c r="D1647" s="69" t="s">
        <v>3624</v>
      </c>
      <c r="E1647" s="69" t="s">
        <v>3620</v>
      </c>
      <c r="F1647" s="69" t="s">
        <v>3625</v>
      </c>
    </row>
    <row r="1648" spans="1:6" ht="56.25" x14ac:dyDescent="0.2">
      <c r="A1648" s="65" t="s">
        <v>3626</v>
      </c>
      <c r="B1648" s="66" t="s">
        <v>3627</v>
      </c>
      <c r="C1648" s="67" t="s">
        <v>221</v>
      </c>
      <c r="D1648" s="69" t="s">
        <v>3628</v>
      </c>
      <c r="E1648" s="68"/>
      <c r="F1648" s="69" t="s">
        <v>3628</v>
      </c>
    </row>
    <row r="1649" spans="1:6" ht="56.25" x14ac:dyDescent="0.2">
      <c r="A1649" s="65" t="s">
        <v>3629</v>
      </c>
      <c r="B1649" s="66" t="s">
        <v>3630</v>
      </c>
      <c r="C1649" s="67" t="s">
        <v>221</v>
      </c>
      <c r="D1649" s="69" t="s">
        <v>3631</v>
      </c>
      <c r="E1649" s="68"/>
      <c r="F1649" s="69" t="s">
        <v>3631</v>
      </c>
    </row>
    <row r="1650" spans="1:6" ht="56.25" x14ac:dyDescent="0.2">
      <c r="A1650" s="65" t="s">
        <v>3632</v>
      </c>
      <c r="B1650" s="66" t="s">
        <v>3633</v>
      </c>
      <c r="C1650" s="67" t="s">
        <v>221</v>
      </c>
      <c r="D1650" s="69" t="s">
        <v>3634</v>
      </c>
      <c r="E1650" s="69" t="s">
        <v>275</v>
      </c>
      <c r="F1650" s="69" t="s">
        <v>3635</v>
      </c>
    </row>
    <row r="1651" spans="1:6" ht="56.25" x14ac:dyDescent="0.2">
      <c r="A1651" s="65" t="s">
        <v>3636</v>
      </c>
      <c r="B1651" s="66" t="s">
        <v>3637</v>
      </c>
      <c r="C1651" s="67" t="s">
        <v>221</v>
      </c>
      <c r="D1651" s="69" t="s">
        <v>3638</v>
      </c>
      <c r="E1651" s="69" t="s">
        <v>275</v>
      </c>
      <c r="F1651" s="69" t="s">
        <v>3639</v>
      </c>
    </row>
    <row r="1652" spans="1:6" ht="22.5" x14ac:dyDescent="0.2">
      <c r="A1652" s="65" t="s">
        <v>3640</v>
      </c>
      <c r="B1652" s="65" t="s">
        <v>3641</v>
      </c>
      <c r="C1652" s="67" t="s">
        <v>221</v>
      </c>
      <c r="D1652" s="69" t="s">
        <v>3642</v>
      </c>
      <c r="E1652" s="73"/>
      <c r="F1652" s="69" t="s">
        <v>3642</v>
      </c>
    </row>
    <row r="1653" spans="1:6" x14ac:dyDescent="0.2">
      <c r="A1653" s="50">
        <v>32.090000000000003</v>
      </c>
      <c r="B1653" s="64" t="s">
        <v>3643</v>
      </c>
      <c r="C1653" s="47"/>
      <c r="D1653" s="47"/>
      <c r="E1653" s="47"/>
      <c r="F1653" s="47"/>
    </row>
    <row r="1654" spans="1:6" x14ac:dyDescent="0.2">
      <c r="A1654" s="65" t="s">
        <v>3644</v>
      </c>
      <c r="B1654" s="65" t="s">
        <v>3645</v>
      </c>
      <c r="C1654" s="67" t="s">
        <v>300</v>
      </c>
      <c r="D1654" s="69" t="s">
        <v>3646</v>
      </c>
      <c r="E1654" s="69" t="s">
        <v>299</v>
      </c>
      <c r="F1654" s="69" t="s">
        <v>3647</v>
      </c>
    </row>
    <row r="1655" spans="1:6" ht="22.5" x14ac:dyDescent="0.2">
      <c r="A1655" s="65" t="s">
        <v>3648</v>
      </c>
      <c r="B1655" s="65" t="s">
        <v>3649</v>
      </c>
      <c r="C1655" s="67" t="s">
        <v>3650</v>
      </c>
      <c r="D1655" s="69" t="s">
        <v>3651</v>
      </c>
      <c r="E1655" s="69" t="s">
        <v>293</v>
      </c>
      <c r="F1655" s="69" t="s">
        <v>3652</v>
      </c>
    </row>
    <row r="1656" spans="1:6" ht="22.5" x14ac:dyDescent="0.2">
      <c r="A1656" s="50">
        <v>32.1</v>
      </c>
      <c r="B1656" s="64" t="s">
        <v>3653</v>
      </c>
      <c r="C1656" s="47"/>
      <c r="D1656" s="47"/>
      <c r="E1656" s="47"/>
      <c r="F1656" s="47"/>
    </row>
    <row r="1657" spans="1:6" ht="45" x14ac:dyDescent="0.2">
      <c r="A1657" s="65" t="s">
        <v>3654</v>
      </c>
      <c r="B1657" s="66" t="s">
        <v>3655</v>
      </c>
      <c r="C1657" s="67" t="s">
        <v>221</v>
      </c>
      <c r="D1657" s="69" t="s">
        <v>3040</v>
      </c>
      <c r="E1657" s="69" t="s">
        <v>1171</v>
      </c>
      <c r="F1657" s="69" t="s">
        <v>3656</v>
      </c>
    </row>
    <row r="1658" spans="1:6" ht="56.25" x14ac:dyDescent="0.2">
      <c r="A1658" s="65" t="s">
        <v>3657</v>
      </c>
      <c r="B1658" s="66" t="s">
        <v>3658</v>
      </c>
      <c r="C1658" s="67" t="s">
        <v>221</v>
      </c>
      <c r="D1658" s="69" t="s">
        <v>3659</v>
      </c>
      <c r="E1658" s="69" t="s">
        <v>3660</v>
      </c>
      <c r="F1658" s="69" t="s">
        <v>3661</v>
      </c>
    </row>
    <row r="1659" spans="1:6" ht="56.25" x14ac:dyDescent="0.2">
      <c r="A1659" s="65" t="s">
        <v>3662</v>
      </c>
      <c r="B1659" s="66" t="s">
        <v>3663</v>
      </c>
      <c r="C1659" s="67" t="s">
        <v>221</v>
      </c>
      <c r="D1659" s="69" t="s">
        <v>3664</v>
      </c>
      <c r="E1659" s="69" t="s">
        <v>3665</v>
      </c>
      <c r="F1659" s="69" t="s">
        <v>3666</v>
      </c>
    </row>
    <row r="1660" spans="1:6" ht="56.25" x14ac:dyDescent="0.2">
      <c r="A1660" s="65" t="s">
        <v>3667</v>
      </c>
      <c r="B1660" s="66" t="s">
        <v>3668</v>
      </c>
      <c r="C1660" s="67" t="s">
        <v>221</v>
      </c>
      <c r="D1660" s="69" t="s">
        <v>3669</v>
      </c>
      <c r="E1660" s="69" t="s">
        <v>3670</v>
      </c>
      <c r="F1660" s="69" t="s">
        <v>1888</v>
      </c>
    </row>
    <row r="1661" spans="1:6" ht="56.25" x14ac:dyDescent="0.2">
      <c r="A1661" s="65" t="s">
        <v>3671</v>
      </c>
      <c r="B1661" s="66" t="s">
        <v>3672</v>
      </c>
      <c r="C1661" s="67" t="s">
        <v>221</v>
      </c>
      <c r="D1661" s="69" t="s">
        <v>3673</v>
      </c>
      <c r="E1661" s="69" t="s">
        <v>3674</v>
      </c>
      <c r="F1661" s="69" t="s">
        <v>3675</v>
      </c>
    </row>
    <row r="1662" spans="1:6" ht="45" x14ac:dyDescent="0.2">
      <c r="A1662" s="65" t="s">
        <v>3676</v>
      </c>
      <c r="B1662" s="66" t="s">
        <v>3677</v>
      </c>
      <c r="C1662" s="67" t="s">
        <v>221</v>
      </c>
      <c r="D1662" s="69" t="s">
        <v>3678</v>
      </c>
      <c r="E1662" s="69" t="s">
        <v>1165</v>
      </c>
      <c r="F1662" s="69" t="s">
        <v>3679</v>
      </c>
    </row>
    <row r="1663" spans="1:6" ht="45" x14ac:dyDescent="0.2">
      <c r="A1663" s="65" t="s">
        <v>3680</v>
      </c>
      <c r="B1663" s="66" t="s">
        <v>3681</v>
      </c>
      <c r="C1663" s="67" t="s">
        <v>221</v>
      </c>
      <c r="D1663" s="69" t="s">
        <v>3682</v>
      </c>
      <c r="E1663" s="69" t="s">
        <v>3683</v>
      </c>
      <c r="F1663" s="69" t="s">
        <v>3684</v>
      </c>
    </row>
    <row r="1664" spans="1:6" ht="45" x14ac:dyDescent="0.2">
      <c r="A1664" s="65" t="s">
        <v>3685</v>
      </c>
      <c r="B1664" s="66" t="s">
        <v>3686</v>
      </c>
      <c r="C1664" s="67" t="s">
        <v>221</v>
      </c>
      <c r="D1664" s="69" t="s">
        <v>3687</v>
      </c>
      <c r="E1664" s="69" t="s">
        <v>274</v>
      </c>
      <c r="F1664" s="69" t="s">
        <v>3688</v>
      </c>
    </row>
    <row r="1665" spans="1:6" ht="22.5" x14ac:dyDescent="0.2">
      <c r="A1665" s="50">
        <v>32.11</v>
      </c>
      <c r="B1665" s="64" t="s">
        <v>3689</v>
      </c>
      <c r="C1665" s="47"/>
      <c r="D1665" s="47"/>
      <c r="E1665" s="47"/>
      <c r="F1665" s="47"/>
    </row>
    <row r="1666" spans="1:6" ht="22.5" x14ac:dyDescent="0.2">
      <c r="A1666" s="65" t="s">
        <v>3690</v>
      </c>
      <c r="B1666" s="65" t="s">
        <v>3691</v>
      </c>
      <c r="C1666" s="67" t="s">
        <v>204</v>
      </c>
      <c r="D1666" s="69" t="s">
        <v>3692</v>
      </c>
      <c r="E1666" s="69" t="s">
        <v>2708</v>
      </c>
      <c r="F1666" s="69" t="s">
        <v>3693</v>
      </c>
    </row>
    <row r="1667" spans="1:6" ht="45" x14ac:dyDescent="0.2">
      <c r="A1667" s="65" t="s">
        <v>3694</v>
      </c>
      <c r="B1667" s="66" t="s">
        <v>3695</v>
      </c>
      <c r="C1667" s="67" t="s">
        <v>221</v>
      </c>
      <c r="D1667" s="69" t="s">
        <v>3696</v>
      </c>
      <c r="E1667" s="69" t="s">
        <v>2708</v>
      </c>
      <c r="F1667" s="69" t="s">
        <v>290</v>
      </c>
    </row>
    <row r="1668" spans="1:6" ht="45" x14ac:dyDescent="0.2">
      <c r="A1668" s="65" t="s">
        <v>3697</v>
      </c>
      <c r="B1668" s="66" t="s">
        <v>3698</v>
      </c>
      <c r="C1668" s="67" t="s">
        <v>221</v>
      </c>
      <c r="D1668" s="69" t="s">
        <v>243</v>
      </c>
      <c r="E1668" s="69" t="s">
        <v>2708</v>
      </c>
      <c r="F1668" s="69" t="s">
        <v>3699</v>
      </c>
    </row>
    <row r="1669" spans="1:6" ht="45" x14ac:dyDescent="0.2">
      <c r="A1669" s="65" t="s">
        <v>3700</v>
      </c>
      <c r="B1669" s="66" t="s">
        <v>3701</v>
      </c>
      <c r="C1669" s="67" t="s">
        <v>221</v>
      </c>
      <c r="D1669" s="69" t="s">
        <v>3702</v>
      </c>
      <c r="E1669" s="69" t="s">
        <v>2708</v>
      </c>
      <c r="F1669" s="69" t="s">
        <v>3703</v>
      </c>
    </row>
    <row r="1670" spans="1:6" ht="45" x14ac:dyDescent="0.2">
      <c r="A1670" s="65" t="s">
        <v>3704</v>
      </c>
      <c r="B1670" s="66" t="s">
        <v>3705</v>
      </c>
      <c r="C1670" s="67" t="s">
        <v>221</v>
      </c>
      <c r="D1670" s="69" t="s">
        <v>376</v>
      </c>
      <c r="E1670" s="69" t="s">
        <v>2708</v>
      </c>
      <c r="F1670" s="69" t="s">
        <v>3706</v>
      </c>
    </row>
    <row r="1671" spans="1:6" ht="45" x14ac:dyDescent="0.2">
      <c r="A1671" s="65" t="s">
        <v>3707</v>
      </c>
      <c r="B1671" s="66" t="s">
        <v>3708</v>
      </c>
      <c r="C1671" s="67" t="s">
        <v>221</v>
      </c>
      <c r="D1671" s="69" t="s">
        <v>3709</v>
      </c>
      <c r="E1671" s="69" t="s">
        <v>2708</v>
      </c>
      <c r="F1671" s="69" t="s">
        <v>3710</v>
      </c>
    </row>
    <row r="1672" spans="1:6" ht="45" x14ac:dyDescent="0.2">
      <c r="A1672" s="65" t="s">
        <v>3711</v>
      </c>
      <c r="B1672" s="66" t="s">
        <v>3712</v>
      </c>
      <c r="C1672" s="67" t="s">
        <v>221</v>
      </c>
      <c r="D1672" s="69" t="s">
        <v>3713</v>
      </c>
      <c r="E1672" s="69" t="s">
        <v>2708</v>
      </c>
      <c r="F1672" s="69" t="s">
        <v>3714</v>
      </c>
    </row>
    <row r="1673" spans="1:6" ht="45" x14ac:dyDescent="0.2">
      <c r="A1673" s="65" t="s">
        <v>3715</v>
      </c>
      <c r="B1673" s="66" t="s">
        <v>3716</v>
      </c>
      <c r="C1673" s="67" t="s">
        <v>221</v>
      </c>
      <c r="D1673" s="69" t="s">
        <v>241</v>
      </c>
      <c r="E1673" s="69" t="s">
        <v>2708</v>
      </c>
      <c r="F1673" s="69" t="s">
        <v>3717</v>
      </c>
    </row>
    <row r="1674" spans="1:6" ht="45" x14ac:dyDescent="0.2">
      <c r="A1674" s="65" t="s">
        <v>3718</v>
      </c>
      <c r="B1674" s="66" t="s">
        <v>3719</v>
      </c>
      <c r="C1674" s="67" t="s">
        <v>221</v>
      </c>
      <c r="D1674" s="69" t="s">
        <v>3720</v>
      </c>
      <c r="E1674" s="69" t="s">
        <v>2708</v>
      </c>
      <c r="F1674" s="69" t="s">
        <v>3721</v>
      </c>
    </row>
    <row r="1675" spans="1:6" ht="56.25" x14ac:dyDescent="0.2">
      <c r="A1675" s="65" t="s">
        <v>3722</v>
      </c>
      <c r="B1675" s="66" t="s">
        <v>3723</v>
      </c>
      <c r="C1675" s="67" t="s">
        <v>221</v>
      </c>
      <c r="D1675" s="69" t="s">
        <v>330</v>
      </c>
      <c r="E1675" s="69" t="s">
        <v>2708</v>
      </c>
      <c r="F1675" s="69" t="s">
        <v>3724</v>
      </c>
    </row>
    <row r="1676" spans="1:6" ht="45" x14ac:dyDescent="0.2">
      <c r="A1676" s="65" t="s">
        <v>3725</v>
      </c>
      <c r="B1676" s="66" t="s">
        <v>3726</v>
      </c>
      <c r="C1676" s="67" t="s">
        <v>221</v>
      </c>
      <c r="D1676" s="69" t="s">
        <v>3727</v>
      </c>
      <c r="E1676" s="69" t="s">
        <v>2708</v>
      </c>
      <c r="F1676" s="69" t="s">
        <v>3728</v>
      </c>
    </row>
    <row r="1677" spans="1:6" ht="56.25" x14ac:dyDescent="0.2">
      <c r="A1677" s="65" t="s">
        <v>3729</v>
      </c>
      <c r="B1677" s="66" t="s">
        <v>3730</v>
      </c>
      <c r="C1677" s="67" t="s">
        <v>221</v>
      </c>
      <c r="D1677" s="69" t="s">
        <v>3731</v>
      </c>
      <c r="E1677" s="69" t="s">
        <v>2708</v>
      </c>
      <c r="F1677" s="69" t="s">
        <v>3732</v>
      </c>
    </row>
    <row r="1678" spans="1:6" ht="56.25" x14ac:dyDescent="0.2">
      <c r="A1678" s="65" t="s">
        <v>3733</v>
      </c>
      <c r="B1678" s="66" t="s">
        <v>3734</v>
      </c>
      <c r="C1678" s="67" t="s">
        <v>221</v>
      </c>
      <c r="D1678" s="69" t="s">
        <v>3735</v>
      </c>
      <c r="E1678" s="69" t="s">
        <v>2708</v>
      </c>
      <c r="F1678" s="69" t="s">
        <v>3736</v>
      </c>
    </row>
    <row r="1679" spans="1:6" ht="56.25" x14ac:dyDescent="0.2">
      <c r="A1679" s="65" t="s">
        <v>3737</v>
      </c>
      <c r="B1679" s="66" t="s">
        <v>3738</v>
      </c>
      <c r="C1679" s="67" t="s">
        <v>221</v>
      </c>
      <c r="D1679" s="69" t="s">
        <v>397</v>
      </c>
      <c r="E1679" s="69" t="s">
        <v>2708</v>
      </c>
      <c r="F1679" s="69" t="s">
        <v>3739</v>
      </c>
    </row>
    <row r="1680" spans="1:6" ht="56.25" x14ac:dyDescent="0.2">
      <c r="A1680" s="65" t="s">
        <v>3740</v>
      </c>
      <c r="B1680" s="66" t="s">
        <v>3741</v>
      </c>
      <c r="C1680" s="67" t="s">
        <v>221</v>
      </c>
      <c r="D1680" s="69" t="s">
        <v>3742</v>
      </c>
      <c r="E1680" s="69" t="s">
        <v>2708</v>
      </c>
      <c r="F1680" s="69" t="s">
        <v>3743</v>
      </c>
    </row>
    <row r="1681" spans="1:6" ht="45" x14ac:dyDescent="0.2">
      <c r="A1681" s="65" t="s">
        <v>3744</v>
      </c>
      <c r="B1681" s="66" t="s">
        <v>3745</v>
      </c>
      <c r="C1681" s="67" t="s">
        <v>221</v>
      </c>
      <c r="D1681" s="69" t="s">
        <v>3746</v>
      </c>
      <c r="E1681" s="69" t="s">
        <v>2708</v>
      </c>
      <c r="F1681" s="69" t="s">
        <v>537</v>
      </c>
    </row>
    <row r="1682" spans="1:6" ht="45" x14ac:dyDescent="0.2">
      <c r="A1682" s="65" t="s">
        <v>3747</v>
      </c>
      <c r="B1682" s="66" t="s">
        <v>3748</v>
      </c>
      <c r="C1682" s="67" t="s">
        <v>221</v>
      </c>
      <c r="D1682" s="69" t="s">
        <v>3749</v>
      </c>
      <c r="E1682" s="69" t="s">
        <v>2708</v>
      </c>
      <c r="F1682" s="69" t="s">
        <v>3750</v>
      </c>
    </row>
    <row r="1683" spans="1:6" ht="45" x14ac:dyDescent="0.2">
      <c r="A1683" s="65" t="s">
        <v>3751</v>
      </c>
      <c r="B1683" s="66" t="s">
        <v>3752</v>
      </c>
      <c r="C1683" s="67" t="s">
        <v>221</v>
      </c>
      <c r="D1683" s="69" t="s">
        <v>3753</v>
      </c>
      <c r="E1683" s="69" t="s">
        <v>2708</v>
      </c>
      <c r="F1683" s="69" t="s">
        <v>3754</v>
      </c>
    </row>
    <row r="1684" spans="1:6" ht="56.25" x14ac:dyDescent="0.2">
      <c r="A1684" s="65" t="s">
        <v>3755</v>
      </c>
      <c r="B1684" s="66" t="s">
        <v>3756</v>
      </c>
      <c r="C1684" s="67" t="s">
        <v>221</v>
      </c>
      <c r="D1684" s="69" t="s">
        <v>3757</v>
      </c>
      <c r="E1684" s="69" t="s">
        <v>2708</v>
      </c>
      <c r="F1684" s="69" t="s">
        <v>3758</v>
      </c>
    </row>
    <row r="1685" spans="1:6" ht="45" x14ac:dyDescent="0.2">
      <c r="A1685" s="65" t="s">
        <v>3759</v>
      </c>
      <c r="B1685" s="66" t="s">
        <v>3760</v>
      </c>
      <c r="C1685" s="67" t="s">
        <v>221</v>
      </c>
      <c r="D1685" s="69" t="s">
        <v>3761</v>
      </c>
      <c r="E1685" s="69" t="s">
        <v>2708</v>
      </c>
      <c r="F1685" s="69" t="s">
        <v>3762</v>
      </c>
    </row>
    <row r="1686" spans="1:6" ht="45" x14ac:dyDescent="0.2">
      <c r="A1686" s="65" t="s">
        <v>3763</v>
      </c>
      <c r="B1686" s="66" t="s">
        <v>3764</v>
      </c>
      <c r="C1686" s="67" t="s">
        <v>221</v>
      </c>
      <c r="D1686" s="69" t="s">
        <v>3765</v>
      </c>
      <c r="E1686" s="69" t="s">
        <v>2708</v>
      </c>
      <c r="F1686" s="69" t="s">
        <v>3766</v>
      </c>
    </row>
    <row r="1687" spans="1:6" ht="45" x14ac:dyDescent="0.2">
      <c r="A1687" s="65" t="s">
        <v>3767</v>
      </c>
      <c r="B1687" s="66" t="s">
        <v>3768</v>
      </c>
      <c r="C1687" s="67" t="s">
        <v>221</v>
      </c>
      <c r="D1687" s="69" t="s">
        <v>3769</v>
      </c>
      <c r="E1687" s="69" t="s">
        <v>2708</v>
      </c>
      <c r="F1687" s="69" t="s">
        <v>3770</v>
      </c>
    </row>
    <row r="1688" spans="1:6" ht="56.25" x14ac:dyDescent="0.2">
      <c r="A1688" s="65" t="s">
        <v>3771</v>
      </c>
      <c r="B1688" s="66" t="s">
        <v>3772</v>
      </c>
      <c r="C1688" s="67" t="s">
        <v>204</v>
      </c>
      <c r="D1688" s="69" t="s">
        <v>3773</v>
      </c>
      <c r="E1688" s="69" t="s">
        <v>3774</v>
      </c>
      <c r="F1688" s="69" t="s">
        <v>3775</v>
      </c>
    </row>
    <row r="1689" spans="1:6" ht="56.25" x14ac:dyDescent="0.2">
      <c r="A1689" s="65" t="s">
        <v>3776</v>
      </c>
      <c r="B1689" s="66" t="s">
        <v>3777</v>
      </c>
      <c r="C1689" s="67" t="s">
        <v>221</v>
      </c>
      <c r="D1689" s="69" t="s">
        <v>3778</v>
      </c>
      <c r="E1689" s="69" t="s">
        <v>2708</v>
      </c>
      <c r="F1689" s="69" t="s">
        <v>3779</v>
      </c>
    </row>
    <row r="1690" spans="1:6" ht="56.25" x14ac:dyDescent="0.2">
      <c r="A1690" s="65" t="s">
        <v>3780</v>
      </c>
      <c r="B1690" s="66" t="s">
        <v>3781</v>
      </c>
      <c r="C1690" s="67" t="s">
        <v>221</v>
      </c>
      <c r="D1690" s="69" t="s">
        <v>1111</v>
      </c>
      <c r="E1690" s="69" t="s">
        <v>2708</v>
      </c>
      <c r="F1690" s="69" t="s">
        <v>3782</v>
      </c>
    </row>
    <row r="1691" spans="1:6" ht="22.5" x14ac:dyDescent="0.2">
      <c r="A1691" s="50">
        <v>32.15</v>
      </c>
      <c r="B1691" s="64" t="s">
        <v>3783</v>
      </c>
      <c r="C1691" s="47"/>
      <c r="D1691" s="47"/>
      <c r="E1691" s="47"/>
      <c r="F1691" s="47"/>
    </row>
    <row r="1692" spans="1:6" ht="45" x14ac:dyDescent="0.2">
      <c r="A1692" s="65" t="s">
        <v>3784</v>
      </c>
      <c r="B1692" s="66" t="s">
        <v>3785</v>
      </c>
      <c r="C1692" s="67" t="s">
        <v>204</v>
      </c>
      <c r="D1692" s="69" t="s">
        <v>3786</v>
      </c>
      <c r="E1692" s="69" t="s">
        <v>284</v>
      </c>
      <c r="F1692" s="69" t="s">
        <v>3787</v>
      </c>
    </row>
    <row r="1693" spans="1:6" ht="45" x14ac:dyDescent="0.2">
      <c r="A1693" s="65" t="s">
        <v>3788</v>
      </c>
      <c r="B1693" s="66" t="s">
        <v>3789</v>
      </c>
      <c r="C1693" s="67" t="s">
        <v>204</v>
      </c>
      <c r="D1693" s="69" t="s">
        <v>3790</v>
      </c>
      <c r="E1693" s="69" t="s">
        <v>284</v>
      </c>
      <c r="F1693" s="69" t="s">
        <v>3791</v>
      </c>
    </row>
    <row r="1694" spans="1:6" ht="56.25" x14ac:dyDescent="0.2">
      <c r="A1694" s="65" t="s">
        <v>3792</v>
      </c>
      <c r="B1694" s="66" t="s">
        <v>3793</v>
      </c>
      <c r="C1694" s="67" t="s">
        <v>204</v>
      </c>
      <c r="D1694" s="69" t="s">
        <v>3794</v>
      </c>
      <c r="E1694" s="69" t="s">
        <v>3795</v>
      </c>
      <c r="F1694" s="69" t="s">
        <v>3796</v>
      </c>
    </row>
    <row r="1695" spans="1:6" ht="56.25" x14ac:dyDescent="0.2">
      <c r="A1695" s="70" t="s">
        <v>3797</v>
      </c>
      <c r="B1695" s="65" t="s">
        <v>3798</v>
      </c>
      <c r="C1695" s="71" t="s">
        <v>204</v>
      </c>
      <c r="D1695" s="72" t="s">
        <v>3799</v>
      </c>
      <c r="E1695" s="72" t="s">
        <v>3795</v>
      </c>
      <c r="F1695" s="72" t="s">
        <v>3800</v>
      </c>
    </row>
    <row r="1696" spans="1:6" ht="45" x14ac:dyDescent="0.2">
      <c r="A1696" s="65" t="s">
        <v>3801</v>
      </c>
      <c r="B1696" s="66" t="s">
        <v>3802</v>
      </c>
      <c r="C1696" s="67" t="s">
        <v>204</v>
      </c>
      <c r="D1696" s="69" t="s">
        <v>435</v>
      </c>
      <c r="E1696" s="68"/>
      <c r="F1696" s="69" t="s">
        <v>435</v>
      </c>
    </row>
    <row r="1697" spans="1:6" ht="22.5" x14ac:dyDescent="0.2">
      <c r="A1697" s="50">
        <v>32.159999999999997</v>
      </c>
      <c r="B1697" s="64" t="s">
        <v>3803</v>
      </c>
      <c r="C1697" s="47"/>
      <c r="D1697" s="47"/>
      <c r="E1697" s="47"/>
      <c r="F1697" s="47"/>
    </row>
    <row r="1698" spans="1:6" ht="45" x14ac:dyDescent="0.2">
      <c r="A1698" s="65" t="s">
        <v>3804</v>
      </c>
      <c r="B1698" s="66" t="s">
        <v>3805</v>
      </c>
      <c r="C1698" s="67" t="s">
        <v>204</v>
      </c>
      <c r="D1698" s="69" t="s">
        <v>3555</v>
      </c>
      <c r="E1698" s="69" t="s">
        <v>273</v>
      </c>
      <c r="F1698" s="69" t="s">
        <v>3806</v>
      </c>
    </row>
    <row r="1699" spans="1:6" ht="45" x14ac:dyDescent="0.2">
      <c r="A1699" s="65" t="s">
        <v>3807</v>
      </c>
      <c r="B1699" s="66" t="s">
        <v>3808</v>
      </c>
      <c r="C1699" s="67" t="s">
        <v>204</v>
      </c>
      <c r="D1699" s="69" t="s">
        <v>3809</v>
      </c>
      <c r="E1699" s="69" t="s">
        <v>273</v>
      </c>
      <c r="F1699" s="69" t="s">
        <v>3810</v>
      </c>
    </row>
    <row r="1700" spans="1:6" ht="45" x14ac:dyDescent="0.2">
      <c r="A1700" s="65" t="s">
        <v>3811</v>
      </c>
      <c r="B1700" s="66" t="s">
        <v>3812</v>
      </c>
      <c r="C1700" s="67" t="s">
        <v>204</v>
      </c>
      <c r="D1700" s="69" t="s">
        <v>3813</v>
      </c>
      <c r="E1700" s="69" t="s">
        <v>273</v>
      </c>
      <c r="F1700" s="69" t="s">
        <v>3814</v>
      </c>
    </row>
    <row r="1701" spans="1:6" ht="56.25" x14ac:dyDescent="0.2">
      <c r="A1701" s="65" t="s">
        <v>3815</v>
      </c>
      <c r="B1701" s="66" t="s">
        <v>3816</v>
      </c>
      <c r="C1701" s="67" t="s">
        <v>204</v>
      </c>
      <c r="D1701" s="69" t="s">
        <v>418</v>
      </c>
      <c r="E1701" s="69" t="s">
        <v>308</v>
      </c>
      <c r="F1701" s="69" t="s">
        <v>3817</v>
      </c>
    </row>
    <row r="1702" spans="1:6" ht="45" x14ac:dyDescent="0.2">
      <c r="A1702" s="65" t="s">
        <v>3818</v>
      </c>
      <c r="B1702" s="66" t="s">
        <v>3819</v>
      </c>
      <c r="C1702" s="67" t="s">
        <v>204</v>
      </c>
      <c r="D1702" s="69" t="s">
        <v>3820</v>
      </c>
      <c r="E1702" s="69" t="s">
        <v>273</v>
      </c>
      <c r="F1702" s="69" t="s">
        <v>3821</v>
      </c>
    </row>
    <row r="1703" spans="1:6" ht="56.25" x14ac:dyDescent="0.2">
      <c r="A1703" s="65" t="s">
        <v>3822</v>
      </c>
      <c r="B1703" s="66" t="s">
        <v>3823</v>
      </c>
      <c r="C1703" s="67" t="s">
        <v>204</v>
      </c>
      <c r="D1703" s="69" t="s">
        <v>3824</v>
      </c>
      <c r="E1703" s="69" t="s">
        <v>308</v>
      </c>
      <c r="F1703" s="69" t="s">
        <v>3825</v>
      </c>
    </row>
    <row r="1704" spans="1:6" ht="56.25" x14ac:dyDescent="0.2">
      <c r="A1704" s="70" t="s">
        <v>3826</v>
      </c>
      <c r="B1704" s="65" t="s">
        <v>3827</v>
      </c>
      <c r="C1704" s="71" t="s">
        <v>204</v>
      </c>
      <c r="D1704" s="72" t="s">
        <v>3828</v>
      </c>
      <c r="E1704" s="72" t="s">
        <v>3829</v>
      </c>
      <c r="F1704" s="72" t="s">
        <v>3830</v>
      </c>
    </row>
    <row r="1705" spans="1:6" x14ac:dyDescent="0.2">
      <c r="A1705" s="50">
        <v>32.17</v>
      </c>
      <c r="B1705" s="64" t="s">
        <v>3831</v>
      </c>
      <c r="C1705" s="47"/>
      <c r="D1705" s="47"/>
      <c r="E1705" s="47"/>
      <c r="F1705" s="47"/>
    </row>
    <row r="1706" spans="1:6" ht="33.75" x14ac:dyDescent="0.2">
      <c r="A1706" s="65" t="s">
        <v>3832</v>
      </c>
      <c r="B1706" s="65" t="s">
        <v>3833</v>
      </c>
      <c r="C1706" s="67" t="s">
        <v>228</v>
      </c>
      <c r="D1706" s="69" t="s">
        <v>3834</v>
      </c>
      <c r="E1706" s="69" t="s">
        <v>3835</v>
      </c>
      <c r="F1706" s="69" t="s">
        <v>3836</v>
      </c>
    </row>
    <row r="1707" spans="1:6" ht="45" x14ac:dyDescent="0.2">
      <c r="A1707" s="65" t="s">
        <v>3837</v>
      </c>
      <c r="B1707" s="66" t="s">
        <v>3838</v>
      </c>
      <c r="C1707" s="67" t="s">
        <v>228</v>
      </c>
      <c r="D1707" s="69" t="s">
        <v>3839</v>
      </c>
      <c r="E1707" s="68"/>
      <c r="F1707" s="69" t="s">
        <v>3839</v>
      </c>
    </row>
    <row r="1708" spans="1:6" ht="45" x14ac:dyDescent="0.2">
      <c r="A1708" s="65" t="s">
        <v>3840</v>
      </c>
      <c r="B1708" s="66" t="s">
        <v>3841</v>
      </c>
      <c r="C1708" s="67" t="s">
        <v>204</v>
      </c>
      <c r="D1708" s="69" t="s">
        <v>3842</v>
      </c>
      <c r="E1708" s="69" t="s">
        <v>3843</v>
      </c>
      <c r="F1708" s="69" t="s">
        <v>367</v>
      </c>
    </row>
    <row r="1709" spans="1:6" ht="56.25" x14ac:dyDescent="0.2">
      <c r="A1709" s="65" t="s">
        <v>3844</v>
      </c>
      <c r="B1709" s="66" t="s">
        <v>3845</v>
      </c>
      <c r="C1709" s="67" t="s">
        <v>204</v>
      </c>
      <c r="D1709" s="69" t="s">
        <v>3846</v>
      </c>
      <c r="E1709" s="69" t="s">
        <v>3847</v>
      </c>
      <c r="F1709" s="69" t="s">
        <v>3848</v>
      </c>
    </row>
    <row r="1710" spans="1:6" ht="45" x14ac:dyDescent="0.2">
      <c r="A1710" s="65" t="s">
        <v>3849</v>
      </c>
      <c r="B1710" s="66" t="s">
        <v>3850</v>
      </c>
      <c r="C1710" s="67" t="s">
        <v>204</v>
      </c>
      <c r="D1710" s="69" t="s">
        <v>3851</v>
      </c>
      <c r="E1710" s="69" t="s">
        <v>3843</v>
      </c>
      <c r="F1710" s="69" t="s">
        <v>3852</v>
      </c>
    </row>
    <row r="1711" spans="1:6" ht="22.5" x14ac:dyDescent="0.2">
      <c r="A1711" s="50">
        <v>32.200000000000003</v>
      </c>
      <c r="B1711" s="64" t="s">
        <v>3853</v>
      </c>
      <c r="C1711" s="47"/>
      <c r="D1711" s="47"/>
      <c r="E1711" s="47"/>
      <c r="F1711" s="47"/>
    </row>
    <row r="1712" spans="1:6" x14ac:dyDescent="0.2">
      <c r="A1712" s="65" t="s">
        <v>3854</v>
      </c>
      <c r="B1712" s="65" t="s">
        <v>3855</v>
      </c>
      <c r="C1712" s="67" t="s">
        <v>228</v>
      </c>
      <c r="D1712" s="73"/>
      <c r="E1712" s="69" t="s">
        <v>272</v>
      </c>
      <c r="F1712" s="69" t="s">
        <v>272</v>
      </c>
    </row>
    <row r="1713" spans="1:6" x14ac:dyDescent="0.2">
      <c r="A1713" s="65" t="s">
        <v>3856</v>
      </c>
      <c r="B1713" s="65" t="s">
        <v>3857</v>
      </c>
      <c r="C1713" s="67" t="s">
        <v>204</v>
      </c>
      <c r="D1713" s="69" t="s">
        <v>3858</v>
      </c>
      <c r="E1713" s="69" t="s">
        <v>249</v>
      </c>
      <c r="F1713" s="69" t="s">
        <v>3859</v>
      </c>
    </row>
    <row r="1714" spans="1:6" ht="45" x14ac:dyDescent="0.2">
      <c r="A1714" s="65" t="s">
        <v>3860</v>
      </c>
      <c r="B1714" s="66" t="s">
        <v>3861</v>
      </c>
      <c r="C1714" s="67" t="s">
        <v>204</v>
      </c>
      <c r="D1714" s="69" t="s">
        <v>1237</v>
      </c>
      <c r="E1714" s="69" t="s">
        <v>249</v>
      </c>
      <c r="F1714" s="69" t="s">
        <v>3862</v>
      </c>
    </row>
    <row r="1715" spans="1:6" ht="45" x14ac:dyDescent="0.2">
      <c r="A1715" s="65" t="s">
        <v>3863</v>
      </c>
      <c r="B1715" s="66" t="s">
        <v>3864</v>
      </c>
      <c r="C1715" s="67" t="s">
        <v>204</v>
      </c>
      <c r="D1715" s="69" t="s">
        <v>3865</v>
      </c>
      <c r="E1715" s="69" t="s">
        <v>249</v>
      </c>
      <c r="F1715" s="69" t="s">
        <v>3866</v>
      </c>
    </row>
    <row r="1716" spans="1:6" x14ac:dyDescent="0.2">
      <c r="A1716" s="49">
        <v>33</v>
      </c>
      <c r="B1716" s="64" t="s">
        <v>3867</v>
      </c>
      <c r="C1716" s="47"/>
      <c r="D1716" s="47"/>
      <c r="E1716" s="47"/>
      <c r="F1716" s="47"/>
    </row>
    <row r="1717" spans="1:6" x14ac:dyDescent="0.2">
      <c r="A1717" s="50">
        <v>33.01</v>
      </c>
      <c r="B1717" s="64" t="s">
        <v>3868</v>
      </c>
      <c r="C1717" s="47"/>
      <c r="D1717" s="47"/>
      <c r="E1717" s="47"/>
      <c r="F1717" s="47"/>
    </row>
    <row r="1718" spans="1:6" ht="22.5" x14ac:dyDescent="0.2">
      <c r="A1718" s="65" t="s">
        <v>3869</v>
      </c>
      <c r="B1718" s="65" t="s">
        <v>3870</v>
      </c>
      <c r="C1718" s="67" t="s">
        <v>204</v>
      </c>
      <c r="D1718" s="69" t="s">
        <v>364</v>
      </c>
      <c r="E1718" s="69" t="s">
        <v>3871</v>
      </c>
      <c r="F1718" s="69" t="s">
        <v>3692</v>
      </c>
    </row>
    <row r="1719" spans="1:6" ht="22.5" x14ac:dyDescent="0.2">
      <c r="A1719" s="65" t="s">
        <v>3872</v>
      </c>
      <c r="B1719" s="65" t="s">
        <v>3873</v>
      </c>
      <c r="C1719" s="67" t="s">
        <v>204</v>
      </c>
      <c r="D1719" s="69" t="s">
        <v>3874</v>
      </c>
      <c r="E1719" s="69" t="s">
        <v>3871</v>
      </c>
      <c r="F1719" s="69" t="s">
        <v>3875</v>
      </c>
    </row>
    <row r="1720" spans="1:6" x14ac:dyDescent="0.2">
      <c r="A1720" s="65" t="s">
        <v>3876</v>
      </c>
      <c r="B1720" s="65" t="s">
        <v>3877</v>
      </c>
      <c r="C1720" s="67" t="s">
        <v>204</v>
      </c>
      <c r="D1720" s="69" t="s">
        <v>3878</v>
      </c>
      <c r="E1720" s="69" t="s">
        <v>288</v>
      </c>
      <c r="F1720" s="69" t="s">
        <v>3879</v>
      </c>
    </row>
    <row r="1721" spans="1:6" ht="22.5" x14ac:dyDescent="0.2">
      <c r="A1721" s="65" t="s">
        <v>3880</v>
      </c>
      <c r="B1721" s="65" t="s">
        <v>3881</v>
      </c>
      <c r="C1721" s="67" t="s">
        <v>221</v>
      </c>
      <c r="D1721" s="69" t="s">
        <v>3882</v>
      </c>
      <c r="E1721" s="69" t="s">
        <v>864</v>
      </c>
      <c r="F1721" s="69" t="s">
        <v>3883</v>
      </c>
    </row>
    <row r="1722" spans="1:6" ht="33.75" x14ac:dyDescent="0.2">
      <c r="A1722" s="65" t="s">
        <v>3884</v>
      </c>
      <c r="B1722" s="65" t="s">
        <v>3885</v>
      </c>
      <c r="C1722" s="67" t="s">
        <v>204</v>
      </c>
      <c r="D1722" s="69" t="s">
        <v>3886</v>
      </c>
      <c r="E1722" s="69" t="s">
        <v>3887</v>
      </c>
      <c r="F1722" s="69" t="s">
        <v>3888</v>
      </c>
    </row>
    <row r="1723" spans="1:6" x14ac:dyDescent="0.2">
      <c r="A1723" s="50">
        <v>33.020000000000003</v>
      </c>
      <c r="B1723" s="64" t="s">
        <v>3889</v>
      </c>
      <c r="C1723" s="47"/>
      <c r="D1723" s="47"/>
      <c r="E1723" s="47"/>
      <c r="F1723" s="47"/>
    </row>
    <row r="1724" spans="1:6" x14ac:dyDescent="0.2">
      <c r="A1724" s="65" t="s">
        <v>3890</v>
      </c>
      <c r="B1724" s="65" t="s">
        <v>3891</v>
      </c>
      <c r="C1724" s="67" t="s">
        <v>204</v>
      </c>
      <c r="D1724" s="69" t="s">
        <v>295</v>
      </c>
      <c r="E1724" s="69" t="s">
        <v>3892</v>
      </c>
      <c r="F1724" s="69" t="s">
        <v>1381</v>
      </c>
    </row>
    <row r="1725" spans="1:6" ht="22.5" x14ac:dyDescent="0.2">
      <c r="A1725" s="65" t="s">
        <v>3893</v>
      </c>
      <c r="B1725" s="65" t="s">
        <v>3894</v>
      </c>
      <c r="C1725" s="67" t="s">
        <v>204</v>
      </c>
      <c r="D1725" s="69" t="s">
        <v>227</v>
      </c>
      <c r="E1725" s="69" t="s">
        <v>3892</v>
      </c>
      <c r="F1725" s="69" t="s">
        <v>383</v>
      </c>
    </row>
    <row r="1726" spans="1:6" ht="33.75" x14ac:dyDescent="0.2">
      <c r="A1726" s="50">
        <v>33.03</v>
      </c>
      <c r="B1726" s="64" t="s">
        <v>3895</v>
      </c>
      <c r="C1726" s="47"/>
      <c r="D1726" s="47"/>
      <c r="E1726" s="47"/>
      <c r="F1726" s="47"/>
    </row>
    <row r="1727" spans="1:6" x14ac:dyDescent="0.2">
      <c r="A1727" s="65" t="s">
        <v>3896</v>
      </c>
      <c r="B1727" s="65" t="s">
        <v>3897</v>
      </c>
      <c r="C1727" s="67" t="s">
        <v>204</v>
      </c>
      <c r="D1727" s="69" t="s">
        <v>3898</v>
      </c>
      <c r="E1727" s="69" t="s">
        <v>3899</v>
      </c>
      <c r="F1727" s="69" t="s">
        <v>3900</v>
      </c>
    </row>
    <row r="1728" spans="1:6" ht="22.5" x14ac:dyDescent="0.2">
      <c r="A1728" s="65" t="s">
        <v>3901</v>
      </c>
      <c r="B1728" s="65" t="s">
        <v>3902</v>
      </c>
      <c r="C1728" s="67" t="s">
        <v>204</v>
      </c>
      <c r="D1728" s="69" t="s">
        <v>288</v>
      </c>
      <c r="E1728" s="69" t="s">
        <v>3903</v>
      </c>
      <c r="F1728" s="69" t="s">
        <v>3904</v>
      </c>
    </row>
    <row r="1729" spans="1:6" x14ac:dyDescent="0.2">
      <c r="A1729" s="65" t="s">
        <v>3905</v>
      </c>
      <c r="B1729" s="65" t="s">
        <v>3906</v>
      </c>
      <c r="C1729" s="67" t="s">
        <v>204</v>
      </c>
      <c r="D1729" s="69" t="s">
        <v>394</v>
      </c>
      <c r="E1729" s="69" t="s">
        <v>3907</v>
      </c>
      <c r="F1729" s="69" t="s">
        <v>3908</v>
      </c>
    </row>
    <row r="1730" spans="1:6" x14ac:dyDescent="0.2">
      <c r="A1730" s="65" t="s">
        <v>3909</v>
      </c>
      <c r="B1730" s="65" t="s">
        <v>3910</v>
      </c>
      <c r="C1730" s="67" t="s">
        <v>204</v>
      </c>
      <c r="D1730" s="69" t="s">
        <v>3911</v>
      </c>
      <c r="E1730" s="69" t="s">
        <v>3912</v>
      </c>
      <c r="F1730" s="69" t="s">
        <v>3913</v>
      </c>
    </row>
    <row r="1731" spans="1:6" ht="45" x14ac:dyDescent="0.2">
      <c r="A1731" s="65" t="s">
        <v>3914</v>
      </c>
      <c r="B1731" s="66" t="s">
        <v>3915</v>
      </c>
      <c r="C1731" s="67" t="s">
        <v>204</v>
      </c>
      <c r="D1731" s="69" t="s">
        <v>3916</v>
      </c>
      <c r="E1731" s="69" t="s">
        <v>3917</v>
      </c>
      <c r="F1731" s="69" t="s">
        <v>3918</v>
      </c>
    </row>
    <row r="1732" spans="1:6" ht="56.25" x14ac:dyDescent="0.2">
      <c r="A1732" s="65" t="s">
        <v>3919</v>
      </c>
      <c r="B1732" s="66" t="s">
        <v>3920</v>
      </c>
      <c r="C1732" s="67" t="s">
        <v>204</v>
      </c>
      <c r="D1732" s="69" t="s">
        <v>3921</v>
      </c>
      <c r="E1732" s="69" t="s">
        <v>3917</v>
      </c>
      <c r="F1732" s="69" t="s">
        <v>3922</v>
      </c>
    </row>
    <row r="1733" spans="1:6" x14ac:dyDescent="0.2">
      <c r="A1733" s="65" t="s">
        <v>3923</v>
      </c>
      <c r="B1733" s="65" t="s">
        <v>3924</v>
      </c>
      <c r="C1733" s="67" t="s">
        <v>204</v>
      </c>
      <c r="D1733" s="69" t="s">
        <v>3925</v>
      </c>
      <c r="E1733" s="69" t="s">
        <v>3912</v>
      </c>
      <c r="F1733" s="69" t="s">
        <v>3926</v>
      </c>
    </row>
    <row r="1734" spans="1:6" ht="22.5" x14ac:dyDescent="0.2">
      <c r="A1734" s="50">
        <v>33.049999999999997</v>
      </c>
      <c r="B1734" s="64" t="s">
        <v>3927</v>
      </c>
      <c r="C1734" s="47"/>
      <c r="D1734" s="47"/>
      <c r="E1734" s="47"/>
      <c r="F1734" s="47"/>
    </row>
    <row r="1735" spans="1:6" x14ac:dyDescent="0.2">
      <c r="A1735" s="65" t="s">
        <v>3928</v>
      </c>
      <c r="B1735" s="65" t="s">
        <v>3929</v>
      </c>
      <c r="C1735" s="67" t="s">
        <v>204</v>
      </c>
      <c r="D1735" s="69" t="s">
        <v>3930</v>
      </c>
      <c r="E1735" s="69" t="s">
        <v>3917</v>
      </c>
      <c r="F1735" s="69" t="s">
        <v>3931</v>
      </c>
    </row>
    <row r="1736" spans="1:6" ht="22.5" x14ac:dyDescent="0.2">
      <c r="A1736" s="65" t="s">
        <v>3932</v>
      </c>
      <c r="B1736" s="65" t="s">
        <v>3933</v>
      </c>
      <c r="C1736" s="67" t="s">
        <v>221</v>
      </c>
      <c r="D1736" s="69" t="s">
        <v>3934</v>
      </c>
      <c r="E1736" s="69" t="s">
        <v>3935</v>
      </c>
      <c r="F1736" s="69" t="s">
        <v>3936</v>
      </c>
    </row>
    <row r="1737" spans="1:6" x14ac:dyDescent="0.2">
      <c r="A1737" s="65" t="s">
        <v>3937</v>
      </c>
      <c r="B1737" s="65" t="s">
        <v>3938</v>
      </c>
      <c r="C1737" s="67" t="s">
        <v>204</v>
      </c>
      <c r="D1737" s="69" t="s">
        <v>3939</v>
      </c>
      <c r="E1737" s="69" t="s">
        <v>3940</v>
      </c>
      <c r="F1737" s="69" t="s">
        <v>3941</v>
      </c>
    </row>
    <row r="1738" spans="1:6" ht="22.5" x14ac:dyDescent="0.2">
      <c r="A1738" s="65" t="s">
        <v>3942</v>
      </c>
      <c r="B1738" s="65" t="s">
        <v>3943</v>
      </c>
      <c r="C1738" s="67" t="s">
        <v>221</v>
      </c>
      <c r="D1738" s="69" t="s">
        <v>3944</v>
      </c>
      <c r="E1738" s="69" t="s">
        <v>3683</v>
      </c>
      <c r="F1738" s="69" t="s">
        <v>3945</v>
      </c>
    </row>
    <row r="1739" spans="1:6" x14ac:dyDescent="0.2">
      <c r="A1739" s="50">
        <v>33.06</v>
      </c>
      <c r="B1739" s="64" t="s">
        <v>3946</v>
      </c>
      <c r="C1739" s="47"/>
      <c r="D1739" s="47"/>
      <c r="E1739" s="47"/>
      <c r="F1739" s="47"/>
    </row>
    <row r="1740" spans="1:6" ht="22.5" x14ac:dyDescent="0.2">
      <c r="A1740" s="65" t="s">
        <v>3947</v>
      </c>
      <c r="B1740" s="65" t="s">
        <v>3948</v>
      </c>
      <c r="C1740" s="67" t="s">
        <v>204</v>
      </c>
      <c r="D1740" s="69" t="s">
        <v>3949</v>
      </c>
      <c r="E1740" s="69" t="s">
        <v>3912</v>
      </c>
      <c r="F1740" s="69" t="s">
        <v>3950</v>
      </c>
    </row>
    <row r="1741" spans="1:6" x14ac:dyDescent="0.2">
      <c r="A1741" s="50">
        <v>33.07</v>
      </c>
      <c r="B1741" s="64" t="s">
        <v>3951</v>
      </c>
      <c r="C1741" s="47"/>
      <c r="D1741" s="47"/>
      <c r="E1741" s="47"/>
      <c r="F1741" s="47"/>
    </row>
    <row r="1742" spans="1:6" ht="22.5" x14ac:dyDescent="0.2">
      <c r="A1742" s="65" t="s">
        <v>3952</v>
      </c>
      <c r="B1742" s="65" t="s">
        <v>3953</v>
      </c>
      <c r="C1742" s="67" t="s">
        <v>204</v>
      </c>
      <c r="D1742" s="69" t="s">
        <v>3954</v>
      </c>
      <c r="E1742" s="69" t="s">
        <v>3955</v>
      </c>
      <c r="F1742" s="69" t="s">
        <v>3956</v>
      </c>
    </row>
    <row r="1743" spans="1:6" ht="22.5" x14ac:dyDescent="0.2">
      <c r="A1743" s="65" t="s">
        <v>3957</v>
      </c>
      <c r="B1743" s="65" t="s">
        <v>3958</v>
      </c>
      <c r="C1743" s="67" t="s">
        <v>300</v>
      </c>
      <c r="D1743" s="69" t="s">
        <v>1363</v>
      </c>
      <c r="E1743" s="73"/>
      <c r="F1743" s="69" t="s">
        <v>1363</v>
      </c>
    </row>
    <row r="1744" spans="1:6" ht="22.5" x14ac:dyDescent="0.2">
      <c r="A1744" s="65" t="s">
        <v>3959</v>
      </c>
      <c r="B1744" s="65" t="s">
        <v>3960</v>
      </c>
      <c r="C1744" s="67" t="s">
        <v>300</v>
      </c>
      <c r="D1744" s="69" t="s">
        <v>3961</v>
      </c>
      <c r="E1744" s="73"/>
      <c r="F1744" s="69" t="s">
        <v>3961</v>
      </c>
    </row>
    <row r="1745" spans="1:6" ht="78.75" x14ac:dyDescent="0.2">
      <c r="A1745" s="70" t="s">
        <v>3962</v>
      </c>
      <c r="B1745" s="66" t="s">
        <v>3963</v>
      </c>
      <c r="C1745" s="71" t="s">
        <v>204</v>
      </c>
      <c r="D1745" s="72" t="s">
        <v>3964</v>
      </c>
      <c r="E1745" s="72" t="s">
        <v>3965</v>
      </c>
      <c r="F1745" s="72" t="s">
        <v>3966</v>
      </c>
    </row>
    <row r="1746" spans="1:6" ht="78.75" x14ac:dyDescent="0.2">
      <c r="A1746" s="70" t="s">
        <v>3967</v>
      </c>
      <c r="B1746" s="66" t="s">
        <v>3968</v>
      </c>
      <c r="C1746" s="71" t="s">
        <v>204</v>
      </c>
      <c r="D1746" s="72" t="s">
        <v>3969</v>
      </c>
      <c r="E1746" s="72" t="s">
        <v>3970</v>
      </c>
      <c r="F1746" s="72" t="s">
        <v>3971</v>
      </c>
    </row>
    <row r="1747" spans="1:6" x14ac:dyDescent="0.2">
      <c r="A1747" s="50">
        <v>33.090000000000003</v>
      </c>
      <c r="B1747" s="64" t="s">
        <v>3972</v>
      </c>
      <c r="C1747" s="47"/>
      <c r="D1747" s="47"/>
      <c r="E1747" s="47"/>
      <c r="F1747" s="47"/>
    </row>
    <row r="1748" spans="1:6" ht="22.5" x14ac:dyDescent="0.2">
      <c r="A1748" s="65" t="s">
        <v>3973</v>
      </c>
      <c r="B1748" s="65" t="s">
        <v>3974</v>
      </c>
      <c r="C1748" s="67" t="s">
        <v>221</v>
      </c>
      <c r="D1748" s="69" t="s">
        <v>357</v>
      </c>
      <c r="E1748" s="69" t="s">
        <v>3975</v>
      </c>
      <c r="F1748" s="69" t="s">
        <v>399</v>
      </c>
    </row>
    <row r="1749" spans="1:6" ht="22.5" x14ac:dyDescent="0.2">
      <c r="A1749" s="65" t="s">
        <v>3976</v>
      </c>
      <c r="B1749" s="65" t="s">
        <v>3977</v>
      </c>
      <c r="C1749" s="67" t="s">
        <v>221</v>
      </c>
      <c r="D1749" s="69" t="s">
        <v>206</v>
      </c>
      <c r="E1749" s="69" t="s">
        <v>3978</v>
      </c>
      <c r="F1749" s="69" t="s">
        <v>3979</v>
      </c>
    </row>
    <row r="1750" spans="1:6" ht="33.75" x14ac:dyDescent="0.2">
      <c r="A1750" s="50">
        <v>33.1</v>
      </c>
      <c r="B1750" s="64" t="s">
        <v>3980</v>
      </c>
      <c r="C1750" s="48"/>
      <c r="D1750" s="48"/>
      <c r="E1750" s="48"/>
      <c r="F1750" s="48"/>
    </row>
    <row r="1751" spans="1:6" ht="22.5" x14ac:dyDescent="0.2">
      <c r="A1751" s="65" t="s">
        <v>3981</v>
      </c>
      <c r="B1751" s="65" t="s">
        <v>3982</v>
      </c>
      <c r="C1751" s="67" t="s">
        <v>204</v>
      </c>
      <c r="D1751" s="69" t="s">
        <v>3983</v>
      </c>
      <c r="E1751" s="69" t="s">
        <v>3912</v>
      </c>
      <c r="F1751" s="69" t="s">
        <v>3984</v>
      </c>
    </row>
    <row r="1752" spans="1:6" ht="22.5" x14ac:dyDescent="0.2">
      <c r="A1752" s="65" t="s">
        <v>3985</v>
      </c>
      <c r="B1752" s="65" t="s">
        <v>3986</v>
      </c>
      <c r="C1752" s="67" t="s">
        <v>204</v>
      </c>
      <c r="D1752" s="69" t="s">
        <v>368</v>
      </c>
      <c r="E1752" s="69" t="s">
        <v>3912</v>
      </c>
      <c r="F1752" s="69" t="s">
        <v>3987</v>
      </c>
    </row>
    <row r="1753" spans="1:6" ht="22.5" x14ac:dyDescent="0.2">
      <c r="A1753" s="65" t="s">
        <v>3988</v>
      </c>
      <c r="B1753" s="65" t="s">
        <v>3989</v>
      </c>
      <c r="C1753" s="67" t="s">
        <v>204</v>
      </c>
      <c r="D1753" s="69" t="s">
        <v>3990</v>
      </c>
      <c r="E1753" s="69" t="s">
        <v>3912</v>
      </c>
      <c r="F1753" s="69" t="s">
        <v>3991</v>
      </c>
    </row>
    <row r="1754" spans="1:6" ht="22.5" x14ac:dyDescent="0.2">
      <c r="A1754" s="65" t="s">
        <v>3992</v>
      </c>
      <c r="B1754" s="65" t="s">
        <v>3993</v>
      </c>
      <c r="C1754" s="67" t="s">
        <v>204</v>
      </c>
      <c r="D1754" s="69" t="s">
        <v>3994</v>
      </c>
      <c r="E1754" s="69" t="s">
        <v>3912</v>
      </c>
      <c r="F1754" s="69" t="s">
        <v>3995</v>
      </c>
    </row>
    <row r="1755" spans="1:6" ht="22.5" x14ac:dyDescent="0.2">
      <c r="A1755" s="65" t="s">
        <v>3996</v>
      </c>
      <c r="B1755" s="65" t="s">
        <v>3997</v>
      </c>
      <c r="C1755" s="67" t="s">
        <v>204</v>
      </c>
      <c r="D1755" s="69" t="s">
        <v>1206</v>
      </c>
      <c r="E1755" s="69" t="s">
        <v>3912</v>
      </c>
      <c r="F1755" s="69" t="s">
        <v>3998</v>
      </c>
    </row>
    <row r="1756" spans="1:6" ht="22.5" x14ac:dyDescent="0.2">
      <c r="A1756" s="65" t="s">
        <v>3999</v>
      </c>
      <c r="B1756" s="65" t="s">
        <v>4000</v>
      </c>
      <c r="C1756" s="67" t="s">
        <v>204</v>
      </c>
      <c r="D1756" s="69" t="s">
        <v>4001</v>
      </c>
      <c r="E1756" s="69" t="s">
        <v>4002</v>
      </c>
      <c r="F1756" s="69" t="s">
        <v>4003</v>
      </c>
    </row>
    <row r="1757" spans="1:6" ht="22.5" x14ac:dyDescent="0.2">
      <c r="A1757" s="65" t="s">
        <v>4004</v>
      </c>
      <c r="B1757" s="65" t="s">
        <v>4005</v>
      </c>
      <c r="C1757" s="67" t="s">
        <v>204</v>
      </c>
      <c r="D1757" s="69" t="s">
        <v>4006</v>
      </c>
      <c r="E1757" s="69" t="s">
        <v>3912</v>
      </c>
      <c r="F1757" s="69" t="s">
        <v>4007</v>
      </c>
    </row>
    <row r="1758" spans="1:6" ht="22.5" x14ac:dyDescent="0.2">
      <c r="A1758" s="65" t="s">
        <v>4008</v>
      </c>
      <c r="B1758" s="65" t="s">
        <v>4009</v>
      </c>
      <c r="C1758" s="67" t="s">
        <v>204</v>
      </c>
      <c r="D1758" s="69" t="s">
        <v>4010</v>
      </c>
      <c r="E1758" s="69" t="s">
        <v>4011</v>
      </c>
      <c r="F1758" s="69" t="s">
        <v>4012</v>
      </c>
    </row>
    <row r="1759" spans="1:6" ht="67.5" x14ac:dyDescent="0.2">
      <c r="A1759" s="70" t="s">
        <v>4013</v>
      </c>
      <c r="B1759" s="66" t="s">
        <v>4014</v>
      </c>
      <c r="C1759" s="71" t="s">
        <v>204</v>
      </c>
      <c r="D1759" s="72" t="s">
        <v>4015</v>
      </c>
      <c r="E1759" s="66"/>
      <c r="F1759" s="72" t="s">
        <v>4015</v>
      </c>
    </row>
    <row r="1760" spans="1:6" ht="67.5" x14ac:dyDescent="0.2">
      <c r="A1760" s="70" t="s">
        <v>4016</v>
      </c>
      <c r="B1760" s="66" t="s">
        <v>4017</v>
      </c>
      <c r="C1760" s="71" t="s">
        <v>204</v>
      </c>
      <c r="D1760" s="72" t="s">
        <v>4018</v>
      </c>
      <c r="E1760" s="66"/>
      <c r="F1760" s="72" t="s">
        <v>4018</v>
      </c>
    </row>
    <row r="1761" spans="1:6" ht="22.5" x14ac:dyDescent="0.2">
      <c r="A1761" s="50">
        <v>33.11</v>
      </c>
      <c r="B1761" s="64" t="s">
        <v>4019</v>
      </c>
      <c r="C1761" s="47"/>
      <c r="D1761" s="47"/>
      <c r="E1761" s="47"/>
      <c r="F1761" s="47"/>
    </row>
    <row r="1762" spans="1:6" ht="33.75" x14ac:dyDescent="0.2">
      <c r="A1762" s="65" t="s">
        <v>4020</v>
      </c>
      <c r="B1762" s="65" t="s">
        <v>4021</v>
      </c>
      <c r="C1762" s="67" t="s">
        <v>204</v>
      </c>
      <c r="D1762" s="69" t="s">
        <v>4022</v>
      </c>
      <c r="E1762" s="69" t="s">
        <v>4011</v>
      </c>
      <c r="F1762" s="69" t="s">
        <v>4023</v>
      </c>
    </row>
    <row r="1763" spans="1:6" ht="22.5" x14ac:dyDescent="0.2">
      <c r="A1763" s="50">
        <v>33.119999999999997</v>
      </c>
      <c r="B1763" s="64" t="s">
        <v>4024</v>
      </c>
      <c r="C1763" s="47"/>
      <c r="D1763" s="47"/>
      <c r="E1763" s="47"/>
      <c r="F1763" s="47"/>
    </row>
    <row r="1764" spans="1:6" ht="22.5" x14ac:dyDescent="0.2">
      <c r="A1764" s="65" t="s">
        <v>4025</v>
      </c>
      <c r="B1764" s="65" t="s">
        <v>4026</v>
      </c>
      <c r="C1764" s="67" t="s">
        <v>204</v>
      </c>
      <c r="D1764" s="69" t="s">
        <v>3458</v>
      </c>
      <c r="E1764" s="69" t="s">
        <v>4011</v>
      </c>
      <c r="F1764" s="69" t="s">
        <v>4027</v>
      </c>
    </row>
    <row r="1765" spans="1:6" x14ac:dyDescent="0.2">
      <c r="A1765" s="49">
        <v>34</v>
      </c>
      <c r="B1765" s="64" t="s">
        <v>4028</v>
      </c>
      <c r="C1765" s="47"/>
      <c r="D1765" s="47"/>
      <c r="E1765" s="47"/>
      <c r="F1765" s="47"/>
    </row>
    <row r="1766" spans="1:6" x14ac:dyDescent="0.2">
      <c r="A1766" s="50">
        <v>34.01</v>
      </c>
      <c r="B1766" s="64" t="s">
        <v>4029</v>
      </c>
      <c r="C1766" s="47"/>
      <c r="D1766" s="47"/>
      <c r="E1766" s="47"/>
      <c r="F1766" s="47"/>
    </row>
    <row r="1767" spans="1:6" x14ac:dyDescent="0.2">
      <c r="A1767" s="65" t="s">
        <v>4030</v>
      </c>
      <c r="B1767" s="65" t="s">
        <v>4031</v>
      </c>
      <c r="C1767" s="67" t="s">
        <v>228</v>
      </c>
      <c r="D1767" s="69" t="s">
        <v>4032</v>
      </c>
      <c r="E1767" s="69" t="s">
        <v>362</v>
      </c>
      <c r="F1767" s="69" t="s">
        <v>4033</v>
      </c>
    </row>
    <row r="1768" spans="1:6" ht="33.75" x14ac:dyDescent="0.2">
      <c r="A1768" s="65" t="s">
        <v>4034</v>
      </c>
      <c r="B1768" s="65" t="s">
        <v>4035</v>
      </c>
      <c r="C1768" s="67" t="s">
        <v>204</v>
      </c>
      <c r="D1768" s="68"/>
      <c r="E1768" s="69" t="s">
        <v>243</v>
      </c>
      <c r="F1768" s="69" t="s">
        <v>243</v>
      </c>
    </row>
    <row r="1769" spans="1:6" x14ac:dyDescent="0.2">
      <c r="A1769" s="50">
        <v>34.020000000000003</v>
      </c>
      <c r="B1769" s="64" t="s">
        <v>4036</v>
      </c>
      <c r="C1769" s="47"/>
      <c r="D1769" s="47"/>
      <c r="E1769" s="47"/>
      <c r="F1769" s="47"/>
    </row>
    <row r="1770" spans="1:6" ht="22.5" x14ac:dyDescent="0.2">
      <c r="A1770" s="65" t="s">
        <v>4037</v>
      </c>
      <c r="B1770" s="65" t="s">
        <v>4038</v>
      </c>
      <c r="C1770" s="67" t="s">
        <v>204</v>
      </c>
      <c r="D1770" s="69" t="s">
        <v>330</v>
      </c>
      <c r="E1770" s="69" t="s">
        <v>4039</v>
      </c>
      <c r="F1770" s="69" t="s">
        <v>254</v>
      </c>
    </row>
    <row r="1771" spans="1:6" ht="22.5" x14ac:dyDescent="0.2">
      <c r="A1771" s="65" t="s">
        <v>4040</v>
      </c>
      <c r="B1771" s="65" t="s">
        <v>4041</v>
      </c>
      <c r="C1771" s="67" t="s">
        <v>204</v>
      </c>
      <c r="D1771" s="69" t="s">
        <v>354</v>
      </c>
      <c r="E1771" s="69" t="s">
        <v>4042</v>
      </c>
      <c r="F1771" s="69" t="s">
        <v>1194</v>
      </c>
    </row>
    <row r="1772" spans="1:6" ht="33.75" x14ac:dyDescent="0.2">
      <c r="A1772" s="65" t="s">
        <v>4043</v>
      </c>
      <c r="B1772" s="65" t="s">
        <v>4044</v>
      </c>
      <c r="C1772" s="67" t="s">
        <v>204</v>
      </c>
      <c r="D1772" s="69" t="s">
        <v>4045</v>
      </c>
      <c r="E1772" s="69" t="s">
        <v>285</v>
      </c>
      <c r="F1772" s="69" t="s">
        <v>521</v>
      </c>
    </row>
    <row r="1773" spans="1:6" ht="22.5" x14ac:dyDescent="0.2">
      <c r="A1773" s="65" t="s">
        <v>4046</v>
      </c>
      <c r="B1773" s="65" t="s">
        <v>4047</v>
      </c>
      <c r="C1773" s="67" t="s">
        <v>204</v>
      </c>
      <c r="D1773" s="69" t="s">
        <v>3330</v>
      </c>
      <c r="E1773" s="69" t="s">
        <v>4042</v>
      </c>
      <c r="F1773" s="69" t="s">
        <v>4048</v>
      </c>
    </row>
    <row r="1774" spans="1:6" ht="33.75" x14ac:dyDescent="0.2">
      <c r="A1774" s="65" t="s">
        <v>4049</v>
      </c>
      <c r="B1774" s="65" t="s">
        <v>4050</v>
      </c>
      <c r="C1774" s="67" t="s">
        <v>204</v>
      </c>
      <c r="D1774" s="69" t="s">
        <v>381</v>
      </c>
      <c r="E1774" s="69" t="s">
        <v>285</v>
      </c>
      <c r="F1774" s="69" t="s">
        <v>4051</v>
      </c>
    </row>
    <row r="1775" spans="1:6" ht="22.5" x14ac:dyDescent="0.2">
      <c r="A1775" s="65" t="s">
        <v>4052</v>
      </c>
      <c r="B1775" s="65" t="s">
        <v>4053</v>
      </c>
      <c r="C1775" s="67" t="s">
        <v>204</v>
      </c>
      <c r="D1775" s="69" t="s">
        <v>4054</v>
      </c>
      <c r="E1775" s="69" t="s">
        <v>4042</v>
      </c>
      <c r="F1775" s="69" t="s">
        <v>367</v>
      </c>
    </row>
    <row r="1776" spans="1:6" ht="22.5" x14ac:dyDescent="0.2">
      <c r="A1776" s="65" t="s">
        <v>4055</v>
      </c>
      <c r="B1776" s="65" t="s">
        <v>4056</v>
      </c>
      <c r="C1776" s="67" t="s">
        <v>204</v>
      </c>
      <c r="D1776" s="69" t="s">
        <v>4057</v>
      </c>
      <c r="E1776" s="69" t="s">
        <v>285</v>
      </c>
      <c r="F1776" s="69" t="s">
        <v>3545</v>
      </c>
    </row>
    <row r="1777" spans="1:6" ht="22.5" x14ac:dyDescent="0.2">
      <c r="A1777" s="65" t="s">
        <v>4058</v>
      </c>
      <c r="B1777" s="65" t="s">
        <v>4059</v>
      </c>
      <c r="C1777" s="67" t="s">
        <v>204</v>
      </c>
      <c r="D1777" s="69" t="s">
        <v>289</v>
      </c>
      <c r="E1777" s="73"/>
      <c r="F1777" s="69" t="s">
        <v>289</v>
      </c>
    </row>
    <row r="1778" spans="1:6" x14ac:dyDescent="0.2">
      <c r="A1778" s="50">
        <v>34.03</v>
      </c>
      <c r="B1778" s="64" t="s">
        <v>4060</v>
      </c>
      <c r="C1778" s="47"/>
      <c r="D1778" s="47"/>
      <c r="E1778" s="47"/>
      <c r="F1778" s="47"/>
    </row>
    <row r="1779" spans="1:6" x14ac:dyDescent="0.2">
      <c r="A1779" s="65" t="s">
        <v>4061</v>
      </c>
      <c r="B1779" s="65" t="s">
        <v>4062</v>
      </c>
      <c r="C1779" s="67" t="s">
        <v>203</v>
      </c>
      <c r="D1779" s="69" t="s">
        <v>4063</v>
      </c>
      <c r="E1779" s="69" t="s">
        <v>4064</v>
      </c>
      <c r="F1779" s="69" t="s">
        <v>4065</v>
      </c>
    </row>
    <row r="1780" spans="1:6" x14ac:dyDescent="0.2">
      <c r="A1780" s="65" t="s">
        <v>4066</v>
      </c>
      <c r="B1780" s="65" t="s">
        <v>4067</v>
      </c>
      <c r="C1780" s="67" t="s">
        <v>203</v>
      </c>
      <c r="D1780" s="69" t="s">
        <v>4068</v>
      </c>
      <c r="E1780" s="69" t="s">
        <v>4064</v>
      </c>
      <c r="F1780" s="69" t="s">
        <v>4069</v>
      </c>
    </row>
    <row r="1781" spans="1:6" ht="22.5" x14ac:dyDescent="0.2">
      <c r="A1781" s="65" t="s">
        <v>4070</v>
      </c>
      <c r="B1781" s="65" t="s">
        <v>4071</v>
      </c>
      <c r="C1781" s="67" t="s">
        <v>203</v>
      </c>
      <c r="D1781" s="69" t="s">
        <v>4072</v>
      </c>
      <c r="E1781" s="69" t="s">
        <v>4064</v>
      </c>
      <c r="F1781" s="69" t="s">
        <v>4073</v>
      </c>
    </row>
    <row r="1782" spans="1:6" ht="22.5" x14ac:dyDescent="0.2">
      <c r="A1782" s="65" t="s">
        <v>4074</v>
      </c>
      <c r="B1782" s="65" t="s">
        <v>4075</v>
      </c>
      <c r="C1782" s="67" t="s">
        <v>203</v>
      </c>
      <c r="D1782" s="69" t="s">
        <v>4076</v>
      </c>
      <c r="E1782" s="69" t="s">
        <v>4064</v>
      </c>
      <c r="F1782" s="69" t="s">
        <v>4077</v>
      </c>
    </row>
    <row r="1783" spans="1:6" x14ac:dyDescent="0.2">
      <c r="A1783" s="50">
        <v>34.04</v>
      </c>
      <c r="B1783" s="64" t="s">
        <v>4078</v>
      </c>
      <c r="C1783" s="47"/>
      <c r="D1783" s="47"/>
      <c r="E1783" s="47"/>
      <c r="F1783" s="47"/>
    </row>
    <row r="1784" spans="1:6" ht="22.5" x14ac:dyDescent="0.2">
      <c r="A1784" s="65" t="s">
        <v>4079</v>
      </c>
      <c r="B1784" s="65" t="s">
        <v>4080</v>
      </c>
      <c r="C1784" s="67" t="s">
        <v>203</v>
      </c>
      <c r="D1784" s="69" t="s">
        <v>4081</v>
      </c>
      <c r="E1784" s="69" t="s">
        <v>387</v>
      </c>
      <c r="F1784" s="69" t="s">
        <v>4082</v>
      </c>
    </row>
    <row r="1785" spans="1:6" ht="22.5" x14ac:dyDescent="0.2">
      <c r="A1785" s="65" t="s">
        <v>4083</v>
      </c>
      <c r="B1785" s="65" t="s">
        <v>4084</v>
      </c>
      <c r="C1785" s="67" t="s">
        <v>203</v>
      </c>
      <c r="D1785" s="69" t="s">
        <v>4085</v>
      </c>
      <c r="E1785" s="69" t="s">
        <v>387</v>
      </c>
      <c r="F1785" s="69" t="s">
        <v>4086</v>
      </c>
    </row>
    <row r="1786" spans="1:6" ht="22.5" x14ac:dyDescent="0.2">
      <c r="A1786" s="65" t="s">
        <v>4087</v>
      </c>
      <c r="B1786" s="65" t="s">
        <v>4088</v>
      </c>
      <c r="C1786" s="67" t="s">
        <v>203</v>
      </c>
      <c r="D1786" s="69" t="s">
        <v>4089</v>
      </c>
      <c r="E1786" s="69" t="s">
        <v>387</v>
      </c>
      <c r="F1786" s="69" t="s">
        <v>4090</v>
      </c>
    </row>
    <row r="1787" spans="1:6" ht="22.5" x14ac:dyDescent="0.2">
      <c r="A1787" s="65" t="s">
        <v>4091</v>
      </c>
      <c r="B1787" s="65" t="s">
        <v>4092</v>
      </c>
      <c r="C1787" s="67" t="s">
        <v>203</v>
      </c>
      <c r="D1787" s="69" t="s">
        <v>4093</v>
      </c>
      <c r="E1787" s="69" t="s">
        <v>4094</v>
      </c>
      <c r="F1787" s="69" t="s">
        <v>4095</v>
      </c>
    </row>
    <row r="1788" spans="1:6" ht="22.5" x14ac:dyDescent="0.2">
      <c r="A1788" s="65" t="s">
        <v>4096</v>
      </c>
      <c r="B1788" s="65" t="s">
        <v>4097</v>
      </c>
      <c r="C1788" s="67" t="s">
        <v>203</v>
      </c>
      <c r="D1788" s="69" t="s">
        <v>4098</v>
      </c>
      <c r="E1788" s="69" t="s">
        <v>4094</v>
      </c>
      <c r="F1788" s="69" t="s">
        <v>4099</v>
      </c>
    </row>
    <row r="1789" spans="1:6" ht="22.5" x14ac:dyDescent="0.2">
      <c r="A1789" s="65" t="s">
        <v>4100</v>
      </c>
      <c r="B1789" s="65" t="s">
        <v>4101</v>
      </c>
      <c r="C1789" s="67" t="s">
        <v>203</v>
      </c>
      <c r="D1789" s="69" t="s">
        <v>4102</v>
      </c>
      <c r="E1789" s="69" t="s">
        <v>387</v>
      </c>
      <c r="F1789" s="69" t="s">
        <v>4103</v>
      </c>
    </row>
    <row r="1790" spans="1:6" ht="22.5" x14ac:dyDescent="0.2">
      <c r="A1790" s="65" t="s">
        <v>4104</v>
      </c>
      <c r="B1790" s="65" t="s">
        <v>4105</v>
      </c>
      <c r="C1790" s="67" t="s">
        <v>203</v>
      </c>
      <c r="D1790" s="69" t="s">
        <v>4106</v>
      </c>
      <c r="E1790" s="69" t="s">
        <v>387</v>
      </c>
      <c r="F1790" s="69" t="s">
        <v>4107</v>
      </c>
    </row>
    <row r="1791" spans="1:6" ht="45" x14ac:dyDescent="0.2">
      <c r="A1791" s="65" t="s">
        <v>4108</v>
      </c>
      <c r="B1791" s="66" t="s">
        <v>4109</v>
      </c>
      <c r="C1791" s="67" t="s">
        <v>203</v>
      </c>
      <c r="D1791" s="69" t="s">
        <v>4110</v>
      </c>
      <c r="E1791" s="69" t="s">
        <v>387</v>
      </c>
      <c r="F1791" s="69" t="s">
        <v>4111</v>
      </c>
    </row>
    <row r="1792" spans="1:6" x14ac:dyDescent="0.2">
      <c r="A1792" s="50">
        <v>34.049999999999997</v>
      </c>
      <c r="B1792" s="64" t="s">
        <v>4112</v>
      </c>
      <c r="C1792" s="47"/>
      <c r="D1792" s="47"/>
      <c r="E1792" s="47"/>
      <c r="F1792" s="47"/>
    </row>
    <row r="1793" spans="1:6" ht="22.5" x14ac:dyDescent="0.2">
      <c r="A1793" s="65" t="s">
        <v>4113</v>
      </c>
      <c r="B1793" s="65" t="s">
        <v>4114</v>
      </c>
      <c r="C1793" s="67" t="s">
        <v>221</v>
      </c>
      <c r="D1793" s="69" t="s">
        <v>4115</v>
      </c>
      <c r="E1793" s="69" t="s">
        <v>387</v>
      </c>
      <c r="F1793" s="69" t="s">
        <v>4116</v>
      </c>
    </row>
    <row r="1794" spans="1:6" ht="33.75" x14ac:dyDescent="0.2">
      <c r="A1794" s="65" t="s">
        <v>4117</v>
      </c>
      <c r="B1794" s="65" t="s">
        <v>4118</v>
      </c>
      <c r="C1794" s="67" t="s">
        <v>221</v>
      </c>
      <c r="D1794" s="69" t="s">
        <v>4119</v>
      </c>
      <c r="E1794" s="69" t="s">
        <v>387</v>
      </c>
      <c r="F1794" s="69" t="s">
        <v>4120</v>
      </c>
    </row>
    <row r="1795" spans="1:6" ht="45" x14ac:dyDescent="0.2">
      <c r="A1795" s="65" t="s">
        <v>4121</v>
      </c>
      <c r="B1795" s="66" t="s">
        <v>4122</v>
      </c>
      <c r="C1795" s="67" t="s">
        <v>221</v>
      </c>
      <c r="D1795" s="69" t="s">
        <v>4123</v>
      </c>
      <c r="E1795" s="69" t="s">
        <v>387</v>
      </c>
      <c r="F1795" s="69" t="s">
        <v>4124</v>
      </c>
    </row>
    <row r="1796" spans="1:6" ht="56.25" x14ac:dyDescent="0.2">
      <c r="A1796" s="65" t="s">
        <v>4125</v>
      </c>
      <c r="B1796" s="66" t="s">
        <v>4126</v>
      </c>
      <c r="C1796" s="67" t="s">
        <v>221</v>
      </c>
      <c r="D1796" s="69" t="s">
        <v>4127</v>
      </c>
      <c r="E1796" s="69" t="s">
        <v>4128</v>
      </c>
      <c r="F1796" s="69" t="s">
        <v>4129</v>
      </c>
    </row>
    <row r="1797" spans="1:6" ht="56.25" x14ac:dyDescent="0.2">
      <c r="A1797" s="65" t="s">
        <v>4130</v>
      </c>
      <c r="B1797" s="66" t="s">
        <v>4131</v>
      </c>
      <c r="C1797" s="67" t="s">
        <v>204</v>
      </c>
      <c r="D1797" s="69" t="s">
        <v>4132</v>
      </c>
      <c r="E1797" s="68"/>
      <c r="F1797" s="69" t="s">
        <v>4132</v>
      </c>
    </row>
    <row r="1798" spans="1:6" ht="56.25" x14ac:dyDescent="0.2">
      <c r="A1798" s="65" t="s">
        <v>4133</v>
      </c>
      <c r="B1798" s="66" t="s">
        <v>4134</v>
      </c>
      <c r="C1798" s="67" t="s">
        <v>204</v>
      </c>
      <c r="D1798" s="69" t="s">
        <v>4135</v>
      </c>
      <c r="E1798" s="68"/>
      <c r="F1798" s="69" t="s">
        <v>4135</v>
      </c>
    </row>
    <row r="1799" spans="1:6" ht="45" x14ac:dyDescent="0.2">
      <c r="A1799" s="65" t="s">
        <v>4136</v>
      </c>
      <c r="B1799" s="66" t="s">
        <v>4137</v>
      </c>
      <c r="C1799" s="67" t="s">
        <v>204</v>
      </c>
      <c r="D1799" s="69" t="s">
        <v>4138</v>
      </c>
      <c r="E1799" s="68"/>
      <c r="F1799" s="69" t="s">
        <v>4138</v>
      </c>
    </row>
    <row r="1800" spans="1:6" ht="33.75" x14ac:dyDescent="0.2">
      <c r="A1800" s="65" t="s">
        <v>4139</v>
      </c>
      <c r="B1800" s="65" t="s">
        <v>4140</v>
      </c>
      <c r="C1800" s="67" t="s">
        <v>221</v>
      </c>
      <c r="D1800" s="69" t="s">
        <v>4141</v>
      </c>
      <c r="E1800" s="68"/>
      <c r="F1800" s="69" t="s">
        <v>4141</v>
      </c>
    </row>
    <row r="1801" spans="1:6" ht="56.25" x14ac:dyDescent="0.2">
      <c r="A1801" s="70" t="s">
        <v>4142</v>
      </c>
      <c r="B1801" s="65" t="s">
        <v>4143</v>
      </c>
      <c r="C1801" s="71" t="s">
        <v>204</v>
      </c>
      <c r="D1801" s="72" t="s">
        <v>4144</v>
      </c>
      <c r="E1801" s="66"/>
      <c r="F1801" s="72" t="s">
        <v>4144</v>
      </c>
    </row>
    <row r="1802" spans="1:6" ht="45" x14ac:dyDescent="0.2">
      <c r="A1802" s="65" t="s">
        <v>4145</v>
      </c>
      <c r="B1802" s="66" t="s">
        <v>4146</v>
      </c>
      <c r="C1802" s="67" t="s">
        <v>204</v>
      </c>
      <c r="D1802" s="69" t="s">
        <v>4147</v>
      </c>
      <c r="E1802" s="69" t="s">
        <v>3830</v>
      </c>
      <c r="F1802" s="69" t="s">
        <v>4148</v>
      </c>
    </row>
    <row r="1803" spans="1:6" ht="33.75" x14ac:dyDescent="0.2">
      <c r="A1803" s="65" t="s">
        <v>4149</v>
      </c>
      <c r="B1803" s="65" t="s">
        <v>4150</v>
      </c>
      <c r="C1803" s="67" t="s">
        <v>204</v>
      </c>
      <c r="D1803" s="69" t="s">
        <v>4151</v>
      </c>
      <c r="E1803" s="68"/>
      <c r="F1803" s="69" t="s">
        <v>4151</v>
      </c>
    </row>
    <row r="1804" spans="1:6" ht="45" x14ac:dyDescent="0.2">
      <c r="A1804" s="65" t="s">
        <v>4152</v>
      </c>
      <c r="B1804" s="66" t="s">
        <v>4153</v>
      </c>
      <c r="C1804" s="67" t="s">
        <v>204</v>
      </c>
      <c r="D1804" s="69" t="s">
        <v>4154</v>
      </c>
      <c r="E1804" s="69" t="s">
        <v>4155</v>
      </c>
      <c r="F1804" s="69" t="s">
        <v>4156</v>
      </c>
    </row>
    <row r="1805" spans="1:6" ht="45" x14ac:dyDescent="0.2">
      <c r="A1805" s="65" t="s">
        <v>4157</v>
      </c>
      <c r="B1805" s="66" t="s">
        <v>4158</v>
      </c>
      <c r="C1805" s="67" t="s">
        <v>204</v>
      </c>
      <c r="D1805" s="69" t="s">
        <v>4159</v>
      </c>
      <c r="E1805" s="69" t="s">
        <v>4155</v>
      </c>
      <c r="F1805" s="69" t="s">
        <v>4160</v>
      </c>
    </row>
    <row r="1806" spans="1:6" ht="22.5" x14ac:dyDescent="0.2">
      <c r="A1806" s="65" t="s">
        <v>4161</v>
      </c>
      <c r="B1806" s="65" t="s">
        <v>4162</v>
      </c>
      <c r="C1806" s="67" t="s">
        <v>204</v>
      </c>
      <c r="D1806" s="69" t="s">
        <v>238</v>
      </c>
      <c r="E1806" s="69" t="s">
        <v>4163</v>
      </c>
      <c r="F1806" s="69" t="s">
        <v>4164</v>
      </c>
    </row>
    <row r="1807" spans="1:6" ht="22.5" x14ac:dyDescent="0.2">
      <c r="A1807" s="65" t="s">
        <v>4165</v>
      </c>
      <c r="B1807" s="65" t="s">
        <v>4166</v>
      </c>
      <c r="C1807" s="67" t="s">
        <v>204</v>
      </c>
      <c r="D1807" s="69" t="s">
        <v>4167</v>
      </c>
      <c r="E1807" s="69" t="s">
        <v>3556</v>
      </c>
      <c r="F1807" s="69" t="s">
        <v>4168</v>
      </c>
    </row>
    <row r="1808" spans="1:6" ht="22.5" x14ac:dyDescent="0.2">
      <c r="A1808" s="65" t="s">
        <v>4169</v>
      </c>
      <c r="B1808" s="65" t="s">
        <v>4170</v>
      </c>
      <c r="C1808" s="67" t="s">
        <v>204</v>
      </c>
      <c r="D1808" s="69" t="s">
        <v>4171</v>
      </c>
      <c r="E1808" s="69" t="s">
        <v>4172</v>
      </c>
      <c r="F1808" s="69" t="s">
        <v>4173</v>
      </c>
    </row>
    <row r="1809" spans="1:6" ht="22.5" x14ac:dyDescent="0.2">
      <c r="A1809" s="65" t="s">
        <v>4174</v>
      </c>
      <c r="B1809" s="65" t="s">
        <v>4175</v>
      </c>
      <c r="C1809" s="67" t="s">
        <v>204</v>
      </c>
      <c r="D1809" s="69" t="s">
        <v>4176</v>
      </c>
      <c r="E1809" s="69" t="s">
        <v>4177</v>
      </c>
      <c r="F1809" s="69" t="s">
        <v>4178</v>
      </c>
    </row>
    <row r="1810" spans="1:6" ht="22.5" x14ac:dyDescent="0.2">
      <c r="A1810" s="65" t="s">
        <v>4179</v>
      </c>
      <c r="B1810" s="65" t="s">
        <v>4180</v>
      </c>
      <c r="C1810" s="67" t="s">
        <v>221</v>
      </c>
      <c r="D1810" s="69" t="s">
        <v>4181</v>
      </c>
      <c r="E1810" s="69" t="s">
        <v>4182</v>
      </c>
      <c r="F1810" s="69" t="s">
        <v>4183</v>
      </c>
    </row>
    <row r="1811" spans="1:6" x14ac:dyDescent="0.2">
      <c r="A1811" s="50">
        <v>34.130000000000003</v>
      </c>
      <c r="B1811" s="64" t="s">
        <v>4184</v>
      </c>
      <c r="C1811" s="47"/>
      <c r="D1811" s="47"/>
      <c r="E1811" s="47"/>
      <c r="F1811" s="47"/>
    </row>
    <row r="1812" spans="1:6" ht="45" x14ac:dyDescent="0.2">
      <c r="A1812" s="65" t="s">
        <v>4185</v>
      </c>
      <c r="B1812" s="66" t="s">
        <v>4186</v>
      </c>
      <c r="C1812" s="67" t="s">
        <v>203</v>
      </c>
      <c r="D1812" s="69" t="s">
        <v>4187</v>
      </c>
      <c r="E1812" s="69" t="s">
        <v>4188</v>
      </c>
      <c r="F1812" s="69" t="s">
        <v>4189</v>
      </c>
    </row>
    <row r="1813" spans="1:6" ht="45" x14ac:dyDescent="0.2">
      <c r="A1813" s="65" t="s">
        <v>4190</v>
      </c>
      <c r="B1813" s="66" t="s">
        <v>4191</v>
      </c>
      <c r="C1813" s="67" t="s">
        <v>203</v>
      </c>
      <c r="D1813" s="69" t="s">
        <v>4192</v>
      </c>
      <c r="E1813" s="69" t="s">
        <v>4193</v>
      </c>
      <c r="F1813" s="69" t="s">
        <v>4194</v>
      </c>
    </row>
    <row r="1814" spans="1:6" ht="45" x14ac:dyDescent="0.2">
      <c r="A1814" s="65" t="s">
        <v>4195</v>
      </c>
      <c r="B1814" s="66" t="s">
        <v>4196</v>
      </c>
      <c r="C1814" s="67" t="s">
        <v>203</v>
      </c>
      <c r="D1814" s="69" t="s">
        <v>4197</v>
      </c>
      <c r="E1814" s="69" t="s">
        <v>4198</v>
      </c>
      <c r="F1814" s="69" t="s">
        <v>4199</v>
      </c>
    </row>
    <row r="1815" spans="1:6" ht="45" x14ac:dyDescent="0.2">
      <c r="A1815" s="65" t="s">
        <v>4200</v>
      </c>
      <c r="B1815" s="66" t="s">
        <v>4201</v>
      </c>
      <c r="C1815" s="67" t="s">
        <v>203</v>
      </c>
      <c r="D1815" s="69" t="s">
        <v>4202</v>
      </c>
      <c r="E1815" s="69" t="s">
        <v>4203</v>
      </c>
      <c r="F1815" s="69" t="s">
        <v>4204</v>
      </c>
    </row>
    <row r="1816" spans="1:6" ht="45" x14ac:dyDescent="0.2">
      <c r="A1816" s="65" t="s">
        <v>4205</v>
      </c>
      <c r="B1816" s="66" t="s">
        <v>4206</v>
      </c>
      <c r="C1816" s="67" t="s">
        <v>203</v>
      </c>
      <c r="D1816" s="69" t="s">
        <v>4207</v>
      </c>
      <c r="E1816" s="69" t="s">
        <v>4208</v>
      </c>
      <c r="F1816" s="69" t="s">
        <v>4209</v>
      </c>
    </row>
    <row r="1817" spans="1:6" ht="45" x14ac:dyDescent="0.2">
      <c r="A1817" s="65" t="s">
        <v>4210</v>
      </c>
      <c r="B1817" s="66" t="s">
        <v>4211</v>
      </c>
      <c r="C1817" s="67" t="s">
        <v>203</v>
      </c>
      <c r="D1817" s="69" t="s">
        <v>4212</v>
      </c>
      <c r="E1817" s="69" t="s">
        <v>4213</v>
      </c>
      <c r="F1817" s="69" t="s">
        <v>4214</v>
      </c>
    </row>
    <row r="1818" spans="1:6" ht="22.5" x14ac:dyDescent="0.2">
      <c r="A1818" s="50">
        <v>34.200000000000003</v>
      </c>
      <c r="B1818" s="64" t="s">
        <v>4215</v>
      </c>
      <c r="C1818" s="47"/>
      <c r="D1818" s="47"/>
      <c r="E1818" s="47"/>
      <c r="F1818" s="47"/>
    </row>
    <row r="1819" spans="1:6" ht="33.75" x14ac:dyDescent="0.2">
      <c r="A1819" s="65" t="s">
        <v>4216</v>
      </c>
      <c r="B1819" s="65" t="s">
        <v>4217</v>
      </c>
      <c r="C1819" s="67" t="s">
        <v>204</v>
      </c>
      <c r="D1819" s="69" t="s">
        <v>4218</v>
      </c>
      <c r="E1819" s="69" t="s">
        <v>3983</v>
      </c>
      <c r="F1819" s="69" t="s">
        <v>4219</v>
      </c>
    </row>
    <row r="1820" spans="1:6" ht="45" x14ac:dyDescent="0.2">
      <c r="A1820" s="65" t="s">
        <v>4220</v>
      </c>
      <c r="B1820" s="66" t="s">
        <v>4221</v>
      </c>
      <c r="C1820" s="67" t="s">
        <v>204</v>
      </c>
      <c r="D1820" s="69" t="s">
        <v>4222</v>
      </c>
      <c r="E1820" s="69" t="s">
        <v>4223</v>
      </c>
      <c r="F1820" s="69" t="s">
        <v>4224</v>
      </c>
    </row>
    <row r="1821" spans="1:6" ht="33.75" x14ac:dyDescent="0.2">
      <c r="A1821" s="65" t="s">
        <v>4225</v>
      </c>
      <c r="B1821" s="65" t="s">
        <v>4226</v>
      </c>
      <c r="C1821" s="67" t="s">
        <v>221</v>
      </c>
      <c r="D1821" s="69" t="s">
        <v>4227</v>
      </c>
      <c r="E1821" s="68"/>
      <c r="F1821" s="69" t="s">
        <v>4227</v>
      </c>
    </row>
    <row r="1822" spans="1:6" ht="22.5" x14ac:dyDescent="0.2">
      <c r="A1822" s="65" t="s">
        <v>4228</v>
      </c>
      <c r="B1822" s="65" t="s">
        <v>4229</v>
      </c>
      <c r="C1822" s="67" t="s">
        <v>204</v>
      </c>
      <c r="D1822" s="69" t="s">
        <v>274</v>
      </c>
      <c r="E1822" s="69" t="s">
        <v>4230</v>
      </c>
      <c r="F1822" s="69" t="s">
        <v>4231</v>
      </c>
    </row>
    <row r="1823" spans="1:6" ht="22.5" x14ac:dyDescent="0.2">
      <c r="A1823" s="65" t="s">
        <v>4232</v>
      </c>
      <c r="B1823" s="65" t="s">
        <v>4233</v>
      </c>
      <c r="C1823" s="67" t="s">
        <v>204</v>
      </c>
      <c r="D1823" s="69" t="s">
        <v>4234</v>
      </c>
      <c r="E1823" s="69" t="s">
        <v>4235</v>
      </c>
      <c r="F1823" s="69" t="s">
        <v>4236</v>
      </c>
    </row>
    <row r="1824" spans="1:6" ht="45" x14ac:dyDescent="0.2">
      <c r="A1824" s="65" t="s">
        <v>4237</v>
      </c>
      <c r="B1824" s="66" t="s">
        <v>4238</v>
      </c>
      <c r="C1824" s="67" t="s">
        <v>203</v>
      </c>
      <c r="D1824" s="69" t="s">
        <v>4239</v>
      </c>
      <c r="E1824" s="69" t="s">
        <v>4240</v>
      </c>
      <c r="F1824" s="69" t="s">
        <v>4241</v>
      </c>
    </row>
    <row r="1825" spans="1:6" ht="22.5" x14ac:dyDescent="0.2">
      <c r="A1825" s="65" t="s">
        <v>4242</v>
      </c>
      <c r="B1825" s="65" t="s">
        <v>4243</v>
      </c>
      <c r="C1825" s="67" t="s">
        <v>204</v>
      </c>
      <c r="D1825" s="69" t="s">
        <v>4244</v>
      </c>
      <c r="E1825" s="69" t="s">
        <v>308</v>
      </c>
      <c r="F1825" s="69" t="s">
        <v>4245</v>
      </c>
    </row>
    <row r="1826" spans="1:6" ht="22.5" x14ac:dyDescent="0.2">
      <c r="A1826" s="49">
        <v>35</v>
      </c>
      <c r="B1826" s="64" t="s">
        <v>4246</v>
      </c>
      <c r="C1826" s="47"/>
      <c r="D1826" s="47"/>
      <c r="E1826" s="47"/>
      <c r="F1826" s="47"/>
    </row>
    <row r="1827" spans="1:6" ht="22.5" x14ac:dyDescent="0.2">
      <c r="A1827" s="50">
        <v>35.01</v>
      </c>
      <c r="B1827" s="64" t="s">
        <v>4247</v>
      </c>
      <c r="C1827" s="47"/>
      <c r="D1827" s="47"/>
      <c r="E1827" s="47"/>
      <c r="F1827" s="47"/>
    </row>
    <row r="1828" spans="1:6" ht="22.5" x14ac:dyDescent="0.2">
      <c r="A1828" s="65" t="s">
        <v>4248</v>
      </c>
      <c r="B1828" s="65" t="s">
        <v>4249</v>
      </c>
      <c r="C1828" s="67" t="s">
        <v>204</v>
      </c>
      <c r="D1828" s="69" t="s">
        <v>2286</v>
      </c>
      <c r="E1828" s="69" t="s">
        <v>307</v>
      </c>
      <c r="F1828" s="69" t="s">
        <v>4250</v>
      </c>
    </row>
    <row r="1829" spans="1:6" ht="22.5" x14ac:dyDescent="0.2">
      <c r="A1829" s="65" t="s">
        <v>4251</v>
      </c>
      <c r="B1829" s="65" t="s">
        <v>4252</v>
      </c>
      <c r="C1829" s="67" t="s">
        <v>240</v>
      </c>
      <c r="D1829" s="69" t="s">
        <v>4253</v>
      </c>
      <c r="E1829" s="69" t="s">
        <v>4254</v>
      </c>
      <c r="F1829" s="69" t="s">
        <v>4255</v>
      </c>
    </row>
    <row r="1830" spans="1:6" ht="22.5" x14ac:dyDescent="0.2">
      <c r="A1830" s="65" t="s">
        <v>4256</v>
      </c>
      <c r="B1830" s="65" t="s">
        <v>4257</v>
      </c>
      <c r="C1830" s="67" t="s">
        <v>203</v>
      </c>
      <c r="D1830" s="69" t="s">
        <v>4258</v>
      </c>
      <c r="E1830" s="69" t="s">
        <v>4259</v>
      </c>
      <c r="F1830" s="69" t="s">
        <v>4260</v>
      </c>
    </row>
    <row r="1831" spans="1:6" ht="22.5" x14ac:dyDescent="0.2">
      <c r="A1831" s="65" t="s">
        <v>4261</v>
      </c>
      <c r="B1831" s="65" t="s">
        <v>4262</v>
      </c>
      <c r="C1831" s="67" t="s">
        <v>240</v>
      </c>
      <c r="D1831" s="69" t="s">
        <v>4263</v>
      </c>
      <c r="E1831" s="69" t="s">
        <v>4254</v>
      </c>
      <c r="F1831" s="69" t="s">
        <v>4264</v>
      </c>
    </row>
    <row r="1832" spans="1:6" ht="45" x14ac:dyDescent="0.2">
      <c r="A1832" s="65" t="s">
        <v>4265</v>
      </c>
      <c r="B1832" s="66" t="s">
        <v>4266</v>
      </c>
      <c r="C1832" s="67" t="s">
        <v>204</v>
      </c>
      <c r="D1832" s="69" t="s">
        <v>4267</v>
      </c>
      <c r="E1832" s="69" t="s">
        <v>4268</v>
      </c>
      <c r="F1832" s="69" t="s">
        <v>4269</v>
      </c>
    </row>
    <row r="1833" spans="1:6" x14ac:dyDescent="0.2">
      <c r="A1833" s="50">
        <v>35.03</v>
      </c>
      <c r="B1833" s="64" t="s">
        <v>4270</v>
      </c>
      <c r="C1833" s="47"/>
      <c r="D1833" s="47"/>
      <c r="E1833" s="47"/>
      <c r="F1833" s="47"/>
    </row>
    <row r="1834" spans="1:6" ht="33.75" x14ac:dyDescent="0.2">
      <c r="A1834" s="65" t="s">
        <v>4271</v>
      </c>
      <c r="B1834" s="65" t="s">
        <v>4272</v>
      </c>
      <c r="C1834" s="67" t="s">
        <v>203</v>
      </c>
      <c r="D1834" s="69" t="s">
        <v>4273</v>
      </c>
      <c r="E1834" s="69" t="s">
        <v>4274</v>
      </c>
      <c r="F1834" s="69" t="s">
        <v>4275</v>
      </c>
    </row>
    <row r="1835" spans="1:6" x14ac:dyDescent="0.2">
      <c r="A1835" s="50">
        <v>35.04</v>
      </c>
      <c r="B1835" s="64" t="s">
        <v>4276</v>
      </c>
      <c r="C1835" s="47"/>
      <c r="D1835" s="47"/>
      <c r="E1835" s="47"/>
      <c r="F1835" s="47"/>
    </row>
    <row r="1836" spans="1:6" ht="22.5" x14ac:dyDescent="0.2">
      <c r="A1836" s="65" t="s">
        <v>4277</v>
      </c>
      <c r="B1836" s="65" t="s">
        <v>4278</v>
      </c>
      <c r="C1836" s="67" t="s">
        <v>221</v>
      </c>
      <c r="D1836" s="69" t="s">
        <v>4279</v>
      </c>
      <c r="E1836" s="69" t="s">
        <v>4280</v>
      </c>
      <c r="F1836" s="69" t="s">
        <v>4281</v>
      </c>
    </row>
    <row r="1837" spans="1:6" ht="22.5" x14ac:dyDescent="0.2">
      <c r="A1837" s="65" t="s">
        <v>4282</v>
      </c>
      <c r="B1837" s="65" t="s">
        <v>4283</v>
      </c>
      <c r="C1837" s="67" t="s">
        <v>203</v>
      </c>
      <c r="D1837" s="69" t="s">
        <v>4284</v>
      </c>
      <c r="E1837" s="69" t="s">
        <v>409</v>
      </c>
      <c r="F1837" s="69" t="s">
        <v>4285</v>
      </c>
    </row>
    <row r="1838" spans="1:6" ht="22.5" x14ac:dyDescent="0.2">
      <c r="A1838" s="65" t="s">
        <v>4286</v>
      </c>
      <c r="B1838" s="65" t="s">
        <v>4287</v>
      </c>
      <c r="C1838" s="67" t="s">
        <v>204</v>
      </c>
      <c r="D1838" s="69" t="s">
        <v>4288</v>
      </c>
      <c r="E1838" s="69" t="s">
        <v>4289</v>
      </c>
      <c r="F1838" s="69" t="s">
        <v>4290</v>
      </c>
    </row>
    <row r="1839" spans="1:6" ht="33.75" x14ac:dyDescent="0.2">
      <c r="A1839" s="65" t="s">
        <v>4291</v>
      </c>
      <c r="B1839" s="65" t="s">
        <v>4292</v>
      </c>
      <c r="C1839" s="67" t="s">
        <v>203</v>
      </c>
      <c r="D1839" s="69" t="s">
        <v>4293</v>
      </c>
      <c r="E1839" s="69" t="s">
        <v>2935</v>
      </c>
      <c r="F1839" s="69" t="s">
        <v>4294</v>
      </c>
    </row>
    <row r="1840" spans="1:6" ht="22.5" x14ac:dyDescent="0.2">
      <c r="A1840" s="65" t="s">
        <v>4295</v>
      </c>
      <c r="B1840" s="65" t="s">
        <v>4296</v>
      </c>
      <c r="C1840" s="67" t="s">
        <v>203</v>
      </c>
      <c r="D1840" s="69" t="s">
        <v>4297</v>
      </c>
      <c r="E1840" s="69" t="s">
        <v>312</v>
      </c>
      <c r="F1840" s="69" t="s">
        <v>4298</v>
      </c>
    </row>
    <row r="1841" spans="1:6" x14ac:dyDescent="0.2">
      <c r="A1841" s="50">
        <v>35.049999999999997</v>
      </c>
      <c r="B1841" s="64" t="s">
        <v>4299</v>
      </c>
      <c r="C1841" s="47"/>
      <c r="D1841" s="47"/>
      <c r="E1841" s="47"/>
      <c r="F1841" s="47"/>
    </row>
    <row r="1842" spans="1:6" ht="22.5" x14ac:dyDescent="0.2">
      <c r="A1842" s="65" t="s">
        <v>4300</v>
      </c>
      <c r="B1842" s="65" t="s">
        <v>4301</v>
      </c>
      <c r="C1842" s="67" t="s">
        <v>240</v>
      </c>
      <c r="D1842" s="69" t="s">
        <v>4302</v>
      </c>
      <c r="E1842" s="69" t="s">
        <v>4303</v>
      </c>
      <c r="F1842" s="69" t="s">
        <v>4304</v>
      </c>
    </row>
    <row r="1843" spans="1:6" ht="22.5" x14ac:dyDescent="0.2">
      <c r="A1843" s="65" t="s">
        <v>4305</v>
      </c>
      <c r="B1843" s="65" t="s">
        <v>4306</v>
      </c>
      <c r="C1843" s="67" t="s">
        <v>240</v>
      </c>
      <c r="D1843" s="69" t="s">
        <v>4307</v>
      </c>
      <c r="E1843" s="69" t="s">
        <v>4303</v>
      </c>
      <c r="F1843" s="69" t="s">
        <v>4308</v>
      </c>
    </row>
    <row r="1844" spans="1:6" ht="22.5" x14ac:dyDescent="0.2">
      <c r="A1844" s="65" t="s">
        <v>4309</v>
      </c>
      <c r="B1844" s="65" t="s">
        <v>4310</v>
      </c>
      <c r="C1844" s="67" t="s">
        <v>240</v>
      </c>
      <c r="D1844" s="69" t="s">
        <v>4311</v>
      </c>
      <c r="E1844" s="69" t="s">
        <v>4303</v>
      </c>
      <c r="F1844" s="69" t="s">
        <v>4312</v>
      </c>
    </row>
    <row r="1845" spans="1:6" ht="22.5" x14ac:dyDescent="0.2">
      <c r="A1845" s="65" t="s">
        <v>4313</v>
      </c>
      <c r="B1845" s="65" t="s">
        <v>4314</v>
      </c>
      <c r="C1845" s="67" t="s">
        <v>240</v>
      </c>
      <c r="D1845" s="69" t="s">
        <v>4315</v>
      </c>
      <c r="E1845" s="69" t="s">
        <v>4303</v>
      </c>
      <c r="F1845" s="69" t="s">
        <v>4316</v>
      </c>
    </row>
    <row r="1846" spans="1:6" x14ac:dyDescent="0.2">
      <c r="A1846" s="50">
        <v>35.07</v>
      </c>
      <c r="B1846" s="64" t="s">
        <v>4317</v>
      </c>
      <c r="C1846" s="47"/>
      <c r="D1846" s="47"/>
      <c r="E1846" s="47"/>
      <c r="F1846" s="47"/>
    </row>
    <row r="1847" spans="1:6" ht="22.5" x14ac:dyDescent="0.2">
      <c r="A1847" s="65" t="s">
        <v>4318</v>
      </c>
      <c r="B1847" s="65" t="s">
        <v>4319</v>
      </c>
      <c r="C1847" s="67" t="s">
        <v>240</v>
      </c>
      <c r="D1847" s="69" t="s">
        <v>4320</v>
      </c>
      <c r="E1847" s="69" t="s">
        <v>4321</v>
      </c>
      <c r="F1847" s="69" t="s">
        <v>4322</v>
      </c>
    </row>
    <row r="1848" spans="1:6" ht="22.5" x14ac:dyDescent="0.2">
      <c r="A1848" s="65" t="s">
        <v>4323</v>
      </c>
      <c r="B1848" s="65" t="s">
        <v>4324</v>
      </c>
      <c r="C1848" s="67" t="s">
        <v>240</v>
      </c>
      <c r="D1848" s="69" t="s">
        <v>4325</v>
      </c>
      <c r="E1848" s="69" t="s">
        <v>4321</v>
      </c>
      <c r="F1848" s="69" t="s">
        <v>4326</v>
      </c>
    </row>
    <row r="1849" spans="1:6" ht="22.5" x14ac:dyDescent="0.2">
      <c r="A1849" s="65" t="s">
        <v>4327</v>
      </c>
      <c r="B1849" s="65" t="s">
        <v>4328</v>
      </c>
      <c r="C1849" s="67" t="s">
        <v>203</v>
      </c>
      <c r="D1849" s="69" t="s">
        <v>4329</v>
      </c>
      <c r="E1849" s="69" t="s">
        <v>4330</v>
      </c>
      <c r="F1849" s="69" t="s">
        <v>4331</v>
      </c>
    </row>
    <row r="1850" spans="1:6" ht="22.5" x14ac:dyDescent="0.2">
      <c r="A1850" s="65" t="s">
        <v>4332</v>
      </c>
      <c r="B1850" s="65" t="s">
        <v>4333</v>
      </c>
      <c r="C1850" s="67" t="s">
        <v>203</v>
      </c>
      <c r="D1850" s="69" t="s">
        <v>4334</v>
      </c>
      <c r="E1850" s="69" t="s">
        <v>4330</v>
      </c>
      <c r="F1850" s="69" t="s">
        <v>4335</v>
      </c>
    </row>
    <row r="1851" spans="1:6" ht="22.5" x14ac:dyDescent="0.2">
      <c r="A1851" s="50">
        <v>35.200000000000003</v>
      </c>
      <c r="B1851" s="64" t="s">
        <v>4336</v>
      </c>
      <c r="C1851" s="47"/>
      <c r="D1851" s="47"/>
      <c r="E1851" s="47"/>
      <c r="F1851" s="47"/>
    </row>
    <row r="1852" spans="1:6" ht="22.5" x14ac:dyDescent="0.2">
      <c r="A1852" s="65" t="s">
        <v>4337</v>
      </c>
      <c r="B1852" s="65" t="s">
        <v>4338</v>
      </c>
      <c r="C1852" s="67" t="s">
        <v>204</v>
      </c>
      <c r="D1852" s="69" t="s">
        <v>4339</v>
      </c>
      <c r="E1852" s="73"/>
      <c r="F1852" s="69" t="s">
        <v>4339</v>
      </c>
    </row>
    <row r="1853" spans="1:6" ht="45" x14ac:dyDescent="0.2">
      <c r="A1853" s="65" t="s">
        <v>4340</v>
      </c>
      <c r="B1853" s="66" t="s">
        <v>4341</v>
      </c>
      <c r="C1853" s="67" t="s">
        <v>203</v>
      </c>
      <c r="D1853" s="69" t="s">
        <v>4342</v>
      </c>
      <c r="E1853" s="69" t="s">
        <v>4343</v>
      </c>
      <c r="F1853" s="69" t="s">
        <v>4344</v>
      </c>
    </row>
    <row r="1854" spans="1:6" ht="22.5" x14ac:dyDescent="0.2">
      <c r="A1854" s="49">
        <v>36</v>
      </c>
      <c r="B1854" s="64" t="s">
        <v>4345</v>
      </c>
      <c r="C1854" s="47"/>
      <c r="D1854" s="47"/>
      <c r="E1854" s="47"/>
      <c r="F1854" s="47"/>
    </row>
    <row r="1855" spans="1:6" ht="22.5" x14ac:dyDescent="0.2">
      <c r="A1855" s="50">
        <v>36.01</v>
      </c>
      <c r="B1855" s="64" t="s">
        <v>4346</v>
      </c>
      <c r="C1855" s="47"/>
      <c r="D1855" s="47"/>
      <c r="E1855" s="47"/>
      <c r="F1855" s="47"/>
    </row>
    <row r="1856" spans="1:6" ht="22.5" x14ac:dyDescent="0.2">
      <c r="A1856" s="65" t="s">
        <v>4347</v>
      </c>
      <c r="B1856" s="65" t="s">
        <v>4348</v>
      </c>
      <c r="C1856" s="67" t="s">
        <v>240</v>
      </c>
      <c r="D1856" s="69" t="s">
        <v>4349</v>
      </c>
      <c r="E1856" s="69" t="s">
        <v>4350</v>
      </c>
      <c r="F1856" s="69" t="s">
        <v>4351</v>
      </c>
    </row>
    <row r="1857" spans="1:6" ht="22.5" x14ac:dyDescent="0.2">
      <c r="A1857" s="65" t="s">
        <v>4352</v>
      </c>
      <c r="B1857" s="65" t="s">
        <v>4353</v>
      </c>
      <c r="C1857" s="67" t="s">
        <v>240</v>
      </c>
      <c r="D1857" s="69" t="s">
        <v>4354</v>
      </c>
      <c r="E1857" s="69" t="s">
        <v>4350</v>
      </c>
      <c r="F1857" s="69" t="s">
        <v>4355</v>
      </c>
    </row>
    <row r="1858" spans="1:6" ht="22.5" x14ac:dyDescent="0.2">
      <c r="A1858" s="65" t="s">
        <v>4356</v>
      </c>
      <c r="B1858" s="65" t="s">
        <v>4357</v>
      </c>
      <c r="C1858" s="67" t="s">
        <v>240</v>
      </c>
      <c r="D1858" s="69" t="s">
        <v>4358</v>
      </c>
      <c r="E1858" s="69" t="s">
        <v>4359</v>
      </c>
      <c r="F1858" s="69" t="s">
        <v>4360</v>
      </c>
    </row>
    <row r="1859" spans="1:6" x14ac:dyDescent="0.2">
      <c r="A1859" s="50">
        <v>36.03</v>
      </c>
      <c r="B1859" s="64" t="s">
        <v>4361</v>
      </c>
      <c r="C1859" s="47"/>
      <c r="D1859" s="47"/>
      <c r="E1859" s="47"/>
      <c r="F1859" s="47"/>
    </row>
    <row r="1860" spans="1:6" ht="33.75" x14ac:dyDescent="0.2">
      <c r="A1860" s="65" t="s">
        <v>4362</v>
      </c>
      <c r="B1860" s="65" t="s">
        <v>4363</v>
      </c>
      <c r="C1860" s="67" t="s">
        <v>203</v>
      </c>
      <c r="D1860" s="69" t="s">
        <v>4364</v>
      </c>
      <c r="E1860" s="69" t="s">
        <v>4365</v>
      </c>
      <c r="F1860" s="69" t="s">
        <v>4366</v>
      </c>
    </row>
    <row r="1861" spans="1:6" ht="33.75" x14ac:dyDescent="0.2">
      <c r="A1861" s="65" t="s">
        <v>4367</v>
      </c>
      <c r="B1861" s="66" t="s">
        <v>4368</v>
      </c>
      <c r="C1861" s="67" t="s">
        <v>203</v>
      </c>
      <c r="D1861" s="69" t="s">
        <v>4369</v>
      </c>
      <c r="E1861" s="69" t="s">
        <v>4365</v>
      </c>
      <c r="F1861" s="69" t="s">
        <v>4370</v>
      </c>
    </row>
    <row r="1862" spans="1:6" ht="33.75" x14ac:dyDescent="0.2">
      <c r="A1862" s="65" t="s">
        <v>4371</v>
      </c>
      <c r="B1862" s="66" t="s">
        <v>4372</v>
      </c>
      <c r="C1862" s="67" t="s">
        <v>203</v>
      </c>
      <c r="D1862" s="69" t="s">
        <v>4373</v>
      </c>
      <c r="E1862" s="69" t="s">
        <v>327</v>
      </c>
      <c r="F1862" s="69" t="s">
        <v>4374</v>
      </c>
    </row>
    <row r="1863" spans="1:6" ht="45" x14ac:dyDescent="0.2">
      <c r="A1863" s="65" t="s">
        <v>4375</v>
      </c>
      <c r="B1863" s="66" t="s">
        <v>4376</v>
      </c>
      <c r="C1863" s="67" t="s">
        <v>203</v>
      </c>
      <c r="D1863" s="69" t="s">
        <v>4377</v>
      </c>
      <c r="E1863" s="69" t="s">
        <v>327</v>
      </c>
      <c r="F1863" s="69" t="s">
        <v>4378</v>
      </c>
    </row>
    <row r="1864" spans="1:6" ht="45" x14ac:dyDescent="0.2">
      <c r="A1864" s="65" t="s">
        <v>4379</v>
      </c>
      <c r="B1864" s="66" t="s">
        <v>4380</v>
      </c>
      <c r="C1864" s="67" t="s">
        <v>203</v>
      </c>
      <c r="D1864" s="69" t="s">
        <v>4381</v>
      </c>
      <c r="E1864" s="69" t="s">
        <v>327</v>
      </c>
      <c r="F1864" s="69" t="s">
        <v>4382</v>
      </c>
    </row>
    <row r="1865" spans="1:6" ht="33.75" x14ac:dyDescent="0.2">
      <c r="A1865" s="65" t="s">
        <v>4383</v>
      </c>
      <c r="B1865" s="66" t="s">
        <v>4384</v>
      </c>
      <c r="C1865" s="67" t="s">
        <v>203</v>
      </c>
      <c r="D1865" s="69" t="s">
        <v>4385</v>
      </c>
      <c r="E1865" s="69" t="s">
        <v>345</v>
      </c>
      <c r="F1865" s="69" t="s">
        <v>4386</v>
      </c>
    </row>
    <row r="1866" spans="1:6" ht="45" x14ac:dyDescent="0.2">
      <c r="A1866" s="65" t="s">
        <v>4387</v>
      </c>
      <c r="B1866" s="66" t="s">
        <v>4388</v>
      </c>
      <c r="C1866" s="67" t="s">
        <v>203</v>
      </c>
      <c r="D1866" s="69" t="s">
        <v>4389</v>
      </c>
      <c r="E1866" s="69" t="s">
        <v>4390</v>
      </c>
      <c r="F1866" s="69" t="s">
        <v>4391</v>
      </c>
    </row>
    <row r="1867" spans="1:6" ht="45" x14ac:dyDescent="0.2">
      <c r="A1867" s="65" t="s">
        <v>4392</v>
      </c>
      <c r="B1867" s="66" t="s">
        <v>4393</v>
      </c>
      <c r="C1867" s="67" t="s">
        <v>203</v>
      </c>
      <c r="D1867" s="69" t="s">
        <v>4394</v>
      </c>
      <c r="E1867" s="69" t="s">
        <v>327</v>
      </c>
      <c r="F1867" s="69" t="s">
        <v>4395</v>
      </c>
    </row>
    <row r="1868" spans="1:6" ht="45" x14ac:dyDescent="0.2">
      <c r="A1868" s="65" t="s">
        <v>4396</v>
      </c>
      <c r="B1868" s="66" t="s">
        <v>4397</v>
      </c>
      <c r="C1868" s="67" t="s">
        <v>203</v>
      </c>
      <c r="D1868" s="69" t="s">
        <v>4398</v>
      </c>
      <c r="E1868" s="69" t="s">
        <v>328</v>
      </c>
      <c r="F1868" s="69" t="s">
        <v>4399</v>
      </c>
    </row>
    <row r="1869" spans="1:6" ht="33.75" x14ac:dyDescent="0.2">
      <c r="A1869" s="65" t="s">
        <v>4400</v>
      </c>
      <c r="B1869" s="65" t="s">
        <v>4401</v>
      </c>
      <c r="C1869" s="67" t="s">
        <v>203</v>
      </c>
      <c r="D1869" s="69" t="s">
        <v>4402</v>
      </c>
      <c r="E1869" s="69" t="s">
        <v>4365</v>
      </c>
      <c r="F1869" s="69" t="s">
        <v>4403</v>
      </c>
    </row>
    <row r="1870" spans="1:6" ht="22.5" x14ac:dyDescent="0.2">
      <c r="A1870" s="65" t="s">
        <v>4404</v>
      </c>
      <c r="B1870" s="65" t="s">
        <v>4405</v>
      </c>
      <c r="C1870" s="67" t="s">
        <v>203</v>
      </c>
      <c r="D1870" s="69" t="s">
        <v>4406</v>
      </c>
      <c r="E1870" s="69" t="s">
        <v>327</v>
      </c>
      <c r="F1870" s="69" t="s">
        <v>4407</v>
      </c>
    </row>
    <row r="1871" spans="1:6" x14ac:dyDescent="0.2">
      <c r="A1871" s="50">
        <v>36.04</v>
      </c>
      <c r="B1871" s="64" t="s">
        <v>4408</v>
      </c>
      <c r="C1871" s="47"/>
      <c r="D1871" s="47"/>
      <c r="E1871" s="47"/>
      <c r="F1871" s="47"/>
    </row>
    <row r="1872" spans="1:6" ht="22.5" x14ac:dyDescent="0.2">
      <c r="A1872" s="65" t="s">
        <v>4409</v>
      </c>
      <c r="B1872" s="65" t="s">
        <v>4410</v>
      </c>
      <c r="C1872" s="67" t="s">
        <v>203</v>
      </c>
      <c r="D1872" s="69" t="s">
        <v>1522</v>
      </c>
      <c r="E1872" s="69" t="s">
        <v>323</v>
      </c>
      <c r="F1872" s="69" t="s">
        <v>4411</v>
      </c>
    </row>
    <row r="1873" spans="1:6" ht="22.5" x14ac:dyDescent="0.2">
      <c r="A1873" s="65" t="s">
        <v>4412</v>
      </c>
      <c r="B1873" s="65" t="s">
        <v>4413</v>
      </c>
      <c r="C1873" s="67" t="s">
        <v>203</v>
      </c>
      <c r="D1873" s="69" t="s">
        <v>4414</v>
      </c>
      <c r="E1873" s="69" t="s">
        <v>323</v>
      </c>
      <c r="F1873" s="69" t="s">
        <v>4415</v>
      </c>
    </row>
    <row r="1874" spans="1:6" ht="22.5" x14ac:dyDescent="0.2">
      <c r="A1874" s="65" t="s">
        <v>4416</v>
      </c>
      <c r="B1874" s="65" t="s">
        <v>4417</v>
      </c>
      <c r="C1874" s="67" t="s">
        <v>203</v>
      </c>
      <c r="D1874" s="69" t="s">
        <v>4418</v>
      </c>
      <c r="E1874" s="69" t="s">
        <v>323</v>
      </c>
      <c r="F1874" s="69" t="s">
        <v>4419</v>
      </c>
    </row>
    <row r="1875" spans="1:6" ht="22.5" x14ac:dyDescent="0.2">
      <c r="A1875" s="65" t="s">
        <v>4420</v>
      </c>
      <c r="B1875" s="65" t="s">
        <v>4421</v>
      </c>
      <c r="C1875" s="67" t="s">
        <v>203</v>
      </c>
      <c r="D1875" s="69" t="s">
        <v>4422</v>
      </c>
      <c r="E1875" s="69" t="s">
        <v>323</v>
      </c>
      <c r="F1875" s="69" t="s">
        <v>4423</v>
      </c>
    </row>
    <row r="1876" spans="1:6" x14ac:dyDescent="0.2">
      <c r="A1876" s="50">
        <v>36.049999999999997</v>
      </c>
      <c r="B1876" s="64" t="s">
        <v>4424</v>
      </c>
      <c r="C1876" s="47"/>
      <c r="D1876" s="47"/>
      <c r="E1876" s="47"/>
      <c r="F1876" s="47"/>
    </row>
    <row r="1877" spans="1:6" ht="22.5" x14ac:dyDescent="0.2">
      <c r="A1877" s="65" t="s">
        <v>4425</v>
      </c>
      <c r="B1877" s="65" t="s">
        <v>4426</v>
      </c>
      <c r="C1877" s="67" t="s">
        <v>203</v>
      </c>
      <c r="D1877" s="69" t="s">
        <v>4427</v>
      </c>
      <c r="E1877" s="69" t="s">
        <v>336</v>
      </c>
      <c r="F1877" s="69" t="s">
        <v>4428</v>
      </c>
    </row>
    <row r="1878" spans="1:6" ht="22.5" x14ac:dyDescent="0.2">
      <c r="A1878" s="65" t="s">
        <v>4429</v>
      </c>
      <c r="B1878" s="65" t="s">
        <v>4430</v>
      </c>
      <c r="C1878" s="67" t="s">
        <v>203</v>
      </c>
      <c r="D1878" s="69" t="s">
        <v>4431</v>
      </c>
      <c r="E1878" s="69" t="s">
        <v>336</v>
      </c>
      <c r="F1878" s="69" t="s">
        <v>4432</v>
      </c>
    </row>
    <row r="1879" spans="1:6" ht="22.5" x14ac:dyDescent="0.2">
      <c r="A1879" s="65" t="s">
        <v>4433</v>
      </c>
      <c r="B1879" s="65" t="s">
        <v>4434</v>
      </c>
      <c r="C1879" s="67" t="s">
        <v>203</v>
      </c>
      <c r="D1879" s="69" t="s">
        <v>4435</v>
      </c>
      <c r="E1879" s="69" t="s">
        <v>336</v>
      </c>
      <c r="F1879" s="69" t="s">
        <v>4436</v>
      </c>
    </row>
    <row r="1880" spans="1:6" ht="22.5" x14ac:dyDescent="0.2">
      <c r="A1880" s="65" t="s">
        <v>4437</v>
      </c>
      <c r="B1880" s="65" t="s">
        <v>4438</v>
      </c>
      <c r="C1880" s="67" t="s">
        <v>203</v>
      </c>
      <c r="D1880" s="69" t="s">
        <v>4439</v>
      </c>
      <c r="E1880" s="69" t="s">
        <v>333</v>
      </c>
      <c r="F1880" s="69" t="s">
        <v>4440</v>
      </c>
    </row>
    <row r="1881" spans="1:6" x14ac:dyDescent="0.2">
      <c r="A1881" s="65" t="s">
        <v>4441</v>
      </c>
      <c r="B1881" s="65" t="s">
        <v>4442</v>
      </c>
      <c r="C1881" s="67" t="s">
        <v>203</v>
      </c>
      <c r="D1881" s="69" t="s">
        <v>4443</v>
      </c>
      <c r="E1881" s="69" t="s">
        <v>336</v>
      </c>
      <c r="F1881" s="69" t="s">
        <v>4444</v>
      </c>
    </row>
    <row r="1882" spans="1:6" x14ac:dyDescent="0.2">
      <c r="A1882" s="65" t="s">
        <v>4445</v>
      </c>
      <c r="B1882" s="65" t="s">
        <v>4446</v>
      </c>
      <c r="C1882" s="67" t="s">
        <v>203</v>
      </c>
      <c r="D1882" s="69" t="s">
        <v>4447</v>
      </c>
      <c r="E1882" s="69" t="s">
        <v>336</v>
      </c>
      <c r="F1882" s="69" t="s">
        <v>4448</v>
      </c>
    </row>
    <row r="1883" spans="1:6" x14ac:dyDescent="0.2">
      <c r="A1883" s="50">
        <v>36.06</v>
      </c>
      <c r="B1883" s="64" t="s">
        <v>4449</v>
      </c>
      <c r="C1883" s="47"/>
      <c r="D1883" s="47"/>
      <c r="E1883" s="47"/>
      <c r="F1883" s="47"/>
    </row>
    <row r="1884" spans="1:6" ht="33.75" x14ac:dyDescent="0.2">
      <c r="A1884" s="65" t="s">
        <v>4450</v>
      </c>
      <c r="B1884" s="65" t="s">
        <v>4451</v>
      </c>
      <c r="C1884" s="67" t="s">
        <v>240</v>
      </c>
      <c r="D1884" s="69" t="s">
        <v>4452</v>
      </c>
      <c r="E1884" s="69" t="s">
        <v>319</v>
      </c>
      <c r="F1884" s="69" t="s">
        <v>4453</v>
      </c>
    </row>
    <row r="1885" spans="1:6" ht="33.75" x14ac:dyDescent="0.2">
      <c r="A1885" s="65" t="s">
        <v>4454</v>
      </c>
      <c r="B1885" s="65" t="s">
        <v>4455</v>
      </c>
      <c r="C1885" s="67" t="s">
        <v>240</v>
      </c>
      <c r="D1885" s="69" t="s">
        <v>4456</v>
      </c>
      <c r="E1885" s="69" t="s">
        <v>319</v>
      </c>
      <c r="F1885" s="69" t="s">
        <v>4457</v>
      </c>
    </row>
    <row r="1886" spans="1:6" x14ac:dyDescent="0.2">
      <c r="A1886" s="50">
        <v>36.07</v>
      </c>
      <c r="B1886" s="64" t="s">
        <v>4458</v>
      </c>
      <c r="C1886" s="47"/>
      <c r="D1886" s="47"/>
      <c r="E1886" s="47"/>
      <c r="F1886" s="47"/>
    </row>
    <row r="1887" spans="1:6" ht="45" x14ac:dyDescent="0.2">
      <c r="A1887" s="65" t="s">
        <v>4459</v>
      </c>
      <c r="B1887" s="66" t="s">
        <v>4460</v>
      </c>
      <c r="C1887" s="67" t="s">
        <v>203</v>
      </c>
      <c r="D1887" s="69" t="s">
        <v>4461</v>
      </c>
      <c r="E1887" s="69" t="s">
        <v>4462</v>
      </c>
      <c r="F1887" s="69" t="s">
        <v>4463</v>
      </c>
    </row>
    <row r="1888" spans="1:6" ht="45" x14ac:dyDescent="0.2">
      <c r="A1888" s="65" t="s">
        <v>4464</v>
      </c>
      <c r="B1888" s="66" t="s">
        <v>4465</v>
      </c>
      <c r="C1888" s="67" t="s">
        <v>203</v>
      </c>
      <c r="D1888" s="69" t="s">
        <v>4466</v>
      </c>
      <c r="E1888" s="69" t="s">
        <v>4462</v>
      </c>
      <c r="F1888" s="69" t="s">
        <v>4015</v>
      </c>
    </row>
    <row r="1889" spans="1:6" ht="45" x14ac:dyDescent="0.2">
      <c r="A1889" s="65" t="s">
        <v>4467</v>
      </c>
      <c r="B1889" s="66" t="s">
        <v>4468</v>
      </c>
      <c r="C1889" s="67" t="s">
        <v>203</v>
      </c>
      <c r="D1889" s="69" t="s">
        <v>4469</v>
      </c>
      <c r="E1889" s="69" t="s">
        <v>4462</v>
      </c>
      <c r="F1889" s="69" t="s">
        <v>4470</v>
      </c>
    </row>
    <row r="1890" spans="1:6" ht="45" x14ac:dyDescent="0.2">
      <c r="A1890" s="65" t="s">
        <v>4471</v>
      </c>
      <c r="B1890" s="66" t="s">
        <v>4472</v>
      </c>
      <c r="C1890" s="67" t="s">
        <v>203</v>
      </c>
      <c r="D1890" s="69" t="s">
        <v>4473</v>
      </c>
      <c r="E1890" s="69" t="s">
        <v>4462</v>
      </c>
      <c r="F1890" s="69" t="s">
        <v>4474</v>
      </c>
    </row>
    <row r="1891" spans="1:6" x14ac:dyDescent="0.2">
      <c r="A1891" s="50">
        <v>36.08</v>
      </c>
      <c r="B1891" s="64" t="s">
        <v>4475</v>
      </c>
      <c r="C1891" s="47"/>
      <c r="D1891" s="47"/>
      <c r="E1891" s="47"/>
      <c r="F1891" s="47"/>
    </row>
    <row r="1892" spans="1:6" ht="45" x14ac:dyDescent="0.2">
      <c r="A1892" s="65" t="s">
        <v>4476</v>
      </c>
      <c r="B1892" s="66" t="s">
        <v>4477</v>
      </c>
      <c r="C1892" s="67" t="s">
        <v>203</v>
      </c>
      <c r="D1892" s="69" t="s">
        <v>4478</v>
      </c>
      <c r="E1892" s="69" t="s">
        <v>4479</v>
      </c>
      <c r="F1892" s="69" t="s">
        <v>4480</v>
      </c>
    </row>
    <row r="1893" spans="1:6" ht="45" x14ac:dyDescent="0.2">
      <c r="A1893" s="65" t="s">
        <v>4481</v>
      </c>
      <c r="B1893" s="66" t="s">
        <v>4482</v>
      </c>
      <c r="C1893" s="67" t="s">
        <v>203</v>
      </c>
      <c r="D1893" s="69" t="s">
        <v>4483</v>
      </c>
      <c r="E1893" s="69" t="s">
        <v>4479</v>
      </c>
      <c r="F1893" s="69" t="s">
        <v>4484</v>
      </c>
    </row>
    <row r="1894" spans="1:6" ht="45" x14ac:dyDescent="0.2">
      <c r="A1894" s="65" t="s">
        <v>4485</v>
      </c>
      <c r="B1894" s="66" t="s">
        <v>4486</v>
      </c>
      <c r="C1894" s="67" t="s">
        <v>203</v>
      </c>
      <c r="D1894" s="69" t="s">
        <v>4487</v>
      </c>
      <c r="E1894" s="69" t="s">
        <v>4479</v>
      </c>
      <c r="F1894" s="69" t="s">
        <v>4488</v>
      </c>
    </row>
    <row r="1895" spans="1:6" ht="45" x14ac:dyDescent="0.2">
      <c r="A1895" s="65" t="s">
        <v>4489</v>
      </c>
      <c r="B1895" s="66" t="s">
        <v>4490</v>
      </c>
      <c r="C1895" s="67" t="s">
        <v>203</v>
      </c>
      <c r="D1895" s="69" t="s">
        <v>4491</v>
      </c>
      <c r="E1895" s="69" t="s">
        <v>4479</v>
      </c>
      <c r="F1895" s="69" t="s">
        <v>4492</v>
      </c>
    </row>
    <row r="1896" spans="1:6" ht="45" x14ac:dyDescent="0.2">
      <c r="A1896" s="65" t="s">
        <v>4493</v>
      </c>
      <c r="B1896" s="66" t="s">
        <v>4494</v>
      </c>
      <c r="C1896" s="67" t="s">
        <v>203</v>
      </c>
      <c r="D1896" s="69" t="s">
        <v>4495</v>
      </c>
      <c r="E1896" s="69" t="s">
        <v>4496</v>
      </c>
      <c r="F1896" s="69" t="s">
        <v>4497</v>
      </c>
    </row>
    <row r="1897" spans="1:6" ht="45" x14ac:dyDescent="0.2">
      <c r="A1897" s="65" t="s">
        <v>4498</v>
      </c>
      <c r="B1897" s="66" t="s">
        <v>4499</v>
      </c>
      <c r="C1897" s="67" t="s">
        <v>203</v>
      </c>
      <c r="D1897" s="69" t="s">
        <v>4500</v>
      </c>
      <c r="E1897" s="69" t="s">
        <v>4479</v>
      </c>
      <c r="F1897" s="69" t="s">
        <v>4501</v>
      </c>
    </row>
    <row r="1898" spans="1:6" ht="45" x14ac:dyDescent="0.2">
      <c r="A1898" s="65" t="s">
        <v>4502</v>
      </c>
      <c r="B1898" s="66" t="s">
        <v>4503</v>
      </c>
      <c r="C1898" s="67" t="s">
        <v>203</v>
      </c>
      <c r="D1898" s="69" t="s">
        <v>4504</v>
      </c>
      <c r="E1898" s="69" t="s">
        <v>4505</v>
      </c>
      <c r="F1898" s="69" t="s">
        <v>4506</v>
      </c>
    </row>
    <row r="1899" spans="1:6" ht="45" x14ac:dyDescent="0.2">
      <c r="A1899" s="65" t="s">
        <v>4507</v>
      </c>
      <c r="B1899" s="66" t="s">
        <v>4508</v>
      </c>
      <c r="C1899" s="67" t="s">
        <v>203</v>
      </c>
      <c r="D1899" s="69" t="s">
        <v>4509</v>
      </c>
      <c r="E1899" s="69" t="s">
        <v>4479</v>
      </c>
      <c r="F1899" s="69" t="s">
        <v>4510</v>
      </c>
    </row>
    <row r="1900" spans="1:6" ht="45" x14ac:dyDescent="0.2">
      <c r="A1900" s="65" t="s">
        <v>4511</v>
      </c>
      <c r="B1900" s="66" t="s">
        <v>4512</v>
      </c>
      <c r="C1900" s="67" t="s">
        <v>203</v>
      </c>
      <c r="D1900" s="69" t="s">
        <v>4513</v>
      </c>
      <c r="E1900" s="69" t="s">
        <v>4514</v>
      </c>
      <c r="F1900" s="69" t="s">
        <v>4515</v>
      </c>
    </row>
    <row r="1901" spans="1:6" ht="45" x14ac:dyDescent="0.2">
      <c r="A1901" s="65" t="s">
        <v>4516</v>
      </c>
      <c r="B1901" s="66" t="s">
        <v>4517</v>
      </c>
      <c r="C1901" s="67" t="s">
        <v>203</v>
      </c>
      <c r="D1901" s="69" t="s">
        <v>4518</v>
      </c>
      <c r="E1901" s="69" t="s">
        <v>4505</v>
      </c>
      <c r="F1901" s="69" t="s">
        <v>4519</v>
      </c>
    </row>
    <row r="1902" spans="1:6" x14ac:dyDescent="0.2">
      <c r="A1902" s="50">
        <v>36.090000000000003</v>
      </c>
      <c r="B1902" s="64" t="s">
        <v>4520</v>
      </c>
      <c r="C1902" s="47"/>
      <c r="D1902" s="47"/>
      <c r="E1902" s="47"/>
      <c r="F1902" s="47"/>
    </row>
    <row r="1903" spans="1:6" ht="33.75" x14ac:dyDescent="0.2">
      <c r="A1903" s="65" t="s">
        <v>4521</v>
      </c>
      <c r="B1903" s="65" t="s">
        <v>4522</v>
      </c>
      <c r="C1903" s="67" t="s">
        <v>203</v>
      </c>
      <c r="D1903" s="69" t="s">
        <v>4523</v>
      </c>
      <c r="E1903" s="69" t="s">
        <v>4496</v>
      </c>
      <c r="F1903" s="69" t="s">
        <v>4524</v>
      </c>
    </row>
    <row r="1904" spans="1:6" ht="33.75" x14ac:dyDescent="0.2">
      <c r="A1904" s="65" t="s">
        <v>4525</v>
      </c>
      <c r="B1904" s="65" t="s">
        <v>4526</v>
      </c>
      <c r="C1904" s="76" t="s">
        <v>203</v>
      </c>
      <c r="D1904" s="69" t="s">
        <v>4527</v>
      </c>
      <c r="E1904" s="69" t="s">
        <v>4496</v>
      </c>
      <c r="F1904" s="69" t="s">
        <v>4528</v>
      </c>
    </row>
    <row r="1905" spans="1:6" ht="33.75" x14ac:dyDescent="0.2">
      <c r="A1905" s="65" t="s">
        <v>4529</v>
      </c>
      <c r="B1905" s="65" t="s">
        <v>4530</v>
      </c>
      <c r="C1905" s="76" t="s">
        <v>203</v>
      </c>
      <c r="D1905" s="69" t="s">
        <v>4531</v>
      </c>
      <c r="E1905" s="69" t="s">
        <v>4532</v>
      </c>
      <c r="F1905" s="69" t="s">
        <v>4533</v>
      </c>
    </row>
    <row r="1906" spans="1:6" ht="45" x14ac:dyDescent="0.2">
      <c r="A1906" s="65" t="s">
        <v>4534</v>
      </c>
      <c r="B1906" s="66" t="s">
        <v>4535</v>
      </c>
      <c r="C1906" s="76" t="s">
        <v>203</v>
      </c>
      <c r="D1906" s="69" t="s">
        <v>4536</v>
      </c>
      <c r="E1906" s="69" t="s">
        <v>4532</v>
      </c>
      <c r="F1906" s="69" t="s">
        <v>4537</v>
      </c>
    </row>
    <row r="1907" spans="1:6" ht="45" x14ac:dyDescent="0.2">
      <c r="A1907" s="65" t="s">
        <v>4538</v>
      </c>
      <c r="B1907" s="66" t="s">
        <v>4539</v>
      </c>
      <c r="C1907" s="76" t="s">
        <v>203</v>
      </c>
      <c r="D1907" s="69" t="s">
        <v>4540</v>
      </c>
      <c r="E1907" s="69" t="s">
        <v>4541</v>
      </c>
      <c r="F1907" s="69" t="s">
        <v>4542</v>
      </c>
    </row>
    <row r="1908" spans="1:6" ht="45" x14ac:dyDescent="0.2">
      <c r="A1908" s="65" t="s">
        <v>4543</v>
      </c>
      <c r="B1908" s="66" t="s">
        <v>4544</v>
      </c>
      <c r="C1908" s="76" t="s">
        <v>203</v>
      </c>
      <c r="D1908" s="69" t="s">
        <v>4545</v>
      </c>
      <c r="E1908" s="69" t="s">
        <v>4541</v>
      </c>
      <c r="F1908" s="69" t="s">
        <v>4546</v>
      </c>
    </row>
    <row r="1909" spans="1:6" ht="33.75" x14ac:dyDescent="0.2">
      <c r="A1909" s="65" t="s">
        <v>4547</v>
      </c>
      <c r="B1909" s="65" t="s">
        <v>4548</v>
      </c>
      <c r="C1909" s="76" t="s">
        <v>203</v>
      </c>
      <c r="D1909" s="69" t="s">
        <v>4549</v>
      </c>
      <c r="E1909" s="69" t="s">
        <v>4496</v>
      </c>
      <c r="F1909" s="69" t="s">
        <v>4550</v>
      </c>
    </row>
    <row r="1910" spans="1:6" ht="33.75" x14ac:dyDescent="0.2">
      <c r="A1910" s="65" t="s">
        <v>4551</v>
      </c>
      <c r="B1910" s="65" t="s">
        <v>4552</v>
      </c>
      <c r="C1910" s="76" t="s">
        <v>203</v>
      </c>
      <c r="D1910" s="69" t="s">
        <v>4553</v>
      </c>
      <c r="E1910" s="69" t="s">
        <v>4496</v>
      </c>
      <c r="F1910" s="69" t="s">
        <v>4554</v>
      </c>
    </row>
    <row r="1911" spans="1:6" ht="33.75" x14ac:dyDescent="0.2">
      <c r="A1911" s="65" t="s">
        <v>4555</v>
      </c>
      <c r="B1911" s="65" t="s">
        <v>4556</v>
      </c>
      <c r="C1911" s="76" t="s">
        <v>203</v>
      </c>
      <c r="D1911" s="69" t="s">
        <v>4557</v>
      </c>
      <c r="E1911" s="69" t="s">
        <v>4496</v>
      </c>
      <c r="F1911" s="69" t="s">
        <v>4558</v>
      </c>
    </row>
    <row r="1912" spans="1:6" ht="45" x14ac:dyDescent="0.2">
      <c r="A1912" s="65" t="s">
        <v>4559</v>
      </c>
      <c r="B1912" s="66" t="s">
        <v>4560</v>
      </c>
      <c r="C1912" s="76" t="s">
        <v>203</v>
      </c>
      <c r="D1912" s="69" t="s">
        <v>4561</v>
      </c>
      <c r="E1912" s="69" t="s">
        <v>4532</v>
      </c>
      <c r="F1912" s="69" t="s">
        <v>4562</v>
      </c>
    </row>
    <row r="1913" spans="1:6" ht="45" x14ac:dyDescent="0.2">
      <c r="A1913" s="65" t="s">
        <v>4563</v>
      </c>
      <c r="B1913" s="66" t="s">
        <v>4564</v>
      </c>
      <c r="C1913" s="76" t="s">
        <v>203</v>
      </c>
      <c r="D1913" s="69" t="s">
        <v>4565</v>
      </c>
      <c r="E1913" s="69" t="s">
        <v>4541</v>
      </c>
      <c r="F1913" s="69" t="s">
        <v>4566</v>
      </c>
    </row>
    <row r="1914" spans="1:6" ht="33.75" x14ac:dyDescent="0.2">
      <c r="A1914" s="65" t="s">
        <v>4567</v>
      </c>
      <c r="B1914" s="65" t="s">
        <v>4568</v>
      </c>
      <c r="C1914" s="76" t="s">
        <v>203</v>
      </c>
      <c r="D1914" s="69" t="s">
        <v>4569</v>
      </c>
      <c r="E1914" s="69" t="s">
        <v>4532</v>
      </c>
      <c r="F1914" s="69" t="s">
        <v>4570</v>
      </c>
    </row>
    <row r="1915" spans="1:6" ht="33.75" x14ac:dyDescent="0.2">
      <c r="A1915" s="65" t="s">
        <v>4571</v>
      </c>
      <c r="B1915" s="65" t="s">
        <v>4572</v>
      </c>
      <c r="C1915" s="76" t="s">
        <v>203</v>
      </c>
      <c r="D1915" s="69" t="s">
        <v>4573</v>
      </c>
      <c r="E1915" s="69" t="s">
        <v>4532</v>
      </c>
      <c r="F1915" s="69" t="s">
        <v>4574</v>
      </c>
    </row>
    <row r="1916" spans="1:6" ht="33.75" x14ac:dyDescent="0.2">
      <c r="A1916" s="65" t="s">
        <v>4575</v>
      </c>
      <c r="B1916" s="65" t="s">
        <v>4576</v>
      </c>
      <c r="C1916" s="76" t="s">
        <v>203</v>
      </c>
      <c r="D1916" s="69" t="s">
        <v>4577</v>
      </c>
      <c r="E1916" s="69" t="s">
        <v>4532</v>
      </c>
      <c r="F1916" s="69" t="s">
        <v>4578</v>
      </c>
    </row>
    <row r="1917" spans="1:6" ht="33.75" x14ac:dyDescent="0.2">
      <c r="A1917" s="65" t="s">
        <v>4579</v>
      </c>
      <c r="B1917" s="65" t="s">
        <v>4580</v>
      </c>
      <c r="C1917" s="76" t="s">
        <v>203</v>
      </c>
      <c r="D1917" s="69" t="s">
        <v>4581</v>
      </c>
      <c r="E1917" s="69" t="s">
        <v>4496</v>
      </c>
      <c r="F1917" s="69" t="s">
        <v>4582</v>
      </c>
    </row>
    <row r="1918" spans="1:6" ht="33.75" x14ac:dyDescent="0.2">
      <c r="A1918" s="65" t="s">
        <v>4583</v>
      </c>
      <c r="B1918" s="65" t="s">
        <v>4584</v>
      </c>
      <c r="C1918" s="76" t="s">
        <v>203</v>
      </c>
      <c r="D1918" s="69" t="s">
        <v>4585</v>
      </c>
      <c r="E1918" s="69" t="s">
        <v>4496</v>
      </c>
      <c r="F1918" s="69" t="s">
        <v>4586</v>
      </c>
    </row>
    <row r="1919" spans="1:6" ht="45" x14ac:dyDescent="0.2">
      <c r="A1919" s="65" t="s">
        <v>4587</v>
      </c>
      <c r="B1919" s="66" t="s">
        <v>4588</v>
      </c>
      <c r="C1919" s="76" t="s">
        <v>203</v>
      </c>
      <c r="D1919" s="69" t="s">
        <v>4589</v>
      </c>
      <c r="E1919" s="69" t="s">
        <v>4532</v>
      </c>
      <c r="F1919" s="69" t="s">
        <v>4590</v>
      </c>
    </row>
    <row r="1920" spans="1:6" ht="45" x14ac:dyDescent="0.2">
      <c r="A1920" s="65" t="s">
        <v>4591</v>
      </c>
      <c r="B1920" s="66" t="s">
        <v>4592</v>
      </c>
      <c r="C1920" s="76" t="s">
        <v>203</v>
      </c>
      <c r="D1920" s="69" t="s">
        <v>4593</v>
      </c>
      <c r="E1920" s="69" t="s">
        <v>4496</v>
      </c>
      <c r="F1920" s="69" t="s">
        <v>4594</v>
      </c>
    </row>
    <row r="1921" spans="1:6" ht="45" x14ac:dyDescent="0.2">
      <c r="A1921" s="65" t="s">
        <v>4595</v>
      </c>
      <c r="B1921" s="66" t="s">
        <v>4596</v>
      </c>
      <c r="C1921" s="76" t="s">
        <v>203</v>
      </c>
      <c r="D1921" s="69" t="s">
        <v>4597</v>
      </c>
      <c r="E1921" s="69" t="s">
        <v>4496</v>
      </c>
      <c r="F1921" s="69" t="s">
        <v>4598</v>
      </c>
    </row>
    <row r="1922" spans="1:6" ht="22.5" x14ac:dyDescent="0.2">
      <c r="A1922" s="50">
        <v>36.200000000000003</v>
      </c>
      <c r="B1922" s="64" t="s">
        <v>4599</v>
      </c>
      <c r="C1922" s="47"/>
      <c r="D1922" s="47"/>
      <c r="E1922" s="47"/>
      <c r="F1922" s="47"/>
    </row>
    <row r="1923" spans="1:6" ht="22.5" x14ac:dyDescent="0.2">
      <c r="A1923" s="65" t="s">
        <v>4600</v>
      </c>
      <c r="B1923" s="65" t="s">
        <v>4601</v>
      </c>
      <c r="C1923" s="76" t="s">
        <v>221</v>
      </c>
      <c r="D1923" s="69" t="s">
        <v>4602</v>
      </c>
      <c r="E1923" s="69" t="s">
        <v>318</v>
      </c>
      <c r="F1923" s="69" t="s">
        <v>4603</v>
      </c>
    </row>
    <row r="1924" spans="1:6" ht="22.5" x14ac:dyDescent="0.2">
      <c r="A1924" s="65" t="s">
        <v>4604</v>
      </c>
      <c r="B1924" s="65" t="s">
        <v>4605</v>
      </c>
      <c r="C1924" s="76" t="s">
        <v>203</v>
      </c>
      <c r="D1924" s="69" t="s">
        <v>4606</v>
      </c>
      <c r="E1924" s="69" t="s">
        <v>336</v>
      </c>
      <c r="F1924" s="69" t="s">
        <v>4607</v>
      </c>
    </row>
    <row r="1925" spans="1:6" ht="22.5" x14ac:dyDescent="0.2">
      <c r="A1925" s="65" t="s">
        <v>4608</v>
      </c>
      <c r="B1925" s="65" t="s">
        <v>4609</v>
      </c>
      <c r="C1925" s="76" t="s">
        <v>203</v>
      </c>
      <c r="D1925" s="69" t="s">
        <v>4610</v>
      </c>
      <c r="E1925" s="69" t="s">
        <v>4611</v>
      </c>
      <c r="F1925" s="69" t="s">
        <v>4612</v>
      </c>
    </row>
    <row r="1926" spans="1:6" ht="22.5" x14ac:dyDescent="0.2">
      <c r="A1926" s="65" t="s">
        <v>4613</v>
      </c>
      <c r="B1926" s="65" t="s">
        <v>4614</v>
      </c>
      <c r="C1926" s="76" t="s">
        <v>203</v>
      </c>
      <c r="D1926" s="69" t="s">
        <v>4615</v>
      </c>
      <c r="E1926" s="69" t="s">
        <v>336</v>
      </c>
      <c r="F1926" s="69" t="s">
        <v>4616</v>
      </c>
    </row>
    <row r="1927" spans="1:6" ht="22.5" x14ac:dyDescent="0.2">
      <c r="A1927" s="65" t="s">
        <v>4617</v>
      </c>
      <c r="B1927" s="65" t="s">
        <v>4618</v>
      </c>
      <c r="C1927" s="76" t="s">
        <v>203</v>
      </c>
      <c r="D1927" s="69" t="s">
        <v>306</v>
      </c>
      <c r="E1927" s="69" t="s">
        <v>320</v>
      </c>
      <c r="F1927" s="69" t="s">
        <v>1206</v>
      </c>
    </row>
    <row r="1928" spans="1:6" ht="22.5" x14ac:dyDescent="0.2">
      <c r="A1928" s="65" t="s">
        <v>4619</v>
      </c>
      <c r="B1928" s="65" t="s">
        <v>4620</v>
      </c>
      <c r="C1928" s="76" t="s">
        <v>203</v>
      </c>
      <c r="D1928" s="69" t="s">
        <v>4621</v>
      </c>
      <c r="E1928" s="69" t="s">
        <v>336</v>
      </c>
      <c r="F1928" s="69" t="s">
        <v>4622</v>
      </c>
    </row>
    <row r="1929" spans="1:6" ht="33.75" x14ac:dyDescent="0.2">
      <c r="A1929" s="65" t="s">
        <v>4623</v>
      </c>
      <c r="B1929" s="65" t="s">
        <v>4624</v>
      </c>
      <c r="C1929" s="76" t="s">
        <v>203</v>
      </c>
      <c r="D1929" s="69" t="s">
        <v>4625</v>
      </c>
      <c r="E1929" s="69" t="s">
        <v>247</v>
      </c>
      <c r="F1929" s="69" t="s">
        <v>4626</v>
      </c>
    </row>
    <row r="1930" spans="1:6" ht="33.75" x14ac:dyDescent="0.2">
      <c r="A1930" s="65" t="s">
        <v>4627</v>
      </c>
      <c r="B1930" s="65" t="s">
        <v>4628</v>
      </c>
      <c r="C1930" s="76" t="s">
        <v>203</v>
      </c>
      <c r="D1930" s="69" t="s">
        <v>4629</v>
      </c>
      <c r="E1930" s="69" t="s">
        <v>319</v>
      </c>
      <c r="F1930" s="69" t="s">
        <v>4630</v>
      </c>
    </row>
    <row r="1931" spans="1:6" ht="22.5" x14ac:dyDescent="0.2">
      <c r="A1931" s="65" t="s">
        <v>4631</v>
      </c>
      <c r="B1931" s="65" t="s">
        <v>4632</v>
      </c>
      <c r="C1931" s="76" t="s">
        <v>203</v>
      </c>
      <c r="D1931" s="69" t="s">
        <v>4633</v>
      </c>
      <c r="E1931" s="69" t="s">
        <v>319</v>
      </c>
      <c r="F1931" s="69" t="s">
        <v>4634</v>
      </c>
    </row>
    <row r="1932" spans="1:6" x14ac:dyDescent="0.2">
      <c r="A1932" s="65" t="s">
        <v>4635</v>
      </c>
      <c r="B1932" s="65" t="s">
        <v>4636</v>
      </c>
      <c r="C1932" s="76" t="s">
        <v>203</v>
      </c>
      <c r="D1932" s="69" t="s">
        <v>4637</v>
      </c>
      <c r="E1932" s="69" t="s">
        <v>332</v>
      </c>
      <c r="F1932" s="69" t="s">
        <v>4638</v>
      </c>
    </row>
    <row r="1933" spans="1:6" ht="22.5" x14ac:dyDescent="0.2">
      <c r="A1933" s="65" t="s">
        <v>4639</v>
      </c>
      <c r="B1933" s="65" t="s">
        <v>4640</v>
      </c>
      <c r="C1933" s="77" t="s">
        <v>4641</v>
      </c>
      <c r="D1933" s="69" t="s">
        <v>4642</v>
      </c>
      <c r="E1933" s="69" t="s">
        <v>247</v>
      </c>
      <c r="F1933" s="69" t="s">
        <v>4643</v>
      </c>
    </row>
    <row r="1934" spans="1:6" x14ac:dyDescent="0.2">
      <c r="A1934" s="65" t="s">
        <v>4644</v>
      </c>
      <c r="B1934" s="65" t="s">
        <v>4645</v>
      </c>
      <c r="C1934" s="76" t="s">
        <v>203</v>
      </c>
      <c r="D1934" s="69" t="s">
        <v>4646</v>
      </c>
      <c r="E1934" s="69" t="s">
        <v>321</v>
      </c>
      <c r="F1934" s="69" t="s">
        <v>4647</v>
      </c>
    </row>
    <row r="1935" spans="1:6" ht="22.5" x14ac:dyDescent="0.2">
      <c r="A1935" s="65" t="s">
        <v>4648</v>
      </c>
      <c r="B1935" s="65" t="s">
        <v>4649</v>
      </c>
      <c r="C1935" s="77" t="s">
        <v>4641</v>
      </c>
      <c r="D1935" s="69" t="s">
        <v>4650</v>
      </c>
      <c r="E1935" s="69" t="s">
        <v>247</v>
      </c>
      <c r="F1935" s="69" t="s">
        <v>4651</v>
      </c>
    </row>
    <row r="1936" spans="1:6" ht="22.5" x14ac:dyDescent="0.2">
      <c r="A1936" s="65" t="s">
        <v>4652</v>
      </c>
      <c r="B1936" s="65" t="s">
        <v>4653</v>
      </c>
      <c r="C1936" s="76" t="s">
        <v>203</v>
      </c>
      <c r="D1936" s="73"/>
      <c r="E1936" s="69" t="s">
        <v>4654</v>
      </c>
      <c r="F1936" s="69" t="s">
        <v>4654</v>
      </c>
    </row>
    <row r="1937" spans="1:6" x14ac:dyDescent="0.2">
      <c r="A1937" s="65" t="s">
        <v>4655</v>
      </c>
      <c r="B1937" s="65" t="s">
        <v>4656</v>
      </c>
      <c r="C1937" s="76" t="s">
        <v>338</v>
      </c>
      <c r="D1937" s="69" t="s">
        <v>4657</v>
      </c>
      <c r="E1937" s="69" t="s">
        <v>212</v>
      </c>
      <c r="F1937" s="69" t="s">
        <v>3666</v>
      </c>
    </row>
    <row r="1938" spans="1:6" x14ac:dyDescent="0.2">
      <c r="A1938" s="65" t="s">
        <v>4658</v>
      </c>
      <c r="B1938" s="65" t="s">
        <v>4659</v>
      </c>
      <c r="C1938" s="76" t="s">
        <v>338</v>
      </c>
      <c r="D1938" s="69" t="s">
        <v>4657</v>
      </c>
      <c r="E1938" s="69" t="s">
        <v>4660</v>
      </c>
      <c r="F1938" s="69" t="s">
        <v>4661</v>
      </c>
    </row>
    <row r="1939" spans="1:6" ht="45" x14ac:dyDescent="0.2">
      <c r="A1939" s="65" t="s">
        <v>4662</v>
      </c>
      <c r="B1939" s="66" t="s">
        <v>4663</v>
      </c>
      <c r="C1939" s="76" t="s">
        <v>204</v>
      </c>
      <c r="D1939" s="69" t="s">
        <v>4664</v>
      </c>
      <c r="E1939" s="69" t="s">
        <v>275</v>
      </c>
      <c r="F1939" s="69" t="s">
        <v>4665</v>
      </c>
    </row>
    <row r="1940" spans="1:6" ht="45" x14ac:dyDescent="0.2">
      <c r="A1940" s="65" t="s">
        <v>4666</v>
      </c>
      <c r="B1940" s="66" t="s">
        <v>4667</v>
      </c>
      <c r="C1940" s="74" t="s">
        <v>204</v>
      </c>
      <c r="D1940" s="69" t="s">
        <v>4668</v>
      </c>
      <c r="E1940" s="69" t="s">
        <v>275</v>
      </c>
      <c r="F1940" s="69" t="s">
        <v>4669</v>
      </c>
    </row>
    <row r="1941" spans="1:6" ht="22.5" x14ac:dyDescent="0.2">
      <c r="A1941" s="65" t="s">
        <v>4670</v>
      </c>
      <c r="B1941" s="65" t="s">
        <v>4671</v>
      </c>
      <c r="C1941" s="78" t="s">
        <v>4641</v>
      </c>
      <c r="D1941" s="69" t="s">
        <v>4672</v>
      </c>
      <c r="E1941" s="69" t="s">
        <v>247</v>
      </c>
      <c r="F1941" s="69" t="s">
        <v>4673</v>
      </c>
    </row>
    <row r="1942" spans="1:6" x14ac:dyDescent="0.2">
      <c r="A1942" s="65" t="s">
        <v>4674</v>
      </c>
      <c r="B1942" s="65" t="s">
        <v>4675</v>
      </c>
      <c r="C1942" s="74" t="s">
        <v>203</v>
      </c>
      <c r="D1942" s="69" t="s">
        <v>4676</v>
      </c>
      <c r="E1942" s="69" t="s">
        <v>337</v>
      </c>
      <c r="F1942" s="69" t="s">
        <v>4677</v>
      </c>
    </row>
    <row r="1943" spans="1:6" ht="22.5" x14ac:dyDescent="0.2">
      <c r="A1943" s="65" t="s">
        <v>4678</v>
      </c>
      <c r="B1943" s="65" t="s">
        <v>4679</v>
      </c>
      <c r="C1943" s="74" t="s">
        <v>203</v>
      </c>
      <c r="D1943" s="69" t="s">
        <v>4680</v>
      </c>
      <c r="E1943" s="69" t="s">
        <v>247</v>
      </c>
      <c r="F1943" s="69" t="s">
        <v>4681</v>
      </c>
    </row>
    <row r="1944" spans="1:6" ht="22.5" x14ac:dyDescent="0.2">
      <c r="A1944" s="65" t="s">
        <v>4682</v>
      </c>
      <c r="B1944" s="65" t="s">
        <v>4683</v>
      </c>
      <c r="C1944" s="74" t="s">
        <v>203</v>
      </c>
      <c r="D1944" s="69" t="s">
        <v>4684</v>
      </c>
      <c r="E1944" s="69" t="s">
        <v>332</v>
      </c>
      <c r="F1944" s="69" t="s">
        <v>4685</v>
      </c>
    </row>
    <row r="1945" spans="1:6" ht="22.5" x14ac:dyDescent="0.2">
      <c r="A1945" s="65" t="s">
        <v>4686</v>
      </c>
      <c r="B1945" s="65" t="s">
        <v>4687</v>
      </c>
      <c r="C1945" s="74" t="s">
        <v>203</v>
      </c>
      <c r="D1945" s="69" t="s">
        <v>4688</v>
      </c>
      <c r="E1945" s="69" t="s">
        <v>247</v>
      </c>
      <c r="F1945" s="69" t="s">
        <v>4689</v>
      </c>
    </row>
    <row r="1946" spans="1:6" ht="33.75" x14ac:dyDescent="0.2">
      <c r="A1946" s="65" t="s">
        <v>4690</v>
      </c>
      <c r="B1946" s="65" t="s">
        <v>4691</v>
      </c>
      <c r="C1946" s="74" t="s">
        <v>203</v>
      </c>
      <c r="D1946" s="69" t="s">
        <v>4692</v>
      </c>
      <c r="E1946" s="69" t="s">
        <v>332</v>
      </c>
      <c r="F1946" s="69" t="s">
        <v>4693</v>
      </c>
    </row>
    <row r="1947" spans="1:6" ht="22.5" x14ac:dyDescent="0.2">
      <c r="A1947" s="65" t="s">
        <v>4694</v>
      </c>
      <c r="B1947" s="65" t="s">
        <v>4695</v>
      </c>
      <c r="C1947" s="74" t="s">
        <v>203</v>
      </c>
      <c r="D1947" s="69" t="s">
        <v>4696</v>
      </c>
      <c r="E1947" s="69" t="s">
        <v>321</v>
      </c>
      <c r="F1947" s="69" t="s">
        <v>4697</v>
      </c>
    </row>
    <row r="1948" spans="1:6" ht="22.5" x14ac:dyDescent="0.2">
      <c r="A1948" s="65" t="s">
        <v>4698</v>
      </c>
      <c r="B1948" s="65" t="s">
        <v>4699</v>
      </c>
      <c r="C1948" s="74" t="s">
        <v>203</v>
      </c>
      <c r="D1948" s="69" t="s">
        <v>4700</v>
      </c>
      <c r="E1948" s="69" t="s">
        <v>321</v>
      </c>
      <c r="F1948" s="69" t="s">
        <v>4701</v>
      </c>
    </row>
    <row r="1949" spans="1:6" ht="22.5" x14ac:dyDescent="0.2">
      <c r="A1949" s="65" t="s">
        <v>4702</v>
      </c>
      <c r="B1949" s="65" t="s">
        <v>4703</v>
      </c>
      <c r="C1949" s="74" t="s">
        <v>203</v>
      </c>
      <c r="D1949" s="69" t="s">
        <v>4704</v>
      </c>
      <c r="E1949" s="69" t="s">
        <v>321</v>
      </c>
      <c r="F1949" s="69" t="s">
        <v>4705</v>
      </c>
    </row>
    <row r="1950" spans="1:6" ht="22.5" x14ac:dyDescent="0.2">
      <c r="A1950" s="49">
        <v>37</v>
      </c>
      <c r="B1950" s="64" t="s">
        <v>4706</v>
      </c>
      <c r="C1950" s="47"/>
      <c r="D1950" s="47"/>
      <c r="E1950" s="47"/>
      <c r="F1950" s="47"/>
    </row>
    <row r="1951" spans="1:6" ht="22.5" x14ac:dyDescent="0.2">
      <c r="A1951" s="50">
        <v>37.01</v>
      </c>
      <c r="B1951" s="64" t="s">
        <v>4707</v>
      </c>
      <c r="C1951" s="47"/>
      <c r="D1951" s="47"/>
      <c r="E1951" s="47"/>
      <c r="F1951" s="47"/>
    </row>
    <row r="1952" spans="1:6" ht="22.5" x14ac:dyDescent="0.2">
      <c r="A1952" s="65" t="s">
        <v>4708</v>
      </c>
      <c r="B1952" s="65" t="s">
        <v>4709</v>
      </c>
      <c r="C1952" s="74" t="s">
        <v>203</v>
      </c>
      <c r="D1952" s="69" t="s">
        <v>4710</v>
      </c>
      <c r="E1952" s="69" t="s">
        <v>4711</v>
      </c>
      <c r="F1952" s="69" t="s">
        <v>4712</v>
      </c>
    </row>
    <row r="1953" spans="1:6" ht="22.5" x14ac:dyDescent="0.2">
      <c r="A1953" s="65" t="s">
        <v>4713</v>
      </c>
      <c r="B1953" s="65" t="s">
        <v>4714</v>
      </c>
      <c r="C1953" s="74" t="s">
        <v>203</v>
      </c>
      <c r="D1953" s="69" t="s">
        <v>4715</v>
      </c>
      <c r="E1953" s="69" t="s">
        <v>4716</v>
      </c>
      <c r="F1953" s="69" t="s">
        <v>4717</v>
      </c>
    </row>
    <row r="1954" spans="1:6" ht="22.5" x14ac:dyDescent="0.2">
      <c r="A1954" s="65" t="s">
        <v>4718</v>
      </c>
      <c r="B1954" s="65" t="s">
        <v>4719</v>
      </c>
      <c r="C1954" s="74" t="s">
        <v>203</v>
      </c>
      <c r="D1954" s="69" t="s">
        <v>4720</v>
      </c>
      <c r="E1954" s="69" t="s">
        <v>4721</v>
      </c>
      <c r="F1954" s="69" t="s">
        <v>4722</v>
      </c>
    </row>
    <row r="1955" spans="1:6" ht="22.5" x14ac:dyDescent="0.2">
      <c r="A1955" s="65" t="s">
        <v>4723</v>
      </c>
      <c r="B1955" s="65" t="s">
        <v>4724</v>
      </c>
      <c r="C1955" s="74" t="s">
        <v>203</v>
      </c>
      <c r="D1955" s="69" t="s">
        <v>4725</v>
      </c>
      <c r="E1955" s="69" t="s">
        <v>4726</v>
      </c>
      <c r="F1955" s="69" t="s">
        <v>4727</v>
      </c>
    </row>
    <row r="1956" spans="1:6" ht="22.5" x14ac:dyDescent="0.2">
      <c r="A1956" s="65" t="s">
        <v>4728</v>
      </c>
      <c r="B1956" s="65" t="s">
        <v>4729</v>
      </c>
      <c r="C1956" s="74" t="s">
        <v>203</v>
      </c>
      <c r="D1956" s="69" t="s">
        <v>4730</v>
      </c>
      <c r="E1956" s="69" t="s">
        <v>4731</v>
      </c>
      <c r="F1956" s="69" t="s">
        <v>4732</v>
      </c>
    </row>
    <row r="1957" spans="1:6" ht="33.75" x14ac:dyDescent="0.2">
      <c r="A1957" s="50">
        <v>37.020000000000003</v>
      </c>
      <c r="B1957" s="64" t="s">
        <v>4733</v>
      </c>
      <c r="C1957" s="48"/>
      <c r="D1957" s="48"/>
      <c r="E1957" s="48"/>
      <c r="F1957" s="48"/>
    </row>
    <row r="1958" spans="1:6" ht="22.5" x14ac:dyDescent="0.2">
      <c r="A1958" s="65" t="s">
        <v>4734</v>
      </c>
      <c r="B1958" s="65" t="s">
        <v>4735</v>
      </c>
      <c r="C1958" s="74" t="s">
        <v>203</v>
      </c>
      <c r="D1958" s="69" t="s">
        <v>4736</v>
      </c>
      <c r="E1958" s="69" t="s">
        <v>317</v>
      </c>
      <c r="F1958" s="69" t="s">
        <v>4737</v>
      </c>
    </row>
    <row r="1959" spans="1:6" ht="22.5" x14ac:dyDescent="0.2">
      <c r="A1959" s="65" t="s">
        <v>4738</v>
      </c>
      <c r="B1959" s="65" t="s">
        <v>4739</v>
      </c>
      <c r="C1959" s="74" t="s">
        <v>203</v>
      </c>
      <c r="D1959" s="69" t="s">
        <v>4740</v>
      </c>
      <c r="E1959" s="69" t="s">
        <v>328</v>
      </c>
      <c r="F1959" s="69" t="s">
        <v>4741</v>
      </c>
    </row>
    <row r="1960" spans="1:6" ht="22.5" x14ac:dyDescent="0.2">
      <c r="A1960" s="65" t="s">
        <v>4742</v>
      </c>
      <c r="B1960" s="65" t="s">
        <v>4743</v>
      </c>
      <c r="C1960" s="74" t="s">
        <v>203</v>
      </c>
      <c r="D1960" s="69" t="s">
        <v>4744</v>
      </c>
      <c r="E1960" s="69" t="s">
        <v>4745</v>
      </c>
      <c r="F1960" s="69" t="s">
        <v>4746</v>
      </c>
    </row>
    <row r="1961" spans="1:6" ht="22.5" x14ac:dyDescent="0.2">
      <c r="A1961" s="65" t="s">
        <v>4747</v>
      </c>
      <c r="B1961" s="65" t="s">
        <v>4748</v>
      </c>
      <c r="C1961" s="74" t="s">
        <v>203</v>
      </c>
      <c r="D1961" s="69" t="s">
        <v>4749</v>
      </c>
      <c r="E1961" s="69" t="s">
        <v>345</v>
      </c>
      <c r="F1961" s="69" t="s">
        <v>4750</v>
      </c>
    </row>
    <row r="1962" spans="1:6" ht="22.5" x14ac:dyDescent="0.2">
      <c r="A1962" s="50">
        <v>37.03</v>
      </c>
      <c r="B1962" s="64" t="s">
        <v>4751</v>
      </c>
      <c r="C1962" s="47"/>
      <c r="D1962" s="47"/>
      <c r="E1962" s="47"/>
      <c r="F1962" s="47"/>
    </row>
    <row r="1963" spans="1:6" ht="56.25" x14ac:dyDescent="0.2">
      <c r="A1963" s="65" t="s">
        <v>4752</v>
      </c>
      <c r="B1963" s="66" t="s">
        <v>4753</v>
      </c>
      <c r="C1963" s="74" t="s">
        <v>203</v>
      </c>
      <c r="D1963" s="69" t="s">
        <v>4754</v>
      </c>
      <c r="E1963" s="69" t="s">
        <v>4755</v>
      </c>
      <c r="F1963" s="69" t="s">
        <v>4756</v>
      </c>
    </row>
    <row r="1964" spans="1:6" ht="56.25" x14ac:dyDescent="0.2">
      <c r="A1964" s="65" t="s">
        <v>4757</v>
      </c>
      <c r="B1964" s="66" t="s">
        <v>4758</v>
      </c>
      <c r="C1964" s="74" t="s">
        <v>203</v>
      </c>
      <c r="D1964" s="69" t="s">
        <v>4759</v>
      </c>
      <c r="E1964" s="69" t="s">
        <v>4755</v>
      </c>
      <c r="F1964" s="69" t="s">
        <v>4760</v>
      </c>
    </row>
    <row r="1965" spans="1:6" ht="56.25" x14ac:dyDescent="0.2">
      <c r="A1965" s="65" t="s">
        <v>4761</v>
      </c>
      <c r="B1965" s="66" t="s">
        <v>4762</v>
      </c>
      <c r="C1965" s="74" t="s">
        <v>203</v>
      </c>
      <c r="D1965" s="69" t="s">
        <v>4763</v>
      </c>
      <c r="E1965" s="69" t="s">
        <v>4764</v>
      </c>
      <c r="F1965" s="69" t="s">
        <v>4765</v>
      </c>
    </row>
    <row r="1966" spans="1:6" ht="56.25" x14ac:dyDescent="0.2">
      <c r="A1966" s="65" t="s">
        <v>4766</v>
      </c>
      <c r="B1966" s="66" t="s">
        <v>4767</v>
      </c>
      <c r="C1966" s="74" t="s">
        <v>203</v>
      </c>
      <c r="D1966" s="69" t="s">
        <v>4768</v>
      </c>
      <c r="E1966" s="69" t="s">
        <v>4764</v>
      </c>
      <c r="F1966" s="69" t="s">
        <v>4769</v>
      </c>
    </row>
    <row r="1967" spans="1:6" ht="56.25" x14ac:dyDescent="0.2">
      <c r="A1967" s="65" t="s">
        <v>4770</v>
      </c>
      <c r="B1967" s="66" t="s">
        <v>4771</v>
      </c>
      <c r="C1967" s="74" t="s">
        <v>203</v>
      </c>
      <c r="D1967" s="69" t="s">
        <v>4772</v>
      </c>
      <c r="E1967" s="69" t="s">
        <v>4773</v>
      </c>
      <c r="F1967" s="69" t="s">
        <v>4774</v>
      </c>
    </row>
    <row r="1968" spans="1:6" ht="56.25" x14ac:dyDescent="0.2">
      <c r="A1968" s="65" t="s">
        <v>4775</v>
      </c>
      <c r="B1968" s="66" t="s">
        <v>4776</v>
      </c>
      <c r="C1968" s="74" t="s">
        <v>203</v>
      </c>
      <c r="D1968" s="69" t="s">
        <v>4777</v>
      </c>
      <c r="E1968" s="69" t="s">
        <v>4773</v>
      </c>
      <c r="F1968" s="69" t="s">
        <v>4778</v>
      </c>
    </row>
    <row r="1969" spans="1:6" ht="22.5" x14ac:dyDescent="0.2">
      <c r="A1969" s="50">
        <v>37.04</v>
      </c>
      <c r="B1969" s="64" t="s">
        <v>4779</v>
      </c>
      <c r="C1969" s="47"/>
      <c r="D1969" s="47"/>
      <c r="E1969" s="47"/>
      <c r="F1969" s="47"/>
    </row>
    <row r="1970" spans="1:6" ht="56.25" x14ac:dyDescent="0.2">
      <c r="A1970" s="65" t="s">
        <v>4780</v>
      </c>
      <c r="B1970" s="66" t="s">
        <v>4781</v>
      </c>
      <c r="C1970" s="74" t="s">
        <v>203</v>
      </c>
      <c r="D1970" s="69" t="s">
        <v>4782</v>
      </c>
      <c r="E1970" s="69" t="s">
        <v>4783</v>
      </c>
      <c r="F1970" s="69" t="s">
        <v>4784</v>
      </c>
    </row>
    <row r="1971" spans="1:6" ht="56.25" x14ac:dyDescent="0.2">
      <c r="A1971" s="65" t="s">
        <v>4785</v>
      </c>
      <c r="B1971" s="66" t="s">
        <v>4786</v>
      </c>
      <c r="C1971" s="74" t="s">
        <v>203</v>
      </c>
      <c r="D1971" s="69" t="s">
        <v>4787</v>
      </c>
      <c r="E1971" s="69" t="s">
        <v>4783</v>
      </c>
      <c r="F1971" s="69" t="s">
        <v>4788</v>
      </c>
    </row>
    <row r="1972" spans="1:6" ht="56.25" x14ac:dyDescent="0.2">
      <c r="A1972" s="65" t="s">
        <v>4789</v>
      </c>
      <c r="B1972" s="66" t="s">
        <v>4790</v>
      </c>
      <c r="C1972" s="74" t="s">
        <v>203</v>
      </c>
      <c r="D1972" s="69" t="s">
        <v>4791</v>
      </c>
      <c r="E1972" s="69" t="s">
        <v>4755</v>
      </c>
      <c r="F1972" s="69" t="s">
        <v>4792</v>
      </c>
    </row>
    <row r="1973" spans="1:6" ht="56.25" x14ac:dyDescent="0.2">
      <c r="A1973" s="65" t="s">
        <v>4793</v>
      </c>
      <c r="B1973" s="66" t="s">
        <v>4794</v>
      </c>
      <c r="C1973" s="74" t="s">
        <v>203</v>
      </c>
      <c r="D1973" s="69" t="s">
        <v>4795</v>
      </c>
      <c r="E1973" s="69" t="s">
        <v>4755</v>
      </c>
      <c r="F1973" s="69" t="s">
        <v>4796</v>
      </c>
    </row>
    <row r="1974" spans="1:6" ht="56.25" x14ac:dyDescent="0.2">
      <c r="A1974" s="65" t="s">
        <v>4797</v>
      </c>
      <c r="B1974" s="66" t="s">
        <v>4798</v>
      </c>
      <c r="C1974" s="74" t="s">
        <v>203</v>
      </c>
      <c r="D1974" s="69" t="s">
        <v>4799</v>
      </c>
      <c r="E1974" s="69" t="s">
        <v>4764</v>
      </c>
      <c r="F1974" s="69" t="s">
        <v>4800</v>
      </c>
    </row>
    <row r="1975" spans="1:6" ht="56.25" x14ac:dyDescent="0.2">
      <c r="A1975" s="65" t="s">
        <v>4801</v>
      </c>
      <c r="B1975" s="66" t="s">
        <v>4802</v>
      </c>
      <c r="C1975" s="74" t="s">
        <v>203</v>
      </c>
      <c r="D1975" s="69" t="s">
        <v>4803</v>
      </c>
      <c r="E1975" s="69" t="s">
        <v>4764</v>
      </c>
      <c r="F1975" s="69" t="s">
        <v>4804</v>
      </c>
    </row>
    <row r="1976" spans="1:6" x14ac:dyDescent="0.2">
      <c r="A1976" s="50">
        <v>37.06</v>
      </c>
      <c r="B1976" s="64" t="s">
        <v>4805</v>
      </c>
      <c r="C1976" s="47"/>
      <c r="D1976" s="47"/>
      <c r="E1976" s="47"/>
      <c r="F1976" s="47"/>
    </row>
    <row r="1977" spans="1:6" ht="45" x14ac:dyDescent="0.2">
      <c r="A1977" s="65" t="s">
        <v>4806</v>
      </c>
      <c r="B1977" s="66" t="s">
        <v>4807</v>
      </c>
      <c r="C1977" s="74" t="s">
        <v>204</v>
      </c>
      <c r="D1977" s="69" t="s">
        <v>4808</v>
      </c>
      <c r="E1977" s="69" t="s">
        <v>4809</v>
      </c>
      <c r="F1977" s="69" t="s">
        <v>4810</v>
      </c>
    </row>
    <row r="1978" spans="1:6" x14ac:dyDescent="0.2">
      <c r="A1978" s="50">
        <v>37.1</v>
      </c>
      <c r="B1978" s="64" t="s">
        <v>4811</v>
      </c>
      <c r="C1978" s="47"/>
      <c r="D1978" s="47"/>
      <c r="E1978" s="47"/>
      <c r="F1978" s="47"/>
    </row>
    <row r="1979" spans="1:6" x14ac:dyDescent="0.2">
      <c r="A1979" s="65" t="s">
        <v>4812</v>
      </c>
      <c r="B1979" s="65" t="s">
        <v>4813</v>
      </c>
      <c r="C1979" s="74" t="s">
        <v>300</v>
      </c>
      <c r="D1979" s="69" t="s">
        <v>4814</v>
      </c>
      <c r="E1979" s="69" t="s">
        <v>330</v>
      </c>
      <c r="F1979" s="69" t="s">
        <v>4815</v>
      </c>
    </row>
    <row r="1980" spans="1:6" x14ac:dyDescent="0.2">
      <c r="A1980" s="50">
        <v>37.11</v>
      </c>
      <c r="B1980" s="64" t="s">
        <v>4816</v>
      </c>
      <c r="C1980" s="47"/>
      <c r="D1980" s="47"/>
      <c r="E1980" s="47"/>
      <c r="F1980" s="47"/>
    </row>
    <row r="1981" spans="1:6" ht="22.5" x14ac:dyDescent="0.2">
      <c r="A1981" s="65" t="s">
        <v>4817</v>
      </c>
      <c r="B1981" s="65" t="s">
        <v>4818</v>
      </c>
      <c r="C1981" s="67" t="s">
        <v>203</v>
      </c>
      <c r="D1981" s="69" t="s">
        <v>4819</v>
      </c>
      <c r="E1981" s="69" t="s">
        <v>323</v>
      </c>
      <c r="F1981" s="69" t="s">
        <v>4820</v>
      </c>
    </row>
    <row r="1982" spans="1:6" ht="22.5" x14ac:dyDescent="0.2">
      <c r="A1982" s="65" t="s">
        <v>4821</v>
      </c>
      <c r="B1982" s="65" t="s">
        <v>4822</v>
      </c>
      <c r="C1982" s="67" t="s">
        <v>203</v>
      </c>
      <c r="D1982" s="69" t="s">
        <v>1398</v>
      </c>
      <c r="E1982" s="69" t="s">
        <v>319</v>
      </c>
      <c r="F1982" s="69" t="s">
        <v>4823</v>
      </c>
    </row>
    <row r="1983" spans="1:6" ht="22.5" x14ac:dyDescent="0.2">
      <c r="A1983" s="65" t="s">
        <v>4824</v>
      </c>
      <c r="B1983" s="65" t="s">
        <v>4825</v>
      </c>
      <c r="C1983" s="67" t="s">
        <v>203</v>
      </c>
      <c r="D1983" s="69" t="s">
        <v>4826</v>
      </c>
      <c r="E1983" s="69" t="s">
        <v>321</v>
      </c>
      <c r="F1983" s="69" t="s">
        <v>4827</v>
      </c>
    </row>
    <row r="1984" spans="1:6" ht="22.5" x14ac:dyDescent="0.2">
      <c r="A1984" s="65" t="s">
        <v>4828</v>
      </c>
      <c r="B1984" s="65" t="s">
        <v>4829</v>
      </c>
      <c r="C1984" s="67" t="s">
        <v>203</v>
      </c>
      <c r="D1984" s="69" t="s">
        <v>4830</v>
      </c>
      <c r="E1984" s="69" t="s">
        <v>321</v>
      </c>
      <c r="F1984" s="69" t="s">
        <v>4831</v>
      </c>
    </row>
    <row r="1985" spans="1:6" ht="22.5" x14ac:dyDescent="0.2">
      <c r="A1985" s="65" t="s">
        <v>4832</v>
      </c>
      <c r="B1985" s="65" t="s">
        <v>4833</v>
      </c>
      <c r="C1985" s="67" t="s">
        <v>203</v>
      </c>
      <c r="D1985" s="69" t="s">
        <v>4834</v>
      </c>
      <c r="E1985" s="69" t="s">
        <v>321</v>
      </c>
      <c r="F1985" s="69" t="s">
        <v>4835</v>
      </c>
    </row>
    <row r="1986" spans="1:6" x14ac:dyDescent="0.2">
      <c r="A1986" s="65" t="s">
        <v>4836</v>
      </c>
      <c r="B1986" s="65" t="s">
        <v>4837</v>
      </c>
      <c r="C1986" s="67" t="s">
        <v>203</v>
      </c>
      <c r="D1986" s="69" t="s">
        <v>4838</v>
      </c>
      <c r="E1986" s="69" t="s">
        <v>4839</v>
      </c>
      <c r="F1986" s="69" t="s">
        <v>4840</v>
      </c>
    </row>
    <row r="1987" spans="1:6" x14ac:dyDescent="0.2">
      <c r="A1987" s="65" t="s">
        <v>4841</v>
      </c>
      <c r="B1987" s="65" t="s">
        <v>4842</v>
      </c>
      <c r="C1987" s="67" t="s">
        <v>203</v>
      </c>
      <c r="D1987" s="69" t="s">
        <v>4843</v>
      </c>
      <c r="E1987" s="69" t="s">
        <v>4839</v>
      </c>
      <c r="F1987" s="69" t="s">
        <v>4844</v>
      </c>
    </row>
    <row r="1988" spans="1:6" x14ac:dyDescent="0.2">
      <c r="A1988" s="50">
        <v>37.119999999999997</v>
      </c>
      <c r="B1988" s="64" t="s">
        <v>4845</v>
      </c>
      <c r="C1988" s="47"/>
      <c r="D1988" s="47"/>
      <c r="E1988" s="47"/>
      <c r="F1988" s="47"/>
    </row>
    <row r="1989" spans="1:6" ht="22.5" x14ac:dyDescent="0.2">
      <c r="A1989" s="65" t="s">
        <v>4846</v>
      </c>
      <c r="B1989" s="65" t="s">
        <v>4847</v>
      </c>
      <c r="C1989" s="67" t="s">
        <v>203</v>
      </c>
      <c r="D1989" s="69" t="s">
        <v>4848</v>
      </c>
      <c r="E1989" s="69" t="s">
        <v>336</v>
      </c>
      <c r="F1989" s="69" t="s">
        <v>4849</v>
      </c>
    </row>
    <row r="1990" spans="1:6" ht="22.5" x14ac:dyDescent="0.2">
      <c r="A1990" s="65" t="s">
        <v>4850</v>
      </c>
      <c r="B1990" s="65" t="s">
        <v>4851</v>
      </c>
      <c r="C1990" s="67" t="s">
        <v>203</v>
      </c>
      <c r="D1990" s="69" t="s">
        <v>4852</v>
      </c>
      <c r="E1990" s="69" t="s">
        <v>336</v>
      </c>
      <c r="F1990" s="69" t="s">
        <v>4853</v>
      </c>
    </row>
    <row r="1991" spans="1:6" ht="22.5" x14ac:dyDescent="0.2">
      <c r="A1991" s="65" t="s">
        <v>4854</v>
      </c>
      <c r="B1991" s="65" t="s">
        <v>4855</v>
      </c>
      <c r="C1991" s="67" t="s">
        <v>203</v>
      </c>
      <c r="D1991" s="69" t="s">
        <v>4856</v>
      </c>
      <c r="E1991" s="69" t="s">
        <v>336</v>
      </c>
      <c r="F1991" s="69" t="s">
        <v>4857</v>
      </c>
    </row>
    <row r="1992" spans="1:6" ht="22.5" x14ac:dyDescent="0.2">
      <c r="A1992" s="65" t="s">
        <v>4858</v>
      </c>
      <c r="B1992" s="65" t="s">
        <v>4859</v>
      </c>
      <c r="C1992" s="67" t="s">
        <v>203</v>
      </c>
      <c r="D1992" s="69" t="s">
        <v>4860</v>
      </c>
      <c r="E1992" s="69" t="s">
        <v>336</v>
      </c>
      <c r="F1992" s="69" t="s">
        <v>4861</v>
      </c>
    </row>
    <row r="1993" spans="1:6" ht="22.5" x14ac:dyDescent="0.2">
      <c r="A1993" s="65" t="s">
        <v>4862</v>
      </c>
      <c r="B1993" s="65" t="s">
        <v>4863</v>
      </c>
      <c r="C1993" s="67" t="s">
        <v>203</v>
      </c>
      <c r="D1993" s="69" t="s">
        <v>4864</v>
      </c>
      <c r="E1993" s="69" t="s">
        <v>336</v>
      </c>
      <c r="F1993" s="69" t="s">
        <v>4865</v>
      </c>
    </row>
    <row r="1994" spans="1:6" ht="22.5" x14ac:dyDescent="0.2">
      <c r="A1994" s="65" t="s">
        <v>4866</v>
      </c>
      <c r="B1994" s="65" t="s">
        <v>4867</v>
      </c>
      <c r="C1994" s="67" t="s">
        <v>203</v>
      </c>
      <c r="D1994" s="69" t="s">
        <v>4868</v>
      </c>
      <c r="E1994" s="69" t="s">
        <v>336</v>
      </c>
      <c r="F1994" s="69" t="s">
        <v>4869</v>
      </c>
    </row>
    <row r="1995" spans="1:6" ht="22.5" x14ac:dyDescent="0.2">
      <c r="A1995" s="65" t="s">
        <v>4870</v>
      </c>
      <c r="B1995" s="65" t="s">
        <v>4871</v>
      </c>
      <c r="C1995" s="67" t="s">
        <v>203</v>
      </c>
      <c r="D1995" s="69" t="s">
        <v>4872</v>
      </c>
      <c r="E1995" s="69" t="s">
        <v>336</v>
      </c>
      <c r="F1995" s="69" t="s">
        <v>4873</v>
      </c>
    </row>
    <row r="1996" spans="1:6" ht="22.5" x14ac:dyDescent="0.2">
      <c r="A1996" s="65" t="s">
        <v>4874</v>
      </c>
      <c r="B1996" s="65" t="s">
        <v>4875</v>
      </c>
      <c r="C1996" s="67" t="s">
        <v>203</v>
      </c>
      <c r="D1996" s="69" t="s">
        <v>4876</v>
      </c>
      <c r="E1996" s="69" t="s">
        <v>336</v>
      </c>
      <c r="F1996" s="69" t="s">
        <v>4877</v>
      </c>
    </row>
    <row r="1997" spans="1:6" ht="22.5" x14ac:dyDescent="0.2">
      <c r="A1997" s="65" t="s">
        <v>4878</v>
      </c>
      <c r="B1997" s="65" t="s">
        <v>4879</v>
      </c>
      <c r="C1997" s="67" t="s">
        <v>203</v>
      </c>
      <c r="D1997" s="69" t="s">
        <v>4880</v>
      </c>
      <c r="E1997" s="69" t="s">
        <v>260</v>
      </c>
      <c r="F1997" s="69" t="s">
        <v>4881</v>
      </c>
    </row>
    <row r="1998" spans="1:6" x14ac:dyDescent="0.2">
      <c r="A1998" s="50">
        <v>37.130000000000003</v>
      </c>
      <c r="B1998" s="64" t="s">
        <v>4882</v>
      </c>
      <c r="C1998" s="47"/>
      <c r="D1998" s="47"/>
      <c r="E1998" s="47"/>
      <c r="F1998" s="47"/>
    </row>
    <row r="1999" spans="1:6" ht="45" x14ac:dyDescent="0.2">
      <c r="A1999" s="65" t="s">
        <v>4883</v>
      </c>
      <c r="B1999" s="66" t="s">
        <v>4884</v>
      </c>
      <c r="C1999" s="67" t="s">
        <v>203</v>
      </c>
      <c r="D1999" s="69" t="s">
        <v>4885</v>
      </c>
      <c r="E1999" s="69" t="s">
        <v>4886</v>
      </c>
      <c r="F1999" s="69" t="s">
        <v>4887</v>
      </c>
    </row>
    <row r="2000" spans="1:6" ht="33.75" x14ac:dyDescent="0.2">
      <c r="A2000" s="65" t="s">
        <v>4888</v>
      </c>
      <c r="B2000" s="66" t="s">
        <v>4889</v>
      </c>
      <c r="C2000" s="67" t="s">
        <v>203</v>
      </c>
      <c r="D2000" s="69" t="s">
        <v>4890</v>
      </c>
      <c r="E2000" s="69" t="s">
        <v>4654</v>
      </c>
      <c r="F2000" s="69" t="s">
        <v>4891</v>
      </c>
    </row>
    <row r="2001" spans="1:6" ht="45" x14ac:dyDescent="0.2">
      <c r="A2001" s="65" t="s">
        <v>4892</v>
      </c>
      <c r="B2001" s="66" t="s">
        <v>4893</v>
      </c>
      <c r="C2001" s="67" t="s">
        <v>240</v>
      </c>
      <c r="D2001" s="69" t="s">
        <v>4894</v>
      </c>
      <c r="E2001" s="69" t="s">
        <v>4895</v>
      </c>
      <c r="F2001" s="69" t="s">
        <v>4896</v>
      </c>
    </row>
    <row r="2002" spans="1:6" ht="45" x14ac:dyDescent="0.2">
      <c r="A2002" s="65" t="s">
        <v>4897</v>
      </c>
      <c r="B2002" s="66" t="s">
        <v>4898</v>
      </c>
      <c r="C2002" s="67" t="s">
        <v>203</v>
      </c>
      <c r="D2002" s="69" t="s">
        <v>4899</v>
      </c>
      <c r="E2002" s="69" t="s">
        <v>321</v>
      </c>
      <c r="F2002" s="69" t="s">
        <v>4900</v>
      </c>
    </row>
    <row r="2003" spans="1:6" ht="45" x14ac:dyDescent="0.2">
      <c r="A2003" s="65" t="s">
        <v>4901</v>
      </c>
      <c r="B2003" s="66" t="s">
        <v>4902</v>
      </c>
      <c r="C2003" s="67" t="s">
        <v>203</v>
      </c>
      <c r="D2003" s="69" t="s">
        <v>4903</v>
      </c>
      <c r="E2003" s="69" t="s">
        <v>321</v>
      </c>
      <c r="F2003" s="69" t="s">
        <v>4904</v>
      </c>
    </row>
    <row r="2004" spans="1:6" ht="33.75" x14ac:dyDescent="0.2">
      <c r="A2004" s="65" t="s">
        <v>4905</v>
      </c>
      <c r="B2004" s="65" t="s">
        <v>4906</v>
      </c>
      <c r="C2004" s="67" t="s">
        <v>203</v>
      </c>
      <c r="D2004" s="69" t="s">
        <v>297</v>
      </c>
      <c r="E2004" s="69" t="s">
        <v>323</v>
      </c>
      <c r="F2004" s="69" t="s">
        <v>4907</v>
      </c>
    </row>
    <row r="2005" spans="1:6" ht="33.75" x14ac:dyDescent="0.2">
      <c r="A2005" s="65" t="s">
        <v>4908</v>
      </c>
      <c r="B2005" s="65" t="s">
        <v>4909</v>
      </c>
      <c r="C2005" s="67" t="s">
        <v>203</v>
      </c>
      <c r="D2005" s="69" t="s">
        <v>4910</v>
      </c>
      <c r="E2005" s="69" t="s">
        <v>323</v>
      </c>
      <c r="F2005" s="69" t="s">
        <v>4911</v>
      </c>
    </row>
    <row r="2006" spans="1:6" ht="33.75" x14ac:dyDescent="0.2">
      <c r="A2006" s="65" t="s">
        <v>4912</v>
      </c>
      <c r="B2006" s="65" t="s">
        <v>4913</v>
      </c>
      <c r="C2006" s="67" t="s">
        <v>203</v>
      </c>
      <c r="D2006" s="69" t="s">
        <v>4914</v>
      </c>
      <c r="E2006" s="69" t="s">
        <v>331</v>
      </c>
      <c r="F2006" s="69" t="s">
        <v>4915</v>
      </c>
    </row>
    <row r="2007" spans="1:6" ht="33.75" x14ac:dyDescent="0.2">
      <c r="A2007" s="65" t="s">
        <v>4916</v>
      </c>
      <c r="B2007" s="65" t="s">
        <v>4917</v>
      </c>
      <c r="C2007" s="67" t="s">
        <v>203</v>
      </c>
      <c r="D2007" s="69" t="s">
        <v>4918</v>
      </c>
      <c r="E2007" s="69" t="s">
        <v>331</v>
      </c>
      <c r="F2007" s="69" t="s">
        <v>4919</v>
      </c>
    </row>
    <row r="2008" spans="1:6" ht="33.75" x14ac:dyDescent="0.2">
      <c r="A2008" s="65" t="s">
        <v>4920</v>
      </c>
      <c r="B2008" s="65" t="s">
        <v>4921</v>
      </c>
      <c r="C2008" s="67" t="s">
        <v>203</v>
      </c>
      <c r="D2008" s="69" t="s">
        <v>4922</v>
      </c>
      <c r="E2008" s="69" t="s">
        <v>4923</v>
      </c>
      <c r="F2008" s="69" t="s">
        <v>4924</v>
      </c>
    </row>
    <row r="2009" spans="1:6" ht="33.75" x14ac:dyDescent="0.2">
      <c r="A2009" s="65" t="s">
        <v>4925</v>
      </c>
      <c r="B2009" s="65" t="s">
        <v>4926</v>
      </c>
      <c r="C2009" s="67" t="s">
        <v>203</v>
      </c>
      <c r="D2009" s="69" t="s">
        <v>4927</v>
      </c>
      <c r="E2009" s="69" t="s">
        <v>4923</v>
      </c>
      <c r="F2009" s="69" t="s">
        <v>4928</v>
      </c>
    </row>
    <row r="2010" spans="1:6" ht="56.25" x14ac:dyDescent="0.2">
      <c r="A2010" s="65" t="s">
        <v>4929</v>
      </c>
      <c r="B2010" s="66" t="s">
        <v>4930</v>
      </c>
      <c r="C2010" s="67" t="s">
        <v>203</v>
      </c>
      <c r="D2010" s="69" t="s">
        <v>4931</v>
      </c>
      <c r="E2010" s="69" t="s">
        <v>321</v>
      </c>
      <c r="F2010" s="69" t="s">
        <v>4932</v>
      </c>
    </row>
    <row r="2011" spans="1:6" ht="56.25" x14ac:dyDescent="0.2">
      <c r="A2011" s="65" t="s">
        <v>4933</v>
      </c>
      <c r="B2011" s="66" t="s">
        <v>4934</v>
      </c>
      <c r="C2011" s="67" t="s">
        <v>203</v>
      </c>
      <c r="D2011" s="69" t="s">
        <v>4935</v>
      </c>
      <c r="E2011" s="69" t="s">
        <v>321</v>
      </c>
      <c r="F2011" s="69" t="s">
        <v>4936</v>
      </c>
    </row>
    <row r="2012" spans="1:6" ht="56.25" x14ac:dyDescent="0.2">
      <c r="A2012" s="65" t="s">
        <v>4937</v>
      </c>
      <c r="B2012" s="66" t="s">
        <v>4938</v>
      </c>
      <c r="C2012" s="67" t="s">
        <v>203</v>
      </c>
      <c r="D2012" s="69" t="s">
        <v>4939</v>
      </c>
      <c r="E2012" s="69" t="s">
        <v>328</v>
      </c>
      <c r="F2012" s="69" t="s">
        <v>4940</v>
      </c>
    </row>
    <row r="2013" spans="1:6" ht="56.25" x14ac:dyDescent="0.2">
      <c r="A2013" s="65" t="s">
        <v>4941</v>
      </c>
      <c r="B2013" s="66" t="s">
        <v>4942</v>
      </c>
      <c r="C2013" s="67" t="s">
        <v>203</v>
      </c>
      <c r="D2013" s="69" t="s">
        <v>4943</v>
      </c>
      <c r="E2013" s="69" t="s">
        <v>328</v>
      </c>
      <c r="F2013" s="69" t="s">
        <v>4944</v>
      </c>
    </row>
    <row r="2014" spans="1:6" ht="56.25" x14ac:dyDescent="0.2">
      <c r="A2014" s="65" t="s">
        <v>4945</v>
      </c>
      <c r="B2014" s="66" t="s">
        <v>4946</v>
      </c>
      <c r="C2014" s="67" t="s">
        <v>203</v>
      </c>
      <c r="D2014" s="69" t="s">
        <v>4947</v>
      </c>
      <c r="E2014" s="69" t="s">
        <v>328</v>
      </c>
      <c r="F2014" s="69" t="s">
        <v>4948</v>
      </c>
    </row>
    <row r="2015" spans="1:6" ht="56.25" x14ac:dyDescent="0.2">
      <c r="A2015" s="65" t="s">
        <v>4949</v>
      </c>
      <c r="B2015" s="66" t="s">
        <v>4950</v>
      </c>
      <c r="C2015" s="67" t="s">
        <v>203</v>
      </c>
      <c r="D2015" s="69" t="s">
        <v>4951</v>
      </c>
      <c r="E2015" s="69" t="s">
        <v>328</v>
      </c>
      <c r="F2015" s="69" t="s">
        <v>4952</v>
      </c>
    </row>
    <row r="2016" spans="1:6" ht="56.25" x14ac:dyDescent="0.2">
      <c r="A2016" s="65" t="s">
        <v>4953</v>
      </c>
      <c r="B2016" s="66" t="s">
        <v>4954</v>
      </c>
      <c r="C2016" s="67" t="s">
        <v>203</v>
      </c>
      <c r="D2016" s="69" t="s">
        <v>4955</v>
      </c>
      <c r="E2016" s="69" t="s">
        <v>328</v>
      </c>
      <c r="F2016" s="69" t="s">
        <v>4956</v>
      </c>
    </row>
    <row r="2017" spans="1:6" ht="56.25" x14ac:dyDescent="0.2">
      <c r="A2017" s="65" t="s">
        <v>4957</v>
      </c>
      <c r="B2017" s="66" t="s">
        <v>4958</v>
      </c>
      <c r="C2017" s="74" t="s">
        <v>203</v>
      </c>
      <c r="D2017" s="69" t="s">
        <v>4959</v>
      </c>
      <c r="E2017" s="69" t="s">
        <v>328</v>
      </c>
      <c r="F2017" s="69" t="s">
        <v>4960</v>
      </c>
    </row>
    <row r="2018" spans="1:6" ht="45" x14ac:dyDescent="0.2">
      <c r="A2018" s="65" t="s">
        <v>4961</v>
      </c>
      <c r="B2018" s="66" t="s">
        <v>4962</v>
      </c>
      <c r="C2018" s="74" t="s">
        <v>203</v>
      </c>
      <c r="D2018" s="69" t="s">
        <v>4963</v>
      </c>
      <c r="E2018" s="69" t="s">
        <v>328</v>
      </c>
      <c r="F2018" s="69" t="s">
        <v>4964</v>
      </c>
    </row>
    <row r="2019" spans="1:6" ht="45" x14ac:dyDescent="0.2">
      <c r="A2019" s="65" t="s">
        <v>4965</v>
      </c>
      <c r="B2019" s="66" t="s">
        <v>4966</v>
      </c>
      <c r="C2019" s="74" t="s">
        <v>203</v>
      </c>
      <c r="D2019" s="69" t="s">
        <v>4967</v>
      </c>
      <c r="E2019" s="69" t="s">
        <v>336</v>
      </c>
      <c r="F2019" s="69" t="s">
        <v>4968</v>
      </c>
    </row>
    <row r="2020" spans="1:6" ht="45" x14ac:dyDescent="0.2">
      <c r="A2020" s="65" t="s">
        <v>4969</v>
      </c>
      <c r="B2020" s="66" t="s">
        <v>4970</v>
      </c>
      <c r="C2020" s="74" t="s">
        <v>203</v>
      </c>
      <c r="D2020" s="69" t="s">
        <v>4971</v>
      </c>
      <c r="E2020" s="69" t="s">
        <v>336</v>
      </c>
      <c r="F2020" s="69" t="s">
        <v>4972</v>
      </c>
    </row>
    <row r="2021" spans="1:6" ht="45" x14ac:dyDescent="0.2">
      <c r="A2021" s="65" t="s">
        <v>4973</v>
      </c>
      <c r="B2021" s="66" t="s">
        <v>4974</v>
      </c>
      <c r="C2021" s="74" t="s">
        <v>203</v>
      </c>
      <c r="D2021" s="69" t="s">
        <v>4975</v>
      </c>
      <c r="E2021" s="69" t="s">
        <v>336</v>
      </c>
      <c r="F2021" s="69" t="s">
        <v>4976</v>
      </c>
    </row>
    <row r="2022" spans="1:6" ht="45" x14ac:dyDescent="0.2">
      <c r="A2022" s="65" t="s">
        <v>4977</v>
      </c>
      <c r="B2022" s="66" t="s">
        <v>4978</v>
      </c>
      <c r="C2022" s="74" t="s">
        <v>203</v>
      </c>
      <c r="D2022" s="69" t="s">
        <v>4979</v>
      </c>
      <c r="E2022" s="69" t="s">
        <v>336</v>
      </c>
      <c r="F2022" s="69" t="s">
        <v>4980</v>
      </c>
    </row>
    <row r="2023" spans="1:6" ht="33.75" x14ac:dyDescent="0.2">
      <c r="A2023" s="65" t="s">
        <v>4981</v>
      </c>
      <c r="B2023" s="65" t="s">
        <v>4982</v>
      </c>
      <c r="C2023" s="74" t="s">
        <v>203</v>
      </c>
      <c r="D2023" s="69" t="s">
        <v>624</v>
      </c>
      <c r="E2023" s="69" t="s">
        <v>336</v>
      </c>
      <c r="F2023" s="69" t="s">
        <v>4983</v>
      </c>
    </row>
    <row r="2024" spans="1:6" ht="33.75" x14ac:dyDescent="0.2">
      <c r="A2024" s="65" t="s">
        <v>4984</v>
      </c>
      <c r="B2024" s="65" t="s">
        <v>4985</v>
      </c>
      <c r="C2024" s="74" t="s">
        <v>203</v>
      </c>
      <c r="D2024" s="69" t="s">
        <v>4986</v>
      </c>
      <c r="E2024" s="69" t="s">
        <v>336</v>
      </c>
      <c r="F2024" s="69" t="s">
        <v>4987</v>
      </c>
    </row>
    <row r="2025" spans="1:6" ht="45" x14ac:dyDescent="0.2">
      <c r="A2025" s="65" t="s">
        <v>4988</v>
      </c>
      <c r="B2025" s="66" t="s">
        <v>4989</v>
      </c>
      <c r="C2025" s="74" t="s">
        <v>203</v>
      </c>
      <c r="D2025" s="69" t="s">
        <v>4990</v>
      </c>
      <c r="E2025" s="69" t="s">
        <v>336</v>
      </c>
      <c r="F2025" s="69" t="s">
        <v>4991</v>
      </c>
    </row>
    <row r="2026" spans="1:6" ht="45" x14ac:dyDescent="0.2">
      <c r="A2026" s="65" t="s">
        <v>4992</v>
      </c>
      <c r="B2026" s="66" t="s">
        <v>4993</v>
      </c>
      <c r="C2026" s="74" t="s">
        <v>203</v>
      </c>
      <c r="D2026" s="69" t="s">
        <v>1931</v>
      </c>
      <c r="E2026" s="69" t="s">
        <v>336</v>
      </c>
      <c r="F2026" s="69" t="s">
        <v>4994</v>
      </c>
    </row>
    <row r="2027" spans="1:6" ht="33.75" x14ac:dyDescent="0.2">
      <c r="A2027" s="65" t="s">
        <v>4995</v>
      </c>
      <c r="B2027" s="65" t="s">
        <v>4996</v>
      </c>
      <c r="C2027" s="74" t="s">
        <v>203</v>
      </c>
      <c r="D2027" s="69" t="s">
        <v>4997</v>
      </c>
      <c r="E2027" s="69" t="s">
        <v>336</v>
      </c>
      <c r="F2027" s="69" t="s">
        <v>4998</v>
      </c>
    </row>
    <row r="2028" spans="1:6" ht="45" x14ac:dyDescent="0.2">
      <c r="A2028" s="65" t="s">
        <v>4999</v>
      </c>
      <c r="B2028" s="66" t="s">
        <v>5000</v>
      </c>
      <c r="C2028" s="74" t="s">
        <v>203</v>
      </c>
      <c r="D2028" s="69" t="s">
        <v>5001</v>
      </c>
      <c r="E2028" s="69" t="s">
        <v>336</v>
      </c>
      <c r="F2028" s="69" t="s">
        <v>5002</v>
      </c>
    </row>
    <row r="2029" spans="1:6" ht="56.25" x14ac:dyDescent="0.2">
      <c r="A2029" s="65" t="s">
        <v>5003</v>
      </c>
      <c r="B2029" s="66" t="s">
        <v>5004</v>
      </c>
      <c r="C2029" s="74" t="s">
        <v>203</v>
      </c>
      <c r="D2029" s="69" t="s">
        <v>5005</v>
      </c>
      <c r="E2029" s="69" t="s">
        <v>328</v>
      </c>
      <c r="F2029" s="69" t="s">
        <v>5006</v>
      </c>
    </row>
    <row r="2030" spans="1:6" ht="56.25" x14ac:dyDescent="0.2">
      <c r="A2030" s="65" t="s">
        <v>5007</v>
      </c>
      <c r="B2030" s="66" t="s">
        <v>5008</v>
      </c>
      <c r="C2030" s="74" t="s">
        <v>203</v>
      </c>
      <c r="D2030" s="69" t="s">
        <v>5009</v>
      </c>
      <c r="E2030" s="69" t="s">
        <v>328</v>
      </c>
      <c r="F2030" s="69" t="s">
        <v>5010</v>
      </c>
    </row>
    <row r="2031" spans="1:6" ht="45" x14ac:dyDescent="0.2">
      <c r="A2031" s="65" t="s">
        <v>5011</v>
      </c>
      <c r="B2031" s="66" t="s">
        <v>5012</v>
      </c>
      <c r="C2031" s="74" t="s">
        <v>203</v>
      </c>
      <c r="D2031" s="69" t="s">
        <v>5013</v>
      </c>
      <c r="E2031" s="69" t="s">
        <v>321</v>
      </c>
      <c r="F2031" s="69" t="s">
        <v>5014</v>
      </c>
    </row>
    <row r="2032" spans="1:6" x14ac:dyDescent="0.2">
      <c r="A2032" s="50">
        <v>37.14</v>
      </c>
      <c r="B2032" s="64" t="s">
        <v>5015</v>
      </c>
      <c r="C2032" s="47"/>
      <c r="D2032" s="47"/>
      <c r="E2032" s="47"/>
      <c r="F2032" s="47"/>
    </row>
    <row r="2033" spans="1:6" ht="45" x14ac:dyDescent="0.2">
      <c r="A2033" s="65" t="s">
        <v>5016</v>
      </c>
      <c r="B2033" s="66" t="s">
        <v>5017</v>
      </c>
      <c r="C2033" s="74" t="s">
        <v>203</v>
      </c>
      <c r="D2033" s="69" t="s">
        <v>5018</v>
      </c>
      <c r="E2033" s="69" t="s">
        <v>321</v>
      </c>
      <c r="F2033" s="69" t="s">
        <v>5019</v>
      </c>
    </row>
    <row r="2034" spans="1:6" ht="56.25" x14ac:dyDescent="0.2">
      <c r="A2034" s="65" t="s">
        <v>5020</v>
      </c>
      <c r="B2034" s="66" t="s">
        <v>5021</v>
      </c>
      <c r="C2034" s="74" t="s">
        <v>203</v>
      </c>
      <c r="D2034" s="69" t="s">
        <v>5022</v>
      </c>
      <c r="E2034" s="69" t="s">
        <v>5023</v>
      </c>
      <c r="F2034" s="69" t="s">
        <v>5024</v>
      </c>
    </row>
    <row r="2035" spans="1:6" ht="56.25" x14ac:dyDescent="0.2">
      <c r="A2035" s="65" t="s">
        <v>5025</v>
      </c>
      <c r="B2035" s="66" t="s">
        <v>5026</v>
      </c>
      <c r="C2035" s="74" t="s">
        <v>203</v>
      </c>
      <c r="D2035" s="69" t="s">
        <v>5027</v>
      </c>
      <c r="E2035" s="69" t="s">
        <v>5023</v>
      </c>
      <c r="F2035" s="69" t="s">
        <v>5028</v>
      </c>
    </row>
    <row r="2036" spans="1:6" ht="56.25" x14ac:dyDescent="0.2">
      <c r="A2036" s="65" t="s">
        <v>5029</v>
      </c>
      <c r="B2036" s="66" t="s">
        <v>5030</v>
      </c>
      <c r="C2036" s="74" t="s">
        <v>203</v>
      </c>
      <c r="D2036" s="69" t="s">
        <v>5031</v>
      </c>
      <c r="E2036" s="69" t="s">
        <v>321</v>
      </c>
      <c r="F2036" s="69" t="s">
        <v>5032</v>
      </c>
    </row>
    <row r="2037" spans="1:6" ht="56.25" x14ac:dyDescent="0.2">
      <c r="A2037" s="65" t="s">
        <v>5033</v>
      </c>
      <c r="B2037" s="66" t="s">
        <v>5034</v>
      </c>
      <c r="C2037" s="74" t="s">
        <v>203</v>
      </c>
      <c r="D2037" s="69" t="s">
        <v>5035</v>
      </c>
      <c r="E2037" s="69" t="s">
        <v>4839</v>
      </c>
      <c r="F2037" s="69" t="s">
        <v>5036</v>
      </c>
    </row>
    <row r="2038" spans="1:6" ht="56.25" x14ac:dyDescent="0.2">
      <c r="A2038" s="65" t="s">
        <v>5037</v>
      </c>
      <c r="B2038" s="66" t="s">
        <v>5038</v>
      </c>
      <c r="C2038" s="74" t="s">
        <v>203</v>
      </c>
      <c r="D2038" s="69" t="s">
        <v>5039</v>
      </c>
      <c r="E2038" s="69" t="s">
        <v>317</v>
      </c>
      <c r="F2038" s="69" t="s">
        <v>5040</v>
      </c>
    </row>
    <row r="2039" spans="1:6" ht="56.25" x14ac:dyDescent="0.2">
      <c r="A2039" s="65" t="s">
        <v>5041</v>
      </c>
      <c r="B2039" s="66" t="s">
        <v>5042</v>
      </c>
      <c r="C2039" s="74" t="s">
        <v>203</v>
      </c>
      <c r="D2039" s="69" t="s">
        <v>5043</v>
      </c>
      <c r="E2039" s="69" t="s">
        <v>317</v>
      </c>
      <c r="F2039" s="69" t="s">
        <v>5044</v>
      </c>
    </row>
    <row r="2040" spans="1:6" ht="56.25" x14ac:dyDescent="0.2">
      <c r="A2040" s="65" t="s">
        <v>5045</v>
      </c>
      <c r="B2040" s="66" t="s">
        <v>5046</v>
      </c>
      <c r="C2040" s="74" t="s">
        <v>203</v>
      </c>
      <c r="D2040" s="69" t="s">
        <v>5047</v>
      </c>
      <c r="E2040" s="69" t="s">
        <v>5023</v>
      </c>
      <c r="F2040" s="69" t="s">
        <v>5048</v>
      </c>
    </row>
    <row r="2041" spans="1:6" ht="56.25" x14ac:dyDescent="0.2">
      <c r="A2041" s="65" t="s">
        <v>5049</v>
      </c>
      <c r="B2041" s="66" t="s">
        <v>5050</v>
      </c>
      <c r="C2041" s="74" t="s">
        <v>203</v>
      </c>
      <c r="D2041" s="69" t="s">
        <v>5051</v>
      </c>
      <c r="E2041" s="69" t="s">
        <v>5023</v>
      </c>
      <c r="F2041" s="69" t="s">
        <v>5052</v>
      </c>
    </row>
    <row r="2042" spans="1:6" ht="56.25" x14ac:dyDescent="0.2">
      <c r="A2042" s="65" t="s">
        <v>5053</v>
      </c>
      <c r="B2042" s="66" t="s">
        <v>5054</v>
      </c>
      <c r="C2042" s="74" t="s">
        <v>203</v>
      </c>
      <c r="D2042" s="69" t="s">
        <v>5055</v>
      </c>
      <c r="E2042" s="69" t="s">
        <v>5023</v>
      </c>
      <c r="F2042" s="69" t="s">
        <v>5056</v>
      </c>
    </row>
    <row r="2043" spans="1:6" ht="56.25" x14ac:dyDescent="0.2">
      <c r="A2043" s="65" t="s">
        <v>5057</v>
      </c>
      <c r="B2043" s="66" t="s">
        <v>5058</v>
      </c>
      <c r="C2043" s="74" t="s">
        <v>203</v>
      </c>
      <c r="D2043" s="69" t="s">
        <v>5059</v>
      </c>
      <c r="E2043" s="69" t="s">
        <v>321</v>
      </c>
      <c r="F2043" s="69" t="s">
        <v>5060</v>
      </c>
    </row>
    <row r="2044" spans="1:6" ht="56.25" x14ac:dyDescent="0.2">
      <c r="A2044" s="65" t="s">
        <v>5061</v>
      </c>
      <c r="B2044" s="66" t="s">
        <v>5062</v>
      </c>
      <c r="C2044" s="74" t="s">
        <v>203</v>
      </c>
      <c r="D2044" s="69" t="s">
        <v>5063</v>
      </c>
      <c r="E2044" s="69" t="s">
        <v>4839</v>
      </c>
      <c r="F2044" s="69" t="s">
        <v>5064</v>
      </c>
    </row>
    <row r="2045" spans="1:6" ht="56.25" x14ac:dyDescent="0.2">
      <c r="A2045" s="65" t="s">
        <v>5065</v>
      </c>
      <c r="B2045" s="66" t="s">
        <v>5066</v>
      </c>
      <c r="C2045" s="67" t="s">
        <v>203</v>
      </c>
      <c r="D2045" s="69" t="s">
        <v>5067</v>
      </c>
      <c r="E2045" s="69" t="s">
        <v>5023</v>
      </c>
      <c r="F2045" s="69" t="s">
        <v>5068</v>
      </c>
    </row>
    <row r="2046" spans="1:6" ht="56.25" x14ac:dyDescent="0.2">
      <c r="A2046" s="65" t="s">
        <v>5069</v>
      </c>
      <c r="B2046" s="66" t="s">
        <v>5070</v>
      </c>
      <c r="C2046" s="67" t="s">
        <v>203</v>
      </c>
      <c r="D2046" s="69" t="s">
        <v>5071</v>
      </c>
      <c r="E2046" s="69" t="s">
        <v>5023</v>
      </c>
      <c r="F2046" s="69" t="s">
        <v>5072</v>
      </c>
    </row>
    <row r="2047" spans="1:6" ht="56.25" x14ac:dyDescent="0.2">
      <c r="A2047" s="65" t="s">
        <v>5073</v>
      </c>
      <c r="B2047" s="66" t="s">
        <v>5074</v>
      </c>
      <c r="C2047" s="67" t="s">
        <v>203</v>
      </c>
      <c r="D2047" s="69" t="s">
        <v>5075</v>
      </c>
      <c r="E2047" s="69" t="s">
        <v>321</v>
      </c>
      <c r="F2047" s="69" t="s">
        <v>5076</v>
      </c>
    </row>
    <row r="2048" spans="1:6" ht="56.25" x14ac:dyDescent="0.2">
      <c r="A2048" s="65" t="s">
        <v>5077</v>
      </c>
      <c r="B2048" s="66" t="s">
        <v>5078</v>
      </c>
      <c r="C2048" s="67" t="s">
        <v>203</v>
      </c>
      <c r="D2048" s="69" t="s">
        <v>5079</v>
      </c>
      <c r="E2048" s="69" t="s">
        <v>4839</v>
      </c>
      <c r="F2048" s="69" t="s">
        <v>5080</v>
      </c>
    </row>
    <row r="2049" spans="1:6" ht="45" x14ac:dyDescent="0.2">
      <c r="A2049" s="65" t="s">
        <v>5081</v>
      </c>
      <c r="B2049" s="66" t="s">
        <v>5082</v>
      </c>
      <c r="C2049" s="67" t="s">
        <v>203</v>
      </c>
      <c r="D2049" s="69" t="s">
        <v>5083</v>
      </c>
      <c r="E2049" s="69" t="s">
        <v>4839</v>
      </c>
      <c r="F2049" s="69" t="s">
        <v>5084</v>
      </c>
    </row>
    <row r="2050" spans="1:6" ht="45" x14ac:dyDescent="0.2">
      <c r="A2050" s="65" t="s">
        <v>5085</v>
      </c>
      <c r="B2050" s="66" t="s">
        <v>5086</v>
      </c>
      <c r="C2050" s="67" t="s">
        <v>203</v>
      </c>
      <c r="D2050" s="69" t="s">
        <v>5087</v>
      </c>
      <c r="E2050" s="69" t="s">
        <v>317</v>
      </c>
      <c r="F2050" s="69" t="s">
        <v>5088</v>
      </c>
    </row>
    <row r="2051" spans="1:6" ht="45" x14ac:dyDescent="0.2">
      <c r="A2051" s="65" t="s">
        <v>5089</v>
      </c>
      <c r="B2051" s="66" t="s">
        <v>5090</v>
      </c>
      <c r="C2051" s="67" t="s">
        <v>203</v>
      </c>
      <c r="D2051" s="69" t="s">
        <v>5091</v>
      </c>
      <c r="E2051" s="69" t="s">
        <v>5092</v>
      </c>
      <c r="F2051" s="69" t="s">
        <v>5093</v>
      </c>
    </row>
    <row r="2052" spans="1:6" ht="45" x14ac:dyDescent="0.2">
      <c r="A2052" s="65" t="s">
        <v>5094</v>
      </c>
      <c r="B2052" s="66" t="s">
        <v>5095</v>
      </c>
      <c r="C2052" s="67" t="s">
        <v>203</v>
      </c>
      <c r="D2052" s="69" t="s">
        <v>5096</v>
      </c>
      <c r="E2052" s="69" t="s">
        <v>5097</v>
      </c>
      <c r="F2052" s="69" t="s">
        <v>5098</v>
      </c>
    </row>
    <row r="2053" spans="1:6" ht="22.5" x14ac:dyDescent="0.2">
      <c r="A2053" s="65" t="s">
        <v>5099</v>
      </c>
      <c r="B2053" s="65" t="s">
        <v>5100</v>
      </c>
      <c r="C2053" s="67" t="s">
        <v>203</v>
      </c>
      <c r="D2053" s="69" t="s">
        <v>5101</v>
      </c>
      <c r="E2053" s="69" t="s">
        <v>336</v>
      </c>
      <c r="F2053" s="69" t="s">
        <v>5102</v>
      </c>
    </row>
    <row r="2054" spans="1:6" ht="33.75" x14ac:dyDescent="0.2">
      <c r="A2054" s="65" t="s">
        <v>5103</v>
      </c>
      <c r="B2054" s="65" t="s">
        <v>5104</v>
      </c>
      <c r="C2054" s="67" t="s">
        <v>203</v>
      </c>
      <c r="D2054" s="69" t="s">
        <v>5105</v>
      </c>
      <c r="E2054" s="69" t="s">
        <v>5023</v>
      </c>
      <c r="F2054" s="69" t="s">
        <v>5106</v>
      </c>
    </row>
    <row r="2055" spans="1:6" x14ac:dyDescent="0.2">
      <c r="A2055" s="50">
        <v>37.15</v>
      </c>
      <c r="B2055" s="64" t="s">
        <v>5107</v>
      </c>
      <c r="C2055" s="47"/>
      <c r="D2055" s="47"/>
      <c r="E2055" s="47"/>
      <c r="F2055" s="47"/>
    </row>
    <row r="2056" spans="1:6" ht="33.75" x14ac:dyDescent="0.2">
      <c r="A2056" s="65" t="s">
        <v>5108</v>
      </c>
      <c r="B2056" s="66" t="s">
        <v>5109</v>
      </c>
      <c r="C2056" s="67" t="s">
        <v>203</v>
      </c>
      <c r="D2056" s="69" t="s">
        <v>5110</v>
      </c>
      <c r="E2056" s="69" t="s">
        <v>5111</v>
      </c>
      <c r="F2056" s="69" t="s">
        <v>5112</v>
      </c>
    </row>
    <row r="2057" spans="1:6" ht="33.75" x14ac:dyDescent="0.2">
      <c r="A2057" s="65" t="s">
        <v>5113</v>
      </c>
      <c r="B2057" s="66" t="s">
        <v>5114</v>
      </c>
      <c r="C2057" s="67" t="s">
        <v>203</v>
      </c>
      <c r="D2057" s="69" t="s">
        <v>5115</v>
      </c>
      <c r="E2057" s="69" t="s">
        <v>5111</v>
      </c>
      <c r="F2057" s="69" t="s">
        <v>5116</v>
      </c>
    </row>
    <row r="2058" spans="1:6" ht="45" x14ac:dyDescent="0.2">
      <c r="A2058" s="65" t="s">
        <v>5117</v>
      </c>
      <c r="B2058" s="66" t="s">
        <v>5118</v>
      </c>
      <c r="C2058" s="67" t="s">
        <v>203</v>
      </c>
      <c r="D2058" s="69" t="s">
        <v>5119</v>
      </c>
      <c r="E2058" s="69" t="s">
        <v>5120</v>
      </c>
      <c r="F2058" s="69" t="s">
        <v>5121</v>
      </c>
    </row>
    <row r="2059" spans="1:6" ht="45" x14ac:dyDescent="0.2">
      <c r="A2059" s="65" t="s">
        <v>5122</v>
      </c>
      <c r="B2059" s="66" t="s">
        <v>5123</v>
      </c>
      <c r="C2059" s="67" t="s">
        <v>203</v>
      </c>
      <c r="D2059" s="69" t="s">
        <v>5124</v>
      </c>
      <c r="E2059" s="69" t="s">
        <v>5120</v>
      </c>
      <c r="F2059" s="69" t="s">
        <v>5125</v>
      </c>
    </row>
    <row r="2060" spans="1:6" ht="45" x14ac:dyDescent="0.2">
      <c r="A2060" s="65" t="s">
        <v>5126</v>
      </c>
      <c r="B2060" s="66" t="s">
        <v>5127</v>
      </c>
      <c r="C2060" s="67" t="s">
        <v>203</v>
      </c>
      <c r="D2060" s="69" t="s">
        <v>5128</v>
      </c>
      <c r="E2060" s="69" t="s">
        <v>5120</v>
      </c>
      <c r="F2060" s="69" t="s">
        <v>5129</v>
      </c>
    </row>
    <row r="2061" spans="1:6" ht="33.75" x14ac:dyDescent="0.2">
      <c r="A2061" s="65" t="s">
        <v>5130</v>
      </c>
      <c r="B2061" s="65" t="s">
        <v>5131</v>
      </c>
      <c r="C2061" s="67" t="s">
        <v>203</v>
      </c>
      <c r="D2061" s="69" t="s">
        <v>5132</v>
      </c>
      <c r="E2061" s="69" t="s">
        <v>5111</v>
      </c>
      <c r="F2061" s="69" t="s">
        <v>5133</v>
      </c>
    </row>
    <row r="2062" spans="1:6" ht="45" x14ac:dyDescent="0.2">
      <c r="A2062" s="65" t="s">
        <v>5134</v>
      </c>
      <c r="B2062" s="66" t="s">
        <v>5135</v>
      </c>
      <c r="C2062" s="67" t="s">
        <v>203</v>
      </c>
      <c r="D2062" s="69" t="s">
        <v>5136</v>
      </c>
      <c r="E2062" s="69" t="s">
        <v>5111</v>
      </c>
      <c r="F2062" s="69" t="s">
        <v>5137</v>
      </c>
    </row>
    <row r="2063" spans="1:6" x14ac:dyDescent="0.2">
      <c r="A2063" s="50">
        <v>37.159999999999997</v>
      </c>
      <c r="B2063" s="64" t="s">
        <v>5138</v>
      </c>
      <c r="C2063" s="47"/>
      <c r="D2063" s="47"/>
      <c r="E2063" s="47"/>
      <c r="F2063" s="47"/>
    </row>
    <row r="2064" spans="1:6" ht="45" x14ac:dyDescent="0.2">
      <c r="A2064" s="65" t="s">
        <v>5139</v>
      </c>
      <c r="B2064" s="66" t="s">
        <v>5140</v>
      </c>
      <c r="C2064" s="67" t="s">
        <v>5141</v>
      </c>
      <c r="D2064" s="69" t="s">
        <v>5142</v>
      </c>
      <c r="E2064" s="69" t="s">
        <v>217</v>
      </c>
      <c r="F2064" s="69" t="s">
        <v>5143</v>
      </c>
    </row>
    <row r="2065" spans="1:6" ht="22.5" x14ac:dyDescent="0.2">
      <c r="A2065" s="50">
        <v>37.17</v>
      </c>
      <c r="B2065" s="64" t="s">
        <v>5144</v>
      </c>
      <c r="C2065" s="47"/>
      <c r="D2065" s="47"/>
      <c r="E2065" s="47"/>
      <c r="F2065" s="47"/>
    </row>
    <row r="2066" spans="1:6" ht="22.5" x14ac:dyDescent="0.2">
      <c r="A2066" s="65" t="s">
        <v>5145</v>
      </c>
      <c r="B2066" s="65" t="s">
        <v>5146</v>
      </c>
      <c r="C2066" s="67" t="s">
        <v>203</v>
      </c>
      <c r="D2066" s="69" t="s">
        <v>5147</v>
      </c>
      <c r="E2066" s="69" t="s">
        <v>324</v>
      </c>
      <c r="F2066" s="69" t="s">
        <v>5148</v>
      </c>
    </row>
    <row r="2067" spans="1:6" ht="22.5" x14ac:dyDescent="0.2">
      <c r="A2067" s="65" t="s">
        <v>5149</v>
      </c>
      <c r="B2067" s="65" t="s">
        <v>5150</v>
      </c>
      <c r="C2067" s="67" t="s">
        <v>203</v>
      </c>
      <c r="D2067" s="69" t="s">
        <v>5151</v>
      </c>
      <c r="E2067" s="69" t="s">
        <v>324</v>
      </c>
      <c r="F2067" s="69" t="s">
        <v>5152</v>
      </c>
    </row>
    <row r="2068" spans="1:6" ht="22.5" x14ac:dyDescent="0.2">
      <c r="A2068" s="65" t="s">
        <v>5153</v>
      </c>
      <c r="B2068" s="65" t="s">
        <v>5154</v>
      </c>
      <c r="C2068" s="67" t="s">
        <v>203</v>
      </c>
      <c r="D2068" s="69" t="s">
        <v>5155</v>
      </c>
      <c r="E2068" s="69" t="s">
        <v>324</v>
      </c>
      <c r="F2068" s="69" t="s">
        <v>5156</v>
      </c>
    </row>
    <row r="2069" spans="1:6" ht="22.5" x14ac:dyDescent="0.2">
      <c r="A2069" s="65" t="s">
        <v>5157</v>
      </c>
      <c r="B2069" s="65" t="s">
        <v>5158</v>
      </c>
      <c r="C2069" s="67" t="s">
        <v>203</v>
      </c>
      <c r="D2069" s="69" t="s">
        <v>5159</v>
      </c>
      <c r="E2069" s="69" t="s">
        <v>324</v>
      </c>
      <c r="F2069" s="69" t="s">
        <v>5160</v>
      </c>
    </row>
    <row r="2070" spans="1:6" ht="22.5" x14ac:dyDescent="0.2">
      <c r="A2070" s="65" t="s">
        <v>5161</v>
      </c>
      <c r="B2070" s="65" t="s">
        <v>5162</v>
      </c>
      <c r="C2070" s="67" t="s">
        <v>203</v>
      </c>
      <c r="D2070" s="69" t="s">
        <v>5163</v>
      </c>
      <c r="E2070" s="69" t="s">
        <v>324</v>
      </c>
      <c r="F2070" s="69" t="s">
        <v>5164</v>
      </c>
    </row>
    <row r="2071" spans="1:6" ht="22.5" x14ac:dyDescent="0.2">
      <c r="A2071" s="65" t="s">
        <v>5165</v>
      </c>
      <c r="B2071" s="65" t="s">
        <v>5166</v>
      </c>
      <c r="C2071" s="67" t="s">
        <v>203</v>
      </c>
      <c r="D2071" s="69" t="s">
        <v>5167</v>
      </c>
      <c r="E2071" s="69" t="s">
        <v>324</v>
      </c>
      <c r="F2071" s="69" t="s">
        <v>5168</v>
      </c>
    </row>
    <row r="2072" spans="1:6" ht="22.5" x14ac:dyDescent="0.2">
      <c r="A2072" s="65" t="s">
        <v>5169</v>
      </c>
      <c r="B2072" s="65" t="s">
        <v>5170</v>
      </c>
      <c r="C2072" s="67" t="s">
        <v>203</v>
      </c>
      <c r="D2072" s="69" t="s">
        <v>5171</v>
      </c>
      <c r="E2072" s="69" t="s">
        <v>324</v>
      </c>
      <c r="F2072" s="69" t="s">
        <v>5172</v>
      </c>
    </row>
    <row r="2073" spans="1:6" ht="22.5" x14ac:dyDescent="0.2">
      <c r="A2073" s="65" t="s">
        <v>5173</v>
      </c>
      <c r="B2073" s="65" t="s">
        <v>5174</v>
      </c>
      <c r="C2073" s="67" t="s">
        <v>203</v>
      </c>
      <c r="D2073" s="69" t="s">
        <v>5175</v>
      </c>
      <c r="E2073" s="69" t="s">
        <v>324</v>
      </c>
      <c r="F2073" s="69" t="s">
        <v>5176</v>
      </c>
    </row>
    <row r="2074" spans="1:6" ht="22.5" x14ac:dyDescent="0.2">
      <c r="A2074" s="65" t="s">
        <v>5177</v>
      </c>
      <c r="B2074" s="65" t="s">
        <v>5178</v>
      </c>
      <c r="C2074" s="67" t="s">
        <v>203</v>
      </c>
      <c r="D2074" s="69" t="s">
        <v>5179</v>
      </c>
      <c r="E2074" s="69" t="s">
        <v>324</v>
      </c>
      <c r="F2074" s="69" t="s">
        <v>5180</v>
      </c>
    </row>
    <row r="2075" spans="1:6" x14ac:dyDescent="0.2">
      <c r="A2075" s="50">
        <v>37.18</v>
      </c>
      <c r="B2075" s="64" t="s">
        <v>5181</v>
      </c>
      <c r="C2075" s="47"/>
      <c r="D2075" s="47"/>
      <c r="E2075" s="47"/>
      <c r="F2075" s="47"/>
    </row>
    <row r="2076" spans="1:6" ht="45" x14ac:dyDescent="0.2">
      <c r="A2076" s="65" t="s">
        <v>5182</v>
      </c>
      <c r="B2076" s="66" t="s">
        <v>5183</v>
      </c>
      <c r="C2076" s="67" t="s">
        <v>203</v>
      </c>
      <c r="D2076" s="69" t="s">
        <v>5184</v>
      </c>
      <c r="E2076" s="69" t="s">
        <v>5185</v>
      </c>
      <c r="F2076" s="69" t="s">
        <v>5186</v>
      </c>
    </row>
    <row r="2077" spans="1:6" ht="45" x14ac:dyDescent="0.2">
      <c r="A2077" s="65" t="s">
        <v>5187</v>
      </c>
      <c r="B2077" s="66" t="s">
        <v>5188</v>
      </c>
      <c r="C2077" s="67" t="s">
        <v>203</v>
      </c>
      <c r="D2077" s="69" t="s">
        <v>5189</v>
      </c>
      <c r="E2077" s="69" t="s">
        <v>5185</v>
      </c>
      <c r="F2077" s="69" t="s">
        <v>5190</v>
      </c>
    </row>
    <row r="2078" spans="1:6" ht="45" x14ac:dyDescent="0.2">
      <c r="A2078" s="65" t="s">
        <v>5191</v>
      </c>
      <c r="B2078" s="66" t="s">
        <v>5192</v>
      </c>
      <c r="C2078" s="67" t="s">
        <v>203</v>
      </c>
      <c r="D2078" s="69" t="s">
        <v>5193</v>
      </c>
      <c r="E2078" s="69" t="s">
        <v>5185</v>
      </c>
      <c r="F2078" s="69" t="s">
        <v>5194</v>
      </c>
    </row>
    <row r="2079" spans="1:6" x14ac:dyDescent="0.2">
      <c r="A2079" s="50">
        <v>37.19</v>
      </c>
      <c r="B2079" s="64" t="s">
        <v>5195</v>
      </c>
      <c r="C2079" s="47"/>
      <c r="D2079" s="47"/>
      <c r="E2079" s="47"/>
      <c r="F2079" s="47"/>
    </row>
    <row r="2080" spans="1:6" ht="22.5" x14ac:dyDescent="0.2">
      <c r="A2080" s="65" t="s">
        <v>5196</v>
      </c>
      <c r="B2080" s="65" t="s">
        <v>5197</v>
      </c>
      <c r="C2080" s="67" t="s">
        <v>203</v>
      </c>
      <c r="D2080" s="69" t="s">
        <v>5198</v>
      </c>
      <c r="E2080" s="69" t="s">
        <v>5185</v>
      </c>
      <c r="F2080" s="69" t="s">
        <v>5199</v>
      </c>
    </row>
    <row r="2081" spans="1:6" ht="22.5" x14ac:dyDescent="0.2">
      <c r="A2081" s="65" t="s">
        <v>5200</v>
      </c>
      <c r="B2081" s="65" t="s">
        <v>5201</v>
      </c>
      <c r="C2081" s="74" t="s">
        <v>203</v>
      </c>
      <c r="D2081" s="69" t="s">
        <v>5202</v>
      </c>
      <c r="E2081" s="69" t="s">
        <v>5185</v>
      </c>
      <c r="F2081" s="69" t="s">
        <v>5203</v>
      </c>
    </row>
    <row r="2082" spans="1:6" ht="22.5" x14ac:dyDescent="0.2">
      <c r="A2082" s="65" t="s">
        <v>5204</v>
      </c>
      <c r="B2082" s="65" t="s">
        <v>5205</v>
      </c>
      <c r="C2082" s="74" t="s">
        <v>203</v>
      </c>
      <c r="D2082" s="69" t="s">
        <v>5206</v>
      </c>
      <c r="E2082" s="69" t="s">
        <v>5185</v>
      </c>
      <c r="F2082" s="69" t="s">
        <v>5207</v>
      </c>
    </row>
    <row r="2083" spans="1:6" ht="22.5" x14ac:dyDescent="0.2">
      <c r="A2083" s="65" t="s">
        <v>5208</v>
      </c>
      <c r="B2083" s="65" t="s">
        <v>5209</v>
      </c>
      <c r="C2083" s="74" t="s">
        <v>203</v>
      </c>
      <c r="D2083" s="69" t="s">
        <v>5210</v>
      </c>
      <c r="E2083" s="69" t="s">
        <v>5185</v>
      </c>
      <c r="F2083" s="69" t="s">
        <v>5211</v>
      </c>
    </row>
    <row r="2084" spans="1:6" ht="22.5" x14ac:dyDescent="0.2">
      <c r="A2084" s="65" t="s">
        <v>5212</v>
      </c>
      <c r="B2084" s="65" t="s">
        <v>5213</v>
      </c>
      <c r="C2084" s="74" t="s">
        <v>203</v>
      </c>
      <c r="D2084" s="69" t="s">
        <v>5214</v>
      </c>
      <c r="E2084" s="69" t="s">
        <v>5185</v>
      </c>
      <c r="F2084" s="69" t="s">
        <v>5215</v>
      </c>
    </row>
    <row r="2085" spans="1:6" ht="22.5" x14ac:dyDescent="0.2">
      <c r="A2085" s="50">
        <v>37.200000000000003</v>
      </c>
      <c r="B2085" s="64" t="s">
        <v>5216</v>
      </c>
      <c r="C2085" s="47"/>
      <c r="D2085" s="47"/>
      <c r="E2085" s="47"/>
      <c r="F2085" s="47"/>
    </row>
    <row r="2086" spans="1:6" ht="22.5" x14ac:dyDescent="0.2">
      <c r="A2086" s="65" t="s">
        <v>5217</v>
      </c>
      <c r="B2086" s="65" t="s">
        <v>5218</v>
      </c>
      <c r="C2086" s="74" t="s">
        <v>203</v>
      </c>
      <c r="D2086" s="69" t="s">
        <v>5219</v>
      </c>
      <c r="E2086" s="69" t="s">
        <v>320</v>
      </c>
      <c r="F2086" s="69" t="s">
        <v>5220</v>
      </c>
    </row>
    <row r="2087" spans="1:6" ht="22.5" x14ac:dyDescent="0.2">
      <c r="A2087" s="65" t="s">
        <v>5221</v>
      </c>
      <c r="B2087" s="65" t="s">
        <v>5222</v>
      </c>
      <c r="C2087" s="74" t="s">
        <v>203</v>
      </c>
      <c r="D2087" s="69" t="s">
        <v>5223</v>
      </c>
      <c r="E2087" s="69" t="s">
        <v>260</v>
      </c>
      <c r="F2087" s="69" t="s">
        <v>5224</v>
      </c>
    </row>
    <row r="2088" spans="1:6" x14ac:dyDescent="0.2">
      <c r="A2088" s="65" t="s">
        <v>5225</v>
      </c>
      <c r="B2088" s="65" t="s">
        <v>5226</v>
      </c>
      <c r="C2088" s="74" t="s">
        <v>203</v>
      </c>
      <c r="D2088" s="69" t="s">
        <v>5227</v>
      </c>
      <c r="E2088" s="69" t="s">
        <v>320</v>
      </c>
      <c r="F2088" s="69" t="s">
        <v>5228</v>
      </c>
    </row>
    <row r="2089" spans="1:6" ht="45" x14ac:dyDescent="0.2">
      <c r="A2089" s="65" t="s">
        <v>5229</v>
      </c>
      <c r="B2089" s="66" t="s">
        <v>5230</v>
      </c>
      <c r="C2089" s="74" t="s">
        <v>203</v>
      </c>
      <c r="D2089" s="68"/>
      <c r="E2089" s="69" t="s">
        <v>319</v>
      </c>
      <c r="F2089" s="69" t="s">
        <v>319</v>
      </c>
    </row>
    <row r="2090" spans="1:6" ht="33.75" x14ac:dyDescent="0.2">
      <c r="A2090" s="65" t="s">
        <v>5231</v>
      </c>
      <c r="B2090" s="65" t="s">
        <v>5232</v>
      </c>
      <c r="C2090" s="74" t="s">
        <v>204</v>
      </c>
      <c r="D2090" s="68"/>
      <c r="E2090" s="69" t="s">
        <v>335</v>
      </c>
      <c r="F2090" s="69" t="s">
        <v>335</v>
      </c>
    </row>
    <row r="2091" spans="1:6" ht="33.75" x14ac:dyDescent="0.2">
      <c r="A2091" s="65" t="s">
        <v>5233</v>
      </c>
      <c r="B2091" s="65" t="s">
        <v>5234</v>
      </c>
      <c r="C2091" s="74" t="s">
        <v>204</v>
      </c>
      <c r="D2091" s="68"/>
      <c r="E2091" s="69" t="s">
        <v>337</v>
      </c>
      <c r="F2091" s="69" t="s">
        <v>337</v>
      </c>
    </row>
    <row r="2092" spans="1:6" ht="45" x14ac:dyDescent="0.2">
      <c r="A2092" s="65" t="s">
        <v>5235</v>
      </c>
      <c r="B2092" s="66" t="s">
        <v>5236</v>
      </c>
      <c r="C2092" s="74" t="s">
        <v>203</v>
      </c>
      <c r="D2092" s="69" t="s">
        <v>5237</v>
      </c>
      <c r="E2092" s="69" t="s">
        <v>243</v>
      </c>
      <c r="F2092" s="69" t="s">
        <v>5238</v>
      </c>
    </row>
    <row r="2093" spans="1:6" ht="22.5" x14ac:dyDescent="0.2">
      <c r="A2093" s="65" t="s">
        <v>5239</v>
      </c>
      <c r="B2093" s="65" t="s">
        <v>5240</v>
      </c>
      <c r="C2093" s="74" t="s">
        <v>203</v>
      </c>
      <c r="D2093" s="69" t="s">
        <v>5241</v>
      </c>
      <c r="E2093" s="69" t="s">
        <v>261</v>
      </c>
      <c r="F2093" s="69" t="s">
        <v>5242</v>
      </c>
    </row>
    <row r="2094" spans="1:6" ht="33.75" x14ac:dyDescent="0.2">
      <c r="A2094" s="65" t="s">
        <v>5243</v>
      </c>
      <c r="B2094" s="65" t="s">
        <v>5244</v>
      </c>
      <c r="C2094" s="74" t="s">
        <v>204</v>
      </c>
      <c r="D2094" s="69" t="s">
        <v>5245</v>
      </c>
      <c r="E2094" s="69" t="s">
        <v>335</v>
      </c>
      <c r="F2094" s="69" t="s">
        <v>5246</v>
      </c>
    </row>
    <row r="2095" spans="1:6" ht="45" x14ac:dyDescent="0.2">
      <c r="A2095" s="65" t="s">
        <v>5247</v>
      </c>
      <c r="B2095" s="66" t="s">
        <v>5248</v>
      </c>
      <c r="C2095" s="74" t="s">
        <v>203</v>
      </c>
      <c r="D2095" s="69" t="s">
        <v>5249</v>
      </c>
      <c r="E2095" s="69" t="s">
        <v>5250</v>
      </c>
      <c r="F2095" s="69" t="s">
        <v>5251</v>
      </c>
    </row>
    <row r="2096" spans="1:6" ht="45" x14ac:dyDescent="0.2">
      <c r="A2096" s="65" t="s">
        <v>5252</v>
      </c>
      <c r="B2096" s="66" t="s">
        <v>5253</v>
      </c>
      <c r="C2096" s="74" t="s">
        <v>203</v>
      </c>
      <c r="D2096" s="69" t="s">
        <v>5254</v>
      </c>
      <c r="E2096" s="69" t="s">
        <v>5250</v>
      </c>
      <c r="F2096" s="69" t="s">
        <v>5255</v>
      </c>
    </row>
    <row r="2097" spans="1:6" ht="45" x14ac:dyDescent="0.2">
      <c r="A2097" s="65" t="s">
        <v>5256</v>
      </c>
      <c r="B2097" s="66" t="s">
        <v>5257</v>
      </c>
      <c r="C2097" s="74" t="s">
        <v>203</v>
      </c>
      <c r="D2097" s="69" t="s">
        <v>5258</v>
      </c>
      <c r="E2097" s="69" t="s">
        <v>5250</v>
      </c>
      <c r="F2097" s="69" t="s">
        <v>5259</v>
      </c>
    </row>
    <row r="2098" spans="1:6" ht="22.5" x14ac:dyDescent="0.2">
      <c r="A2098" s="65" t="s">
        <v>5260</v>
      </c>
      <c r="B2098" s="65" t="s">
        <v>5261</v>
      </c>
      <c r="C2098" s="74" t="s">
        <v>203</v>
      </c>
      <c r="D2098" s="69" t="s">
        <v>5262</v>
      </c>
      <c r="E2098" s="69" t="s">
        <v>319</v>
      </c>
      <c r="F2098" s="69" t="s">
        <v>5263</v>
      </c>
    </row>
    <row r="2099" spans="1:6" x14ac:dyDescent="0.2">
      <c r="A2099" s="50">
        <v>37.21</v>
      </c>
      <c r="B2099" s="64" t="s">
        <v>5264</v>
      </c>
      <c r="C2099" s="47"/>
      <c r="D2099" s="47"/>
      <c r="E2099" s="47"/>
      <c r="F2099" s="47"/>
    </row>
    <row r="2100" spans="1:6" ht="45" x14ac:dyDescent="0.2">
      <c r="A2100" s="65" t="s">
        <v>5265</v>
      </c>
      <c r="B2100" s="66" t="s">
        <v>5266</v>
      </c>
      <c r="C2100" s="74" t="s">
        <v>203</v>
      </c>
      <c r="D2100" s="69" t="s">
        <v>5267</v>
      </c>
      <c r="E2100" s="69" t="s">
        <v>319</v>
      </c>
      <c r="F2100" s="69" t="s">
        <v>5268</v>
      </c>
    </row>
    <row r="2101" spans="1:6" x14ac:dyDescent="0.2">
      <c r="A2101" s="50">
        <v>37.22</v>
      </c>
      <c r="B2101" s="64" t="s">
        <v>5269</v>
      </c>
      <c r="C2101" s="47"/>
      <c r="D2101" s="47"/>
      <c r="E2101" s="47"/>
      <c r="F2101" s="47"/>
    </row>
    <row r="2102" spans="1:6" ht="33.75" x14ac:dyDescent="0.2">
      <c r="A2102" s="65" t="s">
        <v>5270</v>
      </c>
      <c r="B2102" s="65" t="s">
        <v>5271</v>
      </c>
      <c r="C2102" s="74" t="s">
        <v>203</v>
      </c>
      <c r="D2102" s="69" t="s">
        <v>5272</v>
      </c>
      <c r="E2102" s="69" t="s">
        <v>5185</v>
      </c>
      <c r="F2102" s="69" t="s">
        <v>5273</v>
      </c>
    </row>
    <row r="2103" spans="1:6" x14ac:dyDescent="0.2">
      <c r="A2103" s="50">
        <v>37.24</v>
      </c>
      <c r="B2103" s="64" t="s">
        <v>5274</v>
      </c>
      <c r="C2103" s="47"/>
      <c r="D2103" s="47"/>
      <c r="E2103" s="47"/>
      <c r="F2103" s="47"/>
    </row>
    <row r="2104" spans="1:6" ht="45" x14ac:dyDescent="0.2">
      <c r="A2104" s="65" t="s">
        <v>5275</v>
      </c>
      <c r="B2104" s="66" t="s">
        <v>5276</v>
      </c>
      <c r="C2104" s="74" t="s">
        <v>203</v>
      </c>
      <c r="D2104" s="69" t="s">
        <v>5277</v>
      </c>
      <c r="E2104" s="69" t="s">
        <v>5278</v>
      </c>
      <c r="F2104" s="69" t="s">
        <v>5279</v>
      </c>
    </row>
    <row r="2105" spans="1:6" ht="45" x14ac:dyDescent="0.2">
      <c r="A2105" s="65" t="s">
        <v>5280</v>
      </c>
      <c r="B2105" s="66" t="s">
        <v>5281</v>
      </c>
      <c r="C2105" s="74" t="s">
        <v>203</v>
      </c>
      <c r="D2105" s="69" t="s">
        <v>5282</v>
      </c>
      <c r="E2105" s="69" t="s">
        <v>5278</v>
      </c>
      <c r="F2105" s="69" t="s">
        <v>5283</v>
      </c>
    </row>
    <row r="2106" spans="1:6" ht="45" x14ac:dyDescent="0.2">
      <c r="A2106" s="65" t="s">
        <v>5284</v>
      </c>
      <c r="B2106" s="66" t="s">
        <v>5285</v>
      </c>
      <c r="C2106" s="74" t="s">
        <v>203</v>
      </c>
      <c r="D2106" s="69" t="s">
        <v>5286</v>
      </c>
      <c r="E2106" s="69" t="s">
        <v>5278</v>
      </c>
      <c r="F2106" s="69" t="s">
        <v>5287</v>
      </c>
    </row>
    <row r="2107" spans="1:6" ht="56.25" x14ac:dyDescent="0.2">
      <c r="A2107" s="70" t="s">
        <v>5288</v>
      </c>
      <c r="B2107" s="65" t="s">
        <v>5289</v>
      </c>
      <c r="C2107" s="75" t="s">
        <v>203</v>
      </c>
      <c r="D2107" s="72" t="s">
        <v>5290</v>
      </c>
      <c r="E2107" s="72" t="s">
        <v>5291</v>
      </c>
      <c r="F2107" s="72" t="s">
        <v>5292</v>
      </c>
    </row>
    <row r="2108" spans="1:6" ht="56.25" x14ac:dyDescent="0.2">
      <c r="A2108" s="70" t="s">
        <v>5293</v>
      </c>
      <c r="B2108" s="65" t="s">
        <v>5294</v>
      </c>
      <c r="C2108" s="75" t="s">
        <v>203</v>
      </c>
      <c r="D2108" s="72" t="s">
        <v>5295</v>
      </c>
      <c r="E2108" s="72" t="s">
        <v>5291</v>
      </c>
      <c r="F2108" s="72" t="s">
        <v>5296</v>
      </c>
    </row>
    <row r="2109" spans="1:6" ht="56.25" x14ac:dyDescent="0.2">
      <c r="A2109" s="70" t="s">
        <v>5297</v>
      </c>
      <c r="B2109" s="65" t="s">
        <v>5298</v>
      </c>
      <c r="C2109" s="75" t="s">
        <v>203</v>
      </c>
      <c r="D2109" s="72" t="s">
        <v>5299</v>
      </c>
      <c r="E2109" s="72" t="s">
        <v>5291</v>
      </c>
      <c r="F2109" s="72" t="s">
        <v>5300</v>
      </c>
    </row>
    <row r="2110" spans="1:6" ht="67.5" x14ac:dyDescent="0.2">
      <c r="A2110" s="70" t="s">
        <v>5301</v>
      </c>
      <c r="B2110" s="66" t="s">
        <v>5302</v>
      </c>
      <c r="C2110" s="75" t="s">
        <v>203</v>
      </c>
      <c r="D2110" s="72" t="s">
        <v>5303</v>
      </c>
      <c r="E2110" s="72" t="s">
        <v>5291</v>
      </c>
      <c r="F2110" s="72" t="s">
        <v>5304</v>
      </c>
    </row>
    <row r="2111" spans="1:6" x14ac:dyDescent="0.2">
      <c r="A2111" s="50">
        <v>37.25</v>
      </c>
      <c r="B2111" s="64" t="s">
        <v>5305</v>
      </c>
      <c r="C2111" s="47"/>
      <c r="D2111" s="47"/>
      <c r="E2111" s="47"/>
      <c r="F2111" s="47"/>
    </row>
    <row r="2112" spans="1:6" ht="56.25" x14ac:dyDescent="0.2">
      <c r="A2112" s="65" t="s">
        <v>5306</v>
      </c>
      <c r="B2112" s="66" t="s">
        <v>5307</v>
      </c>
      <c r="C2112" s="74" t="s">
        <v>203</v>
      </c>
      <c r="D2112" s="69" t="s">
        <v>5308</v>
      </c>
      <c r="E2112" s="69" t="s">
        <v>5309</v>
      </c>
      <c r="F2112" s="69" t="s">
        <v>5310</v>
      </c>
    </row>
    <row r="2113" spans="1:6" ht="56.25" x14ac:dyDescent="0.2">
      <c r="A2113" s="65" t="s">
        <v>5311</v>
      </c>
      <c r="B2113" s="66" t="s">
        <v>5312</v>
      </c>
      <c r="C2113" s="74" t="s">
        <v>203</v>
      </c>
      <c r="D2113" s="69" t="s">
        <v>5313</v>
      </c>
      <c r="E2113" s="69" t="s">
        <v>5309</v>
      </c>
      <c r="F2113" s="69" t="s">
        <v>5314</v>
      </c>
    </row>
    <row r="2114" spans="1:6" ht="56.25" x14ac:dyDescent="0.2">
      <c r="A2114" s="65" t="s">
        <v>5315</v>
      </c>
      <c r="B2114" s="66" t="s">
        <v>5316</v>
      </c>
      <c r="C2114" s="67" t="s">
        <v>203</v>
      </c>
      <c r="D2114" s="69" t="s">
        <v>5317</v>
      </c>
      <c r="E2114" s="69" t="s">
        <v>5309</v>
      </c>
      <c r="F2114" s="69" t="s">
        <v>5318</v>
      </c>
    </row>
    <row r="2115" spans="1:6" ht="56.25" x14ac:dyDescent="0.2">
      <c r="A2115" s="70" t="s">
        <v>5319</v>
      </c>
      <c r="B2115" s="65" t="s">
        <v>5320</v>
      </c>
      <c r="C2115" s="71" t="s">
        <v>203</v>
      </c>
      <c r="D2115" s="72" t="s">
        <v>5321</v>
      </c>
      <c r="E2115" s="72" t="s">
        <v>5309</v>
      </c>
      <c r="F2115" s="72" t="s">
        <v>5322</v>
      </c>
    </row>
    <row r="2116" spans="1:6" ht="56.25" x14ac:dyDescent="0.2">
      <c r="A2116" s="70" t="s">
        <v>5323</v>
      </c>
      <c r="B2116" s="65" t="s">
        <v>5324</v>
      </c>
      <c r="C2116" s="71" t="s">
        <v>203</v>
      </c>
      <c r="D2116" s="72" t="s">
        <v>5325</v>
      </c>
      <c r="E2116" s="72" t="s">
        <v>5309</v>
      </c>
      <c r="F2116" s="72" t="s">
        <v>5326</v>
      </c>
    </row>
    <row r="2117" spans="1:6" ht="56.25" x14ac:dyDescent="0.2">
      <c r="A2117" s="65" t="s">
        <v>5327</v>
      </c>
      <c r="B2117" s="66" t="s">
        <v>5328</v>
      </c>
      <c r="C2117" s="67" t="s">
        <v>240</v>
      </c>
      <c r="D2117" s="69" t="s">
        <v>5329</v>
      </c>
      <c r="E2117" s="69" t="s">
        <v>5097</v>
      </c>
      <c r="F2117" s="69" t="s">
        <v>5330</v>
      </c>
    </row>
    <row r="2118" spans="1:6" ht="33.75" x14ac:dyDescent="0.2">
      <c r="A2118" s="49">
        <v>38</v>
      </c>
      <c r="B2118" s="64" t="s">
        <v>5331</v>
      </c>
      <c r="C2118" s="48"/>
      <c r="D2118" s="48"/>
      <c r="E2118" s="48"/>
      <c r="F2118" s="48"/>
    </row>
    <row r="2119" spans="1:6" ht="22.5" x14ac:dyDescent="0.2">
      <c r="A2119" s="50">
        <v>38.01</v>
      </c>
      <c r="B2119" s="64" t="s">
        <v>5332</v>
      </c>
      <c r="C2119" s="47"/>
      <c r="D2119" s="47"/>
      <c r="E2119" s="47"/>
      <c r="F2119" s="47"/>
    </row>
    <row r="2120" spans="1:6" ht="22.5" x14ac:dyDescent="0.2">
      <c r="A2120" s="65" t="s">
        <v>5333</v>
      </c>
      <c r="B2120" s="65" t="s">
        <v>5334</v>
      </c>
      <c r="C2120" s="67" t="s">
        <v>221</v>
      </c>
      <c r="D2120" s="69" t="s">
        <v>5335</v>
      </c>
      <c r="E2120" s="69" t="s">
        <v>319</v>
      </c>
      <c r="F2120" s="69" t="s">
        <v>5336</v>
      </c>
    </row>
    <row r="2121" spans="1:6" ht="22.5" x14ac:dyDescent="0.2">
      <c r="A2121" s="65" t="s">
        <v>5337</v>
      </c>
      <c r="B2121" s="65" t="s">
        <v>5338</v>
      </c>
      <c r="C2121" s="67" t="s">
        <v>221</v>
      </c>
      <c r="D2121" s="69" t="s">
        <v>294</v>
      </c>
      <c r="E2121" s="69" t="s">
        <v>331</v>
      </c>
      <c r="F2121" s="69" t="s">
        <v>5339</v>
      </c>
    </row>
    <row r="2122" spans="1:6" ht="22.5" x14ac:dyDescent="0.2">
      <c r="A2122" s="65" t="s">
        <v>5340</v>
      </c>
      <c r="B2122" s="65" t="s">
        <v>5341</v>
      </c>
      <c r="C2122" s="67" t="s">
        <v>221</v>
      </c>
      <c r="D2122" s="69" t="s">
        <v>5342</v>
      </c>
      <c r="E2122" s="69" t="s">
        <v>5343</v>
      </c>
      <c r="F2122" s="69" t="s">
        <v>5344</v>
      </c>
    </row>
    <row r="2123" spans="1:6" ht="22.5" x14ac:dyDescent="0.2">
      <c r="A2123" s="65" t="s">
        <v>5345</v>
      </c>
      <c r="B2123" s="65" t="s">
        <v>5346</v>
      </c>
      <c r="C2123" s="67" t="s">
        <v>221</v>
      </c>
      <c r="D2123" s="69" t="s">
        <v>5347</v>
      </c>
      <c r="E2123" s="69" t="s">
        <v>5023</v>
      </c>
      <c r="F2123" s="69" t="s">
        <v>5348</v>
      </c>
    </row>
    <row r="2124" spans="1:6" ht="22.5" x14ac:dyDescent="0.2">
      <c r="A2124" s="65" t="s">
        <v>5349</v>
      </c>
      <c r="B2124" s="65" t="s">
        <v>5350</v>
      </c>
      <c r="C2124" s="67" t="s">
        <v>221</v>
      </c>
      <c r="D2124" s="69" t="s">
        <v>4431</v>
      </c>
      <c r="E2124" s="69" t="s">
        <v>4923</v>
      </c>
      <c r="F2124" s="69" t="s">
        <v>5351</v>
      </c>
    </row>
    <row r="2125" spans="1:6" ht="22.5" x14ac:dyDescent="0.2">
      <c r="A2125" s="65" t="s">
        <v>5352</v>
      </c>
      <c r="B2125" s="65" t="s">
        <v>5353</v>
      </c>
      <c r="C2125" s="67" t="s">
        <v>221</v>
      </c>
      <c r="D2125" s="69" t="s">
        <v>4923</v>
      </c>
      <c r="E2125" s="69" t="s">
        <v>321</v>
      </c>
      <c r="F2125" s="69" t="s">
        <v>5354</v>
      </c>
    </row>
    <row r="2126" spans="1:6" ht="22.5" x14ac:dyDescent="0.2">
      <c r="A2126" s="65" t="s">
        <v>5355</v>
      </c>
      <c r="B2126" s="65" t="s">
        <v>5356</v>
      </c>
      <c r="C2126" s="67" t="s">
        <v>221</v>
      </c>
      <c r="D2126" s="69" t="s">
        <v>5357</v>
      </c>
      <c r="E2126" s="69" t="s">
        <v>1080</v>
      </c>
      <c r="F2126" s="69" t="s">
        <v>5358</v>
      </c>
    </row>
    <row r="2127" spans="1:6" ht="22.5" x14ac:dyDescent="0.2">
      <c r="A2127" s="65" t="s">
        <v>5359</v>
      </c>
      <c r="B2127" s="65" t="s">
        <v>5360</v>
      </c>
      <c r="C2127" s="67" t="s">
        <v>221</v>
      </c>
      <c r="D2127" s="69" t="s">
        <v>5361</v>
      </c>
      <c r="E2127" s="69" t="s">
        <v>1085</v>
      </c>
      <c r="F2127" s="69" t="s">
        <v>5362</v>
      </c>
    </row>
    <row r="2128" spans="1:6" ht="45" x14ac:dyDescent="0.2">
      <c r="A2128" s="50">
        <v>38.04</v>
      </c>
      <c r="B2128" s="51" t="s">
        <v>5363</v>
      </c>
      <c r="C2128" s="48"/>
      <c r="D2128" s="48"/>
      <c r="E2128" s="48"/>
      <c r="F2128" s="48"/>
    </row>
    <row r="2129" spans="1:6" ht="22.5" x14ac:dyDescent="0.2">
      <c r="A2129" s="65" t="s">
        <v>5364</v>
      </c>
      <c r="B2129" s="65" t="s">
        <v>5365</v>
      </c>
      <c r="C2129" s="67" t="s">
        <v>221</v>
      </c>
      <c r="D2129" s="69" t="s">
        <v>290</v>
      </c>
      <c r="E2129" s="69" t="s">
        <v>331</v>
      </c>
      <c r="F2129" s="69" t="s">
        <v>5366</v>
      </c>
    </row>
    <row r="2130" spans="1:6" ht="22.5" x14ac:dyDescent="0.2">
      <c r="A2130" s="65" t="s">
        <v>5367</v>
      </c>
      <c r="B2130" s="65" t="s">
        <v>5368</v>
      </c>
      <c r="C2130" s="67" t="s">
        <v>221</v>
      </c>
      <c r="D2130" s="69" t="s">
        <v>283</v>
      </c>
      <c r="E2130" s="69" t="s">
        <v>5343</v>
      </c>
      <c r="F2130" s="69" t="s">
        <v>5369</v>
      </c>
    </row>
    <row r="2131" spans="1:6" ht="33.75" x14ac:dyDescent="0.2">
      <c r="A2131" s="65" t="s">
        <v>5370</v>
      </c>
      <c r="B2131" s="65" t="s">
        <v>5371</v>
      </c>
      <c r="C2131" s="67" t="s">
        <v>221</v>
      </c>
      <c r="D2131" s="69" t="s">
        <v>5372</v>
      </c>
      <c r="E2131" s="69" t="s">
        <v>5023</v>
      </c>
      <c r="F2131" s="69" t="s">
        <v>5373</v>
      </c>
    </row>
    <row r="2132" spans="1:6" ht="33.75" x14ac:dyDescent="0.2">
      <c r="A2132" s="65" t="s">
        <v>5374</v>
      </c>
      <c r="B2132" s="65" t="s">
        <v>5375</v>
      </c>
      <c r="C2132" s="67" t="s">
        <v>221</v>
      </c>
      <c r="D2132" s="69" t="s">
        <v>5376</v>
      </c>
      <c r="E2132" s="69" t="s">
        <v>4923</v>
      </c>
      <c r="F2132" s="69" t="s">
        <v>5377</v>
      </c>
    </row>
    <row r="2133" spans="1:6" ht="22.5" x14ac:dyDescent="0.2">
      <c r="A2133" s="65" t="s">
        <v>5378</v>
      </c>
      <c r="B2133" s="65" t="s">
        <v>5379</v>
      </c>
      <c r="C2133" s="67" t="s">
        <v>221</v>
      </c>
      <c r="D2133" s="69" t="s">
        <v>5380</v>
      </c>
      <c r="E2133" s="69" t="s">
        <v>321</v>
      </c>
      <c r="F2133" s="69" t="s">
        <v>5381</v>
      </c>
    </row>
    <row r="2134" spans="1:6" ht="33.75" x14ac:dyDescent="0.2">
      <c r="A2134" s="65" t="s">
        <v>5382</v>
      </c>
      <c r="B2134" s="65" t="s">
        <v>5383</v>
      </c>
      <c r="C2134" s="67" t="s">
        <v>221</v>
      </c>
      <c r="D2134" s="69" t="s">
        <v>5384</v>
      </c>
      <c r="E2134" s="69" t="s">
        <v>4839</v>
      </c>
      <c r="F2134" s="69" t="s">
        <v>5385</v>
      </c>
    </row>
    <row r="2135" spans="1:6" ht="22.5" x14ac:dyDescent="0.2">
      <c r="A2135" s="65" t="s">
        <v>5386</v>
      </c>
      <c r="B2135" s="65" t="s">
        <v>5387</v>
      </c>
      <c r="C2135" s="67" t="s">
        <v>221</v>
      </c>
      <c r="D2135" s="69" t="s">
        <v>5388</v>
      </c>
      <c r="E2135" s="69" t="s">
        <v>317</v>
      </c>
      <c r="F2135" s="69" t="s">
        <v>5389</v>
      </c>
    </row>
    <row r="2136" spans="1:6" ht="22.5" x14ac:dyDescent="0.2">
      <c r="A2136" s="65" t="s">
        <v>5390</v>
      </c>
      <c r="B2136" s="65" t="s">
        <v>5391</v>
      </c>
      <c r="C2136" s="67" t="s">
        <v>221</v>
      </c>
      <c r="D2136" s="69" t="s">
        <v>5392</v>
      </c>
      <c r="E2136" s="69" t="s">
        <v>5092</v>
      </c>
      <c r="F2136" s="69" t="s">
        <v>5393</v>
      </c>
    </row>
    <row r="2137" spans="1:6" ht="33.75" x14ac:dyDescent="0.2">
      <c r="A2137" s="50">
        <v>38.049999999999997</v>
      </c>
      <c r="B2137" s="64" t="s">
        <v>5394</v>
      </c>
      <c r="C2137" s="48"/>
      <c r="D2137" s="48"/>
      <c r="E2137" s="48"/>
      <c r="F2137" s="48"/>
    </row>
    <row r="2138" spans="1:6" ht="33.75" x14ac:dyDescent="0.2">
      <c r="A2138" s="65" t="s">
        <v>5395</v>
      </c>
      <c r="B2138" s="66" t="s">
        <v>5396</v>
      </c>
      <c r="C2138" s="67" t="s">
        <v>221</v>
      </c>
      <c r="D2138" s="69" t="s">
        <v>5397</v>
      </c>
      <c r="E2138" s="69" t="s">
        <v>331</v>
      </c>
      <c r="F2138" s="69" t="s">
        <v>5398</v>
      </c>
    </row>
    <row r="2139" spans="1:6" ht="33.75" x14ac:dyDescent="0.2">
      <c r="A2139" s="65" t="s">
        <v>5399</v>
      </c>
      <c r="B2139" s="65" t="s">
        <v>5400</v>
      </c>
      <c r="C2139" s="67" t="s">
        <v>221</v>
      </c>
      <c r="D2139" s="69" t="s">
        <v>5401</v>
      </c>
      <c r="E2139" s="69" t="s">
        <v>5343</v>
      </c>
      <c r="F2139" s="69" t="s">
        <v>5402</v>
      </c>
    </row>
    <row r="2140" spans="1:6" ht="33.75" x14ac:dyDescent="0.2">
      <c r="A2140" s="65" t="s">
        <v>5403</v>
      </c>
      <c r="B2140" s="66" t="s">
        <v>5404</v>
      </c>
      <c r="C2140" s="67" t="s">
        <v>221</v>
      </c>
      <c r="D2140" s="69" t="s">
        <v>5405</v>
      </c>
      <c r="E2140" s="69" t="s">
        <v>5023</v>
      </c>
      <c r="F2140" s="69" t="s">
        <v>5406</v>
      </c>
    </row>
    <row r="2141" spans="1:6" ht="33.75" x14ac:dyDescent="0.2">
      <c r="A2141" s="65" t="s">
        <v>5407</v>
      </c>
      <c r="B2141" s="66" t="s">
        <v>5408</v>
      </c>
      <c r="C2141" s="67" t="s">
        <v>221</v>
      </c>
      <c r="D2141" s="69" t="s">
        <v>5409</v>
      </c>
      <c r="E2141" s="69" t="s">
        <v>4923</v>
      </c>
      <c r="F2141" s="69" t="s">
        <v>5410</v>
      </c>
    </row>
    <row r="2142" spans="1:6" ht="33.75" x14ac:dyDescent="0.2">
      <c r="A2142" s="65" t="s">
        <v>5411</v>
      </c>
      <c r="B2142" s="65" t="s">
        <v>5412</v>
      </c>
      <c r="C2142" s="67" t="s">
        <v>221</v>
      </c>
      <c r="D2142" s="69" t="s">
        <v>5413</v>
      </c>
      <c r="E2142" s="69" t="s">
        <v>321</v>
      </c>
      <c r="F2142" s="69" t="s">
        <v>5414</v>
      </c>
    </row>
    <row r="2143" spans="1:6" ht="33.75" x14ac:dyDescent="0.2">
      <c r="A2143" s="65" t="s">
        <v>5415</v>
      </c>
      <c r="B2143" s="66" t="s">
        <v>5416</v>
      </c>
      <c r="C2143" s="67" t="s">
        <v>221</v>
      </c>
      <c r="D2143" s="69" t="s">
        <v>5417</v>
      </c>
      <c r="E2143" s="69" t="s">
        <v>4839</v>
      </c>
      <c r="F2143" s="69" t="s">
        <v>5418</v>
      </c>
    </row>
    <row r="2144" spans="1:6" ht="33.75" x14ac:dyDescent="0.2">
      <c r="A2144" s="65" t="s">
        <v>5419</v>
      </c>
      <c r="B2144" s="65" t="s">
        <v>5420</v>
      </c>
      <c r="C2144" s="67" t="s">
        <v>221</v>
      </c>
      <c r="D2144" s="69" t="s">
        <v>5421</v>
      </c>
      <c r="E2144" s="69" t="s">
        <v>317</v>
      </c>
      <c r="F2144" s="69" t="s">
        <v>5422</v>
      </c>
    </row>
    <row r="2145" spans="1:6" ht="33.75" x14ac:dyDescent="0.2">
      <c r="A2145" s="65" t="s">
        <v>5423</v>
      </c>
      <c r="B2145" s="65" t="s">
        <v>5424</v>
      </c>
      <c r="C2145" s="67" t="s">
        <v>221</v>
      </c>
      <c r="D2145" s="69" t="s">
        <v>5425</v>
      </c>
      <c r="E2145" s="69" t="s">
        <v>5092</v>
      </c>
      <c r="F2145" s="69" t="s">
        <v>5426</v>
      </c>
    </row>
    <row r="2146" spans="1:6" ht="45" x14ac:dyDescent="0.2">
      <c r="A2146" s="50">
        <v>38.06</v>
      </c>
      <c r="B2146" s="51" t="s">
        <v>5427</v>
      </c>
      <c r="C2146" s="48"/>
      <c r="D2146" s="48"/>
      <c r="E2146" s="48"/>
      <c r="F2146" s="48"/>
    </row>
    <row r="2147" spans="1:6" ht="33.75" x14ac:dyDescent="0.2">
      <c r="A2147" s="65" t="s">
        <v>5428</v>
      </c>
      <c r="B2147" s="66" t="s">
        <v>5429</v>
      </c>
      <c r="C2147" s="67" t="s">
        <v>221</v>
      </c>
      <c r="D2147" s="69" t="s">
        <v>1116</v>
      </c>
      <c r="E2147" s="69" t="s">
        <v>319</v>
      </c>
      <c r="F2147" s="69" t="s">
        <v>533</v>
      </c>
    </row>
    <row r="2148" spans="1:6" ht="33.75" x14ac:dyDescent="0.2">
      <c r="A2148" s="65" t="s">
        <v>5430</v>
      </c>
      <c r="B2148" s="66" t="s">
        <v>5431</v>
      </c>
      <c r="C2148" s="67" t="s">
        <v>221</v>
      </c>
      <c r="D2148" s="69" t="s">
        <v>5432</v>
      </c>
      <c r="E2148" s="69" t="s">
        <v>331</v>
      </c>
      <c r="F2148" s="69" t="s">
        <v>5433</v>
      </c>
    </row>
    <row r="2149" spans="1:6" ht="33.75" x14ac:dyDescent="0.2">
      <c r="A2149" s="65" t="s">
        <v>5434</v>
      </c>
      <c r="B2149" s="65" t="s">
        <v>5435</v>
      </c>
      <c r="C2149" s="67" t="s">
        <v>221</v>
      </c>
      <c r="D2149" s="69" t="s">
        <v>3537</v>
      </c>
      <c r="E2149" s="69" t="s">
        <v>5343</v>
      </c>
      <c r="F2149" s="69" t="s">
        <v>5436</v>
      </c>
    </row>
    <row r="2150" spans="1:6" ht="33.75" x14ac:dyDescent="0.2">
      <c r="A2150" s="65" t="s">
        <v>5437</v>
      </c>
      <c r="B2150" s="66" t="s">
        <v>5438</v>
      </c>
      <c r="C2150" s="67" t="s">
        <v>221</v>
      </c>
      <c r="D2150" s="69" t="s">
        <v>5439</v>
      </c>
      <c r="E2150" s="69" t="s">
        <v>5023</v>
      </c>
      <c r="F2150" s="69" t="s">
        <v>423</v>
      </c>
    </row>
    <row r="2151" spans="1:6" ht="33.75" x14ac:dyDescent="0.2">
      <c r="A2151" s="65" t="s">
        <v>5440</v>
      </c>
      <c r="B2151" s="66" t="s">
        <v>5441</v>
      </c>
      <c r="C2151" s="67" t="s">
        <v>221</v>
      </c>
      <c r="D2151" s="69" t="s">
        <v>5442</v>
      </c>
      <c r="E2151" s="69" t="s">
        <v>4923</v>
      </c>
      <c r="F2151" s="69" t="s">
        <v>5443</v>
      </c>
    </row>
    <row r="2152" spans="1:6" ht="33.75" x14ac:dyDescent="0.2">
      <c r="A2152" s="65" t="s">
        <v>5444</v>
      </c>
      <c r="B2152" s="65" t="s">
        <v>5445</v>
      </c>
      <c r="C2152" s="67" t="s">
        <v>221</v>
      </c>
      <c r="D2152" s="69" t="s">
        <v>5446</v>
      </c>
      <c r="E2152" s="69" t="s">
        <v>321</v>
      </c>
      <c r="F2152" s="69" t="s">
        <v>5447</v>
      </c>
    </row>
    <row r="2153" spans="1:6" ht="33.75" x14ac:dyDescent="0.2">
      <c r="A2153" s="65" t="s">
        <v>5448</v>
      </c>
      <c r="B2153" s="66" t="s">
        <v>5449</v>
      </c>
      <c r="C2153" s="67" t="s">
        <v>221</v>
      </c>
      <c r="D2153" s="69" t="s">
        <v>4274</v>
      </c>
      <c r="E2153" s="69" t="s">
        <v>4839</v>
      </c>
      <c r="F2153" s="69" t="s">
        <v>5450</v>
      </c>
    </row>
    <row r="2154" spans="1:6" ht="33.75" x14ac:dyDescent="0.2">
      <c r="A2154" s="65" t="s">
        <v>5451</v>
      </c>
      <c r="B2154" s="65" t="s">
        <v>5452</v>
      </c>
      <c r="C2154" s="67" t="s">
        <v>221</v>
      </c>
      <c r="D2154" s="69" t="s">
        <v>5453</v>
      </c>
      <c r="E2154" s="69" t="s">
        <v>317</v>
      </c>
      <c r="F2154" s="69" t="s">
        <v>5454</v>
      </c>
    </row>
    <row r="2155" spans="1:6" ht="33.75" x14ac:dyDescent="0.2">
      <c r="A2155" s="65" t="s">
        <v>5455</v>
      </c>
      <c r="B2155" s="65" t="s">
        <v>5456</v>
      </c>
      <c r="C2155" s="67" t="s">
        <v>221</v>
      </c>
      <c r="D2155" s="69" t="s">
        <v>5457</v>
      </c>
      <c r="E2155" s="69" t="s">
        <v>5092</v>
      </c>
      <c r="F2155" s="69" t="s">
        <v>5458</v>
      </c>
    </row>
    <row r="2156" spans="1:6" x14ac:dyDescent="0.2">
      <c r="A2156" s="50">
        <v>38.07</v>
      </c>
      <c r="B2156" s="64" t="s">
        <v>5459</v>
      </c>
      <c r="C2156" s="47"/>
      <c r="D2156" s="47"/>
      <c r="E2156" s="47"/>
      <c r="F2156" s="47"/>
    </row>
    <row r="2157" spans="1:6" ht="22.5" x14ac:dyDescent="0.2">
      <c r="A2157" s="65" t="s">
        <v>5460</v>
      </c>
      <c r="B2157" s="65" t="s">
        <v>5461</v>
      </c>
      <c r="C2157" s="67" t="s">
        <v>240</v>
      </c>
      <c r="D2157" s="69" t="s">
        <v>4876</v>
      </c>
      <c r="E2157" s="69" t="s">
        <v>324</v>
      </c>
      <c r="F2157" s="69" t="s">
        <v>5462</v>
      </c>
    </row>
    <row r="2158" spans="1:6" ht="22.5" x14ac:dyDescent="0.2">
      <c r="A2158" s="65" t="s">
        <v>5463</v>
      </c>
      <c r="B2158" s="65" t="s">
        <v>5464</v>
      </c>
      <c r="C2158" s="67" t="s">
        <v>221</v>
      </c>
      <c r="D2158" s="69" t="s">
        <v>5465</v>
      </c>
      <c r="E2158" s="69" t="s">
        <v>260</v>
      </c>
      <c r="F2158" s="69" t="s">
        <v>408</v>
      </c>
    </row>
    <row r="2159" spans="1:6" x14ac:dyDescent="0.2">
      <c r="A2159" s="65" t="s">
        <v>5466</v>
      </c>
      <c r="B2159" s="65" t="s">
        <v>5467</v>
      </c>
      <c r="C2159" s="67" t="s">
        <v>203</v>
      </c>
      <c r="D2159" s="69" t="s">
        <v>5468</v>
      </c>
      <c r="E2159" s="69" t="s">
        <v>320</v>
      </c>
      <c r="F2159" s="69" t="s">
        <v>268</v>
      </c>
    </row>
    <row r="2160" spans="1:6" ht="22.5" x14ac:dyDescent="0.2">
      <c r="A2160" s="65" t="s">
        <v>5469</v>
      </c>
      <c r="B2160" s="65" t="s">
        <v>5470</v>
      </c>
      <c r="C2160" s="67" t="s">
        <v>203</v>
      </c>
      <c r="D2160" s="69" t="s">
        <v>5471</v>
      </c>
      <c r="E2160" s="69" t="s">
        <v>3243</v>
      </c>
      <c r="F2160" s="69" t="s">
        <v>5472</v>
      </c>
    </row>
    <row r="2161" spans="1:6" ht="22.5" x14ac:dyDescent="0.2">
      <c r="A2161" s="65" t="s">
        <v>5473</v>
      </c>
      <c r="B2161" s="65" t="s">
        <v>5474</v>
      </c>
      <c r="C2161" s="67" t="s">
        <v>203</v>
      </c>
      <c r="D2161" s="69" t="s">
        <v>3944</v>
      </c>
      <c r="E2161" s="69" t="s">
        <v>3243</v>
      </c>
      <c r="F2161" s="69" t="s">
        <v>5475</v>
      </c>
    </row>
    <row r="2162" spans="1:6" x14ac:dyDescent="0.2">
      <c r="A2162" s="65" t="s">
        <v>5476</v>
      </c>
      <c r="B2162" s="65" t="s">
        <v>5477</v>
      </c>
      <c r="C2162" s="67" t="s">
        <v>203</v>
      </c>
      <c r="D2162" s="69" t="s">
        <v>1237</v>
      </c>
      <c r="E2162" s="69" t="s">
        <v>320</v>
      </c>
      <c r="F2162" s="69" t="s">
        <v>3339</v>
      </c>
    </row>
    <row r="2163" spans="1:6" ht="22.5" x14ac:dyDescent="0.2">
      <c r="A2163" s="65" t="s">
        <v>5478</v>
      </c>
      <c r="B2163" s="65" t="s">
        <v>5479</v>
      </c>
      <c r="C2163" s="67" t="s">
        <v>221</v>
      </c>
      <c r="D2163" s="69" t="s">
        <v>285</v>
      </c>
      <c r="E2163" s="69" t="s">
        <v>323</v>
      </c>
      <c r="F2163" s="69" t="s">
        <v>5480</v>
      </c>
    </row>
    <row r="2164" spans="1:6" ht="33.75" x14ac:dyDescent="0.2">
      <c r="A2164" s="65" t="s">
        <v>5481</v>
      </c>
      <c r="B2164" s="65" t="s">
        <v>5482</v>
      </c>
      <c r="C2164" s="67" t="s">
        <v>221</v>
      </c>
      <c r="D2164" s="69" t="s">
        <v>302</v>
      </c>
      <c r="E2164" s="69" t="s">
        <v>5483</v>
      </c>
      <c r="F2164" s="69" t="s">
        <v>5484</v>
      </c>
    </row>
    <row r="2165" spans="1:6" ht="33.75" x14ac:dyDescent="0.2">
      <c r="A2165" s="65" t="s">
        <v>5485</v>
      </c>
      <c r="B2165" s="65" t="s">
        <v>5486</v>
      </c>
      <c r="C2165" s="67" t="s">
        <v>221</v>
      </c>
      <c r="D2165" s="69" t="s">
        <v>5487</v>
      </c>
      <c r="E2165" s="69" t="s">
        <v>5483</v>
      </c>
      <c r="F2165" s="69" t="s">
        <v>5488</v>
      </c>
    </row>
    <row r="2166" spans="1:6" ht="33.75" x14ac:dyDescent="0.2">
      <c r="A2166" s="65" t="s">
        <v>5489</v>
      </c>
      <c r="B2166" s="65" t="s">
        <v>5490</v>
      </c>
      <c r="C2166" s="67" t="s">
        <v>221</v>
      </c>
      <c r="D2166" s="69" t="s">
        <v>5491</v>
      </c>
      <c r="E2166" s="69" t="s">
        <v>5483</v>
      </c>
      <c r="F2166" s="69" t="s">
        <v>410</v>
      </c>
    </row>
    <row r="2167" spans="1:6" ht="33.75" x14ac:dyDescent="0.2">
      <c r="A2167" s="65" t="s">
        <v>5492</v>
      </c>
      <c r="B2167" s="65" t="s">
        <v>5493</v>
      </c>
      <c r="C2167" s="67" t="s">
        <v>221</v>
      </c>
      <c r="D2167" s="69" t="s">
        <v>5494</v>
      </c>
      <c r="E2167" s="69" t="s">
        <v>324</v>
      </c>
      <c r="F2167" s="69" t="s">
        <v>5495</v>
      </c>
    </row>
    <row r="2168" spans="1:6" ht="33.75" x14ac:dyDescent="0.2">
      <c r="A2168" s="65" t="s">
        <v>5496</v>
      </c>
      <c r="B2168" s="65" t="s">
        <v>5497</v>
      </c>
      <c r="C2168" s="67" t="s">
        <v>221</v>
      </c>
      <c r="D2168" s="69" t="s">
        <v>5498</v>
      </c>
      <c r="E2168" s="69" t="s">
        <v>324</v>
      </c>
      <c r="F2168" s="69" t="s">
        <v>5499</v>
      </c>
    </row>
    <row r="2169" spans="1:6" ht="22.5" x14ac:dyDescent="0.2">
      <c r="A2169" s="65" t="s">
        <v>5500</v>
      </c>
      <c r="B2169" s="65" t="s">
        <v>5501</v>
      </c>
      <c r="C2169" s="67" t="s">
        <v>221</v>
      </c>
      <c r="D2169" s="69" t="s">
        <v>5502</v>
      </c>
      <c r="E2169" s="69" t="s">
        <v>324</v>
      </c>
      <c r="F2169" s="69" t="s">
        <v>5503</v>
      </c>
    </row>
    <row r="2170" spans="1:6" ht="45" x14ac:dyDescent="0.2">
      <c r="A2170" s="65" t="s">
        <v>5504</v>
      </c>
      <c r="B2170" s="66" t="s">
        <v>5505</v>
      </c>
      <c r="C2170" s="67" t="s">
        <v>221</v>
      </c>
      <c r="D2170" s="69" t="s">
        <v>5506</v>
      </c>
      <c r="E2170" s="69" t="s">
        <v>323</v>
      </c>
      <c r="F2170" s="69" t="s">
        <v>5507</v>
      </c>
    </row>
    <row r="2171" spans="1:6" ht="45" x14ac:dyDescent="0.2">
      <c r="A2171" s="65" t="s">
        <v>5508</v>
      </c>
      <c r="B2171" s="66" t="s">
        <v>5509</v>
      </c>
      <c r="C2171" s="67" t="s">
        <v>221</v>
      </c>
      <c r="D2171" s="69" t="s">
        <v>5510</v>
      </c>
      <c r="E2171" s="69" t="s">
        <v>325</v>
      </c>
      <c r="F2171" s="69" t="s">
        <v>5511</v>
      </c>
    </row>
    <row r="2172" spans="1:6" ht="45" x14ac:dyDescent="0.2">
      <c r="A2172" s="65" t="s">
        <v>5512</v>
      </c>
      <c r="B2172" s="66" t="s">
        <v>5513</v>
      </c>
      <c r="C2172" s="67" t="s">
        <v>221</v>
      </c>
      <c r="D2172" s="69" t="s">
        <v>5514</v>
      </c>
      <c r="E2172" s="69" t="s">
        <v>318</v>
      </c>
      <c r="F2172" s="69" t="s">
        <v>5515</v>
      </c>
    </row>
    <row r="2173" spans="1:6" ht="33.75" x14ac:dyDescent="0.2">
      <c r="A2173" s="65" t="s">
        <v>5516</v>
      </c>
      <c r="B2173" s="66" t="s">
        <v>5517</v>
      </c>
      <c r="C2173" s="67" t="s">
        <v>203</v>
      </c>
      <c r="D2173" s="69" t="s">
        <v>5518</v>
      </c>
      <c r="E2173" s="69" t="s">
        <v>243</v>
      </c>
      <c r="F2173" s="69" t="s">
        <v>5519</v>
      </c>
    </row>
    <row r="2174" spans="1:6" ht="33.75" x14ac:dyDescent="0.2">
      <c r="A2174" s="65" t="s">
        <v>5520</v>
      </c>
      <c r="B2174" s="66" t="s">
        <v>5521</v>
      </c>
      <c r="C2174" s="67" t="s">
        <v>203</v>
      </c>
      <c r="D2174" s="69" t="s">
        <v>5522</v>
      </c>
      <c r="E2174" s="69" t="s">
        <v>243</v>
      </c>
      <c r="F2174" s="69" t="s">
        <v>5523</v>
      </c>
    </row>
    <row r="2175" spans="1:6" ht="33.75" x14ac:dyDescent="0.2">
      <c r="A2175" s="65" t="s">
        <v>5524</v>
      </c>
      <c r="B2175" s="66" t="s">
        <v>5525</v>
      </c>
      <c r="C2175" s="67" t="s">
        <v>203</v>
      </c>
      <c r="D2175" s="69" t="s">
        <v>5526</v>
      </c>
      <c r="E2175" s="69" t="s">
        <v>243</v>
      </c>
      <c r="F2175" s="69" t="s">
        <v>5527</v>
      </c>
    </row>
    <row r="2176" spans="1:6" ht="22.5" x14ac:dyDescent="0.2">
      <c r="A2176" s="50">
        <v>38.1</v>
      </c>
      <c r="B2176" s="64" t="s">
        <v>5528</v>
      </c>
      <c r="C2176" s="47"/>
      <c r="D2176" s="47"/>
      <c r="E2176" s="47"/>
      <c r="F2176" s="47"/>
    </row>
    <row r="2177" spans="1:6" ht="33.75" x14ac:dyDescent="0.2">
      <c r="A2177" s="65" t="s">
        <v>5529</v>
      </c>
      <c r="B2177" s="65" t="s">
        <v>5530</v>
      </c>
      <c r="C2177" s="67" t="s">
        <v>221</v>
      </c>
      <c r="D2177" s="69" t="s">
        <v>5531</v>
      </c>
      <c r="E2177" s="69" t="s">
        <v>323</v>
      </c>
      <c r="F2177" s="69" t="s">
        <v>5532</v>
      </c>
    </row>
    <row r="2178" spans="1:6" ht="33.75" x14ac:dyDescent="0.2">
      <c r="A2178" s="65" t="s">
        <v>5533</v>
      </c>
      <c r="B2178" s="65" t="s">
        <v>5534</v>
      </c>
      <c r="C2178" s="67" t="s">
        <v>221</v>
      </c>
      <c r="D2178" s="69" t="s">
        <v>5535</v>
      </c>
      <c r="E2178" s="69" t="s">
        <v>323</v>
      </c>
      <c r="F2178" s="69" t="s">
        <v>5277</v>
      </c>
    </row>
    <row r="2179" spans="1:6" ht="45" x14ac:dyDescent="0.2">
      <c r="A2179" s="65" t="s">
        <v>5536</v>
      </c>
      <c r="B2179" s="66" t="s">
        <v>5537</v>
      </c>
      <c r="C2179" s="67" t="s">
        <v>203</v>
      </c>
      <c r="D2179" s="69" t="s">
        <v>5538</v>
      </c>
      <c r="E2179" s="69" t="s">
        <v>3646</v>
      </c>
      <c r="F2179" s="69" t="s">
        <v>5539</v>
      </c>
    </row>
    <row r="2180" spans="1:6" ht="45" x14ac:dyDescent="0.2">
      <c r="A2180" s="65" t="s">
        <v>5540</v>
      </c>
      <c r="B2180" s="66" t="s">
        <v>5541</v>
      </c>
      <c r="C2180" s="67" t="s">
        <v>203</v>
      </c>
      <c r="D2180" s="69" t="s">
        <v>5542</v>
      </c>
      <c r="E2180" s="69" t="s">
        <v>331</v>
      </c>
      <c r="F2180" s="69" t="s">
        <v>5543</v>
      </c>
    </row>
    <row r="2181" spans="1:6" ht="45" x14ac:dyDescent="0.2">
      <c r="A2181" s="65" t="s">
        <v>5544</v>
      </c>
      <c r="B2181" s="66" t="s">
        <v>5545</v>
      </c>
      <c r="C2181" s="67" t="s">
        <v>203</v>
      </c>
      <c r="D2181" s="69" t="s">
        <v>5546</v>
      </c>
      <c r="E2181" s="69" t="s">
        <v>331</v>
      </c>
      <c r="F2181" s="69" t="s">
        <v>5547</v>
      </c>
    </row>
    <row r="2182" spans="1:6" ht="33.75" x14ac:dyDescent="0.2">
      <c r="A2182" s="65" t="s">
        <v>5548</v>
      </c>
      <c r="B2182" s="65" t="s">
        <v>5549</v>
      </c>
      <c r="C2182" s="67" t="s">
        <v>203</v>
      </c>
      <c r="D2182" s="69" t="s">
        <v>5550</v>
      </c>
      <c r="E2182" s="69" t="s">
        <v>5551</v>
      </c>
      <c r="F2182" s="69" t="s">
        <v>5552</v>
      </c>
    </row>
    <row r="2183" spans="1:6" ht="33.75" x14ac:dyDescent="0.2">
      <c r="A2183" s="65" t="s">
        <v>5553</v>
      </c>
      <c r="B2183" s="65" t="s">
        <v>5554</v>
      </c>
      <c r="C2183" s="67" t="s">
        <v>203</v>
      </c>
      <c r="D2183" s="69" t="s">
        <v>5555</v>
      </c>
      <c r="E2183" s="69" t="s">
        <v>5551</v>
      </c>
      <c r="F2183" s="69" t="s">
        <v>5556</v>
      </c>
    </row>
    <row r="2184" spans="1:6" ht="33.75" x14ac:dyDescent="0.2">
      <c r="A2184" s="65" t="s">
        <v>5557</v>
      </c>
      <c r="B2184" s="65" t="s">
        <v>5558</v>
      </c>
      <c r="C2184" s="67" t="s">
        <v>203</v>
      </c>
      <c r="D2184" s="69" t="s">
        <v>5559</v>
      </c>
      <c r="E2184" s="69" t="s">
        <v>5551</v>
      </c>
      <c r="F2184" s="69" t="s">
        <v>5560</v>
      </c>
    </row>
    <row r="2185" spans="1:6" ht="22.5" x14ac:dyDescent="0.2">
      <c r="A2185" s="65" t="s">
        <v>5561</v>
      </c>
      <c r="B2185" s="65" t="s">
        <v>5562</v>
      </c>
      <c r="C2185" s="67" t="s">
        <v>203</v>
      </c>
      <c r="D2185" s="69" t="s">
        <v>324</v>
      </c>
      <c r="E2185" s="69" t="s">
        <v>247</v>
      </c>
      <c r="F2185" s="69" t="s">
        <v>5563</v>
      </c>
    </row>
    <row r="2186" spans="1:6" x14ac:dyDescent="0.2">
      <c r="A2186" s="50">
        <v>38.119999999999997</v>
      </c>
      <c r="B2186" s="64" t="s">
        <v>5564</v>
      </c>
      <c r="C2186" s="47"/>
      <c r="D2186" s="47"/>
      <c r="E2186" s="47"/>
      <c r="F2186" s="47"/>
    </row>
    <row r="2187" spans="1:6" ht="45" x14ac:dyDescent="0.2">
      <c r="A2187" s="65" t="s">
        <v>5565</v>
      </c>
      <c r="B2187" s="66" t="s">
        <v>5566</v>
      </c>
      <c r="C2187" s="67" t="s">
        <v>221</v>
      </c>
      <c r="D2187" s="69" t="s">
        <v>5567</v>
      </c>
      <c r="E2187" s="69" t="s">
        <v>323</v>
      </c>
      <c r="F2187" s="69" t="s">
        <v>5568</v>
      </c>
    </row>
    <row r="2188" spans="1:6" ht="45" x14ac:dyDescent="0.2">
      <c r="A2188" s="65" t="s">
        <v>5569</v>
      </c>
      <c r="B2188" s="66" t="s">
        <v>5570</v>
      </c>
      <c r="C2188" s="67" t="s">
        <v>221</v>
      </c>
      <c r="D2188" s="69" t="s">
        <v>5571</v>
      </c>
      <c r="E2188" s="69" t="s">
        <v>323</v>
      </c>
      <c r="F2188" s="69" t="s">
        <v>5572</v>
      </c>
    </row>
    <row r="2189" spans="1:6" ht="45" x14ac:dyDescent="0.2">
      <c r="A2189" s="65" t="s">
        <v>5573</v>
      </c>
      <c r="B2189" s="66" t="s">
        <v>5574</v>
      </c>
      <c r="C2189" s="67" t="s">
        <v>221</v>
      </c>
      <c r="D2189" s="69" t="s">
        <v>5575</v>
      </c>
      <c r="E2189" s="69" t="s">
        <v>323</v>
      </c>
      <c r="F2189" s="69" t="s">
        <v>5576</v>
      </c>
    </row>
    <row r="2190" spans="1:6" ht="45" x14ac:dyDescent="0.2">
      <c r="A2190" s="65" t="s">
        <v>5577</v>
      </c>
      <c r="B2190" s="66" t="s">
        <v>5578</v>
      </c>
      <c r="C2190" s="67" t="s">
        <v>221</v>
      </c>
      <c r="D2190" s="69" t="s">
        <v>5579</v>
      </c>
      <c r="E2190" s="69" t="s">
        <v>323</v>
      </c>
      <c r="F2190" s="69" t="s">
        <v>5580</v>
      </c>
    </row>
    <row r="2191" spans="1:6" ht="45" x14ac:dyDescent="0.2">
      <c r="A2191" s="65" t="s">
        <v>5581</v>
      </c>
      <c r="B2191" s="66" t="s">
        <v>5582</v>
      </c>
      <c r="C2191" s="67" t="s">
        <v>221</v>
      </c>
      <c r="D2191" s="69" t="s">
        <v>5583</v>
      </c>
      <c r="E2191" s="69" t="s">
        <v>323</v>
      </c>
      <c r="F2191" s="69" t="s">
        <v>5584</v>
      </c>
    </row>
    <row r="2192" spans="1:6" ht="22.5" x14ac:dyDescent="0.2">
      <c r="A2192" s="50">
        <v>38.130000000000003</v>
      </c>
      <c r="B2192" s="64" t="s">
        <v>5585</v>
      </c>
      <c r="C2192" s="47"/>
      <c r="D2192" s="47"/>
      <c r="E2192" s="47"/>
      <c r="F2192" s="47"/>
    </row>
    <row r="2193" spans="1:6" ht="45" x14ac:dyDescent="0.2">
      <c r="A2193" s="65" t="s">
        <v>5586</v>
      </c>
      <c r="B2193" s="66" t="s">
        <v>5587</v>
      </c>
      <c r="C2193" s="67" t="s">
        <v>221</v>
      </c>
      <c r="D2193" s="69" t="s">
        <v>278</v>
      </c>
      <c r="E2193" s="69" t="s">
        <v>243</v>
      </c>
      <c r="F2193" s="69" t="s">
        <v>5588</v>
      </c>
    </row>
    <row r="2194" spans="1:6" ht="45" x14ac:dyDescent="0.2">
      <c r="A2194" s="65" t="s">
        <v>5589</v>
      </c>
      <c r="B2194" s="66" t="s">
        <v>5590</v>
      </c>
      <c r="C2194" s="67" t="s">
        <v>221</v>
      </c>
      <c r="D2194" s="69" t="s">
        <v>5591</v>
      </c>
      <c r="E2194" s="69" t="s">
        <v>243</v>
      </c>
      <c r="F2194" s="69" t="s">
        <v>5592</v>
      </c>
    </row>
    <row r="2195" spans="1:6" ht="45" x14ac:dyDescent="0.2">
      <c r="A2195" s="65" t="s">
        <v>5593</v>
      </c>
      <c r="B2195" s="66" t="s">
        <v>5594</v>
      </c>
      <c r="C2195" s="67" t="s">
        <v>221</v>
      </c>
      <c r="D2195" s="69" t="s">
        <v>5595</v>
      </c>
      <c r="E2195" s="69" t="s">
        <v>243</v>
      </c>
      <c r="F2195" s="69" t="s">
        <v>5596</v>
      </c>
    </row>
    <row r="2196" spans="1:6" ht="45" x14ac:dyDescent="0.2">
      <c r="A2196" s="65" t="s">
        <v>5597</v>
      </c>
      <c r="B2196" s="66" t="s">
        <v>5598</v>
      </c>
      <c r="C2196" s="67" t="s">
        <v>221</v>
      </c>
      <c r="D2196" s="69" t="s">
        <v>5599</v>
      </c>
      <c r="E2196" s="69" t="s">
        <v>243</v>
      </c>
      <c r="F2196" s="69" t="s">
        <v>5600</v>
      </c>
    </row>
    <row r="2197" spans="1:6" ht="45" x14ac:dyDescent="0.2">
      <c r="A2197" s="65" t="s">
        <v>5601</v>
      </c>
      <c r="B2197" s="66" t="s">
        <v>5602</v>
      </c>
      <c r="C2197" s="67" t="s">
        <v>221</v>
      </c>
      <c r="D2197" s="69" t="s">
        <v>587</v>
      </c>
      <c r="E2197" s="69" t="s">
        <v>243</v>
      </c>
      <c r="F2197" s="69" t="s">
        <v>5603</v>
      </c>
    </row>
    <row r="2198" spans="1:6" ht="45" x14ac:dyDescent="0.2">
      <c r="A2198" s="65" t="s">
        <v>5604</v>
      </c>
      <c r="B2198" s="66" t="s">
        <v>5605</v>
      </c>
      <c r="C2198" s="67" t="s">
        <v>221</v>
      </c>
      <c r="D2198" s="69" t="s">
        <v>5606</v>
      </c>
      <c r="E2198" s="69" t="s">
        <v>243</v>
      </c>
      <c r="F2198" s="69" t="s">
        <v>5607</v>
      </c>
    </row>
    <row r="2199" spans="1:6" ht="45" x14ac:dyDescent="0.2">
      <c r="A2199" s="65" t="s">
        <v>5608</v>
      </c>
      <c r="B2199" s="66" t="s">
        <v>5609</v>
      </c>
      <c r="C2199" s="67" t="s">
        <v>221</v>
      </c>
      <c r="D2199" s="69" t="s">
        <v>5610</v>
      </c>
      <c r="E2199" s="69" t="s">
        <v>243</v>
      </c>
      <c r="F2199" s="69" t="s">
        <v>5611</v>
      </c>
    </row>
    <row r="2200" spans="1:6" x14ac:dyDescent="0.2">
      <c r="A2200" s="50">
        <v>38.15</v>
      </c>
      <c r="B2200" s="64" t="s">
        <v>5612</v>
      </c>
      <c r="C2200" s="47"/>
      <c r="D2200" s="47"/>
      <c r="E2200" s="47"/>
      <c r="F2200" s="47"/>
    </row>
    <row r="2201" spans="1:6" ht="22.5" x14ac:dyDescent="0.2">
      <c r="A2201" s="65" t="s">
        <v>5613</v>
      </c>
      <c r="B2201" s="65" t="s">
        <v>5614</v>
      </c>
      <c r="C2201" s="67" t="s">
        <v>221</v>
      </c>
      <c r="D2201" s="69" t="s">
        <v>5615</v>
      </c>
      <c r="E2201" s="69" t="s">
        <v>325</v>
      </c>
      <c r="F2201" s="69" t="s">
        <v>5616</v>
      </c>
    </row>
    <row r="2202" spans="1:6" ht="22.5" x14ac:dyDescent="0.2">
      <c r="A2202" s="65" t="s">
        <v>5617</v>
      </c>
      <c r="B2202" s="65" t="s">
        <v>5618</v>
      </c>
      <c r="C2202" s="67" t="s">
        <v>221</v>
      </c>
      <c r="D2202" s="69" t="s">
        <v>4219</v>
      </c>
      <c r="E2202" s="69" t="s">
        <v>325</v>
      </c>
      <c r="F2202" s="69" t="s">
        <v>5619</v>
      </c>
    </row>
    <row r="2203" spans="1:6" ht="22.5" x14ac:dyDescent="0.2">
      <c r="A2203" s="65" t="s">
        <v>5620</v>
      </c>
      <c r="B2203" s="65" t="s">
        <v>5621</v>
      </c>
      <c r="C2203" s="67" t="s">
        <v>221</v>
      </c>
      <c r="D2203" s="69" t="s">
        <v>5622</v>
      </c>
      <c r="E2203" s="69" t="s">
        <v>325</v>
      </c>
      <c r="F2203" s="69" t="s">
        <v>5623</v>
      </c>
    </row>
    <row r="2204" spans="1:6" ht="22.5" x14ac:dyDescent="0.2">
      <c r="A2204" s="65" t="s">
        <v>5624</v>
      </c>
      <c r="B2204" s="65" t="s">
        <v>5625</v>
      </c>
      <c r="C2204" s="67" t="s">
        <v>203</v>
      </c>
      <c r="D2204" s="69" t="s">
        <v>5626</v>
      </c>
      <c r="E2204" s="69" t="s">
        <v>5627</v>
      </c>
      <c r="F2204" s="69" t="s">
        <v>5628</v>
      </c>
    </row>
    <row r="2205" spans="1:6" ht="22.5" x14ac:dyDescent="0.2">
      <c r="A2205" s="65" t="s">
        <v>5629</v>
      </c>
      <c r="B2205" s="65" t="s">
        <v>5630</v>
      </c>
      <c r="C2205" s="67" t="s">
        <v>203</v>
      </c>
      <c r="D2205" s="69" t="s">
        <v>5631</v>
      </c>
      <c r="E2205" s="69" t="s">
        <v>5627</v>
      </c>
      <c r="F2205" s="69" t="s">
        <v>1349</v>
      </c>
    </row>
    <row r="2206" spans="1:6" ht="22.5" x14ac:dyDescent="0.2">
      <c r="A2206" s="65" t="s">
        <v>5632</v>
      </c>
      <c r="B2206" s="65" t="s">
        <v>5633</v>
      </c>
      <c r="C2206" s="67" t="s">
        <v>203</v>
      </c>
      <c r="D2206" s="69" t="s">
        <v>5092</v>
      </c>
      <c r="E2206" s="69" t="s">
        <v>5627</v>
      </c>
      <c r="F2206" s="69" t="s">
        <v>5634</v>
      </c>
    </row>
    <row r="2207" spans="1:6" ht="22.5" x14ac:dyDescent="0.2">
      <c r="A2207" s="65" t="s">
        <v>5635</v>
      </c>
      <c r="B2207" s="65" t="s">
        <v>5636</v>
      </c>
      <c r="C2207" s="67" t="s">
        <v>203</v>
      </c>
      <c r="D2207" s="69" t="s">
        <v>5637</v>
      </c>
      <c r="E2207" s="69" t="s">
        <v>5627</v>
      </c>
      <c r="F2207" s="69" t="s">
        <v>5638</v>
      </c>
    </row>
    <row r="2208" spans="1:6" ht="22.5" x14ac:dyDescent="0.2">
      <c r="A2208" s="65" t="s">
        <v>5639</v>
      </c>
      <c r="B2208" s="65" t="s">
        <v>5640</v>
      </c>
      <c r="C2208" s="67" t="s">
        <v>203</v>
      </c>
      <c r="D2208" s="69" t="s">
        <v>5641</v>
      </c>
      <c r="E2208" s="69" t="s">
        <v>5627</v>
      </c>
      <c r="F2208" s="69" t="s">
        <v>5642</v>
      </c>
    </row>
    <row r="2209" spans="1:6" ht="22.5" x14ac:dyDescent="0.2">
      <c r="A2209" s="65" t="s">
        <v>5643</v>
      </c>
      <c r="B2209" s="65" t="s">
        <v>5644</v>
      </c>
      <c r="C2209" s="67" t="s">
        <v>203</v>
      </c>
      <c r="D2209" s="69" t="s">
        <v>5645</v>
      </c>
      <c r="E2209" s="69" t="s">
        <v>5627</v>
      </c>
      <c r="F2209" s="69" t="s">
        <v>5646</v>
      </c>
    </row>
    <row r="2210" spans="1:6" x14ac:dyDescent="0.2">
      <c r="A2210" s="50">
        <v>38.159999999999997</v>
      </c>
      <c r="B2210" s="64" t="s">
        <v>5647</v>
      </c>
      <c r="C2210" s="47"/>
      <c r="D2210" s="47"/>
      <c r="E2210" s="47"/>
      <c r="F2210" s="47"/>
    </row>
    <row r="2211" spans="1:6" ht="22.5" x14ac:dyDescent="0.2">
      <c r="A2211" s="65" t="s">
        <v>5648</v>
      </c>
      <c r="B2211" s="65" t="s">
        <v>5649</v>
      </c>
      <c r="C2211" s="67" t="s">
        <v>221</v>
      </c>
      <c r="D2211" s="69" t="s">
        <v>5650</v>
      </c>
      <c r="E2211" s="69" t="s">
        <v>323</v>
      </c>
      <c r="F2211" s="69" t="s">
        <v>5651</v>
      </c>
    </row>
    <row r="2212" spans="1:6" ht="45" x14ac:dyDescent="0.2">
      <c r="A2212" s="65" t="s">
        <v>5652</v>
      </c>
      <c r="B2212" s="66" t="s">
        <v>5653</v>
      </c>
      <c r="C2212" s="67" t="s">
        <v>203</v>
      </c>
      <c r="D2212" s="69" t="s">
        <v>5654</v>
      </c>
      <c r="E2212" s="69" t="s">
        <v>319</v>
      </c>
      <c r="F2212" s="69" t="s">
        <v>5655</v>
      </c>
    </row>
    <row r="2213" spans="1:6" ht="33.75" x14ac:dyDescent="0.2">
      <c r="A2213" s="65" t="s">
        <v>5656</v>
      </c>
      <c r="B2213" s="65" t="s">
        <v>5657</v>
      </c>
      <c r="C2213" s="67" t="s">
        <v>203</v>
      </c>
      <c r="D2213" s="69" t="s">
        <v>5658</v>
      </c>
      <c r="E2213" s="69" t="s">
        <v>319</v>
      </c>
      <c r="F2213" s="69" t="s">
        <v>5659</v>
      </c>
    </row>
    <row r="2214" spans="1:6" ht="56.25" x14ac:dyDescent="0.2">
      <c r="A2214" s="70" t="s">
        <v>5660</v>
      </c>
      <c r="B2214" s="65" t="s">
        <v>5661</v>
      </c>
      <c r="C2214" s="71" t="s">
        <v>203</v>
      </c>
      <c r="D2214" s="72" t="s">
        <v>5662</v>
      </c>
      <c r="E2214" s="72" t="s">
        <v>5551</v>
      </c>
      <c r="F2214" s="72" t="s">
        <v>5663</v>
      </c>
    </row>
    <row r="2215" spans="1:6" ht="45" x14ac:dyDescent="0.2">
      <c r="A2215" s="65" t="s">
        <v>5664</v>
      </c>
      <c r="B2215" s="66" t="s">
        <v>5665</v>
      </c>
      <c r="C2215" s="67" t="s">
        <v>203</v>
      </c>
      <c r="D2215" s="69" t="s">
        <v>5666</v>
      </c>
      <c r="E2215" s="69" t="s">
        <v>319</v>
      </c>
      <c r="F2215" s="69" t="s">
        <v>5667</v>
      </c>
    </row>
    <row r="2216" spans="1:6" ht="56.25" x14ac:dyDescent="0.2">
      <c r="A2216" s="70" t="s">
        <v>5668</v>
      </c>
      <c r="B2216" s="65" t="s">
        <v>5669</v>
      </c>
      <c r="C2216" s="71" t="s">
        <v>203</v>
      </c>
      <c r="D2216" s="72" t="s">
        <v>5670</v>
      </c>
      <c r="E2216" s="72" t="s">
        <v>5551</v>
      </c>
      <c r="F2216" s="72" t="s">
        <v>858</v>
      </c>
    </row>
    <row r="2217" spans="1:6" ht="45" x14ac:dyDescent="0.2">
      <c r="A2217" s="65" t="s">
        <v>5671</v>
      </c>
      <c r="B2217" s="66" t="s">
        <v>5672</v>
      </c>
      <c r="C2217" s="67" t="s">
        <v>203</v>
      </c>
      <c r="D2217" s="69" t="s">
        <v>5673</v>
      </c>
      <c r="E2217" s="69" t="s">
        <v>320</v>
      </c>
      <c r="F2217" s="69" t="s">
        <v>5674</v>
      </c>
    </row>
    <row r="2218" spans="1:6" ht="22.5" x14ac:dyDescent="0.2">
      <c r="A2218" s="65" t="s">
        <v>5675</v>
      </c>
      <c r="B2218" s="65" t="s">
        <v>5676</v>
      </c>
      <c r="C2218" s="67" t="s">
        <v>221</v>
      </c>
      <c r="D2218" s="69" t="s">
        <v>5677</v>
      </c>
      <c r="E2218" s="69" t="s">
        <v>323</v>
      </c>
      <c r="F2218" s="69" t="s">
        <v>5678</v>
      </c>
    </row>
    <row r="2219" spans="1:6" ht="45" x14ac:dyDescent="0.2">
      <c r="A2219" s="65" t="s">
        <v>5679</v>
      </c>
      <c r="B2219" s="66" t="s">
        <v>5680</v>
      </c>
      <c r="C2219" s="67" t="s">
        <v>203</v>
      </c>
      <c r="D2219" s="69" t="s">
        <v>5681</v>
      </c>
      <c r="E2219" s="69" t="s">
        <v>319</v>
      </c>
      <c r="F2219" s="69" t="s">
        <v>5682</v>
      </c>
    </row>
    <row r="2220" spans="1:6" ht="45" x14ac:dyDescent="0.2">
      <c r="A2220" s="65" t="s">
        <v>5683</v>
      </c>
      <c r="B2220" s="66" t="s">
        <v>5684</v>
      </c>
      <c r="C2220" s="67" t="s">
        <v>203</v>
      </c>
      <c r="D2220" s="69" t="s">
        <v>5335</v>
      </c>
      <c r="E2220" s="69" t="s">
        <v>320</v>
      </c>
      <c r="F2220" s="69" t="s">
        <v>5685</v>
      </c>
    </row>
    <row r="2221" spans="1:6" ht="45" x14ac:dyDescent="0.2">
      <c r="A2221" s="65" t="s">
        <v>5686</v>
      </c>
      <c r="B2221" s="66" t="s">
        <v>5687</v>
      </c>
      <c r="C2221" s="67" t="s">
        <v>203</v>
      </c>
      <c r="D2221" s="69" t="s">
        <v>5688</v>
      </c>
      <c r="E2221" s="69" t="s">
        <v>319</v>
      </c>
      <c r="F2221" s="69" t="s">
        <v>5689</v>
      </c>
    </row>
    <row r="2222" spans="1:6" ht="45" x14ac:dyDescent="0.2">
      <c r="A2222" s="65" t="s">
        <v>5690</v>
      </c>
      <c r="B2222" s="66" t="s">
        <v>5691</v>
      </c>
      <c r="C2222" s="67" t="s">
        <v>203</v>
      </c>
      <c r="D2222" s="69" t="s">
        <v>5692</v>
      </c>
      <c r="E2222" s="69" t="s">
        <v>319</v>
      </c>
      <c r="F2222" s="69" t="s">
        <v>5693</v>
      </c>
    </row>
    <row r="2223" spans="1:6" ht="56.25" x14ac:dyDescent="0.2">
      <c r="A2223" s="65" t="s">
        <v>5694</v>
      </c>
      <c r="B2223" s="66" t="s">
        <v>5695</v>
      </c>
      <c r="C2223" s="67" t="s">
        <v>203</v>
      </c>
      <c r="D2223" s="69" t="s">
        <v>5696</v>
      </c>
      <c r="E2223" s="69" t="s">
        <v>5697</v>
      </c>
      <c r="F2223" s="69" t="s">
        <v>5698</v>
      </c>
    </row>
    <row r="2224" spans="1:6" ht="33.75" x14ac:dyDescent="0.2">
      <c r="A2224" s="65" t="s">
        <v>5699</v>
      </c>
      <c r="B2224" s="65" t="s">
        <v>5700</v>
      </c>
      <c r="C2224" s="67" t="s">
        <v>203</v>
      </c>
      <c r="D2224" s="69" t="s">
        <v>5701</v>
      </c>
      <c r="E2224" s="69" t="s">
        <v>319</v>
      </c>
      <c r="F2224" s="69" t="s">
        <v>5702</v>
      </c>
    </row>
    <row r="2225" spans="1:6" ht="22.5" x14ac:dyDescent="0.2">
      <c r="A2225" s="50">
        <v>38.19</v>
      </c>
      <c r="B2225" s="64" t="s">
        <v>5703</v>
      </c>
      <c r="C2225" s="47"/>
      <c r="D2225" s="47"/>
      <c r="E2225" s="47"/>
      <c r="F2225" s="47"/>
    </row>
    <row r="2226" spans="1:6" ht="33.75" x14ac:dyDescent="0.2">
      <c r="A2226" s="65" t="s">
        <v>5704</v>
      </c>
      <c r="B2226" s="65" t="s">
        <v>5705</v>
      </c>
      <c r="C2226" s="67" t="s">
        <v>221</v>
      </c>
      <c r="D2226" s="69" t="s">
        <v>5706</v>
      </c>
      <c r="E2226" s="69" t="s">
        <v>323</v>
      </c>
      <c r="F2226" s="69" t="s">
        <v>5707</v>
      </c>
    </row>
    <row r="2227" spans="1:6" ht="33.75" x14ac:dyDescent="0.2">
      <c r="A2227" s="65" t="s">
        <v>5708</v>
      </c>
      <c r="B2227" s="65" t="s">
        <v>5709</v>
      </c>
      <c r="C2227" s="67" t="s">
        <v>221</v>
      </c>
      <c r="D2227" s="69" t="s">
        <v>5710</v>
      </c>
      <c r="E2227" s="69" t="s">
        <v>323</v>
      </c>
      <c r="F2227" s="69" t="s">
        <v>1997</v>
      </c>
    </row>
    <row r="2228" spans="1:6" ht="33.75" x14ac:dyDescent="0.2">
      <c r="A2228" s="65" t="s">
        <v>5711</v>
      </c>
      <c r="B2228" s="65" t="s">
        <v>5712</v>
      </c>
      <c r="C2228" s="67" t="s">
        <v>221</v>
      </c>
      <c r="D2228" s="69" t="s">
        <v>5713</v>
      </c>
      <c r="E2228" s="69" t="s">
        <v>323</v>
      </c>
      <c r="F2228" s="69" t="s">
        <v>5714</v>
      </c>
    </row>
    <row r="2229" spans="1:6" ht="45" x14ac:dyDescent="0.2">
      <c r="A2229" s="65" t="s">
        <v>5715</v>
      </c>
      <c r="B2229" s="66" t="s">
        <v>5716</v>
      </c>
      <c r="C2229" s="67" t="s">
        <v>221</v>
      </c>
      <c r="D2229" s="69" t="s">
        <v>5717</v>
      </c>
      <c r="E2229" s="69" t="s">
        <v>323</v>
      </c>
      <c r="F2229" s="69" t="s">
        <v>5718</v>
      </c>
    </row>
    <row r="2230" spans="1:6" ht="45" x14ac:dyDescent="0.2">
      <c r="A2230" s="65" t="s">
        <v>5719</v>
      </c>
      <c r="B2230" s="66" t="s">
        <v>5720</v>
      </c>
      <c r="C2230" s="67" t="s">
        <v>221</v>
      </c>
      <c r="D2230" s="69" t="s">
        <v>5721</v>
      </c>
      <c r="E2230" s="69" t="s">
        <v>323</v>
      </c>
      <c r="F2230" s="69" t="s">
        <v>5722</v>
      </c>
    </row>
    <row r="2231" spans="1:6" ht="22.5" x14ac:dyDescent="0.2">
      <c r="A2231" s="50">
        <v>38.200000000000003</v>
      </c>
      <c r="B2231" s="64" t="s">
        <v>5723</v>
      </c>
      <c r="C2231" s="47"/>
      <c r="D2231" s="47"/>
      <c r="E2231" s="47"/>
      <c r="F2231" s="47"/>
    </row>
    <row r="2232" spans="1:6" ht="22.5" x14ac:dyDescent="0.2">
      <c r="A2232" s="65" t="s">
        <v>5724</v>
      </c>
      <c r="B2232" s="65" t="s">
        <v>5725</v>
      </c>
      <c r="C2232" s="67" t="s">
        <v>221</v>
      </c>
      <c r="D2232" s="73"/>
      <c r="E2232" s="69" t="s">
        <v>324</v>
      </c>
      <c r="F2232" s="69" t="s">
        <v>324</v>
      </c>
    </row>
    <row r="2233" spans="1:6" x14ac:dyDescent="0.2">
      <c r="A2233" s="65" t="s">
        <v>5726</v>
      </c>
      <c r="B2233" s="65" t="s">
        <v>5727</v>
      </c>
      <c r="C2233" s="67" t="s">
        <v>221</v>
      </c>
      <c r="D2233" s="73"/>
      <c r="E2233" s="69" t="s">
        <v>318</v>
      </c>
      <c r="F2233" s="69" t="s">
        <v>318</v>
      </c>
    </row>
    <row r="2234" spans="1:6" ht="22.5" x14ac:dyDescent="0.2">
      <c r="A2234" s="65" t="s">
        <v>5728</v>
      </c>
      <c r="B2234" s="65" t="s">
        <v>5729</v>
      </c>
      <c r="C2234" s="67" t="s">
        <v>203</v>
      </c>
      <c r="D2234" s="73"/>
      <c r="E2234" s="69" t="s">
        <v>323</v>
      </c>
      <c r="F2234" s="69" t="s">
        <v>323</v>
      </c>
    </row>
    <row r="2235" spans="1:6" x14ac:dyDescent="0.2">
      <c r="A2235" s="65" t="s">
        <v>5730</v>
      </c>
      <c r="B2235" s="65" t="s">
        <v>5731</v>
      </c>
      <c r="C2235" s="67" t="s">
        <v>221</v>
      </c>
      <c r="D2235" s="73"/>
      <c r="E2235" s="69" t="s">
        <v>321</v>
      </c>
      <c r="F2235" s="69" t="s">
        <v>321</v>
      </c>
    </row>
    <row r="2236" spans="1:6" x14ac:dyDescent="0.2">
      <c r="A2236" s="50">
        <v>38.21</v>
      </c>
      <c r="B2236" s="64" t="s">
        <v>5732</v>
      </c>
      <c r="C2236" s="47"/>
      <c r="D2236" s="47"/>
      <c r="E2236" s="47"/>
      <c r="F2236" s="47"/>
    </row>
    <row r="2237" spans="1:6" ht="33.75" x14ac:dyDescent="0.2">
      <c r="A2237" s="65" t="s">
        <v>5733</v>
      </c>
      <c r="B2237" s="65" t="s">
        <v>5734</v>
      </c>
      <c r="C2237" s="67" t="s">
        <v>221</v>
      </c>
      <c r="D2237" s="69" t="s">
        <v>2280</v>
      </c>
      <c r="E2237" s="69" t="s">
        <v>319</v>
      </c>
      <c r="F2237" s="69" t="s">
        <v>5735</v>
      </c>
    </row>
    <row r="2238" spans="1:6" ht="33.75" x14ac:dyDescent="0.2">
      <c r="A2238" s="65" t="s">
        <v>5736</v>
      </c>
      <c r="B2238" s="65" t="s">
        <v>5737</v>
      </c>
      <c r="C2238" s="67" t="s">
        <v>221</v>
      </c>
      <c r="D2238" s="69" t="s">
        <v>5738</v>
      </c>
      <c r="E2238" s="69" t="s">
        <v>319</v>
      </c>
      <c r="F2238" s="69" t="s">
        <v>5739</v>
      </c>
    </row>
    <row r="2239" spans="1:6" ht="33.75" x14ac:dyDescent="0.2">
      <c r="A2239" s="65" t="s">
        <v>5740</v>
      </c>
      <c r="B2239" s="65" t="s">
        <v>5741</v>
      </c>
      <c r="C2239" s="67" t="s">
        <v>221</v>
      </c>
      <c r="D2239" s="69" t="s">
        <v>5742</v>
      </c>
      <c r="E2239" s="69" t="s">
        <v>319</v>
      </c>
      <c r="F2239" s="69" t="s">
        <v>5743</v>
      </c>
    </row>
    <row r="2240" spans="1:6" ht="33.75" x14ac:dyDescent="0.2">
      <c r="A2240" s="65" t="s">
        <v>5744</v>
      </c>
      <c r="B2240" s="65" t="s">
        <v>5745</v>
      </c>
      <c r="C2240" s="67" t="s">
        <v>221</v>
      </c>
      <c r="D2240" s="69" t="s">
        <v>5746</v>
      </c>
      <c r="E2240" s="69" t="s">
        <v>319</v>
      </c>
      <c r="F2240" s="69" t="s">
        <v>5747</v>
      </c>
    </row>
    <row r="2241" spans="1:6" ht="33.75" x14ac:dyDescent="0.2">
      <c r="A2241" s="65" t="s">
        <v>5748</v>
      </c>
      <c r="B2241" s="65" t="s">
        <v>5749</v>
      </c>
      <c r="C2241" s="67" t="s">
        <v>221</v>
      </c>
      <c r="D2241" s="69" t="s">
        <v>5750</v>
      </c>
      <c r="E2241" s="69" t="s">
        <v>319</v>
      </c>
      <c r="F2241" s="69" t="s">
        <v>5751</v>
      </c>
    </row>
    <row r="2242" spans="1:6" ht="33.75" x14ac:dyDescent="0.2">
      <c r="A2242" s="65" t="s">
        <v>5752</v>
      </c>
      <c r="B2242" s="65" t="s">
        <v>5753</v>
      </c>
      <c r="C2242" s="67" t="s">
        <v>221</v>
      </c>
      <c r="D2242" s="69" t="s">
        <v>5754</v>
      </c>
      <c r="E2242" s="69" t="s">
        <v>333</v>
      </c>
      <c r="F2242" s="69" t="s">
        <v>5755</v>
      </c>
    </row>
    <row r="2243" spans="1:6" ht="33.75" x14ac:dyDescent="0.2">
      <c r="A2243" s="65" t="s">
        <v>5756</v>
      </c>
      <c r="B2243" s="65" t="s">
        <v>5757</v>
      </c>
      <c r="C2243" s="67" t="s">
        <v>221</v>
      </c>
      <c r="D2243" s="69" t="s">
        <v>5758</v>
      </c>
      <c r="E2243" s="69" t="s">
        <v>333</v>
      </c>
      <c r="F2243" s="69" t="s">
        <v>5759</v>
      </c>
    </row>
    <row r="2244" spans="1:6" ht="33.75" x14ac:dyDescent="0.2">
      <c r="A2244" s="65" t="s">
        <v>5760</v>
      </c>
      <c r="B2244" s="65" t="s">
        <v>5761</v>
      </c>
      <c r="C2244" s="67" t="s">
        <v>221</v>
      </c>
      <c r="D2244" s="69" t="s">
        <v>5762</v>
      </c>
      <c r="E2244" s="69" t="s">
        <v>333</v>
      </c>
      <c r="F2244" s="69" t="s">
        <v>5763</v>
      </c>
    </row>
    <row r="2245" spans="1:6" ht="33.75" x14ac:dyDescent="0.2">
      <c r="A2245" s="65" t="s">
        <v>5764</v>
      </c>
      <c r="B2245" s="65" t="s">
        <v>5765</v>
      </c>
      <c r="C2245" s="67" t="s">
        <v>221</v>
      </c>
      <c r="D2245" s="69" t="s">
        <v>5766</v>
      </c>
      <c r="E2245" s="69" t="s">
        <v>333</v>
      </c>
      <c r="F2245" s="69" t="s">
        <v>5767</v>
      </c>
    </row>
    <row r="2246" spans="1:6" ht="33.75" x14ac:dyDescent="0.2">
      <c r="A2246" s="65" t="s">
        <v>5768</v>
      </c>
      <c r="B2246" s="65" t="s">
        <v>5769</v>
      </c>
      <c r="C2246" s="67" t="s">
        <v>221</v>
      </c>
      <c r="D2246" s="69" t="s">
        <v>480</v>
      </c>
      <c r="E2246" s="69" t="s">
        <v>321</v>
      </c>
      <c r="F2246" s="69" t="s">
        <v>5770</v>
      </c>
    </row>
    <row r="2247" spans="1:6" ht="33.75" x14ac:dyDescent="0.2">
      <c r="A2247" s="65" t="s">
        <v>5771</v>
      </c>
      <c r="B2247" s="65" t="s">
        <v>5772</v>
      </c>
      <c r="C2247" s="67" t="s">
        <v>221</v>
      </c>
      <c r="D2247" s="69" t="s">
        <v>5773</v>
      </c>
      <c r="E2247" s="69" t="s">
        <v>321</v>
      </c>
      <c r="F2247" s="69" t="s">
        <v>5774</v>
      </c>
    </row>
    <row r="2248" spans="1:6" ht="33.75" x14ac:dyDescent="0.2">
      <c r="A2248" s="65" t="s">
        <v>5775</v>
      </c>
      <c r="B2248" s="65" t="s">
        <v>5776</v>
      </c>
      <c r="C2248" s="67" t="s">
        <v>221</v>
      </c>
      <c r="D2248" s="69" t="s">
        <v>5777</v>
      </c>
      <c r="E2248" s="69" t="s">
        <v>319</v>
      </c>
      <c r="F2248" s="69" t="s">
        <v>5778</v>
      </c>
    </row>
    <row r="2249" spans="1:6" ht="33.75" x14ac:dyDescent="0.2">
      <c r="A2249" s="65" t="s">
        <v>5779</v>
      </c>
      <c r="B2249" s="65" t="s">
        <v>5780</v>
      </c>
      <c r="C2249" s="67" t="s">
        <v>221</v>
      </c>
      <c r="D2249" s="69" t="s">
        <v>5781</v>
      </c>
      <c r="E2249" s="69" t="s">
        <v>319</v>
      </c>
      <c r="F2249" s="69" t="s">
        <v>5782</v>
      </c>
    </row>
    <row r="2250" spans="1:6" ht="33.75" x14ac:dyDescent="0.2">
      <c r="A2250" s="65" t="s">
        <v>5783</v>
      </c>
      <c r="B2250" s="65" t="s">
        <v>5784</v>
      </c>
      <c r="C2250" s="67" t="s">
        <v>221</v>
      </c>
      <c r="D2250" s="69" t="s">
        <v>5785</v>
      </c>
      <c r="E2250" s="69" t="s">
        <v>319</v>
      </c>
      <c r="F2250" s="69" t="s">
        <v>5786</v>
      </c>
    </row>
    <row r="2251" spans="1:6" ht="33.75" x14ac:dyDescent="0.2">
      <c r="A2251" s="65" t="s">
        <v>5787</v>
      </c>
      <c r="B2251" s="65" t="s">
        <v>5788</v>
      </c>
      <c r="C2251" s="67" t="s">
        <v>221</v>
      </c>
      <c r="D2251" s="69" t="s">
        <v>5789</v>
      </c>
      <c r="E2251" s="69" t="s">
        <v>319</v>
      </c>
      <c r="F2251" s="69" t="s">
        <v>5790</v>
      </c>
    </row>
    <row r="2252" spans="1:6" x14ac:dyDescent="0.2">
      <c r="A2252" s="50">
        <v>38.22</v>
      </c>
      <c r="B2252" s="64" t="s">
        <v>5791</v>
      </c>
      <c r="C2252" s="47"/>
      <c r="D2252" s="47"/>
      <c r="E2252" s="47"/>
      <c r="F2252" s="47"/>
    </row>
    <row r="2253" spans="1:6" ht="33.75" x14ac:dyDescent="0.2">
      <c r="A2253" s="65" t="s">
        <v>5792</v>
      </c>
      <c r="B2253" s="65" t="s">
        <v>5793</v>
      </c>
      <c r="C2253" s="67" t="s">
        <v>221</v>
      </c>
      <c r="D2253" s="69" t="s">
        <v>5794</v>
      </c>
      <c r="E2253" s="69" t="s">
        <v>333</v>
      </c>
      <c r="F2253" s="69" t="s">
        <v>5795</v>
      </c>
    </row>
    <row r="2254" spans="1:6" ht="33.75" x14ac:dyDescent="0.2">
      <c r="A2254" s="65" t="s">
        <v>5796</v>
      </c>
      <c r="B2254" s="65" t="s">
        <v>5797</v>
      </c>
      <c r="C2254" s="67" t="s">
        <v>221</v>
      </c>
      <c r="D2254" s="69" t="s">
        <v>5798</v>
      </c>
      <c r="E2254" s="69" t="s">
        <v>333</v>
      </c>
      <c r="F2254" s="69" t="s">
        <v>5799</v>
      </c>
    </row>
    <row r="2255" spans="1:6" ht="33.75" x14ac:dyDescent="0.2">
      <c r="A2255" s="65" t="s">
        <v>5800</v>
      </c>
      <c r="B2255" s="65" t="s">
        <v>5801</v>
      </c>
      <c r="C2255" s="67" t="s">
        <v>221</v>
      </c>
      <c r="D2255" s="69" t="s">
        <v>5802</v>
      </c>
      <c r="E2255" s="69" t="s">
        <v>333</v>
      </c>
      <c r="F2255" s="69" t="s">
        <v>5803</v>
      </c>
    </row>
    <row r="2256" spans="1:6" ht="33.75" x14ac:dyDescent="0.2">
      <c r="A2256" s="65" t="s">
        <v>5804</v>
      </c>
      <c r="B2256" s="65" t="s">
        <v>5805</v>
      </c>
      <c r="C2256" s="67" t="s">
        <v>221</v>
      </c>
      <c r="D2256" s="69" t="s">
        <v>5806</v>
      </c>
      <c r="E2256" s="69" t="s">
        <v>321</v>
      </c>
      <c r="F2256" s="69" t="s">
        <v>5807</v>
      </c>
    </row>
    <row r="2257" spans="1:6" ht="33.75" x14ac:dyDescent="0.2">
      <c r="A2257" s="65" t="s">
        <v>5808</v>
      </c>
      <c r="B2257" s="65" t="s">
        <v>5809</v>
      </c>
      <c r="C2257" s="67" t="s">
        <v>221</v>
      </c>
      <c r="D2257" s="69" t="s">
        <v>5810</v>
      </c>
      <c r="E2257" s="69" t="s">
        <v>321</v>
      </c>
      <c r="F2257" s="69" t="s">
        <v>5811</v>
      </c>
    </row>
    <row r="2258" spans="1:6" ht="33.75" x14ac:dyDescent="0.2">
      <c r="A2258" s="65" t="s">
        <v>5812</v>
      </c>
      <c r="B2258" s="65" t="s">
        <v>5813</v>
      </c>
      <c r="C2258" s="67" t="s">
        <v>221</v>
      </c>
      <c r="D2258" s="69" t="s">
        <v>5814</v>
      </c>
      <c r="E2258" s="69" t="s">
        <v>260</v>
      </c>
      <c r="F2258" s="69" t="s">
        <v>5815</v>
      </c>
    </row>
    <row r="2259" spans="1:6" ht="33.75" x14ac:dyDescent="0.2">
      <c r="A2259" s="65" t="s">
        <v>5816</v>
      </c>
      <c r="B2259" s="65" t="s">
        <v>5817</v>
      </c>
      <c r="C2259" s="67" t="s">
        <v>221</v>
      </c>
      <c r="D2259" s="69" t="s">
        <v>5818</v>
      </c>
      <c r="E2259" s="69" t="s">
        <v>260</v>
      </c>
      <c r="F2259" s="69" t="s">
        <v>806</v>
      </c>
    </row>
    <row r="2260" spans="1:6" ht="33.75" x14ac:dyDescent="0.2">
      <c r="A2260" s="65" t="s">
        <v>5819</v>
      </c>
      <c r="B2260" s="65" t="s">
        <v>5820</v>
      </c>
      <c r="C2260" s="67" t="s">
        <v>221</v>
      </c>
      <c r="D2260" s="69" t="s">
        <v>5821</v>
      </c>
      <c r="E2260" s="69" t="s">
        <v>260</v>
      </c>
      <c r="F2260" s="69" t="s">
        <v>5822</v>
      </c>
    </row>
    <row r="2261" spans="1:6" ht="33.75" x14ac:dyDescent="0.2">
      <c r="A2261" s="65" t="s">
        <v>5823</v>
      </c>
      <c r="B2261" s="65" t="s">
        <v>5824</v>
      </c>
      <c r="C2261" s="67" t="s">
        <v>221</v>
      </c>
      <c r="D2261" s="69" t="s">
        <v>5825</v>
      </c>
      <c r="E2261" s="69" t="s">
        <v>260</v>
      </c>
      <c r="F2261" s="69" t="s">
        <v>5826</v>
      </c>
    </row>
    <row r="2262" spans="1:6" ht="33.75" x14ac:dyDescent="0.2">
      <c r="A2262" s="65" t="s">
        <v>5827</v>
      </c>
      <c r="B2262" s="65" t="s">
        <v>5828</v>
      </c>
      <c r="C2262" s="67" t="s">
        <v>221</v>
      </c>
      <c r="D2262" s="69" t="s">
        <v>5829</v>
      </c>
      <c r="E2262" s="69" t="s">
        <v>260</v>
      </c>
      <c r="F2262" s="69" t="s">
        <v>5830</v>
      </c>
    </row>
    <row r="2263" spans="1:6" ht="33.75" x14ac:dyDescent="0.2">
      <c r="A2263" s="65" t="s">
        <v>5831</v>
      </c>
      <c r="B2263" s="65" t="s">
        <v>5832</v>
      </c>
      <c r="C2263" s="67" t="s">
        <v>221</v>
      </c>
      <c r="D2263" s="69" t="s">
        <v>5833</v>
      </c>
      <c r="E2263" s="69" t="s">
        <v>260</v>
      </c>
      <c r="F2263" s="69" t="s">
        <v>5834</v>
      </c>
    </row>
    <row r="2264" spans="1:6" ht="33.75" x14ac:dyDescent="0.2">
      <c r="A2264" s="65" t="s">
        <v>5835</v>
      </c>
      <c r="B2264" s="65" t="s">
        <v>5836</v>
      </c>
      <c r="C2264" s="67" t="s">
        <v>221</v>
      </c>
      <c r="D2264" s="69" t="s">
        <v>5837</v>
      </c>
      <c r="E2264" s="69" t="s">
        <v>260</v>
      </c>
      <c r="F2264" s="69" t="s">
        <v>5838</v>
      </c>
    </row>
    <row r="2265" spans="1:6" x14ac:dyDescent="0.2">
      <c r="A2265" s="50">
        <v>38.229999999999997</v>
      </c>
      <c r="B2265" s="64" t="s">
        <v>5839</v>
      </c>
      <c r="C2265" s="47"/>
      <c r="D2265" s="47"/>
      <c r="E2265" s="47"/>
      <c r="F2265" s="47"/>
    </row>
    <row r="2266" spans="1:6" ht="22.5" x14ac:dyDescent="0.2">
      <c r="A2266" s="65" t="s">
        <v>5840</v>
      </c>
      <c r="B2266" s="65" t="s">
        <v>5841</v>
      </c>
      <c r="C2266" s="67" t="s">
        <v>203</v>
      </c>
      <c r="D2266" s="69" t="s">
        <v>5842</v>
      </c>
      <c r="E2266" s="69" t="s">
        <v>324</v>
      </c>
      <c r="F2266" s="69" t="s">
        <v>5843</v>
      </c>
    </row>
    <row r="2267" spans="1:6" ht="22.5" x14ac:dyDescent="0.2">
      <c r="A2267" s="65" t="s">
        <v>5844</v>
      </c>
      <c r="B2267" s="65" t="s">
        <v>5845</v>
      </c>
      <c r="C2267" s="67" t="s">
        <v>203</v>
      </c>
      <c r="D2267" s="69" t="s">
        <v>3352</v>
      </c>
      <c r="E2267" s="69" t="s">
        <v>324</v>
      </c>
      <c r="F2267" s="69" t="s">
        <v>5846</v>
      </c>
    </row>
    <row r="2268" spans="1:6" ht="22.5" x14ac:dyDescent="0.2">
      <c r="A2268" s="65" t="s">
        <v>5847</v>
      </c>
      <c r="B2268" s="65" t="s">
        <v>5848</v>
      </c>
      <c r="C2268" s="67" t="s">
        <v>203</v>
      </c>
      <c r="D2268" s="69" t="s">
        <v>5849</v>
      </c>
      <c r="E2268" s="69" t="s">
        <v>324</v>
      </c>
      <c r="F2268" s="69" t="s">
        <v>5850</v>
      </c>
    </row>
    <row r="2269" spans="1:6" ht="22.5" x14ac:dyDescent="0.2">
      <c r="A2269" s="65" t="s">
        <v>5851</v>
      </c>
      <c r="B2269" s="65" t="s">
        <v>5852</v>
      </c>
      <c r="C2269" s="67" t="s">
        <v>203</v>
      </c>
      <c r="D2269" s="69" t="s">
        <v>5853</v>
      </c>
      <c r="E2269" s="69" t="s">
        <v>324</v>
      </c>
      <c r="F2269" s="69" t="s">
        <v>1393</v>
      </c>
    </row>
    <row r="2270" spans="1:6" ht="22.5" x14ac:dyDescent="0.2">
      <c r="A2270" s="65" t="s">
        <v>5854</v>
      </c>
      <c r="B2270" s="65" t="s">
        <v>5855</v>
      </c>
      <c r="C2270" s="67" t="s">
        <v>203</v>
      </c>
      <c r="D2270" s="69" t="s">
        <v>5856</v>
      </c>
      <c r="E2270" s="69" t="s">
        <v>324</v>
      </c>
      <c r="F2270" s="69" t="s">
        <v>5857</v>
      </c>
    </row>
    <row r="2271" spans="1:6" ht="22.5" x14ac:dyDescent="0.2">
      <c r="A2271" s="65" t="s">
        <v>5858</v>
      </c>
      <c r="B2271" s="65" t="s">
        <v>5859</v>
      </c>
      <c r="C2271" s="67" t="s">
        <v>203</v>
      </c>
      <c r="D2271" s="69" t="s">
        <v>5860</v>
      </c>
      <c r="E2271" s="69" t="s">
        <v>324</v>
      </c>
      <c r="F2271" s="69" t="s">
        <v>5861</v>
      </c>
    </row>
    <row r="2272" spans="1:6" ht="22.5" x14ac:dyDescent="0.2">
      <c r="A2272" s="65" t="s">
        <v>5862</v>
      </c>
      <c r="B2272" s="65" t="s">
        <v>5863</v>
      </c>
      <c r="C2272" s="67" t="s">
        <v>203</v>
      </c>
      <c r="D2272" s="69" t="s">
        <v>314</v>
      </c>
      <c r="E2272" s="69" t="s">
        <v>324</v>
      </c>
      <c r="F2272" s="69" t="s">
        <v>5864</v>
      </c>
    </row>
    <row r="2273" spans="1:6" ht="22.5" x14ac:dyDescent="0.2">
      <c r="A2273" s="65" t="s">
        <v>5865</v>
      </c>
      <c r="B2273" s="65" t="s">
        <v>5866</v>
      </c>
      <c r="C2273" s="67" t="s">
        <v>203</v>
      </c>
      <c r="D2273" s="69" t="s">
        <v>5867</v>
      </c>
      <c r="E2273" s="69" t="s">
        <v>324</v>
      </c>
      <c r="F2273" s="69" t="s">
        <v>5868</v>
      </c>
    </row>
    <row r="2274" spans="1:6" ht="22.5" x14ac:dyDescent="0.2">
      <c r="A2274" s="65" t="s">
        <v>5869</v>
      </c>
      <c r="B2274" s="65" t="s">
        <v>5870</v>
      </c>
      <c r="C2274" s="67" t="s">
        <v>203</v>
      </c>
      <c r="D2274" s="69" t="s">
        <v>1355</v>
      </c>
      <c r="E2274" s="69" t="s">
        <v>324</v>
      </c>
      <c r="F2274" s="69" t="s">
        <v>5871</v>
      </c>
    </row>
    <row r="2275" spans="1:6" ht="22.5" x14ac:dyDescent="0.2">
      <c r="A2275" s="65" t="s">
        <v>5872</v>
      </c>
      <c r="B2275" s="65" t="s">
        <v>5873</v>
      </c>
      <c r="C2275" s="67" t="s">
        <v>203</v>
      </c>
      <c r="D2275" s="69" t="s">
        <v>5874</v>
      </c>
      <c r="E2275" s="69" t="s">
        <v>324</v>
      </c>
      <c r="F2275" s="69" t="s">
        <v>5875</v>
      </c>
    </row>
    <row r="2276" spans="1:6" ht="22.5" x14ac:dyDescent="0.2">
      <c r="A2276" s="65" t="s">
        <v>5876</v>
      </c>
      <c r="B2276" s="65" t="s">
        <v>5877</v>
      </c>
      <c r="C2276" s="67" t="s">
        <v>203</v>
      </c>
      <c r="D2276" s="69" t="s">
        <v>3984</v>
      </c>
      <c r="E2276" s="69" t="s">
        <v>324</v>
      </c>
      <c r="F2276" s="69" t="s">
        <v>5878</v>
      </c>
    </row>
    <row r="2277" spans="1:6" ht="22.5" x14ac:dyDescent="0.2">
      <c r="A2277" s="65" t="s">
        <v>5879</v>
      </c>
      <c r="B2277" s="65" t="s">
        <v>5880</v>
      </c>
      <c r="C2277" s="67" t="s">
        <v>203</v>
      </c>
      <c r="D2277" s="69" t="s">
        <v>5881</v>
      </c>
      <c r="E2277" s="69" t="s">
        <v>324</v>
      </c>
      <c r="F2277" s="69" t="s">
        <v>5882</v>
      </c>
    </row>
    <row r="2278" spans="1:6" ht="22.5" x14ac:dyDescent="0.2">
      <c r="A2278" s="65" t="s">
        <v>5883</v>
      </c>
      <c r="B2278" s="65" t="s">
        <v>5884</v>
      </c>
      <c r="C2278" s="67" t="s">
        <v>203</v>
      </c>
      <c r="D2278" s="69" t="s">
        <v>231</v>
      </c>
      <c r="E2278" s="69" t="s">
        <v>324</v>
      </c>
      <c r="F2278" s="69" t="s">
        <v>5885</v>
      </c>
    </row>
    <row r="2279" spans="1:6" ht="22.5" x14ac:dyDescent="0.2">
      <c r="A2279" s="65" t="s">
        <v>5886</v>
      </c>
      <c r="B2279" s="65" t="s">
        <v>5887</v>
      </c>
      <c r="C2279" s="67" t="s">
        <v>203</v>
      </c>
      <c r="D2279" s="69" t="s">
        <v>1107</v>
      </c>
      <c r="E2279" s="69" t="s">
        <v>324</v>
      </c>
      <c r="F2279" s="69" t="s">
        <v>5888</v>
      </c>
    </row>
    <row r="2280" spans="1:6" ht="22.5" x14ac:dyDescent="0.2">
      <c r="A2280" s="65" t="s">
        <v>5889</v>
      </c>
      <c r="B2280" s="65" t="s">
        <v>5890</v>
      </c>
      <c r="C2280" s="67" t="s">
        <v>203</v>
      </c>
      <c r="D2280" s="69" t="s">
        <v>5891</v>
      </c>
      <c r="E2280" s="69" t="s">
        <v>324</v>
      </c>
      <c r="F2280" s="69" t="s">
        <v>5892</v>
      </c>
    </row>
    <row r="2281" spans="1:6" ht="22.5" x14ac:dyDescent="0.2">
      <c r="A2281" s="65" t="s">
        <v>5893</v>
      </c>
      <c r="B2281" s="65" t="s">
        <v>5894</v>
      </c>
      <c r="C2281" s="67" t="s">
        <v>203</v>
      </c>
      <c r="D2281" s="69" t="s">
        <v>5895</v>
      </c>
      <c r="E2281" s="69" t="s">
        <v>324</v>
      </c>
      <c r="F2281" s="69" t="s">
        <v>5896</v>
      </c>
    </row>
    <row r="2282" spans="1:6" ht="22.5" x14ac:dyDescent="0.2">
      <c r="A2282" s="65" t="s">
        <v>5897</v>
      </c>
      <c r="B2282" s="65" t="s">
        <v>5898</v>
      </c>
      <c r="C2282" s="67" t="s">
        <v>203</v>
      </c>
      <c r="D2282" s="69" t="s">
        <v>5899</v>
      </c>
      <c r="E2282" s="69" t="s">
        <v>325</v>
      </c>
      <c r="F2282" s="69" t="s">
        <v>5900</v>
      </c>
    </row>
    <row r="2283" spans="1:6" ht="22.5" x14ac:dyDescent="0.2">
      <c r="A2283" s="65" t="s">
        <v>5901</v>
      </c>
      <c r="B2283" s="65" t="s">
        <v>5902</v>
      </c>
      <c r="C2283" s="67" t="s">
        <v>203</v>
      </c>
      <c r="D2283" s="69" t="s">
        <v>5903</v>
      </c>
      <c r="E2283" s="69" t="s">
        <v>325</v>
      </c>
      <c r="F2283" s="69" t="s">
        <v>5904</v>
      </c>
    </row>
    <row r="2284" spans="1:6" ht="22.5" x14ac:dyDescent="0.2">
      <c r="A2284" s="65" t="s">
        <v>5905</v>
      </c>
      <c r="B2284" s="65" t="s">
        <v>5906</v>
      </c>
      <c r="C2284" s="67" t="s">
        <v>203</v>
      </c>
      <c r="D2284" s="69" t="s">
        <v>5907</v>
      </c>
      <c r="E2284" s="69" t="s">
        <v>325</v>
      </c>
      <c r="F2284" s="69" t="s">
        <v>5908</v>
      </c>
    </row>
    <row r="2285" spans="1:6" ht="22.5" x14ac:dyDescent="0.2">
      <c r="A2285" s="49">
        <v>39</v>
      </c>
      <c r="B2285" s="64" t="s">
        <v>5909</v>
      </c>
      <c r="C2285" s="47"/>
      <c r="D2285" s="47"/>
      <c r="E2285" s="47"/>
      <c r="F2285" s="47"/>
    </row>
    <row r="2286" spans="1:6" ht="22.5" x14ac:dyDescent="0.2">
      <c r="A2286" s="50">
        <v>39.020000000000003</v>
      </c>
      <c r="B2286" s="64" t="s">
        <v>5910</v>
      </c>
      <c r="C2286" s="47"/>
      <c r="D2286" s="47"/>
      <c r="E2286" s="47"/>
      <c r="F2286" s="47"/>
    </row>
    <row r="2287" spans="1:6" ht="33.75" x14ac:dyDescent="0.2">
      <c r="A2287" s="65" t="s">
        <v>5911</v>
      </c>
      <c r="B2287" s="65" t="s">
        <v>5912</v>
      </c>
      <c r="C2287" s="67" t="s">
        <v>221</v>
      </c>
      <c r="D2287" s="69" t="s">
        <v>1418</v>
      </c>
      <c r="E2287" s="69" t="s">
        <v>243</v>
      </c>
      <c r="F2287" s="69" t="s">
        <v>266</v>
      </c>
    </row>
    <row r="2288" spans="1:6" ht="33.75" x14ac:dyDescent="0.2">
      <c r="A2288" s="65" t="s">
        <v>5913</v>
      </c>
      <c r="B2288" s="65" t="s">
        <v>5914</v>
      </c>
      <c r="C2288" s="67" t="s">
        <v>221</v>
      </c>
      <c r="D2288" s="69" t="s">
        <v>5915</v>
      </c>
      <c r="E2288" s="69" t="s">
        <v>243</v>
      </c>
      <c r="F2288" s="69" t="s">
        <v>1482</v>
      </c>
    </row>
    <row r="2289" spans="1:6" ht="33.75" x14ac:dyDescent="0.2">
      <c r="A2289" s="65" t="s">
        <v>5916</v>
      </c>
      <c r="B2289" s="65" t="s">
        <v>5917</v>
      </c>
      <c r="C2289" s="67" t="s">
        <v>221</v>
      </c>
      <c r="D2289" s="69" t="s">
        <v>5918</v>
      </c>
      <c r="E2289" s="69" t="s">
        <v>274</v>
      </c>
      <c r="F2289" s="69" t="s">
        <v>5919</v>
      </c>
    </row>
    <row r="2290" spans="1:6" ht="33.75" x14ac:dyDescent="0.2">
      <c r="A2290" s="65" t="s">
        <v>5920</v>
      </c>
      <c r="B2290" s="65" t="s">
        <v>5921</v>
      </c>
      <c r="C2290" s="67" t="s">
        <v>221</v>
      </c>
      <c r="D2290" s="69" t="s">
        <v>5922</v>
      </c>
      <c r="E2290" s="69" t="s">
        <v>5923</v>
      </c>
      <c r="F2290" s="69" t="s">
        <v>1701</v>
      </c>
    </row>
    <row r="2291" spans="1:6" ht="33.75" x14ac:dyDescent="0.2">
      <c r="A2291" s="65" t="s">
        <v>5924</v>
      </c>
      <c r="B2291" s="65" t="s">
        <v>5925</v>
      </c>
      <c r="C2291" s="67" t="s">
        <v>221</v>
      </c>
      <c r="D2291" s="69" t="s">
        <v>5926</v>
      </c>
      <c r="E2291" s="69" t="s">
        <v>265</v>
      </c>
      <c r="F2291" s="69" t="s">
        <v>5927</v>
      </c>
    </row>
    <row r="2292" spans="1:6" ht="22.5" x14ac:dyDescent="0.2">
      <c r="A2292" s="50">
        <v>39.03</v>
      </c>
      <c r="B2292" s="64" t="s">
        <v>5928</v>
      </c>
      <c r="C2292" s="47"/>
      <c r="D2292" s="47"/>
      <c r="E2292" s="47"/>
      <c r="F2292" s="47"/>
    </row>
    <row r="2293" spans="1:6" ht="33.75" x14ac:dyDescent="0.2">
      <c r="A2293" s="65" t="s">
        <v>5929</v>
      </c>
      <c r="B2293" s="65" t="s">
        <v>5930</v>
      </c>
      <c r="C2293" s="67" t="s">
        <v>221</v>
      </c>
      <c r="D2293" s="69" t="s">
        <v>377</v>
      </c>
      <c r="E2293" s="69" t="s">
        <v>243</v>
      </c>
      <c r="F2293" s="69" t="s">
        <v>5931</v>
      </c>
    </row>
    <row r="2294" spans="1:6" ht="33.75" x14ac:dyDescent="0.2">
      <c r="A2294" s="65" t="s">
        <v>5932</v>
      </c>
      <c r="B2294" s="65" t="s">
        <v>5933</v>
      </c>
      <c r="C2294" s="67" t="s">
        <v>221</v>
      </c>
      <c r="D2294" s="69" t="s">
        <v>249</v>
      </c>
      <c r="E2294" s="69" t="s">
        <v>260</v>
      </c>
      <c r="F2294" s="69" t="s">
        <v>5934</v>
      </c>
    </row>
    <row r="2295" spans="1:6" ht="33.75" x14ac:dyDescent="0.2">
      <c r="A2295" s="65" t="s">
        <v>5935</v>
      </c>
      <c r="B2295" s="65" t="s">
        <v>5936</v>
      </c>
      <c r="C2295" s="67" t="s">
        <v>221</v>
      </c>
      <c r="D2295" s="69" t="s">
        <v>5937</v>
      </c>
      <c r="E2295" s="69" t="s">
        <v>274</v>
      </c>
      <c r="F2295" s="69" t="s">
        <v>3243</v>
      </c>
    </row>
    <row r="2296" spans="1:6" ht="33.75" x14ac:dyDescent="0.2">
      <c r="A2296" s="65" t="s">
        <v>5938</v>
      </c>
      <c r="B2296" s="65" t="s">
        <v>5939</v>
      </c>
      <c r="C2296" s="67" t="s">
        <v>221</v>
      </c>
      <c r="D2296" s="69" t="s">
        <v>5940</v>
      </c>
      <c r="E2296" s="69" t="s">
        <v>5923</v>
      </c>
      <c r="F2296" s="69" t="s">
        <v>5941</v>
      </c>
    </row>
    <row r="2297" spans="1:6" ht="33.75" x14ac:dyDescent="0.2">
      <c r="A2297" s="65" t="s">
        <v>5942</v>
      </c>
      <c r="B2297" s="65" t="s">
        <v>5943</v>
      </c>
      <c r="C2297" s="67" t="s">
        <v>221</v>
      </c>
      <c r="D2297" s="69" t="s">
        <v>5944</v>
      </c>
      <c r="E2297" s="69" t="s">
        <v>265</v>
      </c>
      <c r="F2297" s="69" t="s">
        <v>847</v>
      </c>
    </row>
    <row r="2298" spans="1:6" ht="22.5" x14ac:dyDescent="0.2">
      <c r="A2298" s="50">
        <v>39.04</v>
      </c>
      <c r="B2298" s="64" t="s">
        <v>5945</v>
      </c>
      <c r="C2298" s="47"/>
      <c r="D2298" s="47"/>
      <c r="E2298" s="47"/>
      <c r="F2298" s="47"/>
    </row>
    <row r="2299" spans="1:6" ht="22.5" x14ac:dyDescent="0.2">
      <c r="A2299" s="65" t="s">
        <v>5946</v>
      </c>
      <c r="B2299" s="65" t="s">
        <v>5947</v>
      </c>
      <c r="C2299" s="67" t="s">
        <v>221</v>
      </c>
      <c r="D2299" s="69" t="s">
        <v>5948</v>
      </c>
      <c r="E2299" s="69" t="s">
        <v>260</v>
      </c>
      <c r="F2299" s="69" t="s">
        <v>5949</v>
      </c>
    </row>
    <row r="2300" spans="1:6" ht="22.5" x14ac:dyDescent="0.2">
      <c r="A2300" s="65" t="s">
        <v>5950</v>
      </c>
      <c r="B2300" s="65" t="s">
        <v>5951</v>
      </c>
      <c r="C2300" s="67" t="s">
        <v>221</v>
      </c>
      <c r="D2300" s="69" t="s">
        <v>3620</v>
      </c>
      <c r="E2300" s="69" t="s">
        <v>260</v>
      </c>
      <c r="F2300" s="69" t="s">
        <v>365</v>
      </c>
    </row>
    <row r="2301" spans="1:6" ht="22.5" x14ac:dyDescent="0.2">
      <c r="A2301" s="65" t="s">
        <v>5952</v>
      </c>
      <c r="B2301" s="65" t="s">
        <v>5953</v>
      </c>
      <c r="C2301" s="67" t="s">
        <v>221</v>
      </c>
      <c r="D2301" s="69" t="s">
        <v>5954</v>
      </c>
      <c r="E2301" s="69" t="s">
        <v>334</v>
      </c>
      <c r="F2301" s="69" t="s">
        <v>5955</v>
      </c>
    </row>
    <row r="2302" spans="1:6" ht="22.5" x14ac:dyDescent="0.2">
      <c r="A2302" s="65" t="s">
        <v>5956</v>
      </c>
      <c r="B2302" s="65" t="s">
        <v>5957</v>
      </c>
      <c r="C2302" s="67" t="s">
        <v>221</v>
      </c>
      <c r="D2302" s="69" t="s">
        <v>5958</v>
      </c>
      <c r="E2302" s="69" t="s">
        <v>320</v>
      </c>
      <c r="F2302" s="69" t="s">
        <v>5959</v>
      </c>
    </row>
    <row r="2303" spans="1:6" ht="22.5" x14ac:dyDescent="0.2">
      <c r="A2303" s="65" t="s">
        <v>5960</v>
      </c>
      <c r="B2303" s="65" t="s">
        <v>5961</v>
      </c>
      <c r="C2303" s="67" t="s">
        <v>221</v>
      </c>
      <c r="D2303" s="69" t="s">
        <v>5962</v>
      </c>
      <c r="E2303" s="69" t="s">
        <v>336</v>
      </c>
      <c r="F2303" s="69" t="s">
        <v>5963</v>
      </c>
    </row>
    <row r="2304" spans="1:6" ht="22.5" x14ac:dyDescent="0.2">
      <c r="A2304" s="65" t="s">
        <v>5964</v>
      </c>
      <c r="B2304" s="65" t="s">
        <v>5965</v>
      </c>
      <c r="C2304" s="67" t="s">
        <v>221</v>
      </c>
      <c r="D2304" s="69" t="s">
        <v>5966</v>
      </c>
      <c r="E2304" s="69" t="s">
        <v>324</v>
      </c>
      <c r="F2304" s="69" t="s">
        <v>5967</v>
      </c>
    </row>
    <row r="2305" spans="1:6" ht="22.5" x14ac:dyDescent="0.2">
      <c r="A2305" s="65" t="s">
        <v>5968</v>
      </c>
      <c r="B2305" s="65" t="s">
        <v>5969</v>
      </c>
      <c r="C2305" s="67" t="s">
        <v>221</v>
      </c>
      <c r="D2305" s="69" t="s">
        <v>5970</v>
      </c>
      <c r="E2305" s="69" t="s">
        <v>323</v>
      </c>
      <c r="F2305" s="69" t="s">
        <v>5971</v>
      </c>
    </row>
    <row r="2306" spans="1:6" ht="22.5" x14ac:dyDescent="0.2">
      <c r="A2306" s="65" t="s">
        <v>5972</v>
      </c>
      <c r="B2306" s="65" t="s">
        <v>5973</v>
      </c>
      <c r="C2306" s="67" t="s">
        <v>221</v>
      </c>
      <c r="D2306" s="69" t="s">
        <v>5974</v>
      </c>
      <c r="E2306" s="69" t="s">
        <v>322</v>
      </c>
      <c r="F2306" s="69" t="s">
        <v>5975</v>
      </c>
    </row>
    <row r="2307" spans="1:6" ht="33.75" x14ac:dyDescent="0.2">
      <c r="A2307" s="50">
        <v>39.049999999999997</v>
      </c>
      <c r="B2307" s="64" t="s">
        <v>5976</v>
      </c>
      <c r="C2307" s="47"/>
      <c r="D2307" s="47"/>
      <c r="E2307" s="47"/>
      <c r="F2307" s="47"/>
    </row>
    <row r="2308" spans="1:6" ht="33.75" x14ac:dyDescent="0.2">
      <c r="A2308" s="65" t="s">
        <v>5977</v>
      </c>
      <c r="B2308" s="65" t="s">
        <v>5978</v>
      </c>
      <c r="C2308" s="67" t="s">
        <v>221</v>
      </c>
      <c r="D2308" s="69" t="s">
        <v>5979</v>
      </c>
      <c r="E2308" s="69" t="s">
        <v>5980</v>
      </c>
      <c r="F2308" s="69" t="s">
        <v>5981</v>
      </c>
    </row>
    <row r="2309" spans="1:6" ht="33.75" x14ac:dyDescent="0.2">
      <c r="A2309" s="50">
        <v>39.06</v>
      </c>
      <c r="B2309" s="64" t="s">
        <v>5982</v>
      </c>
      <c r="C2309" s="47"/>
      <c r="D2309" s="47"/>
      <c r="E2309" s="47"/>
      <c r="F2309" s="47"/>
    </row>
    <row r="2310" spans="1:6" ht="33.75" x14ac:dyDescent="0.2">
      <c r="A2310" s="65" t="s">
        <v>5983</v>
      </c>
      <c r="B2310" s="65" t="s">
        <v>5984</v>
      </c>
      <c r="C2310" s="67" t="s">
        <v>221</v>
      </c>
      <c r="D2310" s="69" t="s">
        <v>5985</v>
      </c>
      <c r="E2310" s="69" t="s">
        <v>5986</v>
      </c>
      <c r="F2310" s="69" t="s">
        <v>5987</v>
      </c>
    </row>
    <row r="2311" spans="1:6" ht="33.75" x14ac:dyDescent="0.2">
      <c r="A2311" s="65" t="s">
        <v>5988</v>
      </c>
      <c r="B2311" s="65" t="s">
        <v>5989</v>
      </c>
      <c r="C2311" s="67" t="s">
        <v>221</v>
      </c>
      <c r="D2311" s="69" t="s">
        <v>5990</v>
      </c>
      <c r="E2311" s="69" t="s">
        <v>5991</v>
      </c>
      <c r="F2311" s="69" t="s">
        <v>5992</v>
      </c>
    </row>
    <row r="2312" spans="1:6" ht="33.75" x14ac:dyDescent="0.2">
      <c r="A2312" s="65" t="s">
        <v>5993</v>
      </c>
      <c r="B2312" s="65" t="s">
        <v>5994</v>
      </c>
      <c r="C2312" s="67" t="s">
        <v>221</v>
      </c>
      <c r="D2312" s="69" t="s">
        <v>5995</v>
      </c>
      <c r="E2312" s="69" t="s">
        <v>5980</v>
      </c>
      <c r="F2312" s="69" t="s">
        <v>5996</v>
      </c>
    </row>
    <row r="2313" spans="1:6" ht="33.75" x14ac:dyDescent="0.2">
      <c r="A2313" s="65" t="s">
        <v>5997</v>
      </c>
      <c r="B2313" s="65" t="s">
        <v>5998</v>
      </c>
      <c r="C2313" s="67" t="s">
        <v>221</v>
      </c>
      <c r="D2313" s="69" t="s">
        <v>5999</v>
      </c>
      <c r="E2313" s="69" t="s">
        <v>4065</v>
      </c>
      <c r="F2313" s="69" t="s">
        <v>6000</v>
      </c>
    </row>
    <row r="2314" spans="1:6" x14ac:dyDescent="0.2">
      <c r="A2314" s="50">
        <v>39.090000000000003</v>
      </c>
      <c r="B2314" s="64" t="s">
        <v>6001</v>
      </c>
      <c r="C2314" s="47"/>
      <c r="D2314" s="47"/>
      <c r="E2314" s="47"/>
      <c r="F2314" s="47"/>
    </row>
    <row r="2315" spans="1:6" ht="22.5" x14ac:dyDescent="0.2">
      <c r="A2315" s="65" t="s">
        <v>6002</v>
      </c>
      <c r="B2315" s="65" t="s">
        <v>6003</v>
      </c>
      <c r="C2315" s="67" t="s">
        <v>203</v>
      </c>
      <c r="D2315" s="69" t="s">
        <v>6004</v>
      </c>
      <c r="E2315" s="69" t="s">
        <v>334</v>
      </c>
      <c r="F2315" s="69" t="s">
        <v>6005</v>
      </c>
    </row>
    <row r="2316" spans="1:6" ht="22.5" x14ac:dyDescent="0.2">
      <c r="A2316" s="65" t="s">
        <v>6006</v>
      </c>
      <c r="B2316" s="65" t="s">
        <v>6007</v>
      </c>
      <c r="C2316" s="67" t="s">
        <v>203</v>
      </c>
      <c r="D2316" s="69" t="s">
        <v>6008</v>
      </c>
      <c r="E2316" s="69" t="s">
        <v>334</v>
      </c>
      <c r="F2316" s="69" t="s">
        <v>6009</v>
      </c>
    </row>
    <row r="2317" spans="1:6" ht="22.5" x14ac:dyDescent="0.2">
      <c r="A2317" s="65" t="s">
        <v>6010</v>
      </c>
      <c r="B2317" s="65" t="s">
        <v>6011</v>
      </c>
      <c r="C2317" s="67" t="s">
        <v>203</v>
      </c>
      <c r="D2317" s="69" t="s">
        <v>6012</v>
      </c>
      <c r="E2317" s="69" t="s">
        <v>334</v>
      </c>
      <c r="F2317" s="69" t="s">
        <v>6013</v>
      </c>
    </row>
    <row r="2318" spans="1:6" ht="22.5" x14ac:dyDescent="0.2">
      <c r="A2318" s="65" t="s">
        <v>6014</v>
      </c>
      <c r="B2318" s="65" t="s">
        <v>6015</v>
      </c>
      <c r="C2318" s="67" t="s">
        <v>203</v>
      </c>
      <c r="D2318" s="69" t="s">
        <v>379</v>
      </c>
      <c r="E2318" s="69" t="s">
        <v>334</v>
      </c>
      <c r="F2318" s="69" t="s">
        <v>6016</v>
      </c>
    </row>
    <row r="2319" spans="1:6" ht="22.5" x14ac:dyDescent="0.2">
      <c r="A2319" s="65" t="s">
        <v>6017</v>
      </c>
      <c r="B2319" s="65" t="s">
        <v>6018</v>
      </c>
      <c r="C2319" s="67" t="s">
        <v>203</v>
      </c>
      <c r="D2319" s="69" t="s">
        <v>6019</v>
      </c>
      <c r="E2319" s="69" t="s">
        <v>334</v>
      </c>
      <c r="F2319" s="69" t="s">
        <v>6020</v>
      </c>
    </row>
    <row r="2320" spans="1:6" ht="22.5" x14ac:dyDescent="0.2">
      <c r="A2320" s="65" t="s">
        <v>6021</v>
      </c>
      <c r="B2320" s="65" t="s">
        <v>6022</v>
      </c>
      <c r="C2320" s="67" t="s">
        <v>203</v>
      </c>
      <c r="D2320" s="69" t="s">
        <v>6023</v>
      </c>
      <c r="E2320" s="69" t="s">
        <v>334</v>
      </c>
      <c r="F2320" s="69" t="s">
        <v>6024</v>
      </c>
    </row>
    <row r="2321" spans="1:6" ht="22.5" x14ac:dyDescent="0.2">
      <c r="A2321" s="65" t="s">
        <v>6025</v>
      </c>
      <c r="B2321" s="65" t="s">
        <v>6026</v>
      </c>
      <c r="C2321" s="67" t="s">
        <v>203</v>
      </c>
      <c r="D2321" s="69" t="s">
        <v>259</v>
      </c>
      <c r="E2321" s="69" t="s">
        <v>334</v>
      </c>
      <c r="F2321" s="69" t="s">
        <v>6027</v>
      </c>
    </row>
    <row r="2322" spans="1:6" ht="22.5" x14ac:dyDescent="0.2">
      <c r="A2322" s="65" t="s">
        <v>6028</v>
      </c>
      <c r="B2322" s="65" t="s">
        <v>6029</v>
      </c>
      <c r="C2322" s="67" t="s">
        <v>203</v>
      </c>
      <c r="D2322" s="69" t="s">
        <v>6030</v>
      </c>
      <c r="E2322" s="69" t="s">
        <v>334</v>
      </c>
      <c r="F2322" s="69" t="s">
        <v>6031</v>
      </c>
    </row>
    <row r="2323" spans="1:6" ht="22.5" x14ac:dyDescent="0.2">
      <c r="A2323" s="50">
        <v>39.1</v>
      </c>
      <c r="B2323" s="64" t="s">
        <v>6032</v>
      </c>
      <c r="C2323" s="47"/>
      <c r="D2323" s="47"/>
      <c r="E2323" s="47"/>
      <c r="F2323" s="47"/>
    </row>
    <row r="2324" spans="1:6" ht="22.5" x14ac:dyDescent="0.2">
      <c r="A2324" s="65" t="s">
        <v>6033</v>
      </c>
      <c r="B2324" s="65" t="s">
        <v>6034</v>
      </c>
      <c r="C2324" s="67" t="s">
        <v>203</v>
      </c>
      <c r="D2324" s="69" t="s">
        <v>6035</v>
      </c>
      <c r="E2324" s="69" t="s">
        <v>265</v>
      </c>
      <c r="F2324" s="69" t="s">
        <v>6036</v>
      </c>
    </row>
    <row r="2325" spans="1:6" ht="33.75" x14ac:dyDescent="0.2">
      <c r="A2325" s="65" t="s">
        <v>6037</v>
      </c>
      <c r="B2325" s="65" t="s">
        <v>6038</v>
      </c>
      <c r="C2325" s="67" t="s">
        <v>203</v>
      </c>
      <c r="D2325" s="69" t="s">
        <v>6039</v>
      </c>
      <c r="E2325" s="69" t="s">
        <v>320</v>
      </c>
      <c r="F2325" s="69" t="s">
        <v>3589</v>
      </c>
    </row>
    <row r="2326" spans="1:6" ht="33.75" x14ac:dyDescent="0.2">
      <c r="A2326" s="65" t="s">
        <v>6040</v>
      </c>
      <c r="B2326" s="65" t="s">
        <v>6041</v>
      </c>
      <c r="C2326" s="67" t="s">
        <v>203</v>
      </c>
      <c r="D2326" s="69" t="s">
        <v>6042</v>
      </c>
      <c r="E2326" s="69" t="s">
        <v>320</v>
      </c>
      <c r="F2326" s="69" t="s">
        <v>6043</v>
      </c>
    </row>
    <row r="2327" spans="1:6" ht="33.75" x14ac:dyDescent="0.2">
      <c r="A2327" s="65" t="s">
        <v>6044</v>
      </c>
      <c r="B2327" s="65" t="s">
        <v>6045</v>
      </c>
      <c r="C2327" s="67" t="s">
        <v>203</v>
      </c>
      <c r="D2327" s="69" t="s">
        <v>2737</v>
      </c>
      <c r="E2327" s="69" t="s">
        <v>320</v>
      </c>
      <c r="F2327" s="69" t="s">
        <v>428</v>
      </c>
    </row>
    <row r="2328" spans="1:6" ht="33.75" x14ac:dyDescent="0.2">
      <c r="A2328" s="65" t="s">
        <v>6046</v>
      </c>
      <c r="B2328" s="65" t="s">
        <v>6047</v>
      </c>
      <c r="C2328" s="67" t="s">
        <v>203</v>
      </c>
      <c r="D2328" s="69" t="s">
        <v>408</v>
      </c>
      <c r="E2328" s="69" t="s">
        <v>320</v>
      </c>
      <c r="F2328" s="69" t="s">
        <v>6048</v>
      </c>
    </row>
    <row r="2329" spans="1:6" ht="33.75" x14ac:dyDescent="0.2">
      <c r="A2329" s="65" t="s">
        <v>6049</v>
      </c>
      <c r="B2329" s="65" t="s">
        <v>6050</v>
      </c>
      <c r="C2329" s="67" t="s">
        <v>203</v>
      </c>
      <c r="D2329" s="69" t="s">
        <v>6051</v>
      </c>
      <c r="E2329" s="69" t="s">
        <v>320</v>
      </c>
      <c r="F2329" s="69" t="s">
        <v>6052</v>
      </c>
    </row>
    <row r="2330" spans="1:6" ht="33.75" x14ac:dyDescent="0.2">
      <c r="A2330" s="65" t="s">
        <v>6053</v>
      </c>
      <c r="B2330" s="65" t="s">
        <v>6054</v>
      </c>
      <c r="C2330" s="67" t="s">
        <v>203</v>
      </c>
      <c r="D2330" s="69" t="s">
        <v>6055</v>
      </c>
      <c r="E2330" s="69" t="s">
        <v>320</v>
      </c>
      <c r="F2330" s="69" t="s">
        <v>6056</v>
      </c>
    </row>
    <row r="2331" spans="1:6" ht="33.75" x14ac:dyDescent="0.2">
      <c r="A2331" s="65" t="s">
        <v>6057</v>
      </c>
      <c r="B2331" s="65" t="s">
        <v>6058</v>
      </c>
      <c r="C2331" s="67" t="s">
        <v>203</v>
      </c>
      <c r="D2331" s="69" t="s">
        <v>6059</v>
      </c>
      <c r="E2331" s="69" t="s">
        <v>320</v>
      </c>
      <c r="F2331" s="69" t="s">
        <v>6060</v>
      </c>
    </row>
    <row r="2332" spans="1:6" ht="33.75" x14ac:dyDescent="0.2">
      <c r="A2332" s="65" t="s">
        <v>6061</v>
      </c>
      <c r="B2332" s="65" t="s">
        <v>6062</v>
      </c>
      <c r="C2332" s="67" t="s">
        <v>203</v>
      </c>
      <c r="D2332" s="69" t="s">
        <v>6063</v>
      </c>
      <c r="E2332" s="69" t="s">
        <v>336</v>
      </c>
      <c r="F2332" s="69" t="s">
        <v>6064</v>
      </c>
    </row>
    <row r="2333" spans="1:6" ht="33.75" x14ac:dyDescent="0.2">
      <c r="A2333" s="65" t="s">
        <v>6065</v>
      </c>
      <c r="B2333" s="65" t="s">
        <v>6066</v>
      </c>
      <c r="C2333" s="67" t="s">
        <v>203</v>
      </c>
      <c r="D2333" s="69" t="s">
        <v>356</v>
      </c>
      <c r="E2333" s="69" t="s">
        <v>336</v>
      </c>
      <c r="F2333" s="69" t="s">
        <v>6067</v>
      </c>
    </row>
    <row r="2334" spans="1:6" ht="33.75" x14ac:dyDescent="0.2">
      <c r="A2334" s="65" t="s">
        <v>6068</v>
      </c>
      <c r="B2334" s="65" t="s">
        <v>6069</v>
      </c>
      <c r="C2334" s="67" t="s">
        <v>203</v>
      </c>
      <c r="D2334" s="69" t="s">
        <v>6070</v>
      </c>
      <c r="E2334" s="69" t="s">
        <v>336</v>
      </c>
      <c r="F2334" s="69" t="s">
        <v>6071</v>
      </c>
    </row>
    <row r="2335" spans="1:6" ht="33.75" x14ac:dyDescent="0.2">
      <c r="A2335" s="65" t="s">
        <v>6072</v>
      </c>
      <c r="B2335" s="65" t="s">
        <v>6073</v>
      </c>
      <c r="C2335" s="67" t="s">
        <v>203</v>
      </c>
      <c r="D2335" s="69" t="s">
        <v>6074</v>
      </c>
      <c r="E2335" s="69" t="s">
        <v>336</v>
      </c>
      <c r="F2335" s="69" t="s">
        <v>405</v>
      </c>
    </row>
    <row r="2336" spans="1:6" x14ac:dyDescent="0.2">
      <c r="A2336" s="50">
        <v>39.11</v>
      </c>
      <c r="B2336" s="64" t="s">
        <v>6075</v>
      </c>
      <c r="C2336" s="47"/>
      <c r="D2336" s="47"/>
      <c r="E2336" s="47"/>
      <c r="F2336" s="47"/>
    </row>
    <row r="2337" spans="1:6" ht="45" x14ac:dyDescent="0.2">
      <c r="A2337" s="65" t="s">
        <v>6076</v>
      </c>
      <c r="B2337" s="66" t="s">
        <v>6077</v>
      </c>
      <c r="C2337" s="67" t="s">
        <v>221</v>
      </c>
      <c r="D2337" s="69" t="s">
        <v>6078</v>
      </c>
      <c r="E2337" s="69" t="s">
        <v>320</v>
      </c>
      <c r="F2337" s="69" t="s">
        <v>3444</v>
      </c>
    </row>
    <row r="2338" spans="1:6" ht="45" x14ac:dyDescent="0.2">
      <c r="A2338" s="65" t="s">
        <v>6079</v>
      </c>
      <c r="B2338" s="66" t="s">
        <v>6080</v>
      </c>
      <c r="C2338" s="67" t="s">
        <v>221</v>
      </c>
      <c r="D2338" s="69" t="s">
        <v>301</v>
      </c>
      <c r="E2338" s="69" t="s">
        <v>320</v>
      </c>
      <c r="F2338" s="69" t="s">
        <v>6081</v>
      </c>
    </row>
    <row r="2339" spans="1:6" ht="45" x14ac:dyDescent="0.2">
      <c r="A2339" s="65" t="s">
        <v>6082</v>
      </c>
      <c r="B2339" s="66" t="s">
        <v>6083</v>
      </c>
      <c r="C2339" s="67" t="s">
        <v>221</v>
      </c>
      <c r="D2339" s="69" t="s">
        <v>6084</v>
      </c>
      <c r="E2339" s="69" t="s">
        <v>320</v>
      </c>
      <c r="F2339" s="69" t="s">
        <v>5892</v>
      </c>
    </row>
    <row r="2340" spans="1:6" ht="22.5" x14ac:dyDescent="0.2">
      <c r="A2340" s="65" t="s">
        <v>6085</v>
      </c>
      <c r="B2340" s="65" t="s">
        <v>6086</v>
      </c>
      <c r="C2340" s="67" t="s">
        <v>221</v>
      </c>
      <c r="D2340" s="69" t="s">
        <v>6087</v>
      </c>
      <c r="E2340" s="69" t="s">
        <v>265</v>
      </c>
      <c r="F2340" s="69" t="s">
        <v>261</v>
      </c>
    </row>
    <row r="2341" spans="1:6" ht="22.5" x14ac:dyDescent="0.2">
      <c r="A2341" s="65" t="s">
        <v>6088</v>
      </c>
      <c r="B2341" s="65" t="s">
        <v>6089</v>
      </c>
      <c r="C2341" s="67" t="s">
        <v>221</v>
      </c>
      <c r="D2341" s="69" t="s">
        <v>399</v>
      </c>
      <c r="E2341" s="69" t="s">
        <v>323</v>
      </c>
      <c r="F2341" s="69" t="s">
        <v>6090</v>
      </c>
    </row>
    <row r="2342" spans="1:6" ht="45" x14ac:dyDescent="0.2">
      <c r="A2342" s="65" t="s">
        <v>6091</v>
      </c>
      <c r="B2342" s="66" t="s">
        <v>6092</v>
      </c>
      <c r="C2342" s="67" t="s">
        <v>221</v>
      </c>
      <c r="D2342" s="69" t="s">
        <v>6093</v>
      </c>
      <c r="E2342" s="69" t="s">
        <v>223</v>
      </c>
      <c r="F2342" s="69" t="s">
        <v>6094</v>
      </c>
    </row>
    <row r="2343" spans="1:6" ht="45" x14ac:dyDescent="0.2">
      <c r="A2343" s="65" t="s">
        <v>6095</v>
      </c>
      <c r="B2343" s="66" t="s">
        <v>6096</v>
      </c>
      <c r="C2343" s="67" t="s">
        <v>221</v>
      </c>
      <c r="D2343" s="69" t="s">
        <v>6097</v>
      </c>
      <c r="E2343" s="69" t="s">
        <v>334</v>
      </c>
      <c r="F2343" s="69" t="s">
        <v>6098</v>
      </c>
    </row>
    <row r="2344" spans="1:6" ht="45" x14ac:dyDescent="0.2">
      <c r="A2344" s="65" t="s">
        <v>6099</v>
      </c>
      <c r="B2344" s="66" t="s">
        <v>6100</v>
      </c>
      <c r="C2344" s="67" t="s">
        <v>221</v>
      </c>
      <c r="D2344" s="69" t="s">
        <v>1103</v>
      </c>
      <c r="E2344" s="69" t="s">
        <v>6101</v>
      </c>
      <c r="F2344" s="69" t="s">
        <v>6102</v>
      </c>
    </row>
    <row r="2345" spans="1:6" ht="45" x14ac:dyDescent="0.2">
      <c r="A2345" s="65" t="s">
        <v>6103</v>
      </c>
      <c r="B2345" s="66" t="s">
        <v>6104</v>
      </c>
      <c r="C2345" s="67" t="s">
        <v>221</v>
      </c>
      <c r="D2345" s="69" t="s">
        <v>3875</v>
      </c>
      <c r="E2345" s="69" t="s">
        <v>5465</v>
      </c>
      <c r="F2345" s="69" t="s">
        <v>3334</v>
      </c>
    </row>
    <row r="2346" spans="1:6" ht="45" x14ac:dyDescent="0.2">
      <c r="A2346" s="65" t="s">
        <v>6105</v>
      </c>
      <c r="B2346" s="66" t="s">
        <v>6106</v>
      </c>
      <c r="C2346" s="67" t="s">
        <v>221</v>
      </c>
      <c r="D2346" s="69" t="s">
        <v>6107</v>
      </c>
      <c r="E2346" s="69" t="s">
        <v>408</v>
      </c>
      <c r="F2346" s="69" t="s">
        <v>6108</v>
      </c>
    </row>
    <row r="2347" spans="1:6" ht="45" x14ac:dyDescent="0.2">
      <c r="A2347" s="65" t="s">
        <v>6109</v>
      </c>
      <c r="B2347" s="66" t="s">
        <v>6110</v>
      </c>
      <c r="C2347" s="67" t="s">
        <v>221</v>
      </c>
      <c r="D2347" s="69" t="s">
        <v>1381</v>
      </c>
      <c r="E2347" s="69" t="s">
        <v>223</v>
      </c>
      <c r="F2347" s="69" t="s">
        <v>3616</v>
      </c>
    </row>
    <row r="2348" spans="1:6" ht="45" x14ac:dyDescent="0.2">
      <c r="A2348" s="65" t="s">
        <v>6111</v>
      </c>
      <c r="B2348" s="66" t="s">
        <v>6112</v>
      </c>
      <c r="C2348" s="67" t="s">
        <v>221</v>
      </c>
      <c r="D2348" s="69" t="s">
        <v>6113</v>
      </c>
      <c r="E2348" s="69" t="s">
        <v>6101</v>
      </c>
      <c r="F2348" s="69" t="s">
        <v>6114</v>
      </c>
    </row>
    <row r="2349" spans="1:6" ht="45" x14ac:dyDescent="0.2">
      <c r="A2349" s="65" t="s">
        <v>6115</v>
      </c>
      <c r="B2349" s="66" t="s">
        <v>6116</v>
      </c>
      <c r="C2349" s="67" t="s">
        <v>221</v>
      </c>
      <c r="D2349" s="69" t="s">
        <v>6117</v>
      </c>
      <c r="E2349" s="69" t="s">
        <v>5465</v>
      </c>
      <c r="F2349" s="69" t="s">
        <v>6118</v>
      </c>
    </row>
    <row r="2350" spans="1:6" ht="45" x14ac:dyDescent="0.2">
      <c r="A2350" s="65" t="s">
        <v>6119</v>
      </c>
      <c r="B2350" s="66" t="s">
        <v>6120</v>
      </c>
      <c r="C2350" s="67" t="s">
        <v>221</v>
      </c>
      <c r="D2350" s="69" t="s">
        <v>6121</v>
      </c>
      <c r="E2350" s="69" t="s">
        <v>223</v>
      </c>
      <c r="F2350" s="69" t="s">
        <v>6122</v>
      </c>
    </row>
    <row r="2351" spans="1:6" ht="45" x14ac:dyDescent="0.2">
      <c r="A2351" s="65" t="s">
        <v>6123</v>
      </c>
      <c r="B2351" s="66" t="s">
        <v>6124</v>
      </c>
      <c r="C2351" s="67" t="s">
        <v>221</v>
      </c>
      <c r="D2351" s="69" t="s">
        <v>6125</v>
      </c>
      <c r="E2351" s="69" t="s">
        <v>6101</v>
      </c>
      <c r="F2351" s="69" t="s">
        <v>6126</v>
      </c>
    </row>
    <row r="2352" spans="1:6" ht="45" x14ac:dyDescent="0.2">
      <c r="A2352" s="65" t="s">
        <v>6127</v>
      </c>
      <c r="B2352" s="66" t="s">
        <v>6128</v>
      </c>
      <c r="C2352" s="67" t="s">
        <v>221</v>
      </c>
      <c r="D2352" s="69" t="s">
        <v>6129</v>
      </c>
      <c r="E2352" s="69" t="s">
        <v>5465</v>
      </c>
      <c r="F2352" s="69" t="s">
        <v>6130</v>
      </c>
    </row>
    <row r="2353" spans="1:6" ht="33.75" x14ac:dyDescent="0.2">
      <c r="A2353" s="50">
        <v>39.119999999999997</v>
      </c>
      <c r="B2353" s="64" t="s">
        <v>6131</v>
      </c>
      <c r="C2353" s="48"/>
      <c r="D2353" s="48"/>
      <c r="E2353" s="48"/>
      <c r="F2353" s="48"/>
    </row>
    <row r="2354" spans="1:6" ht="56.25" x14ac:dyDescent="0.2">
      <c r="A2354" s="65" t="s">
        <v>6132</v>
      </c>
      <c r="B2354" s="66" t="s">
        <v>6133</v>
      </c>
      <c r="C2354" s="67" t="s">
        <v>221</v>
      </c>
      <c r="D2354" s="69" t="s">
        <v>316</v>
      </c>
      <c r="E2354" s="69" t="s">
        <v>334</v>
      </c>
      <c r="F2354" s="69" t="s">
        <v>6134</v>
      </c>
    </row>
    <row r="2355" spans="1:6" ht="56.25" x14ac:dyDescent="0.2">
      <c r="A2355" s="65" t="s">
        <v>6135</v>
      </c>
      <c r="B2355" s="66" t="s">
        <v>6136</v>
      </c>
      <c r="C2355" s="67" t="s">
        <v>221</v>
      </c>
      <c r="D2355" s="69" t="s">
        <v>6137</v>
      </c>
      <c r="E2355" s="69" t="s">
        <v>334</v>
      </c>
      <c r="F2355" s="69" t="s">
        <v>6138</v>
      </c>
    </row>
    <row r="2356" spans="1:6" ht="56.25" x14ac:dyDescent="0.2">
      <c r="A2356" s="65" t="s">
        <v>6139</v>
      </c>
      <c r="B2356" s="66" t="s">
        <v>6140</v>
      </c>
      <c r="C2356" s="67" t="s">
        <v>221</v>
      </c>
      <c r="D2356" s="69" t="s">
        <v>6141</v>
      </c>
      <c r="E2356" s="69" t="s">
        <v>334</v>
      </c>
      <c r="F2356" s="69" t="s">
        <v>6142</v>
      </c>
    </row>
    <row r="2357" spans="1:6" ht="22.5" x14ac:dyDescent="0.2">
      <c r="A2357" s="50">
        <v>39.14</v>
      </c>
      <c r="B2357" s="64" t="s">
        <v>6143</v>
      </c>
      <c r="C2357" s="47"/>
      <c r="D2357" s="47"/>
      <c r="E2357" s="47"/>
      <c r="F2357" s="47"/>
    </row>
    <row r="2358" spans="1:6" ht="22.5" x14ac:dyDescent="0.2">
      <c r="A2358" s="65" t="s">
        <v>6144</v>
      </c>
      <c r="B2358" s="65" t="s">
        <v>6145</v>
      </c>
      <c r="C2358" s="67" t="s">
        <v>221</v>
      </c>
      <c r="D2358" s="69" t="s">
        <v>296</v>
      </c>
      <c r="E2358" s="69" t="s">
        <v>6146</v>
      </c>
      <c r="F2358" s="69" t="s">
        <v>3356</v>
      </c>
    </row>
    <row r="2359" spans="1:6" ht="22.5" x14ac:dyDescent="0.2">
      <c r="A2359" s="65" t="s">
        <v>6147</v>
      </c>
      <c r="B2359" s="65" t="s">
        <v>6148</v>
      </c>
      <c r="C2359" s="67" t="s">
        <v>221</v>
      </c>
      <c r="D2359" s="69" t="s">
        <v>6149</v>
      </c>
      <c r="E2359" s="69" t="s">
        <v>6146</v>
      </c>
      <c r="F2359" s="69" t="s">
        <v>6150</v>
      </c>
    </row>
    <row r="2360" spans="1:6" ht="22.5" x14ac:dyDescent="0.2">
      <c r="A2360" s="50">
        <v>39.15</v>
      </c>
      <c r="B2360" s="64" t="s">
        <v>6151</v>
      </c>
      <c r="C2360" s="47"/>
      <c r="D2360" s="47"/>
      <c r="E2360" s="47"/>
      <c r="F2360" s="47"/>
    </row>
    <row r="2361" spans="1:6" ht="22.5" x14ac:dyDescent="0.2">
      <c r="A2361" s="65" t="s">
        <v>6152</v>
      </c>
      <c r="B2361" s="65" t="s">
        <v>6153</v>
      </c>
      <c r="C2361" s="67" t="s">
        <v>221</v>
      </c>
      <c r="D2361" s="69" t="s">
        <v>6154</v>
      </c>
      <c r="E2361" s="69" t="s">
        <v>6146</v>
      </c>
      <c r="F2361" s="69" t="s">
        <v>3907</v>
      </c>
    </row>
    <row r="2362" spans="1:6" ht="22.5" x14ac:dyDescent="0.2">
      <c r="A2362" s="65" t="s">
        <v>6155</v>
      </c>
      <c r="B2362" s="65" t="s">
        <v>6156</v>
      </c>
      <c r="C2362" s="67" t="s">
        <v>221</v>
      </c>
      <c r="D2362" s="69" t="s">
        <v>229</v>
      </c>
      <c r="E2362" s="69" t="s">
        <v>6146</v>
      </c>
      <c r="F2362" s="69" t="s">
        <v>6157</v>
      </c>
    </row>
    <row r="2363" spans="1:6" x14ac:dyDescent="0.2">
      <c r="A2363" s="50">
        <v>39.18</v>
      </c>
      <c r="B2363" s="64" t="s">
        <v>6158</v>
      </c>
      <c r="C2363" s="47"/>
      <c r="D2363" s="47"/>
      <c r="E2363" s="47"/>
      <c r="F2363" s="47"/>
    </row>
    <row r="2364" spans="1:6" x14ac:dyDescent="0.2">
      <c r="A2364" s="65" t="s">
        <v>6159</v>
      </c>
      <c r="B2364" s="65" t="s">
        <v>6160</v>
      </c>
      <c r="C2364" s="67" t="s">
        <v>221</v>
      </c>
      <c r="D2364" s="69" t="s">
        <v>3949</v>
      </c>
      <c r="E2364" s="69" t="s">
        <v>3660</v>
      </c>
      <c r="F2364" s="69" t="s">
        <v>275</v>
      </c>
    </row>
    <row r="2365" spans="1:6" x14ac:dyDescent="0.2">
      <c r="A2365" s="65" t="s">
        <v>6161</v>
      </c>
      <c r="B2365" s="65" t="s">
        <v>6162</v>
      </c>
      <c r="C2365" s="67" t="s">
        <v>221</v>
      </c>
      <c r="D2365" s="69" t="s">
        <v>5867</v>
      </c>
      <c r="E2365" s="69" t="s">
        <v>3660</v>
      </c>
      <c r="F2365" s="69" t="s">
        <v>6163</v>
      </c>
    </row>
    <row r="2366" spans="1:6" x14ac:dyDescent="0.2">
      <c r="A2366" s="65" t="s">
        <v>6164</v>
      </c>
      <c r="B2366" s="65" t="s">
        <v>6165</v>
      </c>
      <c r="C2366" s="67" t="s">
        <v>221</v>
      </c>
      <c r="D2366" s="69" t="s">
        <v>6166</v>
      </c>
      <c r="E2366" s="69" t="s">
        <v>3979</v>
      </c>
      <c r="F2366" s="69" t="s">
        <v>6167</v>
      </c>
    </row>
    <row r="2367" spans="1:6" x14ac:dyDescent="0.2">
      <c r="A2367" s="65" t="s">
        <v>6168</v>
      </c>
      <c r="B2367" s="65" t="s">
        <v>6169</v>
      </c>
      <c r="C2367" s="67" t="s">
        <v>221</v>
      </c>
      <c r="D2367" s="69" t="s">
        <v>6170</v>
      </c>
      <c r="E2367" s="69" t="s">
        <v>3660</v>
      </c>
      <c r="F2367" s="69" t="s">
        <v>6171</v>
      </c>
    </row>
    <row r="2368" spans="1:6" x14ac:dyDescent="0.2">
      <c r="A2368" s="65" t="s">
        <v>6172</v>
      </c>
      <c r="B2368" s="65" t="s">
        <v>6173</v>
      </c>
      <c r="C2368" s="67" t="s">
        <v>221</v>
      </c>
      <c r="D2368" s="69" t="s">
        <v>222</v>
      </c>
      <c r="E2368" s="69" t="s">
        <v>3979</v>
      </c>
      <c r="F2368" s="69" t="s">
        <v>384</v>
      </c>
    </row>
    <row r="2369" spans="1:6" ht="22.5" x14ac:dyDescent="0.2">
      <c r="A2369" s="65" t="s">
        <v>6174</v>
      </c>
      <c r="B2369" s="65" t="s">
        <v>6175</v>
      </c>
      <c r="C2369" s="67" t="s">
        <v>221</v>
      </c>
      <c r="D2369" s="69" t="s">
        <v>6176</v>
      </c>
      <c r="E2369" s="69" t="s">
        <v>3660</v>
      </c>
      <c r="F2369" s="69" t="s">
        <v>6177</v>
      </c>
    </row>
    <row r="2370" spans="1:6" ht="22.5" x14ac:dyDescent="0.2">
      <c r="A2370" s="65" t="s">
        <v>6178</v>
      </c>
      <c r="B2370" s="65" t="s">
        <v>6179</v>
      </c>
      <c r="C2370" s="67" t="s">
        <v>221</v>
      </c>
      <c r="D2370" s="69" t="s">
        <v>6180</v>
      </c>
      <c r="E2370" s="69" t="s">
        <v>3660</v>
      </c>
      <c r="F2370" s="69" t="s">
        <v>6181</v>
      </c>
    </row>
    <row r="2371" spans="1:6" ht="22.5" x14ac:dyDescent="0.2">
      <c r="A2371" s="50">
        <v>39.200000000000003</v>
      </c>
      <c r="B2371" s="64" t="s">
        <v>6182</v>
      </c>
      <c r="C2371" s="47"/>
      <c r="D2371" s="47"/>
      <c r="E2371" s="47"/>
      <c r="F2371" s="47"/>
    </row>
    <row r="2372" spans="1:6" x14ac:dyDescent="0.2">
      <c r="A2372" s="65" t="s">
        <v>6183</v>
      </c>
      <c r="B2372" s="65" t="s">
        <v>6184</v>
      </c>
      <c r="C2372" s="67" t="s">
        <v>203</v>
      </c>
      <c r="D2372" s="69" t="s">
        <v>6185</v>
      </c>
      <c r="E2372" s="69" t="s">
        <v>6186</v>
      </c>
      <c r="F2372" s="69" t="s">
        <v>6187</v>
      </c>
    </row>
    <row r="2373" spans="1:6" ht="33.75" x14ac:dyDescent="0.2">
      <c r="A2373" s="65" t="s">
        <v>6188</v>
      </c>
      <c r="B2373" s="65" t="s">
        <v>6189</v>
      </c>
      <c r="C2373" s="67" t="s">
        <v>221</v>
      </c>
      <c r="D2373" s="68"/>
      <c r="E2373" s="69" t="s">
        <v>6146</v>
      </c>
      <c r="F2373" s="69" t="s">
        <v>6146</v>
      </c>
    </row>
    <row r="2374" spans="1:6" ht="45" x14ac:dyDescent="0.2">
      <c r="A2374" s="65" t="s">
        <v>6190</v>
      </c>
      <c r="B2374" s="66" t="s">
        <v>6191</v>
      </c>
      <c r="C2374" s="67" t="s">
        <v>221</v>
      </c>
      <c r="D2374" s="68"/>
      <c r="E2374" s="69" t="s">
        <v>6192</v>
      </c>
      <c r="F2374" s="69" t="s">
        <v>6192</v>
      </c>
    </row>
    <row r="2375" spans="1:6" ht="33.75" x14ac:dyDescent="0.2">
      <c r="A2375" s="50">
        <v>39.21</v>
      </c>
      <c r="B2375" s="64" t="s">
        <v>6193</v>
      </c>
      <c r="C2375" s="48"/>
      <c r="D2375" s="48"/>
      <c r="E2375" s="48"/>
      <c r="F2375" s="48"/>
    </row>
    <row r="2376" spans="1:6" ht="45" x14ac:dyDescent="0.2">
      <c r="A2376" s="65" t="s">
        <v>6194</v>
      </c>
      <c r="B2376" s="66" t="s">
        <v>6195</v>
      </c>
      <c r="C2376" s="67" t="s">
        <v>221</v>
      </c>
      <c r="D2376" s="69" t="s">
        <v>260</v>
      </c>
      <c r="E2376" s="69" t="s">
        <v>247</v>
      </c>
      <c r="F2376" s="69" t="s">
        <v>5923</v>
      </c>
    </row>
    <row r="2377" spans="1:6" ht="45" x14ac:dyDescent="0.2">
      <c r="A2377" s="65" t="s">
        <v>6196</v>
      </c>
      <c r="B2377" s="66" t="s">
        <v>6197</v>
      </c>
      <c r="C2377" s="67" t="s">
        <v>221</v>
      </c>
      <c r="D2377" s="69" t="s">
        <v>6198</v>
      </c>
      <c r="E2377" s="69" t="s">
        <v>247</v>
      </c>
      <c r="F2377" s="69" t="s">
        <v>6199</v>
      </c>
    </row>
    <row r="2378" spans="1:6" ht="45" x14ac:dyDescent="0.2">
      <c r="A2378" s="65" t="s">
        <v>6200</v>
      </c>
      <c r="B2378" s="66" t="s">
        <v>6201</v>
      </c>
      <c r="C2378" s="67" t="s">
        <v>221</v>
      </c>
      <c r="D2378" s="69" t="s">
        <v>6202</v>
      </c>
      <c r="E2378" s="69" t="s">
        <v>247</v>
      </c>
      <c r="F2378" s="69" t="s">
        <v>6203</v>
      </c>
    </row>
    <row r="2379" spans="1:6" ht="45" x14ac:dyDescent="0.2">
      <c r="A2379" s="65" t="s">
        <v>6204</v>
      </c>
      <c r="B2379" s="66" t="s">
        <v>6205</v>
      </c>
      <c r="C2379" s="67" t="s">
        <v>221</v>
      </c>
      <c r="D2379" s="69" t="s">
        <v>5465</v>
      </c>
      <c r="E2379" s="69" t="s">
        <v>247</v>
      </c>
      <c r="F2379" s="69" t="s">
        <v>3243</v>
      </c>
    </row>
    <row r="2380" spans="1:6" ht="45" x14ac:dyDescent="0.2">
      <c r="A2380" s="65" t="s">
        <v>6206</v>
      </c>
      <c r="B2380" s="66" t="s">
        <v>6207</v>
      </c>
      <c r="C2380" s="67" t="s">
        <v>221</v>
      </c>
      <c r="D2380" s="69" t="s">
        <v>6208</v>
      </c>
      <c r="E2380" s="69" t="s">
        <v>265</v>
      </c>
      <c r="F2380" s="69" t="s">
        <v>6209</v>
      </c>
    </row>
    <row r="2381" spans="1:6" ht="45" x14ac:dyDescent="0.2">
      <c r="A2381" s="65" t="s">
        <v>6210</v>
      </c>
      <c r="B2381" s="66" t="s">
        <v>6211</v>
      </c>
      <c r="C2381" s="67" t="s">
        <v>221</v>
      </c>
      <c r="D2381" s="69" t="s">
        <v>6212</v>
      </c>
      <c r="E2381" s="69" t="s">
        <v>3040</v>
      </c>
      <c r="F2381" s="69" t="s">
        <v>1227</v>
      </c>
    </row>
    <row r="2382" spans="1:6" ht="45" x14ac:dyDescent="0.2">
      <c r="A2382" s="65" t="s">
        <v>6213</v>
      </c>
      <c r="B2382" s="66" t="s">
        <v>6214</v>
      </c>
      <c r="C2382" s="67" t="s">
        <v>221</v>
      </c>
      <c r="D2382" s="69" t="s">
        <v>6215</v>
      </c>
      <c r="E2382" s="69" t="s">
        <v>334</v>
      </c>
      <c r="F2382" s="69" t="s">
        <v>6216</v>
      </c>
    </row>
    <row r="2383" spans="1:6" ht="45" x14ac:dyDescent="0.2">
      <c r="A2383" s="65" t="s">
        <v>6217</v>
      </c>
      <c r="B2383" s="66" t="s">
        <v>6218</v>
      </c>
      <c r="C2383" s="67" t="s">
        <v>221</v>
      </c>
      <c r="D2383" s="69" t="s">
        <v>4923</v>
      </c>
      <c r="E2383" s="69" t="s">
        <v>320</v>
      </c>
      <c r="F2383" s="69" t="s">
        <v>6219</v>
      </c>
    </row>
    <row r="2384" spans="1:6" ht="45" x14ac:dyDescent="0.2">
      <c r="A2384" s="65" t="s">
        <v>6220</v>
      </c>
      <c r="B2384" s="66" t="s">
        <v>6221</v>
      </c>
      <c r="C2384" s="67" t="s">
        <v>221</v>
      </c>
      <c r="D2384" s="69" t="s">
        <v>313</v>
      </c>
      <c r="E2384" s="69" t="s">
        <v>336</v>
      </c>
      <c r="F2384" s="69" t="s">
        <v>6222</v>
      </c>
    </row>
    <row r="2385" spans="1:6" ht="45" x14ac:dyDescent="0.2">
      <c r="A2385" s="65" t="s">
        <v>6223</v>
      </c>
      <c r="B2385" s="66" t="s">
        <v>6224</v>
      </c>
      <c r="C2385" s="67" t="s">
        <v>221</v>
      </c>
      <c r="D2385" s="69" t="s">
        <v>6225</v>
      </c>
      <c r="E2385" s="69" t="s">
        <v>324</v>
      </c>
      <c r="F2385" s="69" t="s">
        <v>6226</v>
      </c>
    </row>
    <row r="2386" spans="1:6" ht="45" x14ac:dyDescent="0.2">
      <c r="A2386" s="65" t="s">
        <v>6227</v>
      </c>
      <c r="B2386" s="66" t="s">
        <v>6228</v>
      </c>
      <c r="C2386" s="67" t="s">
        <v>221</v>
      </c>
      <c r="D2386" s="69" t="s">
        <v>6229</v>
      </c>
      <c r="E2386" s="69" t="s">
        <v>323</v>
      </c>
      <c r="F2386" s="69" t="s">
        <v>6230</v>
      </c>
    </row>
    <row r="2387" spans="1:6" ht="45" x14ac:dyDescent="0.2">
      <c r="A2387" s="65" t="s">
        <v>6231</v>
      </c>
      <c r="B2387" s="66" t="s">
        <v>6232</v>
      </c>
      <c r="C2387" s="67" t="s">
        <v>221</v>
      </c>
      <c r="D2387" s="69" t="s">
        <v>6233</v>
      </c>
      <c r="E2387" s="69" t="s">
        <v>325</v>
      </c>
      <c r="F2387" s="69" t="s">
        <v>6234</v>
      </c>
    </row>
    <row r="2388" spans="1:6" ht="45" x14ac:dyDescent="0.2">
      <c r="A2388" s="65" t="s">
        <v>6235</v>
      </c>
      <c r="B2388" s="66" t="s">
        <v>6236</v>
      </c>
      <c r="C2388" s="67" t="s">
        <v>221</v>
      </c>
      <c r="D2388" s="69" t="s">
        <v>6237</v>
      </c>
      <c r="E2388" s="69" t="s">
        <v>325</v>
      </c>
      <c r="F2388" s="69" t="s">
        <v>6238</v>
      </c>
    </row>
    <row r="2389" spans="1:6" ht="45" x14ac:dyDescent="0.2">
      <c r="A2389" s="65" t="s">
        <v>6239</v>
      </c>
      <c r="B2389" s="66" t="s">
        <v>6240</v>
      </c>
      <c r="C2389" s="67" t="s">
        <v>221</v>
      </c>
      <c r="D2389" s="69" t="s">
        <v>6241</v>
      </c>
      <c r="E2389" s="69" t="s">
        <v>318</v>
      </c>
      <c r="F2389" s="69" t="s">
        <v>6242</v>
      </c>
    </row>
    <row r="2390" spans="1:6" ht="45" x14ac:dyDescent="0.2">
      <c r="A2390" s="65" t="s">
        <v>6243</v>
      </c>
      <c r="B2390" s="66" t="s">
        <v>6244</v>
      </c>
      <c r="C2390" s="67" t="s">
        <v>221</v>
      </c>
      <c r="D2390" s="69" t="s">
        <v>6245</v>
      </c>
      <c r="E2390" s="69" t="s">
        <v>322</v>
      </c>
      <c r="F2390" s="69" t="s">
        <v>6246</v>
      </c>
    </row>
    <row r="2391" spans="1:6" ht="45" x14ac:dyDescent="0.2">
      <c r="A2391" s="65" t="s">
        <v>6247</v>
      </c>
      <c r="B2391" s="66" t="s">
        <v>6248</v>
      </c>
      <c r="C2391" s="67" t="s">
        <v>221</v>
      </c>
      <c r="D2391" s="69" t="s">
        <v>2136</v>
      </c>
      <c r="E2391" s="69" t="s">
        <v>243</v>
      </c>
      <c r="F2391" s="69" t="s">
        <v>6249</v>
      </c>
    </row>
    <row r="2392" spans="1:6" ht="45" x14ac:dyDescent="0.2">
      <c r="A2392" s="65" t="s">
        <v>6250</v>
      </c>
      <c r="B2392" s="66" t="s">
        <v>6251</v>
      </c>
      <c r="C2392" s="67" t="s">
        <v>221</v>
      </c>
      <c r="D2392" s="69" t="s">
        <v>6252</v>
      </c>
      <c r="E2392" s="69" t="s">
        <v>247</v>
      </c>
      <c r="F2392" s="69" t="s">
        <v>6253</v>
      </c>
    </row>
    <row r="2393" spans="1:6" ht="45" x14ac:dyDescent="0.2">
      <c r="A2393" s="65" t="s">
        <v>6254</v>
      </c>
      <c r="B2393" s="66" t="s">
        <v>6255</v>
      </c>
      <c r="C2393" s="67" t="s">
        <v>221</v>
      </c>
      <c r="D2393" s="69" t="s">
        <v>6256</v>
      </c>
      <c r="E2393" s="69" t="s">
        <v>260</v>
      </c>
      <c r="F2393" s="69" t="s">
        <v>380</v>
      </c>
    </row>
    <row r="2394" spans="1:6" ht="45" x14ac:dyDescent="0.2">
      <c r="A2394" s="65" t="s">
        <v>6257</v>
      </c>
      <c r="B2394" s="66" t="s">
        <v>6258</v>
      </c>
      <c r="C2394" s="67" t="s">
        <v>221</v>
      </c>
      <c r="D2394" s="69" t="s">
        <v>6259</v>
      </c>
      <c r="E2394" s="69" t="s">
        <v>334</v>
      </c>
      <c r="F2394" s="69" t="s">
        <v>6260</v>
      </c>
    </row>
    <row r="2395" spans="1:6" ht="45" x14ac:dyDescent="0.2">
      <c r="A2395" s="65" t="s">
        <v>6261</v>
      </c>
      <c r="B2395" s="66" t="s">
        <v>6262</v>
      </c>
      <c r="C2395" s="67" t="s">
        <v>221</v>
      </c>
      <c r="D2395" s="69" t="s">
        <v>6263</v>
      </c>
      <c r="E2395" s="69" t="s">
        <v>323</v>
      </c>
      <c r="F2395" s="69" t="s">
        <v>6264</v>
      </c>
    </row>
    <row r="2396" spans="1:6" ht="45" x14ac:dyDescent="0.2">
      <c r="A2396" s="65" t="s">
        <v>6265</v>
      </c>
      <c r="B2396" s="66" t="s">
        <v>6266</v>
      </c>
      <c r="C2396" s="67" t="s">
        <v>221</v>
      </c>
      <c r="D2396" s="69" t="s">
        <v>6267</v>
      </c>
      <c r="E2396" s="69" t="s">
        <v>318</v>
      </c>
      <c r="F2396" s="69" t="s">
        <v>6268</v>
      </c>
    </row>
    <row r="2397" spans="1:6" ht="45" x14ac:dyDescent="0.2">
      <c r="A2397" s="65" t="s">
        <v>6269</v>
      </c>
      <c r="B2397" s="66" t="s">
        <v>6270</v>
      </c>
      <c r="C2397" s="67" t="s">
        <v>221</v>
      </c>
      <c r="D2397" s="69" t="s">
        <v>6271</v>
      </c>
      <c r="E2397" s="69" t="s">
        <v>6101</v>
      </c>
      <c r="F2397" s="69" t="s">
        <v>6272</v>
      </c>
    </row>
    <row r="2398" spans="1:6" ht="33.75" x14ac:dyDescent="0.2">
      <c r="A2398" s="50">
        <v>39.24</v>
      </c>
      <c r="B2398" s="64" t="s">
        <v>6273</v>
      </c>
      <c r="C2398" s="47"/>
      <c r="D2398" s="47"/>
      <c r="E2398" s="47"/>
      <c r="F2398" s="47"/>
    </row>
    <row r="2399" spans="1:6" ht="45" x14ac:dyDescent="0.2">
      <c r="A2399" s="65" t="s">
        <v>6274</v>
      </c>
      <c r="B2399" s="66" t="s">
        <v>6275</v>
      </c>
      <c r="C2399" s="67" t="s">
        <v>221</v>
      </c>
      <c r="D2399" s="69" t="s">
        <v>6276</v>
      </c>
      <c r="E2399" s="69" t="s">
        <v>223</v>
      </c>
      <c r="F2399" s="69" t="s">
        <v>379</v>
      </c>
    </row>
    <row r="2400" spans="1:6" ht="45" x14ac:dyDescent="0.2">
      <c r="A2400" s="65" t="s">
        <v>6277</v>
      </c>
      <c r="B2400" s="66" t="s">
        <v>6278</v>
      </c>
      <c r="C2400" s="67" t="s">
        <v>221</v>
      </c>
      <c r="D2400" s="69" t="s">
        <v>6279</v>
      </c>
      <c r="E2400" s="69" t="s">
        <v>320</v>
      </c>
      <c r="F2400" s="69" t="s">
        <v>6280</v>
      </c>
    </row>
    <row r="2401" spans="1:6" ht="33.75" x14ac:dyDescent="0.2">
      <c r="A2401" s="65" t="s">
        <v>6281</v>
      </c>
      <c r="B2401" s="65" t="s">
        <v>6282</v>
      </c>
      <c r="C2401" s="67" t="s">
        <v>221</v>
      </c>
      <c r="D2401" s="69" t="s">
        <v>378</v>
      </c>
      <c r="E2401" s="69" t="s">
        <v>3243</v>
      </c>
      <c r="F2401" s="69" t="s">
        <v>6283</v>
      </c>
    </row>
    <row r="2402" spans="1:6" ht="33.75" x14ac:dyDescent="0.2">
      <c r="A2402" s="65" t="s">
        <v>6284</v>
      </c>
      <c r="B2402" s="65" t="s">
        <v>6285</v>
      </c>
      <c r="C2402" s="67" t="s">
        <v>221</v>
      </c>
      <c r="D2402" s="69" t="s">
        <v>6286</v>
      </c>
      <c r="E2402" s="69" t="s">
        <v>408</v>
      </c>
      <c r="F2402" s="69" t="s">
        <v>6287</v>
      </c>
    </row>
    <row r="2403" spans="1:6" ht="33.75" x14ac:dyDescent="0.2">
      <c r="A2403" s="65" t="s">
        <v>6288</v>
      </c>
      <c r="B2403" s="65" t="s">
        <v>6289</v>
      </c>
      <c r="C2403" s="67" t="s">
        <v>221</v>
      </c>
      <c r="D2403" s="69" t="s">
        <v>6290</v>
      </c>
      <c r="E2403" s="69" t="s">
        <v>223</v>
      </c>
      <c r="F2403" s="69" t="s">
        <v>6291</v>
      </c>
    </row>
    <row r="2404" spans="1:6" ht="33.75" x14ac:dyDescent="0.2">
      <c r="A2404" s="65" t="s">
        <v>6292</v>
      </c>
      <c r="B2404" s="65" t="s">
        <v>6293</v>
      </c>
      <c r="C2404" s="67" t="s">
        <v>221</v>
      </c>
      <c r="D2404" s="69" t="s">
        <v>6294</v>
      </c>
      <c r="E2404" s="69" t="s">
        <v>6295</v>
      </c>
      <c r="F2404" s="69" t="s">
        <v>4128</v>
      </c>
    </row>
    <row r="2405" spans="1:6" ht="33.75" x14ac:dyDescent="0.2">
      <c r="A2405" s="50">
        <v>39.25</v>
      </c>
      <c r="B2405" s="64" t="s">
        <v>6296</v>
      </c>
      <c r="C2405" s="48"/>
      <c r="D2405" s="48"/>
      <c r="E2405" s="48"/>
      <c r="F2405" s="48"/>
    </row>
    <row r="2406" spans="1:6" ht="33.75" x14ac:dyDescent="0.2">
      <c r="A2406" s="65" t="s">
        <v>6297</v>
      </c>
      <c r="B2406" s="65" t="s">
        <v>6298</v>
      </c>
      <c r="C2406" s="67" t="s">
        <v>221</v>
      </c>
      <c r="D2406" s="69" t="s">
        <v>5908</v>
      </c>
      <c r="E2406" s="69" t="s">
        <v>277</v>
      </c>
      <c r="F2406" s="69" t="s">
        <v>6299</v>
      </c>
    </row>
    <row r="2407" spans="1:6" ht="33.75" x14ac:dyDescent="0.2">
      <c r="A2407" s="65" t="s">
        <v>6300</v>
      </c>
      <c r="B2407" s="65" t="s">
        <v>6301</v>
      </c>
      <c r="C2407" s="67" t="s">
        <v>221</v>
      </c>
      <c r="D2407" s="69" t="s">
        <v>6302</v>
      </c>
      <c r="E2407" s="69" t="s">
        <v>277</v>
      </c>
      <c r="F2407" s="69" t="s">
        <v>6303</v>
      </c>
    </row>
    <row r="2408" spans="1:6" ht="45" x14ac:dyDescent="0.2">
      <c r="A2408" s="50">
        <v>39.26</v>
      </c>
      <c r="B2408" s="51" t="s">
        <v>6304</v>
      </c>
      <c r="C2408" s="48"/>
      <c r="D2408" s="48"/>
      <c r="E2408" s="48"/>
      <c r="F2408" s="48"/>
    </row>
    <row r="2409" spans="1:6" ht="56.25" x14ac:dyDescent="0.2">
      <c r="A2409" s="65" t="s">
        <v>6305</v>
      </c>
      <c r="B2409" s="66" t="s">
        <v>6306</v>
      </c>
      <c r="C2409" s="67" t="s">
        <v>221</v>
      </c>
      <c r="D2409" s="69" t="s">
        <v>6307</v>
      </c>
      <c r="E2409" s="69" t="s">
        <v>243</v>
      </c>
      <c r="F2409" s="69" t="s">
        <v>6308</v>
      </c>
    </row>
    <row r="2410" spans="1:6" ht="56.25" x14ac:dyDescent="0.2">
      <c r="A2410" s="65" t="s">
        <v>6309</v>
      </c>
      <c r="B2410" s="66" t="s">
        <v>6310</v>
      </c>
      <c r="C2410" s="67" t="s">
        <v>221</v>
      </c>
      <c r="D2410" s="69" t="s">
        <v>6311</v>
      </c>
      <c r="E2410" s="69" t="s">
        <v>260</v>
      </c>
      <c r="F2410" s="69" t="s">
        <v>1176</v>
      </c>
    </row>
    <row r="2411" spans="1:6" ht="56.25" x14ac:dyDescent="0.2">
      <c r="A2411" s="65" t="s">
        <v>6312</v>
      </c>
      <c r="B2411" s="66" t="s">
        <v>6313</v>
      </c>
      <c r="C2411" s="67" t="s">
        <v>221</v>
      </c>
      <c r="D2411" s="69" t="s">
        <v>3550</v>
      </c>
      <c r="E2411" s="69" t="s">
        <v>274</v>
      </c>
      <c r="F2411" s="69" t="s">
        <v>6314</v>
      </c>
    </row>
    <row r="2412" spans="1:6" ht="56.25" x14ac:dyDescent="0.2">
      <c r="A2412" s="65" t="s">
        <v>6315</v>
      </c>
      <c r="B2412" s="66" t="s">
        <v>6316</v>
      </c>
      <c r="C2412" s="67" t="s">
        <v>221</v>
      </c>
      <c r="D2412" s="69" t="s">
        <v>6317</v>
      </c>
      <c r="E2412" s="69" t="s">
        <v>5923</v>
      </c>
      <c r="F2412" s="69" t="s">
        <v>6134</v>
      </c>
    </row>
    <row r="2413" spans="1:6" ht="56.25" x14ac:dyDescent="0.2">
      <c r="A2413" s="65" t="s">
        <v>6318</v>
      </c>
      <c r="B2413" s="66" t="s">
        <v>6319</v>
      </c>
      <c r="C2413" s="67" t="s">
        <v>221</v>
      </c>
      <c r="D2413" s="69" t="s">
        <v>6320</v>
      </c>
      <c r="E2413" s="69" t="s">
        <v>265</v>
      </c>
      <c r="F2413" s="69" t="s">
        <v>6321</v>
      </c>
    </row>
    <row r="2414" spans="1:6" ht="56.25" x14ac:dyDescent="0.2">
      <c r="A2414" s="65" t="s">
        <v>6322</v>
      </c>
      <c r="B2414" s="66" t="s">
        <v>6323</v>
      </c>
      <c r="C2414" s="67" t="s">
        <v>221</v>
      </c>
      <c r="D2414" s="69" t="s">
        <v>425</v>
      </c>
      <c r="E2414" s="69" t="s">
        <v>3040</v>
      </c>
      <c r="F2414" s="69" t="s">
        <v>4848</v>
      </c>
    </row>
    <row r="2415" spans="1:6" ht="56.25" x14ac:dyDescent="0.2">
      <c r="A2415" s="65" t="s">
        <v>6324</v>
      </c>
      <c r="B2415" s="66" t="s">
        <v>6325</v>
      </c>
      <c r="C2415" s="67" t="s">
        <v>221</v>
      </c>
      <c r="D2415" s="69" t="s">
        <v>6326</v>
      </c>
      <c r="E2415" s="69" t="s">
        <v>334</v>
      </c>
      <c r="F2415" s="69" t="s">
        <v>6327</v>
      </c>
    </row>
    <row r="2416" spans="1:6" ht="56.25" x14ac:dyDescent="0.2">
      <c r="A2416" s="65" t="s">
        <v>6328</v>
      </c>
      <c r="B2416" s="66" t="s">
        <v>6329</v>
      </c>
      <c r="C2416" s="67" t="s">
        <v>221</v>
      </c>
      <c r="D2416" s="69" t="s">
        <v>3293</v>
      </c>
      <c r="E2416" s="69" t="s">
        <v>320</v>
      </c>
      <c r="F2416" s="69" t="s">
        <v>6330</v>
      </c>
    </row>
    <row r="2417" spans="1:6" ht="56.25" x14ac:dyDescent="0.2">
      <c r="A2417" s="65" t="s">
        <v>6331</v>
      </c>
      <c r="B2417" s="66" t="s">
        <v>6332</v>
      </c>
      <c r="C2417" s="67" t="s">
        <v>221</v>
      </c>
      <c r="D2417" s="69" t="s">
        <v>6333</v>
      </c>
      <c r="E2417" s="69" t="s">
        <v>336</v>
      </c>
      <c r="F2417" s="69" t="s">
        <v>4602</v>
      </c>
    </row>
    <row r="2418" spans="1:6" ht="56.25" x14ac:dyDescent="0.2">
      <c r="A2418" s="65" t="s">
        <v>6334</v>
      </c>
      <c r="B2418" s="66" t="s">
        <v>6335</v>
      </c>
      <c r="C2418" s="67" t="s">
        <v>221</v>
      </c>
      <c r="D2418" s="69" t="s">
        <v>6336</v>
      </c>
      <c r="E2418" s="69" t="s">
        <v>324</v>
      </c>
      <c r="F2418" s="69" t="s">
        <v>6337</v>
      </c>
    </row>
    <row r="2419" spans="1:6" ht="56.25" x14ac:dyDescent="0.2">
      <c r="A2419" s="65" t="s">
        <v>6338</v>
      </c>
      <c r="B2419" s="66" t="s">
        <v>6339</v>
      </c>
      <c r="C2419" s="67" t="s">
        <v>221</v>
      </c>
      <c r="D2419" s="69" t="s">
        <v>6340</v>
      </c>
      <c r="E2419" s="69" t="s">
        <v>323</v>
      </c>
      <c r="F2419" s="69" t="s">
        <v>6341</v>
      </c>
    </row>
    <row r="2420" spans="1:6" ht="56.25" x14ac:dyDescent="0.2">
      <c r="A2420" s="65" t="s">
        <v>6342</v>
      </c>
      <c r="B2420" s="66" t="s">
        <v>6343</v>
      </c>
      <c r="C2420" s="67" t="s">
        <v>221</v>
      </c>
      <c r="D2420" s="69" t="s">
        <v>6344</v>
      </c>
      <c r="E2420" s="69" t="s">
        <v>325</v>
      </c>
      <c r="F2420" s="69" t="s">
        <v>1593</v>
      </c>
    </row>
    <row r="2421" spans="1:6" ht="56.25" x14ac:dyDescent="0.2">
      <c r="A2421" s="65" t="s">
        <v>6345</v>
      </c>
      <c r="B2421" s="66" t="s">
        <v>6346</v>
      </c>
      <c r="C2421" s="67" t="s">
        <v>221</v>
      </c>
      <c r="D2421" s="69" t="s">
        <v>6347</v>
      </c>
      <c r="E2421" s="69" t="s">
        <v>318</v>
      </c>
      <c r="F2421" s="69" t="s">
        <v>6348</v>
      </c>
    </row>
    <row r="2422" spans="1:6" ht="56.25" x14ac:dyDescent="0.2">
      <c r="A2422" s="65" t="s">
        <v>6349</v>
      </c>
      <c r="B2422" s="66" t="s">
        <v>6350</v>
      </c>
      <c r="C2422" s="67" t="s">
        <v>221</v>
      </c>
      <c r="D2422" s="69" t="s">
        <v>6351</v>
      </c>
      <c r="E2422" s="69" t="s">
        <v>322</v>
      </c>
      <c r="F2422" s="69" t="s">
        <v>6352</v>
      </c>
    </row>
    <row r="2423" spans="1:6" ht="56.25" x14ac:dyDescent="0.2">
      <c r="A2423" s="65" t="s">
        <v>6353</v>
      </c>
      <c r="B2423" s="66" t="s">
        <v>6354</v>
      </c>
      <c r="C2423" s="67" t="s">
        <v>221</v>
      </c>
      <c r="D2423" s="69" t="s">
        <v>6355</v>
      </c>
      <c r="E2423" s="69" t="s">
        <v>319</v>
      </c>
      <c r="F2423" s="69" t="s">
        <v>6356</v>
      </c>
    </row>
    <row r="2424" spans="1:6" x14ac:dyDescent="0.2">
      <c r="A2424" s="50">
        <v>39.270000000000003</v>
      </c>
      <c r="B2424" s="64" t="s">
        <v>6357</v>
      </c>
      <c r="C2424" s="47"/>
      <c r="D2424" s="47"/>
      <c r="E2424" s="47"/>
      <c r="F2424" s="47"/>
    </row>
    <row r="2425" spans="1:6" ht="33.75" x14ac:dyDescent="0.2">
      <c r="A2425" s="65" t="s">
        <v>6358</v>
      </c>
      <c r="B2425" s="65" t="s">
        <v>6359</v>
      </c>
      <c r="C2425" s="67" t="s">
        <v>221</v>
      </c>
      <c r="D2425" s="69" t="s">
        <v>6360</v>
      </c>
      <c r="E2425" s="69" t="s">
        <v>260</v>
      </c>
      <c r="F2425" s="69" t="s">
        <v>3727</v>
      </c>
    </row>
    <row r="2426" spans="1:6" ht="22.5" x14ac:dyDescent="0.2">
      <c r="A2426" s="65" t="s">
        <v>6361</v>
      </c>
      <c r="B2426" s="65" t="s">
        <v>6362</v>
      </c>
      <c r="C2426" s="67" t="s">
        <v>221</v>
      </c>
      <c r="D2426" s="69" t="s">
        <v>6363</v>
      </c>
      <c r="E2426" s="69" t="s">
        <v>334</v>
      </c>
      <c r="F2426" s="69" t="s">
        <v>6364</v>
      </c>
    </row>
    <row r="2427" spans="1:6" ht="22.5" x14ac:dyDescent="0.2">
      <c r="A2427" s="65" t="s">
        <v>6365</v>
      </c>
      <c r="B2427" s="65" t="s">
        <v>6366</v>
      </c>
      <c r="C2427" s="67" t="s">
        <v>221</v>
      </c>
      <c r="D2427" s="69" t="s">
        <v>3330</v>
      </c>
      <c r="E2427" s="69" t="s">
        <v>334</v>
      </c>
      <c r="F2427" s="69" t="s">
        <v>6212</v>
      </c>
    </row>
    <row r="2428" spans="1:6" ht="45" x14ac:dyDescent="0.2">
      <c r="A2428" s="65" t="s">
        <v>6367</v>
      </c>
      <c r="B2428" s="66" t="s">
        <v>6368</v>
      </c>
      <c r="C2428" s="67" t="s">
        <v>221</v>
      </c>
      <c r="D2428" s="69" t="s">
        <v>6369</v>
      </c>
      <c r="E2428" s="69" t="s">
        <v>334</v>
      </c>
      <c r="F2428" s="69" t="s">
        <v>6370</v>
      </c>
    </row>
    <row r="2429" spans="1:6" ht="45" x14ac:dyDescent="0.2">
      <c r="A2429" s="65" t="s">
        <v>6371</v>
      </c>
      <c r="B2429" s="66" t="s">
        <v>6372</v>
      </c>
      <c r="C2429" s="67" t="s">
        <v>221</v>
      </c>
      <c r="D2429" s="69" t="s">
        <v>395</v>
      </c>
      <c r="E2429" s="69" t="s">
        <v>334</v>
      </c>
      <c r="F2429" s="69" t="s">
        <v>6373</v>
      </c>
    </row>
    <row r="2430" spans="1:6" ht="45" x14ac:dyDescent="0.2">
      <c r="A2430" s="50">
        <v>39.29</v>
      </c>
      <c r="B2430" s="51" t="s">
        <v>6374</v>
      </c>
      <c r="C2430" s="48"/>
      <c r="D2430" s="48"/>
      <c r="E2430" s="48"/>
      <c r="F2430" s="48"/>
    </row>
    <row r="2431" spans="1:6" ht="56.25" x14ac:dyDescent="0.2">
      <c r="A2431" s="65" t="s">
        <v>6375</v>
      </c>
      <c r="B2431" s="66" t="s">
        <v>6376</v>
      </c>
      <c r="C2431" s="67" t="s">
        <v>221</v>
      </c>
      <c r="D2431" s="69" t="s">
        <v>1115</v>
      </c>
      <c r="E2431" s="69" t="s">
        <v>243</v>
      </c>
      <c r="F2431" s="69" t="s">
        <v>3040</v>
      </c>
    </row>
    <row r="2432" spans="1:6" ht="56.25" x14ac:dyDescent="0.2">
      <c r="A2432" s="65" t="s">
        <v>6377</v>
      </c>
      <c r="B2432" s="66" t="s">
        <v>6378</v>
      </c>
      <c r="C2432" s="67" t="s">
        <v>221</v>
      </c>
      <c r="D2432" s="69" t="s">
        <v>6379</v>
      </c>
      <c r="E2432" s="69" t="s">
        <v>260</v>
      </c>
      <c r="F2432" s="69" t="s">
        <v>6380</v>
      </c>
    </row>
    <row r="2433" spans="1:6" ht="56.25" x14ac:dyDescent="0.2">
      <c r="A2433" s="65" t="s">
        <v>6381</v>
      </c>
      <c r="B2433" s="66" t="s">
        <v>6382</v>
      </c>
      <c r="C2433" s="67" t="s">
        <v>221</v>
      </c>
      <c r="D2433" s="69" t="s">
        <v>6383</v>
      </c>
      <c r="E2433" s="69" t="s">
        <v>274</v>
      </c>
      <c r="F2433" s="69" t="s">
        <v>6384</v>
      </c>
    </row>
    <row r="2434" spans="1:6" ht="56.25" x14ac:dyDescent="0.2">
      <c r="A2434" s="65" t="s">
        <v>6385</v>
      </c>
      <c r="B2434" s="66" t="s">
        <v>6386</v>
      </c>
      <c r="C2434" s="67" t="s">
        <v>221</v>
      </c>
      <c r="D2434" s="69" t="s">
        <v>3809</v>
      </c>
      <c r="E2434" s="69" t="s">
        <v>5923</v>
      </c>
      <c r="F2434" s="69" t="s">
        <v>1197</v>
      </c>
    </row>
    <row r="2435" spans="1:6" ht="56.25" x14ac:dyDescent="0.2">
      <c r="A2435" s="65" t="s">
        <v>6387</v>
      </c>
      <c r="B2435" s="66" t="s">
        <v>6388</v>
      </c>
      <c r="C2435" s="67" t="s">
        <v>221</v>
      </c>
      <c r="D2435" s="69" t="s">
        <v>6389</v>
      </c>
      <c r="E2435" s="69" t="s">
        <v>265</v>
      </c>
      <c r="F2435" s="69" t="s">
        <v>6390</v>
      </c>
    </row>
    <row r="2436" spans="1:6" x14ac:dyDescent="0.2">
      <c r="A2436" s="50">
        <v>39.299999999999997</v>
      </c>
      <c r="B2436" s="64" t="s">
        <v>6391</v>
      </c>
      <c r="C2436" s="47"/>
      <c r="D2436" s="47"/>
      <c r="E2436" s="47"/>
      <c r="F2436" s="47"/>
    </row>
    <row r="2437" spans="1:6" ht="33.75" x14ac:dyDescent="0.2">
      <c r="A2437" s="65" t="s">
        <v>6392</v>
      </c>
      <c r="B2437" s="65" t="s">
        <v>6393</v>
      </c>
      <c r="C2437" s="67" t="s">
        <v>221</v>
      </c>
      <c r="D2437" s="69" t="s">
        <v>6394</v>
      </c>
      <c r="E2437" s="69" t="s">
        <v>324</v>
      </c>
      <c r="F2437" s="69" t="s">
        <v>6395</v>
      </c>
    </row>
    <row r="2438" spans="1:6" ht="33.75" x14ac:dyDescent="0.2">
      <c r="A2438" s="49">
        <v>40</v>
      </c>
      <c r="B2438" s="51" t="s">
        <v>6396</v>
      </c>
      <c r="C2438" s="48"/>
      <c r="D2438" s="48"/>
      <c r="E2438" s="48"/>
      <c r="F2438" s="48"/>
    </row>
    <row r="2439" spans="1:6" x14ac:dyDescent="0.2">
      <c r="A2439" s="50">
        <v>40.01</v>
      </c>
      <c r="B2439" s="64" t="s">
        <v>6397</v>
      </c>
      <c r="C2439" s="47"/>
      <c r="D2439" s="47"/>
      <c r="E2439" s="47"/>
      <c r="F2439" s="47"/>
    </row>
    <row r="2440" spans="1:6" x14ac:dyDescent="0.2">
      <c r="A2440" s="65" t="s">
        <v>6398</v>
      </c>
      <c r="B2440" s="65" t="s">
        <v>6399</v>
      </c>
      <c r="C2440" s="67" t="s">
        <v>203</v>
      </c>
      <c r="D2440" s="69" t="s">
        <v>3934</v>
      </c>
      <c r="E2440" s="69" t="s">
        <v>324</v>
      </c>
      <c r="F2440" s="69" t="s">
        <v>641</v>
      </c>
    </row>
    <row r="2441" spans="1:6" x14ac:dyDescent="0.2">
      <c r="A2441" s="65" t="s">
        <v>6400</v>
      </c>
      <c r="B2441" s="65" t="s">
        <v>6401</v>
      </c>
      <c r="C2441" s="67" t="s">
        <v>203</v>
      </c>
      <c r="D2441" s="69" t="s">
        <v>3588</v>
      </c>
      <c r="E2441" s="69" t="s">
        <v>324</v>
      </c>
      <c r="F2441" s="69" t="s">
        <v>6402</v>
      </c>
    </row>
    <row r="2442" spans="1:6" ht="22.5" x14ac:dyDescent="0.2">
      <c r="A2442" s="65" t="s">
        <v>6403</v>
      </c>
      <c r="B2442" s="65" t="s">
        <v>6404</v>
      </c>
      <c r="C2442" s="67" t="s">
        <v>203</v>
      </c>
      <c r="D2442" s="69" t="s">
        <v>244</v>
      </c>
      <c r="E2442" s="69" t="s">
        <v>323</v>
      </c>
      <c r="F2442" s="69" t="s">
        <v>6405</v>
      </c>
    </row>
    <row r="2443" spans="1:6" ht="22.5" x14ac:dyDescent="0.2">
      <c r="A2443" s="65" t="s">
        <v>6406</v>
      </c>
      <c r="B2443" s="65" t="s">
        <v>6407</v>
      </c>
      <c r="C2443" s="67" t="s">
        <v>203</v>
      </c>
      <c r="D2443" s="69" t="s">
        <v>6408</v>
      </c>
      <c r="E2443" s="69" t="s">
        <v>324</v>
      </c>
      <c r="F2443" s="69" t="s">
        <v>6409</v>
      </c>
    </row>
    <row r="2444" spans="1:6" x14ac:dyDescent="0.2">
      <c r="A2444" s="50">
        <v>40.020000000000003</v>
      </c>
      <c r="B2444" s="64" t="s">
        <v>6410</v>
      </c>
      <c r="C2444" s="47"/>
      <c r="D2444" s="47"/>
      <c r="E2444" s="47"/>
      <c r="F2444" s="47"/>
    </row>
    <row r="2445" spans="1:6" ht="22.5" x14ac:dyDescent="0.2">
      <c r="A2445" s="65" t="s">
        <v>6411</v>
      </c>
      <c r="B2445" s="65" t="s">
        <v>6412</v>
      </c>
      <c r="C2445" s="67" t="s">
        <v>203</v>
      </c>
      <c r="D2445" s="69" t="s">
        <v>6413</v>
      </c>
      <c r="E2445" s="69" t="s">
        <v>5023</v>
      </c>
      <c r="F2445" s="69" t="s">
        <v>6414</v>
      </c>
    </row>
    <row r="2446" spans="1:6" ht="33.75" x14ac:dyDescent="0.2">
      <c r="A2446" s="65" t="s">
        <v>6415</v>
      </c>
      <c r="B2446" s="65" t="s">
        <v>6416</v>
      </c>
      <c r="C2446" s="67" t="s">
        <v>203</v>
      </c>
      <c r="D2446" s="69" t="s">
        <v>6417</v>
      </c>
      <c r="E2446" s="69" t="s">
        <v>323</v>
      </c>
      <c r="F2446" s="69" t="s">
        <v>6418</v>
      </c>
    </row>
    <row r="2447" spans="1:6" ht="33.75" x14ac:dyDescent="0.2">
      <c r="A2447" s="65" t="s">
        <v>6419</v>
      </c>
      <c r="B2447" s="65" t="s">
        <v>6420</v>
      </c>
      <c r="C2447" s="67" t="s">
        <v>203</v>
      </c>
      <c r="D2447" s="69" t="s">
        <v>3899</v>
      </c>
      <c r="E2447" s="69" t="s">
        <v>323</v>
      </c>
      <c r="F2447" s="69" t="s">
        <v>6421</v>
      </c>
    </row>
    <row r="2448" spans="1:6" ht="45" x14ac:dyDescent="0.2">
      <c r="A2448" s="65" t="s">
        <v>6422</v>
      </c>
      <c r="B2448" s="66" t="s">
        <v>6423</v>
      </c>
      <c r="C2448" s="67" t="s">
        <v>203</v>
      </c>
      <c r="D2448" s="69" t="s">
        <v>341</v>
      </c>
      <c r="E2448" s="69" t="s">
        <v>323</v>
      </c>
      <c r="F2448" s="69" t="s">
        <v>6424</v>
      </c>
    </row>
    <row r="2449" spans="1:6" ht="45" x14ac:dyDescent="0.2">
      <c r="A2449" s="65" t="s">
        <v>6425</v>
      </c>
      <c r="B2449" s="66" t="s">
        <v>6426</v>
      </c>
      <c r="C2449" s="67" t="s">
        <v>203</v>
      </c>
      <c r="D2449" s="69" t="s">
        <v>6427</v>
      </c>
      <c r="E2449" s="69" t="s">
        <v>318</v>
      </c>
      <c r="F2449" s="69" t="s">
        <v>6428</v>
      </c>
    </row>
    <row r="2450" spans="1:6" ht="45" x14ac:dyDescent="0.2">
      <c r="A2450" s="65" t="s">
        <v>6429</v>
      </c>
      <c r="B2450" s="66" t="s">
        <v>6430</v>
      </c>
      <c r="C2450" s="67" t="s">
        <v>203</v>
      </c>
      <c r="D2450" s="69" t="s">
        <v>6431</v>
      </c>
      <c r="E2450" s="69" t="s">
        <v>318</v>
      </c>
      <c r="F2450" s="69" t="s">
        <v>6432</v>
      </c>
    </row>
    <row r="2451" spans="1:6" ht="45" x14ac:dyDescent="0.2">
      <c r="A2451" s="65" t="s">
        <v>6433</v>
      </c>
      <c r="B2451" s="66" t="s">
        <v>6434</v>
      </c>
      <c r="C2451" s="67" t="s">
        <v>203</v>
      </c>
      <c r="D2451" s="69" t="s">
        <v>6435</v>
      </c>
      <c r="E2451" s="69" t="s">
        <v>319</v>
      </c>
      <c r="F2451" s="69" t="s">
        <v>6436</v>
      </c>
    </row>
    <row r="2452" spans="1:6" ht="45" x14ac:dyDescent="0.2">
      <c r="A2452" s="65" t="s">
        <v>6437</v>
      </c>
      <c r="B2452" s="66" t="s">
        <v>6438</v>
      </c>
      <c r="C2452" s="67" t="s">
        <v>203</v>
      </c>
      <c r="D2452" s="69" t="s">
        <v>6439</v>
      </c>
      <c r="E2452" s="69" t="s">
        <v>323</v>
      </c>
      <c r="F2452" s="69" t="s">
        <v>6440</v>
      </c>
    </row>
    <row r="2453" spans="1:6" ht="45" x14ac:dyDescent="0.2">
      <c r="A2453" s="65" t="s">
        <v>6441</v>
      </c>
      <c r="B2453" s="66" t="s">
        <v>6442</v>
      </c>
      <c r="C2453" s="67" t="s">
        <v>203</v>
      </c>
      <c r="D2453" s="69" t="s">
        <v>6443</v>
      </c>
      <c r="E2453" s="69" t="s">
        <v>323</v>
      </c>
      <c r="F2453" s="69" t="s">
        <v>6444</v>
      </c>
    </row>
    <row r="2454" spans="1:6" ht="45" x14ac:dyDescent="0.2">
      <c r="A2454" s="65" t="s">
        <v>6445</v>
      </c>
      <c r="B2454" s="66" t="s">
        <v>6446</v>
      </c>
      <c r="C2454" s="67" t="s">
        <v>203</v>
      </c>
      <c r="D2454" s="69" t="s">
        <v>6447</v>
      </c>
      <c r="E2454" s="69" t="s">
        <v>323</v>
      </c>
      <c r="F2454" s="69" t="s">
        <v>6448</v>
      </c>
    </row>
    <row r="2455" spans="1:6" ht="45" x14ac:dyDescent="0.2">
      <c r="A2455" s="65" t="s">
        <v>6449</v>
      </c>
      <c r="B2455" s="66" t="s">
        <v>6450</v>
      </c>
      <c r="C2455" s="67" t="s">
        <v>203</v>
      </c>
      <c r="D2455" s="69" t="s">
        <v>6451</v>
      </c>
      <c r="E2455" s="69" t="s">
        <v>318</v>
      </c>
      <c r="F2455" s="69" t="s">
        <v>6452</v>
      </c>
    </row>
    <row r="2456" spans="1:6" ht="33.75" x14ac:dyDescent="0.2">
      <c r="A2456" s="65" t="s">
        <v>6453</v>
      </c>
      <c r="B2456" s="65" t="s">
        <v>6454</v>
      </c>
      <c r="C2456" s="67" t="s">
        <v>203</v>
      </c>
      <c r="D2456" s="69" t="s">
        <v>6455</v>
      </c>
      <c r="E2456" s="69" t="s">
        <v>323</v>
      </c>
      <c r="F2456" s="69" t="s">
        <v>6456</v>
      </c>
    </row>
    <row r="2457" spans="1:6" ht="33.75" x14ac:dyDescent="0.2">
      <c r="A2457" s="65" t="s">
        <v>6457</v>
      </c>
      <c r="B2457" s="65" t="s">
        <v>6458</v>
      </c>
      <c r="C2457" s="67" t="s">
        <v>203</v>
      </c>
      <c r="D2457" s="69" t="s">
        <v>415</v>
      </c>
      <c r="E2457" s="69" t="s">
        <v>323</v>
      </c>
      <c r="F2457" s="69" t="s">
        <v>6459</v>
      </c>
    </row>
    <row r="2458" spans="1:6" ht="33.75" x14ac:dyDescent="0.2">
      <c r="A2458" s="65" t="s">
        <v>6460</v>
      </c>
      <c r="B2458" s="65" t="s">
        <v>6461</v>
      </c>
      <c r="C2458" s="67" t="s">
        <v>203</v>
      </c>
      <c r="D2458" s="69" t="s">
        <v>6462</v>
      </c>
      <c r="E2458" s="69" t="s">
        <v>318</v>
      </c>
      <c r="F2458" s="69" t="s">
        <v>6463</v>
      </c>
    </row>
    <row r="2459" spans="1:6" x14ac:dyDescent="0.2">
      <c r="A2459" s="50">
        <v>40.04</v>
      </c>
      <c r="B2459" s="64" t="s">
        <v>6464</v>
      </c>
      <c r="C2459" s="47"/>
      <c r="D2459" s="47"/>
      <c r="E2459" s="47"/>
      <c r="F2459" s="47"/>
    </row>
    <row r="2460" spans="1:6" ht="22.5" x14ac:dyDescent="0.2">
      <c r="A2460" s="65" t="s">
        <v>6465</v>
      </c>
      <c r="B2460" s="65" t="s">
        <v>6466</v>
      </c>
      <c r="C2460" s="67" t="s">
        <v>240</v>
      </c>
      <c r="D2460" s="69" t="s">
        <v>366</v>
      </c>
      <c r="E2460" s="69" t="s">
        <v>323</v>
      </c>
      <c r="F2460" s="69" t="s">
        <v>6467</v>
      </c>
    </row>
    <row r="2461" spans="1:6" ht="22.5" x14ac:dyDescent="0.2">
      <c r="A2461" s="65" t="s">
        <v>6468</v>
      </c>
      <c r="B2461" s="65" t="s">
        <v>6469</v>
      </c>
      <c r="C2461" s="67" t="s">
        <v>203</v>
      </c>
      <c r="D2461" s="69" t="s">
        <v>6470</v>
      </c>
      <c r="E2461" s="69" t="s">
        <v>323</v>
      </c>
      <c r="F2461" s="69" t="s">
        <v>6471</v>
      </c>
    </row>
    <row r="2462" spans="1:6" ht="22.5" x14ac:dyDescent="0.2">
      <c r="A2462" s="65" t="s">
        <v>6472</v>
      </c>
      <c r="B2462" s="65" t="s">
        <v>6473</v>
      </c>
      <c r="C2462" s="67" t="s">
        <v>203</v>
      </c>
      <c r="D2462" s="69" t="s">
        <v>6474</v>
      </c>
      <c r="E2462" s="69" t="s">
        <v>323</v>
      </c>
      <c r="F2462" s="69" t="s">
        <v>6475</v>
      </c>
    </row>
    <row r="2463" spans="1:6" ht="22.5" x14ac:dyDescent="0.2">
      <c r="A2463" s="65" t="s">
        <v>6476</v>
      </c>
      <c r="B2463" s="65" t="s">
        <v>6477</v>
      </c>
      <c r="C2463" s="67" t="s">
        <v>240</v>
      </c>
      <c r="D2463" s="69" t="s">
        <v>6478</v>
      </c>
      <c r="E2463" s="69" t="s">
        <v>323</v>
      </c>
      <c r="F2463" s="69" t="s">
        <v>6479</v>
      </c>
    </row>
    <row r="2464" spans="1:6" ht="22.5" x14ac:dyDescent="0.2">
      <c r="A2464" s="65" t="s">
        <v>6480</v>
      </c>
      <c r="B2464" s="65" t="s">
        <v>6481</v>
      </c>
      <c r="C2464" s="67" t="s">
        <v>240</v>
      </c>
      <c r="D2464" s="69" t="s">
        <v>6482</v>
      </c>
      <c r="E2464" s="69" t="s">
        <v>323</v>
      </c>
      <c r="F2464" s="69" t="s">
        <v>6483</v>
      </c>
    </row>
    <row r="2465" spans="1:6" ht="33.75" x14ac:dyDescent="0.2">
      <c r="A2465" s="65" t="s">
        <v>6484</v>
      </c>
      <c r="B2465" s="65" t="s">
        <v>6485</v>
      </c>
      <c r="C2465" s="67" t="s">
        <v>240</v>
      </c>
      <c r="D2465" s="69" t="s">
        <v>6486</v>
      </c>
      <c r="E2465" s="69" t="s">
        <v>323</v>
      </c>
      <c r="F2465" s="69" t="s">
        <v>6487</v>
      </c>
    </row>
    <row r="2466" spans="1:6" ht="22.5" x14ac:dyDescent="0.2">
      <c r="A2466" s="65" t="s">
        <v>6488</v>
      </c>
      <c r="B2466" s="65" t="s">
        <v>6489</v>
      </c>
      <c r="C2466" s="67" t="s">
        <v>240</v>
      </c>
      <c r="D2466" s="69" t="s">
        <v>6490</v>
      </c>
      <c r="E2466" s="69" t="s">
        <v>323</v>
      </c>
      <c r="F2466" s="69" t="s">
        <v>6491</v>
      </c>
    </row>
    <row r="2467" spans="1:6" ht="56.25" x14ac:dyDescent="0.2">
      <c r="A2467" s="65" t="s">
        <v>6492</v>
      </c>
      <c r="B2467" s="66" t="s">
        <v>6493</v>
      </c>
      <c r="C2467" s="67" t="s">
        <v>203</v>
      </c>
      <c r="D2467" s="69" t="s">
        <v>6494</v>
      </c>
      <c r="E2467" s="69" t="s">
        <v>323</v>
      </c>
      <c r="F2467" s="69" t="s">
        <v>3673</v>
      </c>
    </row>
    <row r="2468" spans="1:6" ht="22.5" x14ac:dyDescent="0.2">
      <c r="A2468" s="65" t="s">
        <v>6495</v>
      </c>
      <c r="B2468" s="65" t="s">
        <v>6496</v>
      </c>
      <c r="C2468" s="67" t="s">
        <v>240</v>
      </c>
      <c r="D2468" s="69" t="s">
        <v>6051</v>
      </c>
      <c r="E2468" s="69" t="s">
        <v>323</v>
      </c>
      <c r="F2468" s="69" t="s">
        <v>6497</v>
      </c>
    </row>
    <row r="2469" spans="1:6" ht="22.5" x14ac:dyDescent="0.2">
      <c r="A2469" s="65" t="s">
        <v>6498</v>
      </c>
      <c r="B2469" s="65" t="s">
        <v>6499</v>
      </c>
      <c r="C2469" s="67" t="s">
        <v>240</v>
      </c>
      <c r="D2469" s="69" t="s">
        <v>6500</v>
      </c>
      <c r="E2469" s="69" t="s">
        <v>323</v>
      </c>
      <c r="F2469" s="69" t="s">
        <v>6501</v>
      </c>
    </row>
    <row r="2470" spans="1:6" ht="22.5" x14ac:dyDescent="0.2">
      <c r="A2470" s="65" t="s">
        <v>6502</v>
      </c>
      <c r="B2470" s="65" t="s">
        <v>6503</v>
      </c>
      <c r="C2470" s="67" t="s">
        <v>240</v>
      </c>
      <c r="D2470" s="69" t="s">
        <v>6504</v>
      </c>
      <c r="E2470" s="69" t="s">
        <v>323</v>
      </c>
      <c r="F2470" s="69" t="s">
        <v>6505</v>
      </c>
    </row>
    <row r="2471" spans="1:6" ht="22.5" x14ac:dyDescent="0.2">
      <c r="A2471" s="65" t="s">
        <v>6506</v>
      </c>
      <c r="B2471" s="65" t="s">
        <v>6507</v>
      </c>
      <c r="C2471" s="67" t="s">
        <v>240</v>
      </c>
      <c r="D2471" s="69" t="s">
        <v>6508</v>
      </c>
      <c r="E2471" s="69" t="s">
        <v>323</v>
      </c>
      <c r="F2471" s="69" t="s">
        <v>6509</v>
      </c>
    </row>
    <row r="2472" spans="1:6" ht="33.75" x14ac:dyDescent="0.2">
      <c r="A2472" s="65" t="s">
        <v>6510</v>
      </c>
      <c r="B2472" s="65" t="s">
        <v>6511</v>
      </c>
      <c r="C2472" s="67" t="s">
        <v>240</v>
      </c>
      <c r="D2472" s="69" t="s">
        <v>6512</v>
      </c>
      <c r="E2472" s="69" t="s">
        <v>323</v>
      </c>
      <c r="F2472" s="69" t="s">
        <v>6513</v>
      </c>
    </row>
    <row r="2473" spans="1:6" x14ac:dyDescent="0.2">
      <c r="A2473" s="50">
        <v>40.049999999999997</v>
      </c>
      <c r="B2473" s="64" t="s">
        <v>6514</v>
      </c>
      <c r="C2473" s="47"/>
      <c r="D2473" s="47"/>
      <c r="E2473" s="47"/>
      <c r="F2473" s="47"/>
    </row>
    <row r="2474" spans="1:6" ht="22.5" x14ac:dyDescent="0.2">
      <c r="A2474" s="65" t="s">
        <v>6515</v>
      </c>
      <c r="B2474" s="65" t="s">
        <v>6516</v>
      </c>
      <c r="C2474" s="67" t="s">
        <v>240</v>
      </c>
      <c r="D2474" s="69" t="s">
        <v>3892</v>
      </c>
      <c r="E2474" s="69" t="s">
        <v>6517</v>
      </c>
      <c r="F2474" s="69" t="s">
        <v>6518</v>
      </c>
    </row>
    <row r="2475" spans="1:6" ht="22.5" x14ac:dyDescent="0.2">
      <c r="A2475" s="65" t="s">
        <v>6519</v>
      </c>
      <c r="B2475" s="65" t="s">
        <v>6520</v>
      </c>
      <c r="C2475" s="67" t="s">
        <v>240</v>
      </c>
      <c r="D2475" s="69" t="s">
        <v>3931</v>
      </c>
      <c r="E2475" s="69" t="s">
        <v>325</v>
      </c>
      <c r="F2475" s="69" t="s">
        <v>6521</v>
      </c>
    </row>
    <row r="2476" spans="1:6" ht="22.5" x14ac:dyDescent="0.2">
      <c r="A2476" s="65" t="s">
        <v>6522</v>
      </c>
      <c r="B2476" s="65" t="s">
        <v>6523</v>
      </c>
      <c r="C2476" s="67" t="s">
        <v>240</v>
      </c>
      <c r="D2476" s="69" t="s">
        <v>6524</v>
      </c>
      <c r="E2476" s="69" t="s">
        <v>319</v>
      </c>
      <c r="F2476" s="69" t="s">
        <v>6525</v>
      </c>
    </row>
    <row r="2477" spans="1:6" ht="22.5" x14ac:dyDescent="0.2">
      <c r="A2477" s="65" t="s">
        <v>6526</v>
      </c>
      <c r="B2477" s="65" t="s">
        <v>6527</v>
      </c>
      <c r="C2477" s="67" t="s">
        <v>240</v>
      </c>
      <c r="D2477" s="69" t="s">
        <v>6528</v>
      </c>
      <c r="E2477" s="69" t="s">
        <v>3699</v>
      </c>
      <c r="F2477" s="69" t="s">
        <v>6529</v>
      </c>
    </row>
    <row r="2478" spans="1:6" ht="22.5" x14ac:dyDescent="0.2">
      <c r="A2478" s="65" t="s">
        <v>6530</v>
      </c>
      <c r="B2478" s="65" t="s">
        <v>6531</v>
      </c>
      <c r="C2478" s="67" t="s">
        <v>240</v>
      </c>
      <c r="D2478" s="69" t="s">
        <v>1102</v>
      </c>
      <c r="E2478" s="69" t="s">
        <v>322</v>
      </c>
      <c r="F2478" s="69" t="s">
        <v>6532</v>
      </c>
    </row>
    <row r="2479" spans="1:6" ht="22.5" x14ac:dyDescent="0.2">
      <c r="A2479" s="65" t="s">
        <v>6533</v>
      </c>
      <c r="B2479" s="65" t="s">
        <v>6534</v>
      </c>
      <c r="C2479" s="67" t="s">
        <v>240</v>
      </c>
      <c r="D2479" s="69" t="s">
        <v>410</v>
      </c>
      <c r="E2479" s="69" t="s">
        <v>6535</v>
      </c>
      <c r="F2479" s="69" t="s">
        <v>1263</v>
      </c>
    </row>
    <row r="2480" spans="1:6" ht="22.5" x14ac:dyDescent="0.2">
      <c r="A2480" s="65" t="s">
        <v>6536</v>
      </c>
      <c r="B2480" s="65" t="s">
        <v>6537</v>
      </c>
      <c r="C2480" s="67" t="s">
        <v>240</v>
      </c>
      <c r="D2480" s="69" t="s">
        <v>318</v>
      </c>
      <c r="E2480" s="69" t="s">
        <v>322</v>
      </c>
      <c r="F2480" s="69" t="s">
        <v>6538</v>
      </c>
    </row>
    <row r="2481" spans="1:6" ht="22.5" x14ac:dyDescent="0.2">
      <c r="A2481" s="65" t="s">
        <v>6539</v>
      </c>
      <c r="B2481" s="65" t="s">
        <v>6540</v>
      </c>
      <c r="C2481" s="67" t="s">
        <v>240</v>
      </c>
      <c r="D2481" s="69" t="s">
        <v>6541</v>
      </c>
      <c r="E2481" s="69" t="s">
        <v>319</v>
      </c>
      <c r="F2481" s="69" t="s">
        <v>6542</v>
      </c>
    </row>
    <row r="2482" spans="1:6" ht="22.5" x14ac:dyDescent="0.2">
      <c r="A2482" s="65" t="s">
        <v>6543</v>
      </c>
      <c r="B2482" s="65" t="s">
        <v>6544</v>
      </c>
      <c r="C2482" s="67" t="s">
        <v>240</v>
      </c>
      <c r="D2482" s="69" t="s">
        <v>3883</v>
      </c>
      <c r="E2482" s="69" t="s">
        <v>325</v>
      </c>
      <c r="F2482" s="69" t="s">
        <v>538</v>
      </c>
    </row>
    <row r="2483" spans="1:6" ht="22.5" x14ac:dyDescent="0.2">
      <c r="A2483" s="65" t="s">
        <v>6545</v>
      </c>
      <c r="B2483" s="65" t="s">
        <v>6546</v>
      </c>
      <c r="C2483" s="67" t="s">
        <v>240</v>
      </c>
      <c r="D2483" s="69" t="s">
        <v>6547</v>
      </c>
      <c r="E2483" s="69" t="s">
        <v>325</v>
      </c>
      <c r="F2483" s="69" t="s">
        <v>6548</v>
      </c>
    </row>
    <row r="2484" spans="1:6" ht="22.5" x14ac:dyDescent="0.2">
      <c r="A2484" s="65" t="s">
        <v>6549</v>
      </c>
      <c r="B2484" s="65" t="s">
        <v>6550</v>
      </c>
      <c r="C2484" s="67" t="s">
        <v>240</v>
      </c>
      <c r="D2484" s="69" t="s">
        <v>6142</v>
      </c>
      <c r="E2484" s="69" t="s">
        <v>324</v>
      </c>
      <c r="F2484" s="69" t="s">
        <v>6551</v>
      </c>
    </row>
    <row r="2485" spans="1:6" ht="33.75" x14ac:dyDescent="0.2">
      <c r="A2485" s="65" t="s">
        <v>6552</v>
      </c>
      <c r="B2485" s="65" t="s">
        <v>6553</v>
      </c>
      <c r="C2485" s="67" t="s">
        <v>240</v>
      </c>
      <c r="D2485" s="69" t="s">
        <v>6554</v>
      </c>
      <c r="E2485" s="69" t="s">
        <v>6535</v>
      </c>
      <c r="F2485" s="69" t="s">
        <v>6555</v>
      </c>
    </row>
    <row r="2486" spans="1:6" ht="33.75" x14ac:dyDescent="0.2">
      <c r="A2486" s="65" t="s">
        <v>6556</v>
      </c>
      <c r="B2486" s="65" t="s">
        <v>6557</v>
      </c>
      <c r="C2486" s="67" t="s">
        <v>203</v>
      </c>
      <c r="D2486" s="69" t="s">
        <v>6558</v>
      </c>
      <c r="E2486" s="69" t="s">
        <v>323</v>
      </c>
      <c r="F2486" s="69" t="s">
        <v>6559</v>
      </c>
    </row>
    <row r="2487" spans="1:6" ht="45" x14ac:dyDescent="0.2">
      <c r="A2487" s="65" t="s">
        <v>6560</v>
      </c>
      <c r="B2487" s="66" t="s">
        <v>6561</v>
      </c>
      <c r="C2487" s="67" t="s">
        <v>203</v>
      </c>
      <c r="D2487" s="69" t="s">
        <v>6562</v>
      </c>
      <c r="E2487" s="69" t="s">
        <v>319</v>
      </c>
      <c r="F2487" s="69" t="s">
        <v>6563</v>
      </c>
    </row>
    <row r="2488" spans="1:6" x14ac:dyDescent="0.2">
      <c r="A2488" s="50">
        <v>40.06</v>
      </c>
      <c r="B2488" s="64" t="s">
        <v>6564</v>
      </c>
      <c r="C2488" s="47"/>
      <c r="D2488" s="47"/>
      <c r="E2488" s="47"/>
      <c r="F2488" s="47"/>
    </row>
    <row r="2489" spans="1:6" x14ac:dyDescent="0.2">
      <c r="A2489" s="65" t="s">
        <v>6565</v>
      </c>
      <c r="B2489" s="65" t="s">
        <v>6566</v>
      </c>
      <c r="C2489" s="67" t="s">
        <v>240</v>
      </c>
      <c r="D2489" s="69" t="s">
        <v>6567</v>
      </c>
      <c r="E2489" s="69" t="s">
        <v>319</v>
      </c>
      <c r="F2489" s="69" t="s">
        <v>1900</v>
      </c>
    </row>
    <row r="2490" spans="1:6" x14ac:dyDescent="0.2">
      <c r="A2490" s="65" t="s">
        <v>6568</v>
      </c>
      <c r="B2490" s="65" t="s">
        <v>6569</v>
      </c>
      <c r="C2490" s="67" t="s">
        <v>240</v>
      </c>
      <c r="D2490" s="69" t="s">
        <v>242</v>
      </c>
      <c r="E2490" s="69" t="s">
        <v>319</v>
      </c>
      <c r="F2490" s="69" t="s">
        <v>6570</v>
      </c>
    </row>
    <row r="2491" spans="1:6" x14ac:dyDescent="0.2">
      <c r="A2491" s="65" t="s">
        <v>6571</v>
      </c>
      <c r="B2491" s="65" t="s">
        <v>6572</v>
      </c>
      <c r="C2491" s="67" t="s">
        <v>240</v>
      </c>
      <c r="D2491" s="69" t="s">
        <v>6573</v>
      </c>
      <c r="E2491" s="69" t="s">
        <v>319</v>
      </c>
      <c r="F2491" s="69" t="s">
        <v>6574</v>
      </c>
    </row>
    <row r="2492" spans="1:6" x14ac:dyDescent="0.2">
      <c r="A2492" s="65" t="s">
        <v>6575</v>
      </c>
      <c r="B2492" s="65" t="s">
        <v>6576</v>
      </c>
      <c r="C2492" s="67" t="s">
        <v>240</v>
      </c>
      <c r="D2492" s="69" t="s">
        <v>6577</v>
      </c>
      <c r="E2492" s="69" t="s">
        <v>319</v>
      </c>
      <c r="F2492" s="69" t="s">
        <v>6578</v>
      </c>
    </row>
    <row r="2493" spans="1:6" x14ac:dyDescent="0.2">
      <c r="A2493" s="65" t="s">
        <v>6579</v>
      </c>
      <c r="B2493" s="65" t="s">
        <v>6580</v>
      </c>
      <c r="C2493" s="67" t="s">
        <v>240</v>
      </c>
      <c r="D2493" s="69" t="s">
        <v>6581</v>
      </c>
      <c r="E2493" s="69" t="s">
        <v>319</v>
      </c>
      <c r="F2493" s="69" t="s">
        <v>6582</v>
      </c>
    </row>
    <row r="2494" spans="1:6" x14ac:dyDescent="0.2">
      <c r="A2494" s="65" t="s">
        <v>6583</v>
      </c>
      <c r="B2494" s="65" t="s">
        <v>6584</v>
      </c>
      <c r="C2494" s="67" t="s">
        <v>240</v>
      </c>
      <c r="D2494" s="69" t="s">
        <v>6585</v>
      </c>
      <c r="E2494" s="69" t="s">
        <v>319</v>
      </c>
      <c r="F2494" s="69" t="s">
        <v>6586</v>
      </c>
    </row>
    <row r="2495" spans="1:6" x14ac:dyDescent="0.2">
      <c r="A2495" s="65" t="s">
        <v>6587</v>
      </c>
      <c r="B2495" s="65" t="s">
        <v>6588</v>
      </c>
      <c r="C2495" s="67" t="s">
        <v>240</v>
      </c>
      <c r="D2495" s="69" t="s">
        <v>6589</v>
      </c>
      <c r="E2495" s="69" t="s">
        <v>319</v>
      </c>
      <c r="F2495" s="69" t="s">
        <v>6590</v>
      </c>
    </row>
    <row r="2496" spans="1:6" x14ac:dyDescent="0.2">
      <c r="A2496" s="65" t="s">
        <v>6591</v>
      </c>
      <c r="B2496" s="65" t="s">
        <v>6592</v>
      </c>
      <c r="C2496" s="67" t="s">
        <v>240</v>
      </c>
      <c r="D2496" s="69" t="s">
        <v>6593</v>
      </c>
      <c r="E2496" s="69" t="s">
        <v>319</v>
      </c>
      <c r="F2496" s="69" t="s">
        <v>6594</v>
      </c>
    </row>
    <row r="2497" spans="1:6" ht="22.5" x14ac:dyDescent="0.2">
      <c r="A2497" s="65" t="s">
        <v>6595</v>
      </c>
      <c r="B2497" s="65" t="s">
        <v>6596</v>
      </c>
      <c r="C2497" s="67" t="s">
        <v>240</v>
      </c>
      <c r="D2497" s="69" t="s">
        <v>6597</v>
      </c>
      <c r="E2497" s="69" t="s">
        <v>319</v>
      </c>
      <c r="F2497" s="69" t="s">
        <v>5369</v>
      </c>
    </row>
    <row r="2498" spans="1:6" x14ac:dyDescent="0.2">
      <c r="A2498" s="50">
        <v>40.07</v>
      </c>
      <c r="B2498" s="64" t="s">
        <v>6598</v>
      </c>
      <c r="C2498" s="47"/>
      <c r="D2498" s="47"/>
      <c r="E2498" s="47"/>
      <c r="F2498" s="47"/>
    </row>
    <row r="2499" spans="1:6" x14ac:dyDescent="0.2">
      <c r="A2499" s="65" t="s">
        <v>6599</v>
      </c>
      <c r="B2499" s="65" t="s">
        <v>6600</v>
      </c>
      <c r="C2499" s="67" t="s">
        <v>203</v>
      </c>
      <c r="D2499" s="69" t="s">
        <v>375</v>
      </c>
      <c r="E2499" s="69" t="s">
        <v>324</v>
      </c>
      <c r="F2499" s="69" t="s">
        <v>396</v>
      </c>
    </row>
    <row r="2500" spans="1:6" x14ac:dyDescent="0.2">
      <c r="A2500" s="65" t="s">
        <v>6601</v>
      </c>
      <c r="B2500" s="65" t="s">
        <v>6602</v>
      </c>
      <c r="C2500" s="67" t="s">
        <v>203</v>
      </c>
      <c r="D2500" s="69" t="s">
        <v>6603</v>
      </c>
      <c r="E2500" s="69" t="s">
        <v>324</v>
      </c>
      <c r="F2500" s="69" t="s">
        <v>6604</v>
      </c>
    </row>
    <row r="2501" spans="1:6" x14ac:dyDescent="0.2">
      <c r="A2501" s="65" t="s">
        <v>6605</v>
      </c>
      <c r="B2501" s="65" t="s">
        <v>6606</v>
      </c>
      <c r="C2501" s="67" t="s">
        <v>203</v>
      </c>
      <c r="D2501" s="69" t="s">
        <v>6607</v>
      </c>
      <c r="E2501" s="69" t="s">
        <v>324</v>
      </c>
      <c r="F2501" s="69" t="s">
        <v>6608</v>
      </c>
    </row>
    <row r="2502" spans="1:6" x14ac:dyDescent="0.2">
      <c r="A2502" s="50">
        <v>40.1</v>
      </c>
      <c r="B2502" s="64" t="s">
        <v>6609</v>
      </c>
      <c r="C2502" s="47"/>
      <c r="D2502" s="47"/>
      <c r="E2502" s="47"/>
      <c r="F2502" s="47"/>
    </row>
    <row r="2503" spans="1:6" ht="22.5" x14ac:dyDescent="0.2">
      <c r="A2503" s="65" t="s">
        <v>6610</v>
      </c>
      <c r="B2503" s="65" t="s">
        <v>6611</v>
      </c>
      <c r="C2503" s="67" t="s">
        <v>203</v>
      </c>
      <c r="D2503" s="69" t="s">
        <v>6612</v>
      </c>
      <c r="E2503" s="69" t="s">
        <v>319</v>
      </c>
      <c r="F2503" s="69" t="s">
        <v>6613</v>
      </c>
    </row>
    <row r="2504" spans="1:6" ht="22.5" x14ac:dyDescent="0.2">
      <c r="A2504" s="65" t="s">
        <v>6614</v>
      </c>
      <c r="B2504" s="65" t="s">
        <v>6615</v>
      </c>
      <c r="C2504" s="67" t="s">
        <v>203</v>
      </c>
      <c r="D2504" s="69" t="s">
        <v>6616</v>
      </c>
      <c r="E2504" s="69" t="s">
        <v>319</v>
      </c>
      <c r="F2504" s="69" t="s">
        <v>6617</v>
      </c>
    </row>
    <row r="2505" spans="1:6" ht="22.5" x14ac:dyDescent="0.2">
      <c r="A2505" s="65" t="s">
        <v>6618</v>
      </c>
      <c r="B2505" s="65" t="s">
        <v>6619</v>
      </c>
      <c r="C2505" s="67" t="s">
        <v>203</v>
      </c>
      <c r="D2505" s="69" t="s">
        <v>6620</v>
      </c>
      <c r="E2505" s="69" t="s">
        <v>319</v>
      </c>
      <c r="F2505" s="69" t="s">
        <v>6621</v>
      </c>
    </row>
    <row r="2506" spans="1:6" ht="22.5" x14ac:dyDescent="0.2">
      <c r="A2506" s="65" t="s">
        <v>6622</v>
      </c>
      <c r="B2506" s="65" t="s">
        <v>6623</v>
      </c>
      <c r="C2506" s="67" t="s">
        <v>203</v>
      </c>
      <c r="D2506" s="69" t="s">
        <v>6624</v>
      </c>
      <c r="E2506" s="69" t="s">
        <v>319</v>
      </c>
      <c r="F2506" s="69" t="s">
        <v>6625</v>
      </c>
    </row>
    <row r="2507" spans="1:6" ht="22.5" x14ac:dyDescent="0.2">
      <c r="A2507" s="65" t="s">
        <v>6626</v>
      </c>
      <c r="B2507" s="65" t="s">
        <v>6627</v>
      </c>
      <c r="C2507" s="67" t="s">
        <v>203</v>
      </c>
      <c r="D2507" s="69" t="s">
        <v>6628</v>
      </c>
      <c r="E2507" s="69" t="s">
        <v>319</v>
      </c>
      <c r="F2507" s="69" t="s">
        <v>6629</v>
      </c>
    </row>
    <row r="2508" spans="1:6" ht="22.5" x14ac:dyDescent="0.2">
      <c r="A2508" s="65" t="s">
        <v>6630</v>
      </c>
      <c r="B2508" s="65" t="s">
        <v>6631</v>
      </c>
      <c r="C2508" s="67" t="s">
        <v>203</v>
      </c>
      <c r="D2508" s="69" t="s">
        <v>6632</v>
      </c>
      <c r="E2508" s="69" t="s">
        <v>319</v>
      </c>
      <c r="F2508" s="69" t="s">
        <v>6633</v>
      </c>
    </row>
    <row r="2509" spans="1:6" ht="22.5" x14ac:dyDescent="0.2">
      <c r="A2509" s="65" t="s">
        <v>6634</v>
      </c>
      <c r="B2509" s="65" t="s">
        <v>6635</v>
      </c>
      <c r="C2509" s="67" t="s">
        <v>203</v>
      </c>
      <c r="D2509" s="69" t="s">
        <v>6636</v>
      </c>
      <c r="E2509" s="69" t="s">
        <v>319</v>
      </c>
      <c r="F2509" s="69" t="s">
        <v>6637</v>
      </c>
    </row>
    <row r="2510" spans="1:6" ht="22.5" x14ac:dyDescent="0.2">
      <c r="A2510" s="65" t="s">
        <v>6638</v>
      </c>
      <c r="B2510" s="65" t="s">
        <v>6639</v>
      </c>
      <c r="C2510" s="67" t="s">
        <v>203</v>
      </c>
      <c r="D2510" s="69" t="s">
        <v>6640</v>
      </c>
      <c r="E2510" s="69" t="s">
        <v>319</v>
      </c>
      <c r="F2510" s="69" t="s">
        <v>6641</v>
      </c>
    </row>
    <row r="2511" spans="1:6" ht="22.5" x14ac:dyDescent="0.2">
      <c r="A2511" s="65" t="s">
        <v>6642</v>
      </c>
      <c r="B2511" s="65" t="s">
        <v>6643</v>
      </c>
      <c r="C2511" s="74" t="s">
        <v>203</v>
      </c>
      <c r="D2511" s="69" t="s">
        <v>6644</v>
      </c>
      <c r="E2511" s="69" t="s">
        <v>319</v>
      </c>
      <c r="F2511" s="69" t="s">
        <v>6645</v>
      </c>
    </row>
    <row r="2512" spans="1:6" ht="22.5" x14ac:dyDescent="0.2">
      <c r="A2512" s="65" t="s">
        <v>6646</v>
      </c>
      <c r="B2512" s="65" t="s">
        <v>6647</v>
      </c>
      <c r="C2512" s="74" t="s">
        <v>203</v>
      </c>
      <c r="D2512" s="69" t="s">
        <v>6648</v>
      </c>
      <c r="E2512" s="69" t="s">
        <v>319</v>
      </c>
      <c r="F2512" s="69" t="s">
        <v>6649</v>
      </c>
    </row>
    <row r="2513" spans="1:6" ht="22.5" x14ac:dyDescent="0.2">
      <c r="A2513" s="65" t="s">
        <v>6650</v>
      </c>
      <c r="B2513" s="65" t="s">
        <v>6651</v>
      </c>
      <c r="C2513" s="74" t="s">
        <v>203</v>
      </c>
      <c r="D2513" s="69" t="s">
        <v>6652</v>
      </c>
      <c r="E2513" s="69" t="s">
        <v>319</v>
      </c>
      <c r="F2513" s="69" t="s">
        <v>6653</v>
      </c>
    </row>
    <row r="2514" spans="1:6" ht="22.5" x14ac:dyDescent="0.2">
      <c r="A2514" s="65" t="s">
        <v>6654</v>
      </c>
      <c r="B2514" s="65" t="s">
        <v>6655</v>
      </c>
      <c r="C2514" s="74" t="s">
        <v>203</v>
      </c>
      <c r="D2514" s="69" t="s">
        <v>6656</v>
      </c>
      <c r="E2514" s="69" t="s">
        <v>319</v>
      </c>
      <c r="F2514" s="69" t="s">
        <v>6657</v>
      </c>
    </row>
    <row r="2515" spans="1:6" x14ac:dyDescent="0.2">
      <c r="A2515" s="65" t="s">
        <v>6658</v>
      </c>
      <c r="B2515" s="65" t="s">
        <v>6659</v>
      </c>
      <c r="C2515" s="74" t="s">
        <v>203</v>
      </c>
      <c r="D2515" s="69" t="s">
        <v>6660</v>
      </c>
      <c r="E2515" s="69" t="s">
        <v>319</v>
      </c>
      <c r="F2515" s="69" t="s">
        <v>6661</v>
      </c>
    </row>
    <row r="2516" spans="1:6" x14ac:dyDescent="0.2">
      <c r="A2516" s="65" t="s">
        <v>6662</v>
      </c>
      <c r="B2516" s="65" t="s">
        <v>6663</v>
      </c>
      <c r="C2516" s="74" t="s">
        <v>203</v>
      </c>
      <c r="D2516" s="69" t="s">
        <v>6664</v>
      </c>
      <c r="E2516" s="69" t="s">
        <v>319</v>
      </c>
      <c r="F2516" s="69" t="s">
        <v>6665</v>
      </c>
    </row>
    <row r="2517" spans="1:6" x14ac:dyDescent="0.2">
      <c r="A2517" s="65" t="s">
        <v>6666</v>
      </c>
      <c r="B2517" s="65" t="s">
        <v>6667</v>
      </c>
      <c r="C2517" s="74" t="s">
        <v>203</v>
      </c>
      <c r="D2517" s="69" t="s">
        <v>6668</v>
      </c>
      <c r="E2517" s="69" t="s">
        <v>319</v>
      </c>
      <c r="F2517" s="69" t="s">
        <v>6669</v>
      </c>
    </row>
    <row r="2518" spans="1:6" x14ac:dyDescent="0.2">
      <c r="A2518" s="50">
        <v>40.11</v>
      </c>
      <c r="B2518" s="64" t="s">
        <v>6670</v>
      </c>
      <c r="C2518" s="47"/>
      <c r="D2518" s="47"/>
      <c r="E2518" s="47"/>
      <c r="F2518" s="47"/>
    </row>
    <row r="2519" spans="1:6" ht="22.5" x14ac:dyDescent="0.2">
      <c r="A2519" s="65" t="s">
        <v>6671</v>
      </c>
      <c r="B2519" s="65" t="s">
        <v>6672</v>
      </c>
      <c r="C2519" s="74" t="s">
        <v>203</v>
      </c>
      <c r="D2519" s="69" t="s">
        <v>344</v>
      </c>
      <c r="E2519" s="69" t="s">
        <v>322</v>
      </c>
      <c r="F2519" s="69" t="s">
        <v>6673</v>
      </c>
    </row>
    <row r="2520" spans="1:6" ht="45" x14ac:dyDescent="0.2">
      <c r="A2520" s="65" t="s">
        <v>6674</v>
      </c>
      <c r="B2520" s="66" t="s">
        <v>6675</v>
      </c>
      <c r="C2520" s="74" t="s">
        <v>203</v>
      </c>
      <c r="D2520" s="69" t="s">
        <v>6676</v>
      </c>
      <c r="E2520" s="69" t="s">
        <v>319</v>
      </c>
      <c r="F2520" s="69" t="s">
        <v>6677</v>
      </c>
    </row>
    <row r="2521" spans="1:6" ht="45" x14ac:dyDescent="0.2">
      <c r="A2521" s="65" t="s">
        <v>6678</v>
      </c>
      <c r="B2521" s="66" t="s">
        <v>6679</v>
      </c>
      <c r="C2521" s="74" t="s">
        <v>203</v>
      </c>
      <c r="D2521" s="69" t="s">
        <v>6680</v>
      </c>
      <c r="E2521" s="69" t="s">
        <v>319</v>
      </c>
      <c r="F2521" s="69" t="s">
        <v>6681</v>
      </c>
    </row>
    <row r="2522" spans="1:6" ht="45" x14ac:dyDescent="0.2">
      <c r="A2522" s="65" t="s">
        <v>6682</v>
      </c>
      <c r="B2522" s="66" t="s">
        <v>6683</v>
      </c>
      <c r="C2522" s="74" t="s">
        <v>203</v>
      </c>
      <c r="D2522" s="69" t="s">
        <v>6684</v>
      </c>
      <c r="E2522" s="69" t="s">
        <v>319</v>
      </c>
      <c r="F2522" s="69" t="s">
        <v>6685</v>
      </c>
    </row>
    <row r="2523" spans="1:6" ht="22.5" x14ac:dyDescent="0.2">
      <c r="A2523" s="65" t="s">
        <v>6686</v>
      </c>
      <c r="B2523" s="65" t="s">
        <v>6687</v>
      </c>
      <c r="C2523" s="74" t="s">
        <v>203</v>
      </c>
      <c r="D2523" s="69" t="s">
        <v>6688</v>
      </c>
      <c r="E2523" s="69" t="s">
        <v>321</v>
      </c>
      <c r="F2523" s="69" t="s">
        <v>6689</v>
      </c>
    </row>
    <row r="2524" spans="1:6" ht="45" x14ac:dyDescent="0.2">
      <c r="A2524" s="65" t="s">
        <v>6690</v>
      </c>
      <c r="B2524" s="66" t="s">
        <v>6691</v>
      </c>
      <c r="C2524" s="74" t="s">
        <v>203</v>
      </c>
      <c r="D2524" s="69" t="s">
        <v>6692</v>
      </c>
      <c r="E2524" s="69" t="s">
        <v>321</v>
      </c>
      <c r="F2524" s="69" t="s">
        <v>6693</v>
      </c>
    </row>
    <row r="2525" spans="1:6" ht="22.5" x14ac:dyDescent="0.2">
      <c r="A2525" s="65" t="s">
        <v>6694</v>
      </c>
      <c r="B2525" s="65" t="s">
        <v>6695</v>
      </c>
      <c r="C2525" s="74" t="s">
        <v>203</v>
      </c>
      <c r="D2525" s="69" t="s">
        <v>6696</v>
      </c>
      <c r="E2525" s="69" t="s">
        <v>321</v>
      </c>
      <c r="F2525" s="69" t="s">
        <v>6697</v>
      </c>
    </row>
    <row r="2526" spans="1:6" ht="22.5" x14ac:dyDescent="0.2">
      <c r="A2526" s="65" t="s">
        <v>6698</v>
      </c>
      <c r="B2526" s="65" t="s">
        <v>6699</v>
      </c>
      <c r="C2526" s="74" t="s">
        <v>203</v>
      </c>
      <c r="D2526" s="69" t="s">
        <v>6700</v>
      </c>
      <c r="E2526" s="69" t="s">
        <v>321</v>
      </c>
      <c r="F2526" s="69" t="s">
        <v>6701</v>
      </c>
    </row>
    <row r="2527" spans="1:6" ht="45" x14ac:dyDescent="0.2">
      <c r="A2527" s="65" t="s">
        <v>6702</v>
      </c>
      <c r="B2527" s="66" t="s">
        <v>6703</v>
      </c>
      <c r="C2527" s="74" t="s">
        <v>203</v>
      </c>
      <c r="D2527" s="69" t="s">
        <v>6704</v>
      </c>
      <c r="E2527" s="69" t="s">
        <v>319</v>
      </c>
      <c r="F2527" s="69" t="s">
        <v>6705</v>
      </c>
    </row>
    <row r="2528" spans="1:6" ht="22.5" x14ac:dyDescent="0.2">
      <c r="A2528" s="65" t="s">
        <v>6706</v>
      </c>
      <c r="B2528" s="65" t="s">
        <v>6707</v>
      </c>
      <c r="C2528" s="74" t="s">
        <v>203</v>
      </c>
      <c r="D2528" s="69" t="s">
        <v>6708</v>
      </c>
      <c r="E2528" s="69" t="s">
        <v>321</v>
      </c>
      <c r="F2528" s="69" t="s">
        <v>6709</v>
      </c>
    </row>
    <row r="2529" spans="1:6" ht="22.5" x14ac:dyDescent="0.2">
      <c r="A2529" s="65" t="s">
        <v>6710</v>
      </c>
      <c r="B2529" s="65" t="s">
        <v>6711</v>
      </c>
      <c r="C2529" s="74" t="s">
        <v>203</v>
      </c>
      <c r="D2529" s="69" t="s">
        <v>6712</v>
      </c>
      <c r="E2529" s="69" t="s">
        <v>331</v>
      </c>
      <c r="F2529" s="69" t="s">
        <v>6713</v>
      </c>
    </row>
    <row r="2530" spans="1:6" x14ac:dyDescent="0.2">
      <c r="A2530" s="50">
        <v>40.119999999999997</v>
      </c>
      <c r="B2530" s="64" t="s">
        <v>6714</v>
      </c>
      <c r="C2530" s="47"/>
      <c r="D2530" s="47"/>
      <c r="E2530" s="47"/>
      <c r="F2530" s="47"/>
    </row>
    <row r="2531" spans="1:6" ht="22.5" x14ac:dyDescent="0.2">
      <c r="A2531" s="65" t="s">
        <v>6715</v>
      </c>
      <c r="B2531" s="65" t="s">
        <v>6716</v>
      </c>
      <c r="C2531" s="74" t="s">
        <v>203</v>
      </c>
      <c r="D2531" s="69" t="s">
        <v>6717</v>
      </c>
      <c r="E2531" s="69" t="s">
        <v>318</v>
      </c>
      <c r="F2531" s="69" t="s">
        <v>6718</v>
      </c>
    </row>
    <row r="2532" spans="1:6" ht="22.5" x14ac:dyDescent="0.2">
      <c r="A2532" s="65" t="s">
        <v>6719</v>
      </c>
      <c r="B2532" s="65" t="s">
        <v>6720</v>
      </c>
      <c r="C2532" s="74" t="s">
        <v>203</v>
      </c>
      <c r="D2532" s="69" t="s">
        <v>6721</v>
      </c>
      <c r="E2532" s="69" t="s">
        <v>318</v>
      </c>
      <c r="F2532" s="69" t="s">
        <v>6722</v>
      </c>
    </row>
    <row r="2533" spans="1:6" ht="22.5" x14ac:dyDescent="0.2">
      <c r="A2533" s="65" t="s">
        <v>6723</v>
      </c>
      <c r="B2533" s="65" t="s">
        <v>6724</v>
      </c>
      <c r="C2533" s="74" t="s">
        <v>203</v>
      </c>
      <c r="D2533" s="69" t="s">
        <v>6725</v>
      </c>
      <c r="E2533" s="69" t="s">
        <v>318</v>
      </c>
      <c r="F2533" s="69" t="s">
        <v>6726</v>
      </c>
    </row>
    <row r="2534" spans="1:6" ht="22.5" x14ac:dyDescent="0.2">
      <c r="A2534" s="65" t="s">
        <v>6727</v>
      </c>
      <c r="B2534" s="65" t="s">
        <v>6728</v>
      </c>
      <c r="C2534" s="74" t="s">
        <v>203</v>
      </c>
      <c r="D2534" s="69" t="s">
        <v>6729</v>
      </c>
      <c r="E2534" s="69" t="s">
        <v>318</v>
      </c>
      <c r="F2534" s="69" t="s">
        <v>6730</v>
      </c>
    </row>
    <row r="2535" spans="1:6" x14ac:dyDescent="0.2">
      <c r="A2535" s="50">
        <v>40.130000000000003</v>
      </c>
      <c r="B2535" s="64" t="s">
        <v>6731</v>
      </c>
      <c r="C2535" s="47"/>
      <c r="D2535" s="47"/>
      <c r="E2535" s="47"/>
      <c r="F2535" s="47"/>
    </row>
    <row r="2536" spans="1:6" ht="22.5" x14ac:dyDescent="0.2">
      <c r="A2536" s="65" t="s">
        <v>6732</v>
      </c>
      <c r="B2536" s="65" t="s">
        <v>6733</v>
      </c>
      <c r="C2536" s="74" t="s">
        <v>203</v>
      </c>
      <c r="D2536" s="69" t="s">
        <v>6734</v>
      </c>
      <c r="E2536" s="69" t="s">
        <v>318</v>
      </c>
      <c r="F2536" s="69" t="s">
        <v>6735</v>
      </c>
    </row>
    <row r="2537" spans="1:6" ht="56.25" x14ac:dyDescent="0.2">
      <c r="A2537" s="65" t="s">
        <v>6736</v>
      </c>
      <c r="B2537" s="66" t="s">
        <v>6737</v>
      </c>
      <c r="C2537" s="74" t="s">
        <v>203</v>
      </c>
      <c r="D2537" s="69" t="s">
        <v>6738</v>
      </c>
      <c r="E2537" s="69" t="s">
        <v>324</v>
      </c>
      <c r="F2537" s="69" t="s">
        <v>6739</v>
      </c>
    </row>
    <row r="2538" spans="1:6" x14ac:dyDescent="0.2">
      <c r="A2538" s="50">
        <v>40.14</v>
      </c>
      <c r="B2538" s="64" t="s">
        <v>6740</v>
      </c>
      <c r="C2538" s="47"/>
      <c r="D2538" s="47"/>
      <c r="E2538" s="47"/>
      <c r="F2538" s="47"/>
    </row>
    <row r="2539" spans="1:6" ht="22.5" x14ac:dyDescent="0.2">
      <c r="A2539" s="65" t="s">
        <v>6741</v>
      </c>
      <c r="B2539" s="65" t="s">
        <v>6742</v>
      </c>
      <c r="C2539" s="74" t="s">
        <v>203</v>
      </c>
      <c r="D2539" s="69" t="s">
        <v>6743</v>
      </c>
      <c r="E2539" s="69" t="s">
        <v>318</v>
      </c>
      <c r="F2539" s="69" t="s">
        <v>6744</v>
      </c>
    </row>
    <row r="2540" spans="1:6" ht="56.25" x14ac:dyDescent="0.2">
      <c r="A2540" s="65" t="s">
        <v>6745</v>
      </c>
      <c r="B2540" s="66" t="s">
        <v>6746</v>
      </c>
      <c r="C2540" s="74" t="s">
        <v>203</v>
      </c>
      <c r="D2540" s="69" t="s">
        <v>6747</v>
      </c>
      <c r="E2540" s="69" t="s">
        <v>319</v>
      </c>
      <c r="F2540" s="69" t="s">
        <v>6748</v>
      </c>
    </row>
    <row r="2541" spans="1:6" ht="22.5" x14ac:dyDescent="0.2">
      <c r="A2541" s="50">
        <v>40.200000000000003</v>
      </c>
      <c r="B2541" s="64" t="s">
        <v>6749</v>
      </c>
      <c r="C2541" s="47"/>
      <c r="D2541" s="47"/>
      <c r="E2541" s="47"/>
      <c r="F2541" s="47"/>
    </row>
    <row r="2542" spans="1:6" x14ac:dyDescent="0.2">
      <c r="A2542" s="65" t="s">
        <v>6750</v>
      </c>
      <c r="B2542" s="65" t="s">
        <v>6751</v>
      </c>
      <c r="C2542" s="74" t="s">
        <v>203</v>
      </c>
      <c r="D2542" s="69" t="s">
        <v>6752</v>
      </c>
      <c r="E2542" s="69" t="s">
        <v>5023</v>
      </c>
      <c r="F2542" s="69" t="s">
        <v>6753</v>
      </c>
    </row>
    <row r="2543" spans="1:6" ht="22.5" x14ac:dyDescent="0.2">
      <c r="A2543" s="65" t="s">
        <v>6754</v>
      </c>
      <c r="B2543" s="65" t="s">
        <v>6755</v>
      </c>
      <c r="C2543" s="74" t="s">
        <v>203</v>
      </c>
      <c r="D2543" s="69" t="s">
        <v>6756</v>
      </c>
      <c r="E2543" s="69" t="s">
        <v>5023</v>
      </c>
      <c r="F2543" s="69" t="s">
        <v>6757</v>
      </c>
    </row>
    <row r="2544" spans="1:6" ht="22.5" x14ac:dyDescent="0.2">
      <c r="A2544" s="65" t="s">
        <v>6758</v>
      </c>
      <c r="B2544" s="65" t="s">
        <v>6759</v>
      </c>
      <c r="C2544" s="74" t="s">
        <v>203</v>
      </c>
      <c r="D2544" s="69" t="s">
        <v>6760</v>
      </c>
      <c r="E2544" s="69" t="s">
        <v>323</v>
      </c>
      <c r="F2544" s="69" t="s">
        <v>6761</v>
      </c>
    </row>
    <row r="2545" spans="1:6" ht="22.5" x14ac:dyDescent="0.2">
      <c r="A2545" s="65" t="s">
        <v>6762</v>
      </c>
      <c r="B2545" s="65" t="s">
        <v>6763</v>
      </c>
      <c r="C2545" s="74" t="s">
        <v>203</v>
      </c>
      <c r="D2545" s="69" t="s">
        <v>6764</v>
      </c>
      <c r="E2545" s="69" t="s">
        <v>323</v>
      </c>
      <c r="F2545" s="69" t="s">
        <v>6765</v>
      </c>
    </row>
    <row r="2546" spans="1:6" ht="22.5" x14ac:dyDescent="0.2">
      <c r="A2546" s="65" t="s">
        <v>6766</v>
      </c>
      <c r="B2546" s="65" t="s">
        <v>6767</v>
      </c>
      <c r="C2546" s="74" t="s">
        <v>203</v>
      </c>
      <c r="D2546" s="69" t="s">
        <v>3569</v>
      </c>
      <c r="E2546" s="69" t="s">
        <v>323</v>
      </c>
      <c r="F2546" s="69" t="s">
        <v>6768</v>
      </c>
    </row>
    <row r="2547" spans="1:6" x14ac:dyDescent="0.2">
      <c r="A2547" s="65" t="s">
        <v>6769</v>
      </c>
      <c r="B2547" s="65" t="s">
        <v>6770</v>
      </c>
      <c r="C2547" s="74" t="s">
        <v>203</v>
      </c>
      <c r="D2547" s="69" t="s">
        <v>5710</v>
      </c>
      <c r="E2547" s="69" t="s">
        <v>3975</v>
      </c>
      <c r="F2547" s="69" t="s">
        <v>353</v>
      </c>
    </row>
    <row r="2548" spans="1:6" x14ac:dyDescent="0.2">
      <c r="A2548" s="65" t="s">
        <v>6771</v>
      </c>
      <c r="B2548" s="65" t="s">
        <v>6772</v>
      </c>
      <c r="C2548" s="74" t="s">
        <v>203</v>
      </c>
      <c r="D2548" s="69" t="s">
        <v>6773</v>
      </c>
      <c r="E2548" s="69" t="s">
        <v>3975</v>
      </c>
      <c r="F2548" s="69" t="s">
        <v>6774</v>
      </c>
    </row>
    <row r="2549" spans="1:6" ht="22.5" x14ac:dyDescent="0.2">
      <c r="A2549" s="65" t="s">
        <v>6775</v>
      </c>
      <c r="B2549" s="65" t="s">
        <v>6776</v>
      </c>
      <c r="C2549" s="74" t="s">
        <v>203</v>
      </c>
      <c r="D2549" s="69" t="s">
        <v>6777</v>
      </c>
      <c r="E2549" s="69" t="s">
        <v>318</v>
      </c>
      <c r="F2549" s="69" t="s">
        <v>6778</v>
      </c>
    </row>
    <row r="2550" spans="1:6" x14ac:dyDescent="0.2">
      <c r="A2550" s="65" t="s">
        <v>6779</v>
      </c>
      <c r="B2550" s="65" t="s">
        <v>6780</v>
      </c>
      <c r="C2550" s="74" t="s">
        <v>203</v>
      </c>
      <c r="D2550" s="69" t="s">
        <v>1172</v>
      </c>
      <c r="E2550" s="69" t="s">
        <v>336</v>
      </c>
      <c r="F2550" s="69" t="s">
        <v>5867</v>
      </c>
    </row>
    <row r="2551" spans="1:6" ht="22.5" x14ac:dyDescent="0.2">
      <c r="A2551" s="65" t="s">
        <v>6781</v>
      </c>
      <c r="B2551" s="65" t="s">
        <v>6782</v>
      </c>
      <c r="C2551" s="74" t="s">
        <v>203</v>
      </c>
      <c r="D2551" s="69" t="s">
        <v>3352</v>
      </c>
      <c r="E2551" s="69" t="s">
        <v>336</v>
      </c>
      <c r="F2551" s="69" t="s">
        <v>6783</v>
      </c>
    </row>
    <row r="2552" spans="1:6" ht="33.75" x14ac:dyDescent="0.2">
      <c r="A2552" s="65" t="s">
        <v>6784</v>
      </c>
      <c r="B2552" s="65" t="s">
        <v>6785</v>
      </c>
      <c r="C2552" s="74" t="s">
        <v>203</v>
      </c>
      <c r="D2552" s="69" t="s">
        <v>6786</v>
      </c>
      <c r="E2552" s="69" t="s">
        <v>321</v>
      </c>
      <c r="F2552" s="69" t="s">
        <v>6787</v>
      </c>
    </row>
    <row r="2553" spans="1:6" ht="33.75" x14ac:dyDescent="0.2">
      <c r="A2553" s="65" t="s">
        <v>6788</v>
      </c>
      <c r="B2553" s="65" t="s">
        <v>6789</v>
      </c>
      <c r="C2553" s="74" t="s">
        <v>203</v>
      </c>
      <c r="D2553" s="69" t="s">
        <v>522</v>
      </c>
      <c r="E2553" s="69" t="s">
        <v>6790</v>
      </c>
      <c r="F2553" s="69" t="s">
        <v>6791</v>
      </c>
    </row>
    <row r="2554" spans="1:6" ht="33.75" x14ac:dyDescent="0.2">
      <c r="A2554" s="65" t="s">
        <v>6792</v>
      </c>
      <c r="B2554" s="65" t="s">
        <v>6793</v>
      </c>
      <c r="C2554" s="74" t="s">
        <v>203</v>
      </c>
      <c r="D2554" s="69" t="s">
        <v>6541</v>
      </c>
      <c r="E2554" s="69" t="s">
        <v>6790</v>
      </c>
      <c r="F2554" s="69" t="s">
        <v>6794</v>
      </c>
    </row>
    <row r="2555" spans="1:6" x14ac:dyDescent="0.2">
      <c r="A2555" s="49">
        <v>41</v>
      </c>
      <c r="B2555" s="64" t="s">
        <v>6795</v>
      </c>
      <c r="C2555" s="47"/>
      <c r="D2555" s="47"/>
      <c r="E2555" s="47"/>
      <c r="F2555" s="47"/>
    </row>
    <row r="2556" spans="1:6" x14ac:dyDescent="0.2">
      <c r="A2556" s="50">
        <v>41.02</v>
      </c>
      <c r="B2556" s="64" t="s">
        <v>6796</v>
      </c>
      <c r="C2556" s="47"/>
      <c r="D2556" s="47"/>
      <c r="E2556" s="47"/>
      <c r="F2556" s="47"/>
    </row>
    <row r="2557" spans="1:6" ht="33.75" x14ac:dyDescent="0.2">
      <c r="A2557" s="65" t="s">
        <v>6797</v>
      </c>
      <c r="B2557" s="65" t="s">
        <v>6798</v>
      </c>
      <c r="C2557" s="67" t="s">
        <v>203</v>
      </c>
      <c r="D2557" s="69" t="s">
        <v>6799</v>
      </c>
      <c r="E2557" s="69" t="s">
        <v>249</v>
      </c>
      <c r="F2557" s="69" t="s">
        <v>6800</v>
      </c>
    </row>
    <row r="2558" spans="1:6" ht="33.75" x14ac:dyDescent="0.2">
      <c r="A2558" s="65" t="s">
        <v>6801</v>
      </c>
      <c r="B2558" s="65" t="s">
        <v>6802</v>
      </c>
      <c r="C2558" s="67" t="s">
        <v>203</v>
      </c>
      <c r="D2558" s="69" t="s">
        <v>6803</v>
      </c>
      <c r="E2558" s="69" t="s">
        <v>249</v>
      </c>
      <c r="F2558" s="69" t="s">
        <v>6804</v>
      </c>
    </row>
    <row r="2559" spans="1:6" ht="33.75" x14ac:dyDescent="0.2">
      <c r="A2559" s="65" t="s">
        <v>6805</v>
      </c>
      <c r="B2559" s="65" t="s">
        <v>6806</v>
      </c>
      <c r="C2559" s="67" t="s">
        <v>203</v>
      </c>
      <c r="D2559" s="69" t="s">
        <v>6807</v>
      </c>
      <c r="E2559" s="69" t="s">
        <v>249</v>
      </c>
      <c r="F2559" s="69" t="s">
        <v>6808</v>
      </c>
    </row>
    <row r="2560" spans="1:6" ht="22.5" x14ac:dyDescent="0.2">
      <c r="A2560" s="65" t="s">
        <v>6809</v>
      </c>
      <c r="B2560" s="65" t="s">
        <v>6810</v>
      </c>
      <c r="C2560" s="67" t="s">
        <v>203</v>
      </c>
      <c r="D2560" s="69" t="s">
        <v>6811</v>
      </c>
      <c r="E2560" s="69" t="s">
        <v>249</v>
      </c>
      <c r="F2560" s="69" t="s">
        <v>6812</v>
      </c>
    </row>
    <row r="2561" spans="1:6" x14ac:dyDescent="0.2">
      <c r="A2561" s="50">
        <v>41.04</v>
      </c>
      <c r="B2561" s="64" t="s">
        <v>6813</v>
      </c>
      <c r="C2561" s="47"/>
      <c r="D2561" s="47"/>
      <c r="E2561" s="47"/>
      <c r="F2561" s="47"/>
    </row>
    <row r="2562" spans="1:6" ht="33.75" x14ac:dyDescent="0.2">
      <c r="A2562" s="65" t="s">
        <v>6814</v>
      </c>
      <c r="B2562" s="65" t="s">
        <v>6815</v>
      </c>
      <c r="C2562" s="67" t="s">
        <v>203</v>
      </c>
      <c r="D2562" s="69" t="s">
        <v>6816</v>
      </c>
      <c r="E2562" s="69" t="s">
        <v>6817</v>
      </c>
      <c r="F2562" s="69" t="s">
        <v>993</v>
      </c>
    </row>
    <row r="2563" spans="1:6" ht="56.25" x14ac:dyDescent="0.2">
      <c r="A2563" s="65" t="s">
        <v>6818</v>
      </c>
      <c r="B2563" s="66" t="s">
        <v>6819</v>
      </c>
      <c r="C2563" s="67" t="s">
        <v>221</v>
      </c>
      <c r="D2563" s="69" t="s">
        <v>6820</v>
      </c>
      <c r="E2563" s="69" t="s">
        <v>318</v>
      </c>
      <c r="F2563" s="69" t="s">
        <v>6821</v>
      </c>
    </row>
    <row r="2564" spans="1:6" ht="22.5" x14ac:dyDescent="0.2">
      <c r="A2564" s="50">
        <v>41.05</v>
      </c>
      <c r="B2564" s="64" t="s">
        <v>6822</v>
      </c>
      <c r="C2564" s="47"/>
      <c r="D2564" s="47"/>
      <c r="E2564" s="47"/>
      <c r="F2564" s="47"/>
    </row>
    <row r="2565" spans="1:6" ht="22.5" x14ac:dyDescent="0.2">
      <c r="A2565" s="65" t="s">
        <v>6823</v>
      </c>
      <c r="B2565" s="65" t="s">
        <v>6824</v>
      </c>
      <c r="C2565" s="67" t="s">
        <v>203</v>
      </c>
      <c r="D2565" s="69" t="s">
        <v>6825</v>
      </c>
      <c r="E2565" s="69" t="s">
        <v>249</v>
      </c>
      <c r="F2565" s="69" t="s">
        <v>6826</v>
      </c>
    </row>
    <row r="2566" spans="1:6" ht="22.5" x14ac:dyDescent="0.2">
      <c r="A2566" s="65" t="s">
        <v>6827</v>
      </c>
      <c r="B2566" s="65" t="s">
        <v>6828</v>
      </c>
      <c r="C2566" s="67" t="s">
        <v>203</v>
      </c>
      <c r="D2566" s="69" t="s">
        <v>6829</v>
      </c>
      <c r="E2566" s="69" t="s">
        <v>249</v>
      </c>
      <c r="F2566" s="69" t="s">
        <v>6830</v>
      </c>
    </row>
    <row r="2567" spans="1:6" ht="33.75" x14ac:dyDescent="0.2">
      <c r="A2567" s="65" t="s">
        <v>6831</v>
      </c>
      <c r="B2567" s="65" t="s">
        <v>6832</v>
      </c>
      <c r="C2567" s="67" t="s">
        <v>203</v>
      </c>
      <c r="D2567" s="69" t="s">
        <v>6833</v>
      </c>
      <c r="E2567" s="69" t="s">
        <v>249</v>
      </c>
      <c r="F2567" s="69" t="s">
        <v>6834</v>
      </c>
    </row>
    <row r="2568" spans="1:6" x14ac:dyDescent="0.2">
      <c r="A2568" s="50">
        <v>41.06</v>
      </c>
      <c r="B2568" s="64" t="s">
        <v>6835</v>
      </c>
      <c r="C2568" s="47"/>
      <c r="D2568" s="47"/>
      <c r="E2568" s="47"/>
      <c r="F2568" s="47"/>
    </row>
    <row r="2569" spans="1:6" ht="22.5" x14ac:dyDescent="0.2">
      <c r="A2569" s="65" t="s">
        <v>6836</v>
      </c>
      <c r="B2569" s="65" t="s">
        <v>6837</v>
      </c>
      <c r="C2569" s="67" t="s">
        <v>203</v>
      </c>
      <c r="D2569" s="69" t="s">
        <v>6838</v>
      </c>
      <c r="E2569" s="69" t="s">
        <v>249</v>
      </c>
      <c r="F2569" s="69" t="s">
        <v>6839</v>
      </c>
    </row>
    <row r="2570" spans="1:6" ht="22.5" x14ac:dyDescent="0.2">
      <c r="A2570" s="65" t="s">
        <v>6840</v>
      </c>
      <c r="B2570" s="65" t="s">
        <v>6841</v>
      </c>
      <c r="C2570" s="67" t="s">
        <v>203</v>
      </c>
      <c r="D2570" s="69" t="s">
        <v>6842</v>
      </c>
      <c r="E2570" s="69" t="s">
        <v>249</v>
      </c>
      <c r="F2570" s="69" t="s">
        <v>6843</v>
      </c>
    </row>
    <row r="2571" spans="1:6" ht="33.75" x14ac:dyDescent="0.2">
      <c r="A2571" s="65" t="s">
        <v>6844</v>
      </c>
      <c r="B2571" s="65" t="s">
        <v>6845</v>
      </c>
      <c r="C2571" s="67" t="s">
        <v>203</v>
      </c>
      <c r="D2571" s="69" t="s">
        <v>6846</v>
      </c>
      <c r="E2571" s="69" t="s">
        <v>249</v>
      </c>
      <c r="F2571" s="69" t="s">
        <v>6847</v>
      </c>
    </row>
    <row r="2572" spans="1:6" x14ac:dyDescent="0.2">
      <c r="A2572" s="50">
        <v>41.07</v>
      </c>
      <c r="B2572" s="64" t="s">
        <v>6848</v>
      </c>
      <c r="C2572" s="47"/>
      <c r="D2572" s="47"/>
      <c r="E2572" s="47"/>
      <c r="F2572" s="47"/>
    </row>
    <row r="2573" spans="1:6" ht="22.5" x14ac:dyDescent="0.2">
      <c r="A2573" s="65" t="s">
        <v>6849</v>
      </c>
      <c r="B2573" s="65" t="s">
        <v>6850</v>
      </c>
      <c r="C2573" s="67" t="s">
        <v>203</v>
      </c>
      <c r="D2573" s="69" t="s">
        <v>6508</v>
      </c>
      <c r="E2573" s="69" t="s">
        <v>249</v>
      </c>
      <c r="F2573" s="69" t="s">
        <v>6851</v>
      </c>
    </row>
    <row r="2574" spans="1:6" ht="22.5" x14ac:dyDescent="0.2">
      <c r="A2574" s="65" t="s">
        <v>6852</v>
      </c>
      <c r="B2574" s="65" t="s">
        <v>6853</v>
      </c>
      <c r="C2574" s="67" t="s">
        <v>203</v>
      </c>
      <c r="D2574" s="69" t="s">
        <v>6854</v>
      </c>
      <c r="E2574" s="69" t="s">
        <v>249</v>
      </c>
      <c r="F2574" s="69" t="s">
        <v>6390</v>
      </c>
    </row>
    <row r="2575" spans="1:6" ht="22.5" x14ac:dyDescent="0.2">
      <c r="A2575" s="65" t="s">
        <v>6855</v>
      </c>
      <c r="B2575" s="65" t="s">
        <v>6856</v>
      </c>
      <c r="C2575" s="67" t="s">
        <v>203</v>
      </c>
      <c r="D2575" s="69" t="s">
        <v>6857</v>
      </c>
      <c r="E2575" s="69" t="s">
        <v>249</v>
      </c>
      <c r="F2575" s="69" t="s">
        <v>6858</v>
      </c>
    </row>
    <row r="2576" spans="1:6" ht="22.5" x14ac:dyDescent="0.2">
      <c r="A2576" s="65" t="s">
        <v>6859</v>
      </c>
      <c r="B2576" s="65" t="s">
        <v>6860</v>
      </c>
      <c r="C2576" s="67" t="s">
        <v>203</v>
      </c>
      <c r="D2576" s="69" t="s">
        <v>301</v>
      </c>
      <c r="E2576" s="69" t="s">
        <v>249</v>
      </c>
      <c r="F2576" s="69" t="s">
        <v>303</v>
      </c>
    </row>
    <row r="2577" spans="1:6" ht="22.5" x14ac:dyDescent="0.2">
      <c r="A2577" s="65" t="s">
        <v>6861</v>
      </c>
      <c r="B2577" s="65" t="s">
        <v>6862</v>
      </c>
      <c r="C2577" s="67" t="s">
        <v>203</v>
      </c>
      <c r="D2577" s="69" t="s">
        <v>6863</v>
      </c>
      <c r="E2577" s="69" t="s">
        <v>249</v>
      </c>
      <c r="F2577" s="69" t="s">
        <v>6864</v>
      </c>
    </row>
    <row r="2578" spans="1:6" ht="45" x14ac:dyDescent="0.2">
      <c r="A2578" s="65" t="s">
        <v>6865</v>
      </c>
      <c r="B2578" s="66" t="s">
        <v>6866</v>
      </c>
      <c r="C2578" s="67" t="s">
        <v>203</v>
      </c>
      <c r="D2578" s="69" t="s">
        <v>6016</v>
      </c>
      <c r="E2578" s="69" t="s">
        <v>249</v>
      </c>
      <c r="F2578" s="69" t="s">
        <v>6867</v>
      </c>
    </row>
    <row r="2579" spans="1:6" ht="45" x14ac:dyDescent="0.2">
      <c r="A2579" s="65" t="s">
        <v>6868</v>
      </c>
      <c r="B2579" s="66" t="s">
        <v>6869</v>
      </c>
      <c r="C2579" s="67" t="s">
        <v>203</v>
      </c>
      <c r="D2579" s="69" t="s">
        <v>282</v>
      </c>
      <c r="E2579" s="69" t="s">
        <v>249</v>
      </c>
      <c r="F2579" s="69" t="s">
        <v>6870</v>
      </c>
    </row>
    <row r="2580" spans="1:6" ht="45" x14ac:dyDescent="0.2">
      <c r="A2580" s="65" t="s">
        <v>6871</v>
      </c>
      <c r="B2580" s="66" t="s">
        <v>6872</v>
      </c>
      <c r="C2580" s="67" t="s">
        <v>203</v>
      </c>
      <c r="D2580" s="69" t="s">
        <v>3458</v>
      </c>
      <c r="E2580" s="69" t="s">
        <v>249</v>
      </c>
      <c r="F2580" s="69" t="s">
        <v>6873</v>
      </c>
    </row>
    <row r="2581" spans="1:6" ht="45" x14ac:dyDescent="0.2">
      <c r="A2581" s="65" t="s">
        <v>6874</v>
      </c>
      <c r="B2581" s="66" t="s">
        <v>6875</v>
      </c>
      <c r="C2581" s="67" t="s">
        <v>203</v>
      </c>
      <c r="D2581" s="69" t="s">
        <v>6013</v>
      </c>
      <c r="E2581" s="69" t="s">
        <v>249</v>
      </c>
      <c r="F2581" s="69" t="s">
        <v>1107</v>
      </c>
    </row>
    <row r="2582" spans="1:6" ht="45" x14ac:dyDescent="0.2">
      <c r="A2582" s="65" t="s">
        <v>6876</v>
      </c>
      <c r="B2582" s="66" t="s">
        <v>6877</v>
      </c>
      <c r="C2582" s="67" t="s">
        <v>203</v>
      </c>
      <c r="D2582" s="69" t="s">
        <v>1668</v>
      </c>
      <c r="E2582" s="69" t="s">
        <v>249</v>
      </c>
      <c r="F2582" s="69" t="s">
        <v>6878</v>
      </c>
    </row>
    <row r="2583" spans="1:6" ht="45" x14ac:dyDescent="0.2">
      <c r="A2583" s="65" t="s">
        <v>6879</v>
      </c>
      <c r="B2583" s="66" t="s">
        <v>6880</v>
      </c>
      <c r="C2583" s="67" t="s">
        <v>203</v>
      </c>
      <c r="D2583" s="69" t="s">
        <v>6881</v>
      </c>
      <c r="E2583" s="69" t="s">
        <v>249</v>
      </c>
      <c r="F2583" s="69" t="s">
        <v>6882</v>
      </c>
    </row>
    <row r="2584" spans="1:6" ht="22.5" x14ac:dyDescent="0.2">
      <c r="A2584" s="65" t="s">
        <v>6883</v>
      </c>
      <c r="B2584" s="65" t="s">
        <v>6884</v>
      </c>
      <c r="C2584" s="67" t="s">
        <v>203</v>
      </c>
      <c r="D2584" s="69" t="s">
        <v>414</v>
      </c>
      <c r="E2584" s="69" t="s">
        <v>249</v>
      </c>
      <c r="F2584" s="69" t="s">
        <v>6885</v>
      </c>
    </row>
    <row r="2585" spans="1:6" ht="22.5" x14ac:dyDescent="0.2">
      <c r="A2585" s="65" t="s">
        <v>6886</v>
      </c>
      <c r="B2585" s="65" t="s">
        <v>6887</v>
      </c>
      <c r="C2585" s="67" t="s">
        <v>203</v>
      </c>
      <c r="D2585" s="69" t="s">
        <v>6888</v>
      </c>
      <c r="E2585" s="69" t="s">
        <v>249</v>
      </c>
      <c r="F2585" s="69" t="s">
        <v>6889</v>
      </c>
    </row>
    <row r="2586" spans="1:6" ht="22.5" x14ac:dyDescent="0.2">
      <c r="A2586" s="65" t="s">
        <v>6890</v>
      </c>
      <c r="B2586" s="65" t="s">
        <v>6891</v>
      </c>
      <c r="C2586" s="67" t="s">
        <v>203</v>
      </c>
      <c r="D2586" s="69" t="s">
        <v>3774</v>
      </c>
      <c r="E2586" s="69" t="s">
        <v>249</v>
      </c>
      <c r="F2586" s="69" t="s">
        <v>6892</v>
      </c>
    </row>
    <row r="2587" spans="1:6" ht="22.5" x14ac:dyDescent="0.2">
      <c r="A2587" s="65" t="s">
        <v>6893</v>
      </c>
      <c r="B2587" s="65" t="s">
        <v>6894</v>
      </c>
      <c r="C2587" s="67" t="s">
        <v>203</v>
      </c>
      <c r="D2587" s="69" t="s">
        <v>5433</v>
      </c>
      <c r="E2587" s="69" t="s">
        <v>249</v>
      </c>
      <c r="F2587" s="69" t="s">
        <v>6895</v>
      </c>
    </row>
    <row r="2588" spans="1:6" ht="22.5" x14ac:dyDescent="0.2">
      <c r="A2588" s="65" t="s">
        <v>6896</v>
      </c>
      <c r="B2588" s="65" t="s">
        <v>6897</v>
      </c>
      <c r="C2588" s="67" t="s">
        <v>203</v>
      </c>
      <c r="D2588" s="69" t="s">
        <v>6898</v>
      </c>
      <c r="E2588" s="69" t="s">
        <v>249</v>
      </c>
      <c r="F2588" s="69" t="s">
        <v>6899</v>
      </c>
    </row>
    <row r="2589" spans="1:6" ht="33.75" x14ac:dyDescent="0.2">
      <c r="A2589" s="50">
        <v>41.08</v>
      </c>
      <c r="B2589" s="64" t="s">
        <v>6900</v>
      </c>
      <c r="C2589" s="48"/>
      <c r="D2589" s="48"/>
      <c r="E2589" s="48"/>
      <c r="F2589" s="48"/>
    </row>
    <row r="2590" spans="1:6" ht="45" x14ac:dyDescent="0.2">
      <c r="A2590" s="65" t="s">
        <v>6901</v>
      </c>
      <c r="B2590" s="66" t="s">
        <v>6902</v>
      </c>
      <c r="C2590" s="67" t="s">
        <v>203</v>
      </c>
      <c r="D2590" s="69" t="s">
        <v>6903</v>
      </c>
      <c r="E2590" s="69" t="s">
        <v>336</v>
      </c>
      <c r="F2590" s="69" t="s">
        <v>361</v>
      </c>
    </row>
    <row r="2591" spans="1:6" ht="45" x14ac:dyDescent="0.2">
      <c r="A2591" s="65" t="s">
        <v>6904</v>
      </c>
      <c r="B2591" s="66" t="s">
        <v>6905</v>
      </c>
      <c r="C2591" s="67" t="s">
        <v>203</v>
      </c>
      <c r="D2591" s="69" t="s">
        <v>6906</v>
      </c>
      <c r="E2591" s="69" t="s">
        <v>336</v>
      </c>
      <c r="F2591" s="69" t="s">
        <v>6907</v>
      </c>
    </row>
    <row r="2592" spans="1:6" ht="45" x14ac:dyDescent="0.2">
      <c r="A2592" s="65" t="s">
        <v>6908</v>
      </c>
      <c r="B2592" s="66" t="s">
        <v>6909</v>
      </c>
      <c r="C2592" s="67" t="s">
        <v>203</v>
      </c>
      <c r="D2592" s="69" t="s">
        <v>6910</v>
      </c>
      <c r="E2592" s="69" t="s">
        <v>336</v>
      </c>
      <c r="F2592" s="69" t="s">
        <v>6911</v>
      </c>
    </row>
    <row r="2593" spans="1:6" ht="45" x14ac:dyDescent="0.2">
      <c r="A2593" s="65" t="s">
        <v>6912</v>
      </c>
      <c r="B2593" s="66" t="s">
        <v>6913</v>
      </c>
      <c r="C2593" s="67" t="s">
        <v>203</v>
      </c>
      <c r="D2593" s="69" t="s">
        <v>6914</v>
      </c>
      <c r="E2593" s="69" t="s">
        <v>336</v>
      </c>
      <c r="F2593" s="69" t="s">
        <v>6748</v>
      </c>
    </row>
    <row r="2594" spans="1:6" ht="45" x14ac:dyDescent="0.2">
      <c r="A2594" s="65" t="s">
        <v>6915</v>
      </c>
      <c r="B2594" s="66" t="s">
        <v>6916</v>
      </c>
      <c r="C2594" s="67" t="s">
        <v>203</v>
      </c>
      <c r="D2594" s="69" t="s">
        <v>6917</v>
      </c>
      <c r="E2594" s="69" t="s">
        <v>336</v>
      </c>
      <c r="F2594" s="69" t="s">
        <v>6918</v>
      </c>
    </row>
    <row r="2595" spans="1:6" ht="45" x14ac:dyDescent="0.2">
      <c r="A2595" s="65" t="s">
        <v>6919</v>
      </c>
      <c r="B2595" s="66" t="s">
        <v>6920</v>
      </c>
      <c r="C2595" s="74" t="s">
        <v>203</v>
      </c>
      <c r="D2595" s="69" t="s">
        <v>6921</v>
      </c>
      <c r="E2595" s="69" t="s">
        <v>336</v>
      </c>
      <c r="F2595" s="69" t="s">
        <v>6922</v>
      </c>
    </row>
    <row r="2596" spans="1:6" ht="45" x14ac:dyDescent="0.2">
      <c r="A2596" s="65" t="s">
        <v>6923</v>
      </c>
      <c r="B2596" s="66" t="s">
        <v>6924</v>
      </c>
      <c r="C2596" s="74" t="s">
        <v>203</v>
      </c>
      <c r="D2596" s="69" t="s">
        <v>6925</v>
      </c>
      <c r="E2596" s="69" t="s">
        <v>336</v>
      </c>
      <c r="F2596" s="69" t="s">
        <v>6926</v>
      </c>
    </row>
    <row r="2597" spans="1:6" ht="45" x14ac:dyDescent="0.2">
      <c r="A2597" s="65" t="s">
        <v>6927</v>
      </c>
      <c r="B2597" s="66" t="s">
        <v>6928</v>
      </c>
      <c r="C2597" s="74" t="s">
        <v>203</v>
      </c>
      <c r="D2597" s="69" t="s">
        <v>6929</v>
      </c>
      <c r="E2597" s="69" t="s">
        <v>336</v>
      </c>
      <c r="F2597" s="69" t="s">
        <v>6930</v>
      </c>
    </row>
    <row r="2598" spans="1:6" ht="45" x14ac:dyDescent="0.2">
      <c r="A2598" s="65" t="s">
        <v>6931</v>
      </c>
      <c r="B2598" s="66" t="s">
        <v>6932</v>
      </c>
      <c r="C2598" s="74" t="s">
        <v>203</v>
      </c>
      <c r="D2598" s="69" t="s">
        <v>6933</v>
      </c>
      <c r="E2598" s="69" t="s">
        <v>336</v>
      </c>
      <c r="F2598" s="69" t="s">
        <v>6934</v>
      </c>
    </row>
    <row r="2599" spans="1:6" ht="22.5" x14ac:dyDescent="0.2">
      <c r="A2599" s="50">
        <v>41.09</v>
      </c>
      <c r="B2599" s="64" t="s">
        <v>6935</v>
      </c>
      <c r="C2599" s="47"/>
      <c r="D2599" s="47"/>
      <c r="E2599" s="47"/>
      <c r="F2599" s="47"/>
    </row>
    <row r="2600" spans="1:6" ht="78.75" x14ac:dyDescent="0.2">
      <c r="A2600" s="70" t="s">
        <v>6936</v>
      </c>
      <c r="B2600" s="66" t="s">
        <v>6937</v>
      </c>
      <c r="C2600" s="75" t="s">
        <v>203</v>
      </c>
      <c r="D2600" s="72" t="s">
        <v>6938</v>
      </c>
      <c r="E2600" s="72" t="s">
        <v>318</v>
      </c>
      <c r="F2600" s="72" t="s">
        <v>6939</v>
      </c>
    </row>
    <row r="2601" spans="1:6" ht="78.75" x14ac:dyDescent="0.2">
      <c r="A2601" s="70" t="s">
        <v>6940</v>
      </c>
      <c r="B2601" s="66" t="s">
        <v>6941</v>
      </c>
      <c r="C2601" s="75" t="s">
        <v>203</v>
      </c>
      <c r="D2601" s="72" t="s">
        <v>6942</v>
      </c>
      <c r="E2601" s="72" t="s">
        <v>336</v>
      </c>
      <c r="F2601" s="72" t="s">
        <v>6943</v>
      </c>
    </row>
    <row r="2602" spans="1:6" ht="78.75" x14ac:dyDescent="0.2">
      <c r="A2602" s="70" t="s">
        <v>6944</v>
      </c>
      <c r="B2602" s="66" t="s">
        <v>6945</v>
      </c>
      <c r="C2602" s="75" t="s">
        <v>203</v>
      </c>
      <c r="D2602" s="72" t="s">
        <v>6946</v>
      </c>
      <c r="E2602" s="72" t="s">
        <v>318</v>
      </c>
      <c r="F2602" s="72" t="s">
        <v>6947</v>
      </c>
    </row>
    <row r="2603" spans="1:6" ht="78.75" x14ac:dyDescent="0.2">
      <c r="A2603" s="70" t="s">
        <v>6948</v>
      </c>
      <c r="B2603" s="66" t="s">
        <v>6949</v>
      </c>
      <c r="C2603" s="75" t="s">
        <v>203</v>
      </c>
      <c r="D2603" s="72" t="s">
        <v>6950</v>
      </c>
      <c r="E2603" s="72" t="s">
        <v>318</v>
      </c>
      <c r="F2603" s="72" t="s">
        <v>6951</v>
      </c>
    </row>
    <row r="2604" spans="1:6" ht="67.5" x14ac:dyDescent="0.2">
      <c r="A2604" s="70" t="s">
        <v>6952</v>
      </c>
      <c r="B2604" s="66" t="s">
        <v>6953</v>
      </c>
      <c r="C2604" s="75" t="s">
        <v>203</v>
      </c>
      <c r="D2604" s="72" t="s">
        <v>431</v>
      </c>
      <c r="E2604" s="72" t="s">
        <v>336</v>
      </c>
      <c r="F2604" s="72" t="s">
        <v>6954</v>
      </c>
    </row>
    <row r="2605" spans="1:6" ht="78.75" x14ac:dyDescent="0.2">
      <c r="A2605" s="70" t="s">
        <v>6955</v>
      </c>
      <c r="B2605" s="66" t="s">
        <v>6956</v>
      </c>
      <c r="C2605" s="75" t="s">
        <v>203</v>
      </c>
      <c r="D2605" s="72" t="s">
        <v>6957</v>
      </c>
      <c r="E2605" s="72" t="s">
        <v>318</v>
      </c>
      <c r="F2605" s="72" t="s">
        <v>6958</v>
      </c>
    </row>
    <row r="2606" spans="1:6" x14ac:dyDescent="0.2">
      <c r="A2606" s="50">
        <v>41.1</v>
      </c>
      <c r="B2606" s="64" t="s">
        <v>6959</v>
      </c>
      <c r="C2606" s="47"/>
      <c r="D2606" s="47"/>
      <c r="E2606" s="47"/>
      <c r="F2606" s="47"/>
    </row>
    <row r="2607" spans="1:6" ht="45" x14ac:dyDescent="0.2">
      <c r="A2607" s="65" t="s">
        <v>6960</v>
      </c>
      <c r="B2607" s="66" t="s">
        <v>6961</v>
      </c>
      <c r="C2607" s="74" t="s">
        <v>203</v>
      </c>
      <c r="D2607" s="69" t="s">
        <v>6962</v>
      </c>
      <c r="E2607" s="69" t="s">
        <v>337</v>
      </c>
      <c r="F2607" s="69" t="s">
        <v>6963</v>
      </c>
    </row>
    <row r="2608" spans="1:6" ht="33.75" x14ac:dyDescent="0.2">
      <c r="A2608" s="65" t="s">
        <v>6964</v>
      </c>
      <c r="B2608" s="65" t="s">
        <v>6965</v>
      </c>
      <c r="C2608" s="74" t="s">
        <v>203</v>
      </c>
      <c r="D2608" s="69" t="s">
        <v>6966</v>
      </c>
      <c r="E2608" s="69" t="s">
        <v>337</v>
      </c>
      <c r="F2608" s="69" t="s">
        <v>6967</v>
      </c>
    </row>
    <row r="2609" spans="1:6" ht="33.75" x14ac:dyDescent="0.2">
      <c r="A2609" s="65" t="s">
        <v>6968</v>
      </c>
      <c r="B2609" s="65" t="s">
        <v>6969</v>
      </c>
      <c r="C2609" s="74" t="s">
        <v>203</v>
      </c>
      <c r="D2609" s="69" t="s">
        <v>6970</v>
      </c>
      <c r="E2609" s="69" t="s">
        <v>337</v>
      </c>
      <c r="F2609" s="69" t="s">
        <v>6971</v>
      </c>
    </row>
    <row r="2610" spans="1:6" ht="45" x14ac:dyDescent="0.2">
      <c r="A2610" s="65" t="s">
        <v>6972</v>
      </c>
      <c r="B2610" s="66" t="s">
        <v>6973</v>
      </c>
      <c r="C2610" s="74" t="s">
        <v>203</v>
      </c>
      <c r="D2610" s="69" t="s">
        <v>6974</v>
      </c>
      <c r="E2610" s="69" t="s">
        <v>6975</v>
      </c>
      <c r="F2610" s="69" t="s">
        <v>6976</v>
      </c>
    </row>
    <row r="2611" spans="1:6" ht="45" x14ac:dyDescent="0.2">
      <c r="A2611" s="65" t="s">
        <v>6977</v>
      </c>
      <c r="B2611" s="66" t="s">
        <v>6978</v>
      </c>
      <c r="C2611" s="74" t="s">
        <v>203</v>
      </c>
      <c r="D2611" s="69" t="s">
        <v>6979</v>
      </c>
      <c r="E2611" s="69" t="s">
        <v>6980</v>
      </c>
      <c r="F2611" s="69" t="s">
        <v>6981</v>
      </c>
    </row>
    <row r="2612" spans="1:6" ht="45" x14ac:dyDescent="0.2">
      <c r="A2612" s="65" t="s">
        <v>6982</v>
      </c>
      <c r="B2612" s="66" t="s">
        <v>6983</v>
      </c>
      <c r="C2612" s="74" t="s">
        <v>203</v>
      </c>
      <c r="D2612" s="69" t="s">
        <v>6984</v>
      </c>
      <c r="E2612" s="69" t="s">
        <v>6980</v>
      </c>
      <c r="F2612" s="69" t="s">
        <v>6985</v>
      </c>
    </row>
    <row r="2613" spans="1:6" ht="56.25" x14ac:dyDescent="0.2">
      <c r="A2613" s="65" t="s">
        <v>6986</v>
      </c>
      <c r="B2613" s="66" t="s">
        <v>6987</v>
      </c>
      <c r="C2613" s="74" t="s">
        <v>203</v>
      </c>
      <c r="D2613" s="69" t="s">
        <v>6988</v>
      </c>
      <c r="E2613" s="69" t="s">
        <v>6989</v>
      </c>
      <c r="F2613" s="69" t="s">
        <v>6990</v>
      </c>
    </row>
    <row r="2614" spans="1:6" ht="56.25" x14ac:dyDescent="0.2">
      <c r="A2614" s="65" t="s">
        <v>6991</v>
      </c>
      <c r="B2614" s="66" t="s">
        <v>6992</v>
      </c>
      <c r="C2614" s="74" t="s">
        <v>203</v>
      </c>
      <c r="D2614" s="69" t="s">
        <v>6993</v>
      </c>
      <c r="E2614" s="69" t="s">
        <v>6989</v>
      </c>
      <c r="F2614" s="69" t="s">
        <v>6994</v>
      </c>
    </row>
    <row r="2615" spans="1:6" ht="45" x14ac:dyDescent="0.2">
      <c r="A2615" s="65" t="s">
        <v>6995</v>
      </c>
      <c r="B2615" s="66" t="s">
        <v>6996</v>
      </c>
      <c r="C2615" s="74" t="s">
        <v>203</v>
      </c>
      <c r="D2615" s="69" t="s">
        <v>6997</v>
      </c>
      <c r="E2615" s="69" t="s">
        <v>6980</v>
      </c>
      <c r="F2615" s="69" t="s">
        <v>6998</v>
      </c>
    </row>
    <row r="2616" spans="1:6" ht="45" x14ac:dyDescent="0.2">
      <c r="A2616" s="65" t="s">
        <v>6999</v>
      </c>
      <c r="B2616" s="66" t="s">
        <v>7000</v>
      </c>
      <c r="C2616" s="74" t="s">
        <v>203</v>
      </c>
      <c r="D2616" s="69" t="s">
        <v>7001</v>
      </c>
      <c r="E2616" s="69" t="s">
        <v>7002</v>
      </c>
      <c r="F2616" s="69" t="s">
        <v>7003</v>
      </c>
    </row>
    <row r="2617" spans="1:6" ht="45" x14ac:dyDescent="0.2">
      <c r="A2617" s="65" t="s">
        <v>7004</v>
      </c>
      <c r="B2617" s="66" t="s">
        <v>7005</v>
      </c>
      <c r="C2617" s="74" t="s">
        <v>203</v>
      </c>
      <c r="D2617" s="69" t="s">
        <v>7006</v>
      </c>
      <c r="E2617" s="69" t="s">
        <v>6980</v>
      </c>
      <c r="F2617" s="69" t="s">
        <v>7007</v>
      </c>
    </row>
    <row r="2618" spans="1:6" ht="22.5" x14ac:dyDescent="0.2">
      <c r="A2618" s="50">
        <v>41.11</v>
      </c>
      <c r="B2618" s="64" t="s">
        <v>7008</v>
      </c>
      <c r="C2618" s="47"/>
      <c r="D2618" s="47"/>
      <c r="E2618" s="47"/>
      <c r="F2618" s="47"/>
    </row>
    <row r="2619" spans="1:6" ht="33.75" x14ac:dyDescent="0.2">
      <c r="A2619" s="65" t="s">
        <v>7009</v>
      </c>
      <c r="B2619" s="65" t="s">
        <v>7010</v>
      </c>
      <c r="C2619" s="74" t="s">
        <v>203</v>
      </c>
      <c r="D2619" s="69" t="s">
        <v>7011</v>
      </c>
      <c r="E2619" s="69" t="s">
        <v>335</v>
      </c>
      <c r="F2619" s="69" t="s">
        <v>7012</v>
      </c>
    </row>
    <row r="2620" spans="1:6" ht="33.75" x14ac:dyDescent="0.2">
      <c r="A2620" s="65" t="s">
        <v>7013</v>
      </c>
      <c r="B2620" s="66" t="s">
        <v>7014</v>
      </c>
      <c r="C2620" s="74" t="s">
        <v>203</v>
      </c>
      <c r="D2620" s="69" t="s">
        <v>7015</v>
      </c>
      <c r="E2620" s="69" t="s">
        <v>323</v>
      </c>
      <c r="F2620" s="69" t="s">
        <v>7016</v>
      </c>
    </row>
    <row r="2621" spans="1:6" ht="45" x14ac:dyDescent="0.2">
      <c r="A2621" s="65" t="s">
        <v>7017</v>
      </c>
      <c r="B2621" s="66" t="s">
        <v>7018</v>
      </c>
      <c r="C2621" s="74" t="s">
        <v>203</v>
      </c>
      <c r="D2621" s="69" t="s">
        <v>7019</v>
      </c>
      <c r="E2621" s="69" t="s">
        <v>335</v>
      </c>
      <c r="F2621" s="69" t="s">
        <v>7020</v>
      </c>
    </row>
    <row r="2622" spans="1:6" ht="45" x14ac:dyDescent="0.2">
      <c r="A2622" s="65" t="s">
        <v>7021</v>
      </c>
      <c r="B2622" s="66" t="s">
        <v>7022</v>
      </c>
      <c r="C2622" s="74" t="s">
        <v>203</v>
      </c>
      <c r="D2622" s="69" t="s">
        <v>7023</v>
      </c>
      <c r="E2622" s="69" t="s">
        <v>335</v>
      </c>
      <c r="F2622" s="69" t="s">
        <v>7024</v>
      </c>
    </row>
    <row r="2623" spans="1:6" ht="33.75" x14ac:dyDescent="0.2">
      <c r="A2623" s="65" t="s">
        <v>7025</v>
      </c>
      <c r="B2623" s="65" t="s">
        <v>7026</v>
      </c>
      <c r="C2623" s="74" t="s">
        <v>203</v>
      </c>
      <c r="D2623" s="69" t="s">
        <v>7027</v>
      </c>
      <c r="E2623" s="69" t="s">
        <v>323</v>
      </c>
      <c r="F2623" s="69" t="s">
        <v>7028</v>
      </c>
    </row>
    <row r="2624" spans="1:6" ht="33.75" x14ac:dyDescent="0.2">
      <c r="A2624" s="65" t="s">
        <v>7029</v>
      </c>
      <c r="B2624" s="65" t="s">
        <v>7030</v>
      </c>
      <c r="C2624" s="74" t="s">
        <v>203</v>
      </c>
      <c r="D2624" s="69" t="s">
        <v>7031</v>
      </c>
      <c r="E2624" s="69" t="s">
        <v>323</v>
      </c>
      <c r="F2624" s="69" t="s">
        <v>7032</v>
      </c>
    </row>
    <row r="2625" spans="1:6" ht="45" x14ac:dyDescent="0.2">
      <c r="A2625" s="65" t="s">
        <v>7033</v>
      </c>
      <c r="B2625" s="66" t="s">
        <v>7034</v>
      </c>
      <c r="C2625" s="74" t="s">
        <v>203</v>
      </c>
      <c r="D2625" s="69" t="s">
        <v>7035</v>
      </c>
      <c r="E2625" s="69" t="s">
        <v>7036</v>
      </c>
      <c r="F2625" s="69" t="s">
        <v>7037</v>
      </c>
    </row>
    <row r="2626" spans="1:6" ht="45" x14ac:dyDescent="0.2">
      <c r="A2626" s="65" t="s">
        <v>7038</v>
      </c>
      <c r="B2626" s="66" t="s">
        <v>7039</v>
      </c>
      <c r="C2626" s="74" t="s">
        <v>203</v>
      </c>
      <c r="D2626" s="69" t="s">
        <v>7040</v>
      </c>
      <c r="E2626" s="69" t="s">
        <v>335</v>
      </c>
      <c r="F2626" s="69" t="s">
        <v>7041</v>
      </c>
    </row>
    <row r="2627" spans="1:6" ht="45" x14ac:dyDescent="0.2">
      <c r="A2627" s="65" t="s">
        <v>7042</v>
      </c>
      <c r="B2627" s="66" t="s">
        <v>7043</v>
      </c>
      <c r="C2627" s="74" t="s">
        <v>203</v>
      </c>
      <c r="D2627" s="69" t="s">
        <v>7044</v>
      </c>
      <c r="E2627" s="69" t="s">
        <v>335</v>
      </c>
      <c r="F2627" s="69" t="s">
        <v>7045</v>
      </c>
    </row>
    <row r="2628" spans="1:6" ht="33.75" x14ac:dyDescent="0.2">
      <c r="A2628" s="65" t="s">
        <v>7046</v>
      </c>
      <c r="B2628" s="65" t="s">
        <v>7047</v>
      </c>
      <c r="C2628" s="74" t="s">
        <v>203</v>
      </c>
      <c r="D2628" s="69" t="s">
        <v>7048</v>
      </c>
      <c r="E2628" s="69" t="s">
        <v>335</v>
      </c>
      <c r="F2628" s="69" t="s">
        <v>7049</v>
      </c>
    </row>
    <row r="2629" spans="1:6" ht="45" x14ac:dyDescent="0.2">
      <c r="A2629" s="65" t="s">
        <v>7050</v>
      </c>
      <c r="B2629" s="66" t="s">
        <v>7051</v>
      </c>
      <c r="C2629" s="74" t="s">
        <v>203</v>
      </c>
      <c r="D2629" s="69" t="s">
        <v>7052</v>
      </c>
      <c r="E2629" s="69" t="s">
        <v>335</v>
      </c>
      <c r="F2629" s="69" t="s">
        <v>7053</v>
      </c>
    </row>
    <row r="2630" spans="1:6" ht="22.5" x14ac:dyDescent="0.2">
      <c r="A2630" s="50">
        <v>41.12</v>
      </c>
      <c r="B2630" s="64" t="s">
        <v>7054</v>
      </c>
      <c r="C2630" s="47"/>
      <c r="D2630" s="47"/>
      <c r="E2630" s="47"/>
      <c r="F2630" s="47"/>
    </row>
    <row r="2631" spans="1:6" ht="56.25" x14ac:dyDescent="0.2">
      <c r="A2631" s="65" t="s">
        <v>7055</v>
      </c>
      <c r="B2631" s="66" t="s">
        <v>7056</v>
      </c>
      <c r="C2631" s="74" t="s">
        <v>203</v>
      </c>
      <c r="D2631" s="69" t="s">
        <v>7057</v>
      </c>
      <c r="E2631" s="69" t="s">
        <v>319</v>
      </c>
      <c r="F2631" s="69" t="s">
        <v>7058</v>
      </c>
    </row>
    <row r="2632" spans="1:6" ht="45" x14ac:dyDescent="0.2">
      <c r="A2632" s="65" t="s">
        <v>7059</v>
      </c>
      <c r="B2632" s="66" t="s">
        <v>7060</v>
      </c>
      <c r="C2632" s="74" t="s">
        <v>203</v>
      </c>
      <c r="D2632" s="69" t="s">
        <v>7061</v>
      </c>
      <c r="E2632" s="69" t="s">
        <v>319</v>
      </c>
      <c r="F2632" s="69" t="s">
        <v>7062</v>
      </c>
    </row>
    <row r="2633" spans="1:6" ht="45" x14ac:dyDescent="0.2">
      <c r="A2633" s="65" t="s">
        <v>7063</v>
      </c>
      <c r="B2633" s="66" t="s">
        <v>7064</v>
      </c>
      <c r="C2633" s="74" t="s">
        <v>203</v>
      </c>
      <c r="D2633" s="69" t="s">
        <v>7065</v>
      </c>
      <c r="E2633" s="69" t="s">
        <v>319</v>
      </c>
      <c r="F2633" s="69" t="s">
        <v>7066</v>
      </c>
    </row>
    <row r="2634" spans="1:6" ht="45" x14ac:dyDescent="0.2">
      <c r="A2634" s="65" t="s">
        <v>7067</v>
      </c>
      <c r="B2634" s="66" t="s">
        <v>7068</v>
      </c>
      <c r="C2634" s="74" t="s">
        <v>203</v>
      </c>
      <c r="D2634" s="69" t="s">
        <v>7069</v>
      </c>
      <c r="E2634" s="69" t="s">
        <v>319</v>
      </c>
      <c r="F2634" s="69" t="s">
        <v>7070</v>
      </c>
    </row>
    <row r="2635" spans="1:6" ht="56.25" x14ac:dyDescent="0.2">
      <c r="A2635" s="65" t="s">
        <v>7071</v>
      </c>
      <c r="B2635" s="66" t="s">
        <v>7072</v>
      </c>
      <c r="C2635" s="74" t="s">
        <v>203</v>
      </c>
      <c r="D2635" s="69" t="s">
        <v>7073</v>
      </c>
      <c r="E2635" s="69" t="s">
        <v>319</v>
      </c>
      <c r="F2635" s="69" t="s">
        <v>7074</v>
      </c>
    </row>
    <row r="2636" spans="1:6" ht="45" x14ac:dyDescent="0.2">
      <c r="A2636" s="65" t="s">
        <v>7075</v>
      </c>
      <c r="B2636" s="66" t="s">
        <v>7076</v>
      </c>
      <c r="C2636" s="74" t="s">
        <v>203</v>
      </c>
      <c r="D2636" s="69" t="s">
        <v>7077</v>
      </c>
      <c r="E2636" s="69" t="s">
        <v>319</v>
      </c>
      <c r="F2636" s="69" t="s">
        <v>7078</v>
      </c>
    </row>
    <row r="2637" spans="1:6" ht="22.5" x14ac:dyDescent="0.2">
      <c r="A2637" s="50">
        <v>41.13</v>
      </c>
      <c r="B2637" s="64" t="s">
        <v>7079</v>
      </c>
      <c r="C2637" s="47"/>
      <c r="D2637" s="47"/>
      <c r="E2637" s="47"/>
      <c r="F2637" s="47"/>
    </row>
    <row r="2638" spans="1:6" ht="33.75" x14ac:dyDescent="0.2">
      <c r="A2638" s="65" t="s">
        <v>7080</v>
      </c>
      <c r="B2638" s="65" t="s">
        <v>7081</v>
      </c>
      <c r="C2638" s="74" t="s">
        <v>203</v>
      </c>
      <c r="D2638" s="69" t="s">
        <v>7082</v>
      </c>
      <c r="E2638" s="69" t="s">
        <v>318</v>
      </c>
      <c r="F2638" s="69" t="s">
        <v>7083</v>
      </c>
    </row>
    <row r="2639" spans="1:6" ht="56.25" x14ac:dyDescent="0.2">
      <c r="A2639" s="65" t="s">
        <v>7084</v>
      </c>
      <c r="B2639" s="66" t="s">
        <v>7085</v>
      </c>
      <c r="C2639" s="74" t="s">
        <v>203</v>
      </c>
      <c r="D2639" s="69" t="s">
        <v>7086</v>
      </c>
      <c r="E2639" s="69" t="s">
        <v>318</v>
      </c>
      <c r="F2639" s="69" t="s">
        <v>7087</v>
      </c>
    </row>
    <row r="2640" spans="1:6" ht="56.25" x14ac:dyDescent="0.2">
      <c r="A2640" s="65" t="s">
        <v>7088</v>
      </c>
      <c r="B2640" s="66" t="s">
        <v>7089</v>
      </c>
      <c r="C2640" s="74" t="s">
        <v>203</v>
      </c>
      <c r="D2640" s="69" t="s">
        <v>7090</v>
      </c>
      <c r="E2640" s="69" t="s">
        <v>318</v>
      </c>
      <c r="F2640" s="69" t="s">
        <v>7091</v>
      </c>
    </row>
    <row r="2641" spans="1:6" ht="33.75" x14ac:dyDescent="0.2">
      <c r="A2641" s="65" t="s">
        <v>7092</v>
      </c>
      <c r="B2641" s="65" t="s">
        <v>7093</v>
      </c>
      <c r="C2641" s="74" t="s">
        <v>203</v>
      </c>
      <c r="D2641" s="69" t="s">
        <v>7094</v>
      </c>
      <c r="E2641" s="69" t="s">
        <v>318</v>
      </c>
      <c r="F2641" s="69" t="s">
        <v>7095</v>
      </c>
    </row>
    <row r="2642" spans="1:6" ht="45" x14ac:dyDescent="0.2">
      <c r="A2642" s="65" t="s">
        <v>7096</v>
      </c>
      <c r="B2642" s="66" t="s">
        <v>7097</v>
      </c>
      <c r="C2642" s="74" t="s">
        <v>203</v>
      </c>
      <c r="D2642" s="69" t="s">
        <v>626</v>
      </c>
      <c r="E2642" s="69" t="s">
        <v>318</v>
      </c>
      <c r="F2642" s="69" t="s">
        <v>7098</v>
      </c>
    </row>
    <row r="2643" spans="1:6" ht="22.5" x14ac:dyDescent="0.2">
      <c r="A2643" s="50">
        <v>41.14</v>
      </c>
      <c r="B2643" s="64" t="s">
        <v>7099</v>
      </c>
      <c r="C2643" s="47"/>
      <c r="D2643" s="47"/>
      <c r="E2643" s="47"/>
      <c r="F2643" s="47"/>
    </row>
    <row r="2644" spans="1:6" ht="56.25" x14ac:dyDescent="0.2">
      <c r="A2644" s="70" t="s">
        <v>7100</v>
      </c>
      <c r="B2644" s="65" t="s">
        <v>7101</v>
      </c>
      <c r="C2644" s="75" t="s">
        <v>203</v>
      </c>
      <c r="D2644" s="72" t="s">
        <v>7102</v>
      </c>
      <c r="E2644" s="72" t="s">
        <v>318</v>
      </c>
      <c r="F2644" s="72" t="s">
        <v>7103</v>
      </c>
    </row>
    <row r="2645" spans="1:6" ht="45" x14ac:dyDescent="0.2">
      <c r="A2645" s="65" t="s">
        <v>7104</v>
      </c>
      <c r="B2645" s="66" t="s">
        <v>7105</v>
      </c>
      <c r="C2645" s="74" t="s">
        <v>203</v>
      </c>
      <c r="D2645" s="69" t="s">
        <v>7106</v>
      </c>
      <c r="E2645" s="69" t="s">
        <v>318</v>
      </c>
      <c r="F2645" s="69" t="s">
        <v>7107</v>
      </c>
    </row>
    <row r="2646" spans="1:6" ht="56.25" x14ac:dyDescent="0.2">
      <c r="A2646" s="70" t="s">
        <v>7108</v>
      </c>
      <c r="B2646" s="65" t="s">
        <v>7109</v>
      </c>
      <c r="C2646" s="75" t="s">
        <v>203</v>
      </c>
      <c r="D2646" s="72" t="s">
        <v>7110</v>
      </c>
      <c r="E2646" s="72" t="s">
        <v>318</v>
      </c>
      <c r="F2646" s="72" t="s">
        <v>7111</v>
      </c>
    </row>
    <row r="2647" spans="1:6" ht="45" x14ac:dyDescent="0.2">
      <c r="A2647" s="65" t="s">
        <v>7112</v>
      </c>
      <c r="B2647" s="66" t="s">
        <v>7113</v>
      </c>
      <c r="C2647" s="74" t="s">
        <v>203</v>
      </c>
      <c r="D2647" s="69" t="s">
        <v>7114</v>
      </c>
      <c r="E2647" s="69" t="s">
        <v>323</v>
      </c>
      <c r="F2647" s="69" t="s">
        <v>7115</v>
      </c>
    </row>
    <row r="2648" spans="1:6" ht="56.25" x14ac:dyDescent="0.2">
      <c r="A2648" s="65" t="s">
        <v>7116</v>
      </c>
      <c r="B2648" s="66" t="s">
        <v>7117</v>
      </c>
      <c r="C2648" s="74" t="s">
        <v>203</v>
      </c>
      <c r="D2648" s="69" t="s">
        <v>7118</v>
      </c>
      <c r="E2648" s="69" t="s">
        <v>319</v>
      </c>
      <c r="F2648" s="69" t="s">
        <v>7119</v>
      </c>
    </row>
    <row r="2649" spans="1:6" ht="56.25" x14ac:dyDescent="0.2">
      <c r="A2649" s="70" t="s">
        <v>7120</v>
      </c>
      <c r="B2649" s="65" t="s">
        <v>7121</v>
      </c>
      <c r="C2649" s="75" t="s">
        <v>203</v>
      </c>
      <c r="D2649" s="72" t="s">
        <v>7122</v>
      </c>
      <c r="E2649" s="72" t="s">
        <v>318</v>
      </c>
      <c r="F2649" s="72" t="s">
        <v>7123</v>
      </c>
    </row>
    <row r="2650" spans="1:6" ht="67.5" x14ac:dyDescent="0.2">
      <c r="A2650" s="70" t="s">
        <v>7124</v>
      </c>
      <c r="B2650" s="66" t="s">
        <v>7125</v>
      </c>
      <c r="C2650" s="75" t="s">
        <v>203</v>
      </c>
      <c r="D2650" s="72" t="s">
        <v>7126</v>
      </c>
      <c r="E2650" s="72" t="s">
        <v>318</v>
      </c>
      <c r="F2650" s="72" t="s">
        <v>7127</v>
      </c>
    </row>
    <row r="2651" spans="1:6" ht="78.75" x14ac:dyDescent="0.2">
      <c r="A2651" s="70" t="s">
        <v>7128</v>
      </c>
      <c r="B2651" s="66" t="s">
        <v>7129</v>
      </c>
      <c r="C2651" s="75" t="s">
        <v>203</v>
      </c>
      <c r="D2651" s="72" t="s">
        <v>7130</v>
      </c>
      <c r="E2651" s="72" t="s">
        <v>318</v>
      </c>
      <c r="F2651" s="72" t="s">
        <v>7131</v>
      </c>
    </row>
    <row r="2652" spans="1:6" ht="67.5" x14ac:dyDescent="0.2">
      <c r="A2652" s="70" t="s">
        <v>7132</v>
      </c>
      <c r="B2652" s="66" t="s">
        <v>7133</v>
      </c>
      <c r="C2652" s="75" t="s">
        <v>203</v>
      </c>
      <c r="D2652" s="72" t="s">
        <v>7134</v>
      </c>
      <c r="E2652" s="72" t="s">
        <v>323</v>
      </c>
      <c r="F2652" s="72" t="s">
        <v>7135</v>
      </c>
    </row>
    <row r="2653" spans="1:6" ht="56.25" x14ac:dyDescent="0.2">
      <c r="A2653" s="70" t="s">
        <v>7136</v>
      </c>
      <c r="B2653" s="65" t="s">
        <v>7137</v>
      </c>
      <c r="C2653" s="75" t="s">
        <v>203</v>
      </c>
      <c r="D2653" s="72" t="s">
        <v>7138</v>
      </c>
      <c r="E2653" s="72" t="s">
        <v>323</v>
      </c>
      <c r="F2653" s="72" t="s">
        <v>7139</v>
      </c>
    </row>
    <row r="2654" spans="1:6" ht="56.25" x14ac:dyDescent="0.2">
      <c r="A2654" s="65" t="s">
        <v>7140</v>
      </c>
      <c r="B2654" s="66" t="s">
        <v>7141</v>
      </c>
      <c r="C2654" s="74" t="s">
        <v>203</v>
      </c>
      <c r="D2654" s="69" t="s">
        <v>7142</v>
      </c>
      <c r="E2654" s="69" t="s">
        <v>318</v>
      </c>
      <c r="F2654" s="69" t="s">
        <v>7143</v>
      </c>
    </row>
    <row r="2655" spans="1:6" ht="56.25" x14ac:dyDescent="0.2">
      <c r="A2655" s="65" t="s">
        <v>7144</v>
      </c>
      <c r="B2655" s="66" t="s">
        <v>7145</v>
      </c>
      <c r="C2655" s="74" t="s">
        <v>203</v>
      </c>
      <c r="D2655" s="69" t="s">
        <v>7146</v>
      </c>
      <c r="E2655" s="69" t="s">
        <v>319</v>
      </c>
      <c r="F2655" s="69" t="s">
        <v>392</v>
      </c>
    </row>
    <row r="2656" spans="1:6" ht="56.25" x14ac:dyDescent="0.2">
      <c r="A2656" s="65" t="s">
        <v>7147</v>
      </c>
      <c r="B2656" s="66" t="s">
        <v>7148</v>
      </c>
      <c r="C2656" s="74" t="s">
        <v>203</v>
      </c>
      <c r="D2656" s="69" t="s">
        <v>7149</v>
      </c>
      <c r="E2656" s="69" t="s">
        <v>319</v>
      </c>
      <c r="F2656" s="69" t="s">
        <v>7150</v>
      </c>
    </row>
    <row r="2657" spans="1:6" ht="56.25" x14ac:dyDescent="0.2">
      <c r="A2657" s="70" t="s">
        <v>7151</v>
      </c>
      <c r="B2657" s="65" t="s">
        <v>7152</v>
      </c>
      <c r="C2657" s="75" t="s">
        <v>203</v>
      </c>
      <c r="D2657" s="72" t="s">
        <v>7153</v>
      </c>
      <c r="E2657" s="72" t="s">
        <v>319</v>
      </c>
      <c r="F2657" s="72" t="s">
        <v>7154</v>
      </c>
    </row>
    <row r="2658" spans="1:6" ht="67.5" x14ac:dyDescent="0.2">
      <c r="A2658" s="70" t="s">
        <v>7155</v>
      </c>
      <c r="B2658" s="66" t="s">
        <v>7156</v>
      </c>
      <c r="C2658" s="75" t="s">
        <v>203</v>
      </c>
      <c r="D2658" s="72" t="s">
        <v>7157</v>
      </c>
      <c r="E2658" s="72" t="s">
        <v>319</v>
      </c>
      <c r="F2658" s="72" t="s">
        <v>7158</v>
      </c>
    </row>
    <row r="2659" spans="1:6" ht="45" x14ac:dyDescent="0.2">
      <c r="A2659" s="65" t="s">
        <v>7159</v>
      </c>
      <c r="B2659" s="66" t="s">
        <v>7160</v>
      </c>
      <c r="C2659" s="74" t="s">
        <v>203</v>
      </c>
      <c r="D2659" s="69" t="s">
        <v>7161</v>
      </c>
      <c r="E2659" s="69" t="s">
        <v>319</v>
      </c>
      <c r="F2659" s="69" t="s">
        <v>7162</v>
      </c>
    </row>
    <row r="2660" spans="1:6" ht="56.25" x14ac:dyDescent="0.2">
      <c r="A2660" s="70" t="s">
        <v>7163</v>
      </c>
      <c r="B2660" s="65" t="s">
        <v>7164</v>
      </c>
      <c r="C2660" s="75" t="s">
        <v>203</v>
      </c>
      <c r="D2660" s="72" t="s">
        <v>7165</v>
      </c>
      <c r="E2660" s="72" t="s">
        <v>319</v>
      </c>
      <c r="F2660" s="72" t="s">
        <v>7166</v>
      </c>
    </row>
    <row r="2661" spans="1:6" ht="67.5" x14ac:dyDescent="0.2">
      <c r="A2661" s="70" t="s">
        <v>7167</v>
      </c>
      <c r="B2661" s="66" t="s">
        <v>7168</v>
      </c>
      <c r="C2661" s="75" t="s">
        <v>203</v>
      </c>
      <c r="D2661" s="72" t="s">
        <v>6427</v>
      </c>
      <c r="E2661" s="72" t="s">
        <v>318</v>
      </c>
      <c r="F2661" s="72" t="s">
        <v>6428</v>
      </c>
    </row>
    <row r="2662" spans="1:6" ht="33.75" x14ac:dyDescent="0.2">
      <c r="A2662" s="65" t="s">
        <v>7169</v>
      </c>
      <c r="B2662" s="66" t="s">
        <v>7170</v>
      </c>
      <c r="C2662" s="74" t="s">
        <v>203</v>
      </c>
      <c r="D2662" s="69" t="s">
        <v>7171</v>
      </c>
      <c r="E2662" s="69" t="s">
        <v>318</v>
      </c>
      <c r="F2662" s="69" t="s">
        <v>7172</v>
      </c>
    </row>
    <row r="2663" spans="1:6" ht="67.5" x14ac:dyDescent="0.2">
      <c r="A2663" s="70" t="s">
        <v>7173</v>
      </c>
      <c r="B2663" s="66" t="s">
        <v>7174</v>
      </c>
      <c r="C2663" s="75" t="s">
        <v>203</v>
      </c>
      <c r="D2663" s="72" t="s">
        <v>7175</v>
      </c>
      <c r="E2663" s="72" t="s">
        <v>318</v>
      </c>
      <c r="F2663" s="72" t="s">
        <v>7176</v>
      </c>
    </row>
    <row r="2664" spans="1:6" ht="56.25" x14ac:dyDescent="0.2">
      <c r="A2664" s="65" t="s">
        <v>7177</v>
      </c>
      <c r="B2664" s="66" t="s">
        <v>7178</v>
      </c>
      <c r="C2664" s="74" t="s">
        <v>203</v>
      </c>
      <c r="D2664" s="69" t="s">
        <v>7179</v>
      </c>
      <c r="E2664" s="69" t="s">
        <v>318</v>
      </c>
      <c r="F2664" s="69" t="s">
        <v>7180</v>
      </c>
    </row>
    <row r="2665" spans="1:6" ht="56.25" x14ac:dyDescent="0.2">
      <c r="A2665" s="70" t="s">
        <v>7181</v>
      </c>
      <c r="B2665" s="65" t="s">
        <v>7182</v>
      </c>
      <c r="C2665" s="75" t="s">
        <v>203</v>
      </c>
      <c r="D2665" s="72" t="s">
        <v>7183</v>
      </c>
      <c r="E2665" s="72" t="s">
        <v>318</v>
      </c>
      <c r="F2665" s="72" t="s">
        <v>7184</v>
      </c>
    </row>
    <row r="2666" spans="1:6" ht="67.5" x14ac:dyDescent="0.2">
      <c r="A2666" s="70" t="s">
        <v>7185</v>
      </c>
      <c r="B2666" s="66" t="s">
        <v>7186</v>
      </c>
      <c r="C2666" s="75" t="s">
        <v>203</v>
      </c>
      <c r="D2666" s="72" t="s">
        <v>7187</v>
      </c>
      <c r="E2666" s="72" t="s">
        <v>318</v>
      </c>
      <c r="F2666" s="72" t="s">
        <v>7188</v>
      </c>
    </row>
    <row r="2667" spans="1:6" ht="22.5" x14ac:dyDescent="0.2">
      <c r="A2667" s="50">
        <v>41.15</v>
      </c>
      <c r="B2667" s="64" t="s">
        <v>7189</v>
      </c>
      <c r="C2667" s="47"/>
      <c r="D2667" s="47"/>
      <c r="E2667" s="47"/>
      <c r="F2667" s="47"/>
    </row>
    <row r="2668" spans="1:6" ht="45" x14ac:dyDescent="0.2">
      <c r="A2668" s="65" t="s">
        <v>7190</v>
      </c>
      <c r="B2668" s="66" t="s">
        <v>7191</v>
      </c>
      <c r="C2668" s="74" t="s">
        <v>203</v>
      </c>
      <c r="D2668" s="69" t="s">
        <v>7192</v>
      </c>
      <c r="E2668" s="69" t="s">
        <v>323</v>
      </c>
      <c r="F2668" s="69" t="s">
        <v>7193</v>
      </c>
    </row>
    <row r="2669" spans="1:6" ht="22.5" x14ac:dyDescent="0.2">
      <c r="A2669" s="50">
        <v>41.2</v>
      </c>
      <c r="B2669" s="64" t="s">
        <v>7194</v>
      </c>
      <c r="C2669" s="47"/>
      <c r="D2669" s="47"/>
      <c r="E2669" s="47"/>
      <c r="F2669" s="47"/>
    </row>
    <row r="2670" spans="1:6" ht="45" x14ac:dyDescent="0.2">
      <c r="A2670" s="65" t="s">
        <v>7195</v>
      </c>
      <c r="B2670" s="66" t="s">
        <v>7196</v>
      </c>
      <c r="C2670" s="74" t="s">
        <v>203</v>
      </c>
      <c r="D2670" s="69" t="s">
        <v>207</v>
      </c>
      <c r="E2670" s="69" t="s">
        <v>318</v>
      </c>
      <c r="F2670" s="69" t="s">
        <v>234</v>
      </c>
    </row>
    <row r="2671" spans="1:6" ht="56.25" x14ac:dyDescent="0.2">
      <c r="A2671" s="65" t="s">
        <v>7197</v>
      </c>
      <c r="B2671" s="66" t="s">
        <v>7198</v>
      </c>
      <c r="C2671" s="74" t="s">
        <v>203</v>
      </c>
      <c r="D2671" s="69" t="s">
        <v>7199</v>
      </c>
      <c r="E2671" s="69" t="s">
        <v>249</v>
      </c>
      <c r="F2671" s="69" t="s">
        <v>370</v>
      </c>
    </row>
    <row r="2672" spans="1:6" x14ac:dyDescent="0.2">
      <c r="A2672" s="65" t="s">
        <v>7200</v>
      </c>
      <c r="B2672" s="65" t="s">
        <v>7201</v>
      </c>
      <c r="C2672" s="74" t="s">
        <v>203</v>
      </c>
      <c r="D2672" s="73"/>
      <c r="E2672" s="69" t="s">
        <v>318</v>
      </c>
      <c r="F2672" s="69" t="s">
        <v>318</v>
      </c>
    </row>
    <row r="2673" spans="1:6" x14ac:dyDescent="0.2">
      <c r="A2673" s="65" t="s">
        <v>7202</v>
      </c>
      <c r="B2673" s="65" t="s">
        <v>7203</v>
      </c>
      <c r="C2673" s="74" t="s">
        <v>203</v>
      </c>
      <c r="D2673" s="73"/>
      <c r="E2673" s="69" t="s">
        <v>249</v>
      </c>
      <c r="F2673" s="69" t="s">
        <v>249</v>
      </c>
    </row>
    <row r="2674" spans="1:6" x14ac:dyDescent="0.2">
      <c r="A2674" s="50">
        <v>41.31</v>
      </c>
      <c r="B2674" s="64" t="s">
        <v>7204</v>
      </c>
      <c r="C2674" s="47"/>
      <c r="D2674" s="47"/>
      <c r="E2674" s="47"/>
      <c r="F2674" s="47"/>
    </row>
    <row r="2675" spans="1:6" ht="56.25" x14ac:dyDescent="0.2">
      <c r="A2675" s="65" t="s">
        <v>7205</v>
      </c>
      <c r="B2675" s="66" t="s">
        <v>7206</v>
      </c>
      <c r="C2675" s="67" t="s">
        <v>203</v>
      </c>
      <c r="D2675" s="69" t="s">
        <v>7207</v>
      </c>
      <c r="E2675" s="69" t="s">
        <v>318</v>
      </c>
      <c r="F2675" s="69" t="s">
        <v>7208</v>
      </c>
    </row>
    <row r="2676" spans="1:6" ht="56.25" x14ac:dyDescent="0.2">
      <c r="A2676" s="70" t="s">
        <v>7209</v>
      </c>
      <c r="B2676" s="65" t="s">
        <v>7210</v>
      </c>
      <c r="C2676" s="71" t="s">
        <v>203</v>
      </c>
      <c r="D2676" s="72" t="s">
        <v>7211</v>
      </c>
      <c r="E2676" s="72" t="s">
        <v>323</v>
      </c>
      <c r="F2676" s="72" t="s">
        <v>7212</v>
      </c>
    </row>
    <row r="2677" spans="1:6" ht="56.25" x14ac:dyDescent="0.2">
      <c r="A2677" s="65" t="s">
        <v>7213</v>
      </c>
      <c r="B2677" s="66" t="s">
        <v>7214</v>
      </c>
      <c r="C2677" s="67" t="s">
        <v>203</v>
      </c>
      <c r="D2677" s="69" t="s">
        <v>7215</v>
      </c>
      <c r="E2677" s="69" t="s">
        <v>318</v>
      </c>
      <c r="F2677" s="69" t="s">
        <v>7216</v>
      </c>
    </row>
    <row r="2678" spans="1:6" ht="56.25" x14ac:dyDescent="0.2">
      <c r="A2678" s="70" t="s">
        <v>7217</v>
      </c>
      <c r="B2678" s="65" t="s">
        <v>7218</v>
      </c>
      <c r="C2678" s="71" t="s">
        <v>203</v>
      </c>
      <c r="D2678" s="72" t="s">
        <v>1560</v>
      </c>
      <c r="E2678" s="72" t="s">
        <v>323</v>
      </c>
      <c r="F2678" s="72" t="s">
        <v>7219</v>
      </c>
    </row>
    <row r="2679" spans="1:6" ht="45" x14ac:dyDescent="0.2">
      <c r="A2679" s="65" t="s">
        <v>7220</v>
      </c>
      <c r="B2679" s="66" t="s">
        <v>7221</v>
      </c>
      <c r="C2679" s="67" t="s">
        <v>203</v>
      </c>
      <c r="D2679" s="69" t="s">
        <v>7222</v>
      </c>
      <c r="E2679" s="69" t="s">
        <v>323</v>
      </c>
      <c r="F2679" s="69" t="s">
        <v>7223</v>
      </c>
    </row>
    <row r="2680" spans="1:6" x14ac:dyDescent="0.2">
      <c r="A2680" s="49">
        <v>42</v>
      </c>
      <c r="B2680" s="64" t="s">
        <v>7224</v>
      </c>
      <c r="C2680" s="47"/>
      <c r="D2680" s="47"/>
      <c r="E2680" s="47"/>
      <c r="F2680" s="47"/>
    </row>
    <row r="2681" spans="1:6" x14ac:dyDescent="0.2">
      <c r="A2681" s="50">
        <v>42.01</v>
      </c>
      <c r="B2681" s="64" t="s">
        <v>7225</v>
      </c>
      <c r="C2681" s="47"/>
      <c r="D2681" s="47"/>
      <c r="E2681" s="47"/>
      <c r="F2681" s="47"/>
    </row>
    <row r="2682" spans="1:6" ht="45" x14ac:dyDescent="0.2">
      <c r="A2682" s="65" t="s">
        <v>7226</v>
      </c>
      <c r="B2682" s="66" t="s">
        <v>7227</v>
      </c>
      <c r="C2682" s="67" t="s">
        <v>203</v>
      </c>
      <c r="D2682" s="69" t="s">
        <v>7228</v>
      </c>
      <c r="E2682" s="69" t="s">
        <v>324</v>
      </c>
      <c r="F2682" s="69" t="s">
        <v>7229</v>
      </c>
    </row>
    <row r="2683" spans="1:6" ht="45" x14ac:dyDescent="0.2">
      <c r="A2683" s="65" t="s">
        <v>7230</v>
      </c>
      <c r="B2683" s="66" t="s">
        <v>7231</v>
      </c>
      <c r="C2683" s="67" t="s">
        <v>203</v>
      </c>
      <c r="D2683" s="69" t="s">
        <v>7232</v>
      </c>
      <c r="E2683" s="69" t="s">
        <v>324</v>
      </c>
      <c r="F2683" s="69" t="s">
        <v>7233</v>
      </c>
    </row>
    <row r="2684" spans="1:6" ht="22.5" x14ac:dyDescent="0.2">
      <c r="A2684" s="65" t="s">
        <v>7234</v>
      </c>
      <c r="B2684" s="65" t="s">
        <v>7235</v>
      </c>
      <c r="C2684" s="67" t="s">
        <v>203</v>
      </c>
      <c r="D2684" s="69" t="s">
        <v>7236</v>
      </c>
      <c r="E2684" s="69" t="s">
        <v>324</v>
      </c>
      <c r="F2684" s="69" t="s">
        <v>7237</v>
      </c>
    </row>
    <row r="2685" spans="1:6" x14ac:dyDescent="0.2">
      <c r="A2685" s="65" t="s">
        <v>7238</v>
      </c>
      <c r="B2685" s="65" t="s">
        <v>7239</v>
      </c>
      <c r="C2685" s="67" t="s">
        <v>203</v>
      </c>
      <c r="D2685" s="69" t="s">
        <v>385</v>
      </c>
      <c r="E2685" s="69" t="s">
        <v>324</v>
      </c>
      <c r="F2685" s="69" t="s">
        <v>7240</v>
      </c>
    </row>
    <row r="2686" spans="1:6" ht="22.5" x14ac:dyDescent="0.2">
      <c r="A2686" s="65" t="s">
        <v>7241</v>
      </c>
      <c r="B2686" s="65" t="s">
        <v>7242</v>
      </c>
      <c r="C2686" s="67" t="s">
        <v>203</v>
      </c>
      <c r="D2686" s="69" t="s">
        <v>7243</v>
      </c>
      <c r="E2686" s="69" t="s">
        <v>324</v>
      </c>
      <c r="F2686" s="69" t="s">
        <v>359</v>
      </c>
    </row>
    <row r="2687" spans="1:6" ht="33.75" x14ac:dyDescent="0.2">
      <c r="A2687" s="65" t="s">
        <v>7244</v>
      </c>
      <c r="B2687" s="65" t="s">
        <v>7245</v>
      </c>
      <c r="C2687" s="67" t="s">
        <v>203</v>
      </c>
      <c r="D2687" s="69" t="s">
        <v>7246</v>
      </c>
      <c r="E2687" s="69" t="s">
        <v>324</v>
      </c>
      <c r="F2687" s="69" t="s">
        <v>6290</v>
      </c>
    </row>
    <row r="2688" spans="1:6" ht="45" x14ac:dyDescent="0.2">
      <c r="A2688" s="65" t="s">
        <v>7247</v>
      </c>
      <c r="B2688" s="66" t="s">
        <v>7248</v>
      </c>
      <c r="C2688" s="67" t="s">
        <v>203</v>
      </c>
      <c r="D2688" s="69" t="s">
        <v>7249</v>
      </c>
      <c r="E2688" s="69" t="s">
        <v>324</v>
      </c>
      <c r="F2688" s="69" t="s">
        <v>7250</v>
      </c>
    </row>
    <row r="2689" spans="1:6" ht="45" x14ac:dyDescent="0.2">
      <c r="A2689" s="65" t="s">
        <v>7251</v>
      </c>
      <c r="B2689" s="66" t="s">
        <v>7252</v>
      </c>
      <c r="C2689" s="67" t="s">
        <v>203</v>
      </c>
      <c r="D2689" s="69" t="s">
        <v>7253</v>
      </c>
      <c r="E2689" s="69" t="s">
        <v>324</v>
      </c>
      <c r="F2689" s="69" t="s">
        <v>7254</v>
      </c>
    </row>
    <row r="2690" spans="1:6" x14ac:dyDescent="0.2">
      <c r="A2690" s="50">
        <v>42.02</v>
      </c>
      <c r="B2690" s="64" t="s">
        <v>7255</v>
      </c>
      <c r="C2690" s="47"/>
      <c r="D2690" s="47"/>
      <c r="E2690" s="47"/>
      <c r="F2690" s="47"/>
    </row>
    <row r="2691" spans="1:6" ht="22.5" x14ac:dyDescent="0.2">
      <c r="A2691" s="65" t="s">
        <v>7256</v>
      </c>
      <c r="B2691" s="65" t="s">
        <v>7257</v>
      </c>
      <c r="C2691" s="67" t="s">
        <v>203</v>
      </c>
      <c r="D2691" s="69" t="s">
        <v>7258</v>
      </c>
      <c r="E2691" s="69" t="s">
        <v>324</v>
      </c>
      <c r="F2691" s="69" t="s">
        <v>7259</v>
      </c>
    </row>
    <row r="2692" spans="1:6" ht="22.5" x14ac:dyDescent="0.2">
      <c r="A2692" s="65" t="s">
        <v>7260</v>
      </c>
      <c r="B2692" s="65" t="s">
        <v>7261</v>
      </c>
      <c r="C2692" s="67" t="s">
        <v>203</v>
      </c>
      <c r="D2692" s="69" t="s">
        <v>7262</v>
      </c>
      <c r="E2692" s="69" t="s">
        <v>324</v>
      </c>
      <c r="F2692" s="69" t="s">
        <v>7263</v>
      </c>
    </row>
    <row r="2693" spans="1:6" ht="22.5" x14ac:dyDescent="0.2">
      <c r="A2693" s="65" t="s">
        <v>7264</v>
      </c>
      <c r="B2693" s="65" t="s">
        <v>7265</v>
      </c>
      <c r="C2693" s="67" t="s">
        <v>203</v>
      </c>
      <c r="D2693" s="69" t="s">
        <v>7266</v>
      </c>
      <c r="E2693" s="69" t="s">
        <v>324</v>
      </c>
      <c r="F2693" s="69" t="s">
        <v>7267</v>
      </c>
    </row>
    <row r="2694" spans="1:6" ht="22.5" x14ac:dyDescent="0.2">
      <c r="A2694" s="65" t="s">
        <v>7268</v>
      </c>
      <c r="B2694" s="65" t="s">
        <v>7269</v>
      </c>
      <c r="C2694" s="67" t="s">
        <v>203</v>
      </c>
      <c r="D2694" s="69" t="s">
        <v>7270</v>
      </c>
      <c r="E2694" s="69" t="s">
        <v>324</v>
      </c>
      <c r="F2694" s="69" t="s">
        <v>7271</v>
      </c>
    </row>
    <row r="2695" spans="1:6" ht="33.75" x14ac:dyDescent="0.2">
      <c r="A2695" s="65" t="s">
        <v>7272</v>
      </c>
      <c r="B2695" s="65" t="s">
        <v>7273</v>
      </c>
      <c r="C2695" s="67" t="s">
        <v>203</v>
      </c>
      <c r="D2695" s="69" t="s">
        <v>1422</v>
      </c>
      <c r="E2695" s="69" t="s">
        <v>324</v>
      </c>
      <c r="F2695" s="69" t="s">
        <v>1888</v>
      </c>
    </row>
    <row r="2696" spans="1:6" ht="33.75" x14ac:dyDescent="0.2">
      <c r="A2696" s="65" t="s">
        <v>7274</v>
      </c>
      <c r="B2696" s="65" t="s">
        <v>7275</v>
      </c>
      <c r="C2696" s="67" t="s">
        <v>203</v>
      </c>
      <c r="D2696" s="69" t="s">
        <v>3459</v>
      </c>
      <c r="E2696" s="69" t="s">
        <v>324</v>
      </c>
      <c r="F2696" s="69" t="s">
        <v>7276</v>
      </c>
    </row>
    <row r="2697" spans="1:6" ht="22.5" x14ac:dyDescent="0.2">
      <c r="A2697" s="50">
        <v>42.03</v>
      </c>
      <c r="B2697" s="64" t="s">
        <v>7277</v>
      </c>
      <c r="C2697" s="47"/>
      <c r="D2697" s="47"/>
      <c r="E2697" s="47"/>
      <c r="F2697" s="47"/>
    </row>
    <row r="2698" spans="1:6" ht="33.75" x14ac:dyDescent="0.2">
      <c r="A2698" s="65" t="s">
        <v>7278</v>
      </c>
      <c r="B2698" s="65" t="s">
        <v>7279</v>
      </c>
      <c r="C2698" s="67" t="s">
        <v>203</v>
      </c>
      <c r="D2698" s="69" t="s">
        <v>7280</v>
      </c>
      <c r="E2698" s="69" t="s">
        <v>324</v>
      </c>
      <c r="F2698" s="69" t="s">
        <v>3931</v>
      </c>
    </row>
    <row r="2699" spans="1:6" ht="33.75" x14ac:dyDescent="0.2">
      <c r="A2699" s="65" t="s">
        <v>7281</v>
      </c>
      <c r="B2699" s="65" t="s">
        <v>7282</v>
      </c>
      <c r="C2699" s="67" t="s">
        <v>203</v>
      </c>
      <c r="D2699" s="69" t="s">
        <v>1103</v>
      </c>
      <c r="E2699" s="69" t="s">
        <v>324</v>
      </c>
      <c r="F2699" s="69" t="s">
        <v>936</v>
      </c>
    </row>
    <row r="2700" spans="1:6" ht="45" x14ac:dyDescent="0.2">
      <c r="A2700" s="65" t="s">
        <v>7283</v>
      </c>
      <c r="B2700" s="66" t="s">
        <v>7284</v>
      </c>
      <c r="C2700" s="67" t="s">
        <v>203</v>
      </c>
      <c r="D2700" s="69" t="s">
        <v>7285</v>
      </c>
      <c r="E2700" s="69" t="s">
        <v>324</v>
      </c>
      <c r="F2700" s="69" t="s">
        <v>235</v>
      </c>
    </row>
    <row r="2701" spans="1:6" ht="45" x14ac:dyDescent="0.2">
      <c r="A2701" s="65" t="s">
        <v>7286</v>
      </c>
      <c r="B2701" s="66" t="s">
        <v>7287</v>
      </c>
      <c r="C2701" s="67" t="s">
        <v>203</v>
      </c>
      <c r="D2701" s="69" t="s">
        <v>847</v>
      </c>
      <c r="E2701" s="69" t="s">
        <v>324</v>
      </c>
      <c r="F2701" s="69" t="s">
        <v>5376</v>
      </c>
    </row>
    <row r="2702" spans="1:6" ht="22.5" x14ac:dyDescent="0.2">
      <c r="A2702" s="50">
        <v>42.04</v>
      </c>
      <c r="B2702" s="64" t="s">
        <v>7288</v>
      </c>
      <c r="C2702" s="47"/>
      <c r="D2702" s="47"/>
      <c r="E2702" s="47"/>
      <c r="F2702" s="47"/>
    </row>
    <row r="2703" spans="1:6" ht="22.5" x14ac:dyDescent="0.2">
      <c r="A2703" s="65" t="s">
        <v>7289</v>
      </c>
      <c r="B2703" s="65" t="s">
        <v>7290</v>
      </c>
      <c r="C2703" s="67" t="s">
        <v>203</v>
      </c>
      <c r="D2703" s="69" t="s">
        <v>7291</v>
      </c>
      <c r="E2703" s="69" t="s">
        <v>324</v>
      </c>
      <c r="F2703" s="69" t="s">
        <v>7292</v>
      </c>
    </row>
    <row r="2704" spans="1:6" ht="22.5" x14ac:dyDescent="0.2">
      <c r="A2704" s="65" t="s">
        <v>7293</v>
      </c>
      <c r="B2704" s="65" t="s">
        <v>7294</v>
      </c>
      <c r="C2704" s="67" t="s">
        <v>203</v>
      </c>
      <c r="D2704" s="69" t="s">
        <v>7295</v>
      </c>
      <c r="E2704" s="69" t="s">
        <v>324</v>
      </c>
      <c r="F2704" s="69" t="s">
        <v>7296</v>
      </c>
    </row>
    <row r="2705" spans="1:6" x14ac:dyDescent="0.2">
      <c r="A2705" s="65" t="s">
        <v>7297</v>
      </c>
      <c r="B2705" s="65" t="s">
        <v>7298</v>
      </c>
      <c r="C2705" s="67" t="s">
        <v>203</v>
      </c>
      <c r="D2705" s="69" t="s">
        <v>7299</v>
      </c>
      <c r="E2705" s="69" t="s">
        <v>324</v>
      </c>
      <c r="F2705" s="69" t="s">
        <v>7300</v>
      </c>
    </row>
    <row r="2706" spans="1:6" ht="22.5" x14ac:dyDescent="0.2">
      <c r="A2706" s="65" t="s">
        <v>7301</v>
      </c>
      <c r="B2706" s="65" t="s">
        <v>7302</v>
      </c>
      <c r="C2706" s="67" t="s">
        <v>203</v>
      </c>
      <c r="D2706" s="69" t="s">
        <v>7303</v>
      </c>
      <c r="E2706" s="69" t="s">
        <v>323</v>
      </c>
      <c r="F2706" s="69" t="s">
        <v>7304</v>
      </c>
    </row>
    <row r="2707" spans="1:6" ht="22.5" x14ac:dyDescent="0.2">
      <c r="A2707" s="65" t="s">
        <v>7305</v>
      </c>
      <c r="B2707" s="65" t="s">
        <v>7306</v>
      </c>
      <c r="C2707" s="67" t="s">
        <v>221</v>
      </c>
      <c r="D2707" s="69" t="s">
        <v>7307</v>
      </c>
      <c r="E2707" s="69" t="s">
        <v>323</v>
      </c>
      <c r="F2707" s="69" t="s">
        <v>406</v>
      </c>
    </row>
    <row r="2708" spans="1:6" ht="22.5" x14ac:dyDescent="0.2">
      <c r="A2708" s="65" t="s">
        <v>7308</v>
      </c>
      <c r="B2708" s="65" t="s">
        <v>7309</v>
      </c>
      <c r="C2708" s="67" t="s">
        <v>203</v>
      </c>
      <c r="D2708" s="69" t="s">
        <v>7310</v>
      </c>
      <c r="E2708" s="69" t="s">
        <v>324</v>
      </c>
      <c r="F2708" s="69" t="s">
        <v>236</v>
      </c>
    </row>
    <row r="2709" spans="1:6" ht="33.75" x14ac:dyDescent="0.2">
      <c r="A2709" s="65" t="s">
        <v>7311</v>
      </c>
      <c r="B2709" s="65" t="s">
        <v>7312</v>
      </c>
      <c r="C2709" s="67" t="s">
        <v>203</v>
      </c>
      <c r="D2709" s="69" t="s">
        <v>7313</v>
      </c>
      <c r="E2709" s="69" t="s">
        <v>324</v>
      </c>
      <c r="F2709" s="69" t="s">
        <v>7314</v>
      </c>
    </row>
    <row r="2710" spans="1:6" ht="22.5" x14ac:dyDescent="0.2">
      <c r="A2710" s="50">
        <v>42.05</v>
      </c>
      <c r="B2710" s="64" t="s">
        <v>7315</v>
      </c>
      <c r="C2710" s="47"/>
      <c r="D2710" s="47"/>
      <c r="E2710" s="47"/>
      <c r="F2710" s="47"/>
    </row>
    <row r="2711" spans="1:6" ht="22.5" x14ac:dyDescent="0.2">
      <c r="A2711" s="65" t="s">
        <v>7316</v>
      </c>
      <c r="B2711" s="65" t="s">
        <v>7317</v>
      </c>
      <c r="C2711" s="67" t="s">
        <v>203</v>
      </c>
      <c r="D2711" s="69" t="s">
        <v>944</v>
      </c>
      <c r="E2711" s="69" t="s">
        <v>324</v>
      </c>
      <c r="F2711" s="69" t="s">
        <v>7318</v>
      </c>
    </row>
    <row r="2712" spans="1:6" ht="45" x14ac:dyDescent="0.2">
      <c r="A2712" s="65" t="s">
        <v>7319</v>
      </c>
      <c r="B2712" s="66" t="s">
        <v>7320</v>
      </c>
      <c r="C2712" s="67" t="s">
        <v>203</v>
      </c>
      <c r="D2712" s="69" t="s">
        <v>7321</v>
      </c>
      <c r="E2712" s="69" t="s">
        <v>324</v>
      </c>
      <c r="F2712" s="69" t="s">
        <v>5697</v>
      </c>
    </row>
    <row r="2713" spans="1:6" ht="22.5" x14ac:dyDescent="0.2">
      <c r="A2713" s="65" t="s">
        <v>7322</v>
      </c>
      <c r="B2713" s="65" t="s">
        <v>7323</v>
      </c>
      <c r="C2713" s="67" t="s">
        <v>203</v>
      </c>
      <c r="D2713" s="69" t="s">
        <v>7324</v>
      </c>
      <c r="E2713" s="69" t="s">
        <v>324</v>
      </c>
      <c r="F2713" s="69" t="s">
        <v>7325</v>
      </c>
    </row>
    <row r="2714" spans="1:6" ht="22.5" x14ac:dyDescent="0.2">
      <c r="A2714" s="65" t="s">
        <v>7326</v>
      </c>
      <c r="B2714" s="65" t="s">
        <v>7327</v>
      </c>
      <c r="C2714" s="67" t="s">
        <v>203</v>
      </c>
      <c r="D2714" s="69" t="s">
        <v>7328</v>
      </c>
      <c r="E2714" s="69" t="s">
        <v>324</v>
      </c>
      <c r="F2714" s="69" t="s">
        <v>7329</v>
      </c>
    </row>
    <row r="2715" spans="1:6" ht="22.5" x14ac:dyDescent="0.2">
      <c r="A2715" s="65" t="s">
        <v>7330</v>
      </c>
      <c r="B2715" s="65" t="s">
        <v>7331</v>
      </c>
      <c r="C2715" s="67" t="s">
        <v>203</v>
      </c>
      <c r="D2715" s="69" t="s">
        <v>7332</v>
      </c>
      <c r="E2715" s="69" t="s">
        <v>324</v>
      </c>
      <c r="F2715" s="69" t="s">
        <v>7333</v>
      </c>
    </row>
    <row r="2716" spans="1:6" x14ac:dyDescent="0.2">
      <c r="A2716" s="65" t="s">
        <v>7334</v>
      </c>
      <c r="B2716" s="65" t="s">
        <v>7335</v>
      </c>
      <c r="C2716" s="67" t="s">
        <v>203</v>
      </c>
      <c r="D2716" s="69" t="s">
        <v>3536</v>
      </c>
      <c r="E2716" s="69" t="s">
        <v>321</v>
      </c>
      <c r="F2716" s="69" t="s">
        <v>7336</v>
      </c>
    </row>
    <row r="2717" spans="1:6" x14ac:dyDescent="0.2">
      <c r="A2717" s="65" t="s">
        <v>7337</v>
      </c>
      <c r="B2717" s="65" t="s">
        <v>7338</v>
      </c>
      <c r="C2717" s="67" t="s">
        <v>203</v>
      </c>
      <c r="D2717" s="69" t="s">
        <v>7339</v>
      </c>
      <c r="E2717" s="69" t="s">
        <v>334</v>
      </c>
      <c r="F2717" s="69" t="s">
        <v>7340</v>
      </c>
    </row>
    <row r="2718" spans="1:6" ht="33.75" x14ac:dyDescent="0.2">
      <c r="A2718" s="65" t="s">
        <v>7341</v>
      </c>
      <c r="B2718" s="65" t="s">
        <v>7342</v>
      </c>
      <c r="C2718" s="67" t="s">
        <v>203</v>
      </c>
      <c r="D2718" s="69" t="s">
        <v>7343</v>
      </c>
      <c r="E2718" s="69" t="s">
        <v>334</v>
      </c>
      <c r="F2718" s="69" t="s">
        <v>5223</v>
      </c>
    </row>
    <row r="2719" spans="1:6" ht="22.5" x14ac:dyDescent="0.2">
      <c r="A2719" s="65" t="s">
        <v>7344</v>
      </c>
      <c r="B2719" s="65" t="s">
        <v>7345</v>
      </c>
      <c r="C2719" s="67" t="s">
        <v>203</v>
      </c>
      <c r="D2719" s="69" t="s">
        <v>7346</v>
      </c>
      <c r="E2719" s="69" t="s">
        <v>334</v>
      </c>
      <c r="F2719" s="69" t="s">
        <v>7347</v>
      </c>
    </row>
    <row r="2720" spans="1:6" ht="22.5" x14ac:dyDescent="0.2">
      <c r="A2720" s="65" t="s">
        <v>7348</v>
      </c>
      <c r="B2720" s="65" t="s">
        <v>7349</v>
      </c>
      <c r="C2720" s="67" t="s">
        <v>203</v>
      </c>
      <c r="D2720" s="69" t="s">
        <v>6394</v>
      </c>
      <c r="E2720" s="69" t="s">
        <v>334</v>
      </c>
      <c r="F2720" s="69" t="s">
        <v>498</v>
      </c>
    </row>
    <row r="2721" spans="1:6" ht="22.5" x14ac:dyDescent="0.2">
      <c r="A2721" s="65" t="s">
        <v>7350</v>
      </c>
      <c r="B2721" s="65" t="s">
        <v>7351</v>
      </c>
      <c r="C2721" s="67" t="s">
        <v>221</v>
      </c>
      <c r="D2721" s="69" t="s">
        <v>7352</v>
      </c>
      <c r="E2721" s="69" t="s">
        <v>318</v>
      </c>
      <c r="F2721" s="69" t="s">
        <v>7353</v>
      </c>
    </row>
    <row r="2722" spans="1:6" ht="22.5" x14ac:dyDescent="0.2">
      <c r="A2722" s="65" t="s">
        <v>7354</v>
      </c>
      <c r="B2722" s="65" t="s">
        <v>7355</v>
      </c>
      <c r="C2722" s="67" t="s">
        <v>203</v>
      </c>
      <c r="D2722" s="69" t="s">
        <v>7356</v>
      </c>
      <c r="E2722" s="69" t="s">
        <v>324</v>
      </c>
      <c r="F2722" s="69" t="s">
        <v>7357</v>
      </c>
    </row>
    <row r="2723" spans="1:6" ht="22.5" x14ac:dyDescent="0.2">
      <c r="A2723" s="65" t="s">
        <v>7358</v>
      </c>
      <c r="B2723" s="65" t="s">
        <v>7359</v>
      </c>
      <c r="C2723" s="67" t="s">
        <v>203</v>
      </c>
      <c r="D2723" s="69" t="s">
        <v>237</v>
      </c>
      <c r="E2723" s="69" t="s">
        <v>319</v>
      </c>
      <c r="F2723" s="69" t="s">
        <v>7360</v>
      </c>
    </row>
    <row r="2724" spans="1:6" ht="22.5" x14ac:dyDescent="0.2">
      <c r="A2724" s="65" t="s">
        <v>7361</v>
      </c>
      <c r="B2724" s="65" t="s">
        <v>7362</v>
      </c>
      <c r="C2724" s="67" t="s">
        <v>203</v>
      </c>
      <c r="D2724" s="69" t="s">
        <v>7363</v>
      </c>
      <c r="E2724" s="69" t="s">
        <v>319</v>
      </c>
      <c r="F2724" s="69" t="s">
        <v>7364</v>
      </c>
    </row>
    <row r="2725" spans="1:6" ht="22.5" x14ac:dyDescent="0.2">
      <c r="A2725" s="65" t="s">
        <v>7365</v>
      </c>
      <c r="B2725" s="65" t="s">
        <v>7366</v>
      </c>
      <c r="C2725" s="67" t="s">
        <v>203</v>
      </c>
      <c r="D2725" s="69" t="s">
        <v>7367</v>
      </c>
      <c r="E2725" s="69" t="s">
        <v>319</v>
      </c>
      <c r="F2725" s="69" t="s">
        <v>7368</v>
      </c>
    </row>
    <row r="2726" spans="1:6" ht="22.5" x14ac:dyDescent="0.2">
      <c r="A2726" s="65" t="s">
        <v>7369</v>
      </c>
      <c r="B2726" s="65" t="s">
        <v>7370</v>
      </c>
      <c r="C2726" s="67" t="s">
        <v>203</v>
      </c>
      <c r="D2726" s="69" t="s">
        <v>7371</v>
      </c>
      <c r="E2726" s="69" t="s">
        <v>324</v>
      </c>
      <c r="F2726" s="69" t="s">
        <v>7372</v>
      </c>
    </row>
    <row r="2727" spans="1:6" ht="22.5" x14ac:dyDescent="0.2">
      <c r="A2727" s="65" t="s">
        <v>7373</v>
      </c>
      <c r="B2727" s="65" t="s">
        <v>7374</v>
      </c>
      <c r="C2727" s="67" t="s">
        <v>203</v>
      </c>
      <c r="D2727" s="69" t="s">
        <v>7375</v>
      </c>
      <c r="E2727" s="69" t="s">
        <v>336</v>
      </c>
      <c r="F2727" s="69" t="s">
        <v>7376</v>
      </c>
    </row>
    <row r="2728" spans="1:6" ht="33.75" x14ac:dyDescent="0.2">
      <c r="A2728" s="65" t="s">
        <v>7377</v>
      </c>
      <c r="B2728" s="65" t="s">
        <v>7378</v>
      </c>
      <c r="C2728" s="67" t="s">
        <v>203</v>
      </c>
      <c r="D2728" s="69" t="s">
        <v>7379</v>
      </c>
      <c r="E2728" s="69" t="s">
        <v>324</v>
      </c>
      <c r="F2728" s="69" t="s">
        <v>3899</v>
      </c>
    </row>
    <row r="2729" spans="1:6" ht="45" x14ac:dyDescent="0.2">
      <c r="A2729" s="65" t="s">
        <v>7380</v>
      </c>
      <c r="B2729" s="66" t="s">
        <v>7381</v>
      </c>
      <c r="C2729" s="67" t="s">
        <v>221</v>
      </c>
      <c r="D2729" s="69" t="s">
        <v>7382</v>
      </c>
      <c r="E2729" s="69" t="s">
        <v>319</v>
      </c>
      <c r="F2729" s="69" t="s">
        <v>7383</v>
      </c>
    </row>
    <row r="2730" spans="1:6" ht="33.75" x14ac:dyDescent="0.2">
      <c r="A2730" s="65" t="s">
        <v>7384</v>
      </c>
      <c r="B2730" s="65" t="s">
        <v>7385</v>
      </c>
      <c r="C2730" s="67" t="s">
        <v>203</v>
      </c>
      <c r="D2730" s="69" t="s">
        <v>7386</v>
      </c>
      <c r="E2730" s="69" t="s">
        <v>324</v>
      </c>
      <c r="F2730" s="69" t="s">
        <v>7387</v>
      </c>
    </row>
    <row r="2731" spans="1:6" ht="45" x14ac:dyDescent="0.2">
      <c r="A2731" s="65" t="s">
        <v>7388</v>
      </c>
      <c r="B2731" s="66" t="s">
        <v>7389</v>
      </c>
      <c r="C2731" s="67" t="s">
        <v>203</v>
      </c>
      <c r="D2731" s="69" t="s">
        <v>7390</v>
      </c>
      <c r="E2731" s="69" t="s">
        <v>336</v>
      </c>
      <c r="F2731" s="69" t="s">
        <v>7391</v>
      </c>
    </row>
    <row r="2732" spans="1:6" ht="45" x14ac:dyDescent="0.2">
      <c r="A2732" s="65" t="s">
        <v>7392</v>
      </c>
      <c r="B2732" s="66" t="s">
        <v>7393</v>
      </c>
      <c r="C2732" s="67" t="s">
        <v>203</v>
      </c>
      <c r="D2732" s="69" t="s">
        <v>244</v>
      </c>
      <c r="E2732" s="69" t="s">
        <v>324</v>
      </c>
      <c r="F2732" s="69" t="s">
        <v>7394</v>
      </c>
    </row>
    <row r="2733" spans="1:6" ht="22.5" x14ac:dyDescent="0.2">
      <c r="A2733" s="65" t="s">
        <v>7395</v>
      </c>
      <c r="B2733" s="65" t="s">
        <v>7396</v>
      </c>
      <c r="C2733" s="67" t="s">
        <v>203</v>
      </c>
      <c r="D2733" s="69" t="s">
        <v>7397</v>
      </c>
      <c r="E2733" s="69" t="s">
        <v>260</v>
      </c>
      <c r="F2733" s="69" t="s">
        <v>7398</v>
      </c>
    </row>
    <row r="2734" spans="1:6" ht="45" x14ac:dyDescent="0.2">
      <c r="A2734" s="65" t="s">
        <v>7399</v>
      </c>
      <c r="B2734" s="66" t="s">
        <v>7400</v>
      </c>
      <c r="C2734" s="67" t="s">
        <v>203</v>
      </c>
      <c r="D2734" s="69" t="s">
        <v>7401</v>
      </c>
      <c r="E2734" s="69" t="s">
        <v>324</v>
      </c>
      <c r="F2734" s="69" t="s">
        <v>253</v>
      </c>
    </row>
    <row r="2735" spans="1:6" ht="45" x14ac:dyDescent="0.2">
      <c r="A2735" s="65" t="s">
        <v>7402</v>
      </c>
      <c r="B2735" s="66" t="s">
        <v>7403</v>
      </c>
      <c r="C2735" s="67" t="s">
        <v>203</v>
      </c>
      <c r="D2735" s="69" t="s">
        <v>4673</v>
      </c>
      <c r="E2735" s="69" t="s">
        <v>324</v>
      </c>
      <c r="F2735" s="69" t="s">
        <v>3466</v>
      </c>
    </row>
    <row r="2736" spans="1:6" ht="45" x14ac:dyDescent="0.2">
      <c r="A2736" s="65" t="s">
        <v>7404</v>
      </c>
      <c r="B2736" s="66" t="s">
        <v>7405</v>
      </c>
      <c r="C2736" s="67" t="s">
        <v>203</v>
      </c>
      <c r="D2736" s="69" t="s">
        <v>1460</v>
      </c>
      <c r="E2736" s="69" t="s">
        <v>324</v>
      </c>
      <c r="F2736" s="69" t="s">
        <v>7406</v>
      </c>
    </row>
    <row r="2737" spans="1:6" ht="45" x14ac:dyDescent="0.2">
      <c r="A2737" s="65" t="s">
        <v>7407</v>
      </c>
      <c r="B2737" s="66" t="s">
        <v>7408</v>
      </c>
      <c r="C2737" s="67" t="s">
        <v>221</v>
      </c>
      <c r="D2737" s="69" t="s">
        <v>7409</v>
      </c>
      <c r="E2737" s="69" t="s">
        <v>319</v>
      </c>
      <c r="F2737" s="69" t="s">
        <v>427</v>
      </c>
    </row>
    <row r="2738" spans="1:6" ht="45" x14ac:dyDescent="0.2">
      <c r="A2738" s="65" t="s">
        <v>7410</v>
      </c>
      <c r="B2738" s="66" t="s">
        <v>7411</v>
      </c>
      <c r="C2738" s="67" t="s">
        <v>203</v>
      </c>
      <c r="D2738" s="69" t="s">
        <v>7412</v>
      </c>
      <c r="E2738" s="69" t="s">
        <v>321</v>
      </c>
      <c r="F2738" s="69" t="s">
        <v>7413</v>
      </c>
    </row>
    <row r="2739" spans="1:6" ht="45" x14ac:dyDescent="0.2">
      <c r="A2739" s="65" t="s">
        <v>7414</v>
      </c>
      <c r="B2739" s="66" t="s">
        <v>7415</v>
      </c>
      <c r="C2739" s="67" t="s">
        <v>203</v>
      </c>
      <c r="D2739" s="69" t="s">
        <v>7416</v>
      </c>
      <c r="E2739" s="69" t="s">
        <v>321</v>
      </c>
      <c r="F2739" s="69" t="s">
        <v>7417</v>
      </c>
    </row>
    <row r="2740" spans="1:6" ht="22.5" x14ac:dyDescent="0.2">
      <c r="A2740" s="65" t="s">
        <v>7418</v>
      </c>
      <c r="B2740" s="65" t="s">
        <v>7419</v>
      </c>
      <c r="C2740" s="67" t="s">
        <v>203</v>
      </c>
      <c r="D2740" s="69" t="s">
        <v>7420</v>
      </c>
      <c r="E2740" s="69" t="s">
        <v>243</v>
      </c>
      <c r="F2740" s="69" t="s">
        <v>7421</v>
      </c>
    </row>
    <row r="2741" spans="1:6" ht="45" x14ac:dyDescent="0.2">
      <c r="A2741" s="65" t="s">
        <v>7422</v>
      </c>
      <c r="B2741" s="66" t="s">
        <v>7423</v>
      </c>
      <c r="C2741" s="67" t="s">
        <v>203</v>
      </c>
      <c r="D2741" s="69" t="s">
        <v>7424</v>
      </c>
      <c r="E2741" s="69" t="s">
        <v>324</v>
      </c>
      <c r="F2741" s="69" t="s">
        <v>371</v>
      </c>
    </row>
    <row r="2742" spans="1:6" ht="45" x14ac:dyDescent="0.2">
      <c r="A2742" s="65" t="s">
        <v>7425</v>
      </c>
      <c r="B2742" s="66" t="s">
        <v>7426</v>
      </c>
      <c r="C2742" s="67" t="s">
        <v>221</v>
      </c>
      <c r="D2742" s="69" t="s">
        <v>7427</v>
      </c>
      <c r="E2742" s="69" t="s">
        <v>319</v>
      </c>
      <c r="F2742" s="69" t="s">
        <v>6177</v>
      </c>
    </row>
    <row r="2743" spans="1:6" ht="33.75" x14ac:dyDescent="0.2">
      <c r="A2743" s="65" t="s">
        <v>7428</v>
      </c>
      <c r="B2743" s="65" t="s">
        <v>7429</v>
      </c>
      <c r="C2743" s="67" t="s">
        <v>203</v>
      </c>
      <c r="D2743" s="69" t="s">
        <v>7430</v>
      </c>
      <c r="E2743" s="69" t="s">
        <v>334</v>
      </c>
      <c r="F2743" s="69" t="s">
        <v>7339</v>
      </c>
    </row>
    <row r="2744" spans="1:6" ht="45" x14ac:dyDescent="0.2">
      <c r="A2744" s="65" t="s">
        <v>7431</v>
      </c>
      <c r="B2744" s="66" t="s">
        <v>7432</v>
      </c>
      <c r="C2744" s="67" t="s">
        <v>203</v>
      </c>
      <c r="D2744" s="69" t="s">
        <v>7424</v>
      </c>
      <c r="E2744" s="69" t="s">
        <v>324</v>
      </c>
      <c r="F2744" s="69" t="s">
        <v>371</v>
      </c>
    </row>
    <row r="2745" spans="1:6" ht="33.75" x14ac:dyDescent="0.2">
      <c r="A2745" s="65" t="s">
        <v>7433</v>
      </c>
      <c r="B2745" s="65" t="s">
        <v>7434</v>
      </c>
      <c r="C2745" s="67" t="s">
        <v>203</v>
      </c>
      <c r="D2745" s="69" t="s">
        <v>7435</v>
      </c>
      <c r="E2745" s="69" t="s">
        <v>324</v>
      </c>
      <c r="F2745" s="69" t="s">
        <v>7436</v>
      </c>
    </row>
    <row r="2746" spans="1:6" ht="45" x14ac:dyDescent="0.2">
      <c r="A2746" s="65" t="s">
        <v>7437</v>
      </c>
      <c r="B2746" s="66" t="s">
        <v>7438</v>
      </c>
      <c r="C2746" s="67" t="s">
        <v>221</v>
      </c>
      <c r="D2746" s="69" t="s">
        <v>7439</v>
      </c>
      <c r="E2746" s="69" t="s">
        <v>324</v>
      </c>
      <c r="F2746" s="69" t="s">
        <v>7440</v>
      </c>
    </row>
    <row r="2747" spans="1:6" ht="33.75" x14ac:dyDescent="0.2">
      <c r="A2747" s="65" t="s">
        <v>7441</v>
      </c>
      <c r="B2747" s="65" t="s">
        <v>7442</v>
      </c>
      <c r="C2747" s="67" t="s">
        <v>203</v>
      </c>
      <c r="D2747" s="69" t="s">
        <v>7443</v>
      </c>
      <c r="E2747" s="69" t="s">
        <v>324</v>
      </c>
      <c r="F2747" s="69" t="s">
        <v>7444</v>
      </c>
    </row>
    <row r="2748" spans="1:6" ht="33.75" x14ac:dyDescent="0.2">
      <c r="A2748" s="65" t="s">
        <v>7445</v>
      </c>
      <c r="B2748" s="65" t="s">
        <v>7446</v>
      </c>
      <c r="C2748" s="74" t="s">
        <v>203</v>
      </c>
      <c r="D2748" s="69" t="s">
        <v>7447</v>
      </c>
      <c r="E2748" s="69" t="s">
        <v>324</v>
      </c>
      <c r="F2748" s="69" t="s">
        <v>1953</v>
      </c>
    </row>
    <row r="2749" spans="1:6" ht="22.5" x14ac:dyDescent="0.2">
      <c r="A2749" s="65" t="s">
        <v>7448</v>
      </c>
      <c r="B2749" s="65" t="s">
        <v>7449</v>
      </c>
      <c r="C2749" s="74" t="s">
        <v>203</v>
      </c>
      <c r="D2749" s="69" t="s">
        <v>6360</v>
      </c>
      <c r="E2749" s="69" t="s">
        <v>324</v>
      </c>
      <c r="F2749" s="69" t="s">
        <v>7450</v>
      </c>
    </row>
    <row r="2750" spans="1:6" ht="22.5" x14ac:dyDescent="0.2">
      <c r="A2750" s="65" t="s">
        <v>7451</v>
      </c>
      <c r="B2750" s="65" t="s">
        <v>7452</v>
      </c>
      <c r="C2750" s="74" t="s">
        <v>203</v>
      </c>
      <c r="D2750" s="69" t="s">
        <v>369</v>
      </c>
      <c r="E2750" s="69" t="s">
        <v>324</v>
      </c>
      <c r="F2750" s="69" t="s">
        <v>6081</v>
      </c>
    </row>
    <row r="2751" spans="1:6" ht="22.5" x14ac:dyDescent="0.2">
      <c r="A2751" s="65" t="s">
        <v>7453</v>
      </c>
      <c r="B2751" s="65" t="s">
        <v>7454</v>
      </c>
      <c r="C2751" s="74" t="s">
        <v>203</v>
      </c>
      <c r="D2751" s="69" t="s">
        <v>7455</v>
      </c>
      <c r="E2751" s="69" t="s">
        <v>324</v>
      </c>
      <c r="F2751" s="69" t="s">
        <v>7456</v>
      </c>
    </row>
    <row r="2752" spans="1:6" ht="22.5" x14ac:dyDescent="0.2">
      <c r="A2752" s="65" t="s">
        <v>7457</v>
      </c>
      <c r="B2752" s="65" t="s">
        <v>7458</v>
      </c>
      <c r="C2752" s="74" t="s">
        <v>203</v>
      </c>
      <c r="D2752" s="69" t="s">
        <v>7459</v>
      </c>
      <c r="E2752" s="69" t="s">
        <v>324</v>
      </c>
      <c r="F2752" s="69" t="s">
        <v>6532</v>
      </c>
    </row>
    <row r="2753" spans="1:6" ht="45" x14ac:dyDescent="0.2">
      <c r="A2753" s="65" t="s">
        <v>7460</v>
      </c>
      <c r="B2753" s="66" t="s">
        <v>7461</v>
      </c>
      <c r="C2753" s="74" t="s">
        <v>203</v>
      </c>
      <c r="D2753" s="69" t="s">
        <v>7462</v>
      </c>
      <c r="E2753" s="69" t="s">
        <v>324</v>
      </c>
      <c r="F2753" s="69" t="s">
        <v>7463</v>
      </c>
    </row>
    <row r="2754" spans="1:6" ht="45" x14ac:dyDescent="0.2">
      <c r="A2754" s="65" t="s">
        <v>7464</v>
      </c>
      <c r="B2754" s="66" t="s">
        <v>7465</v>
      </c>
      <c r="C2754" s="74" t="s">
        <v>204</v>
      </c>
      <c r="D2754" s="69" t="s">
        <v>7466</v>
      </c>
      <c r="E2754" s="69" t="s">
        <v>261</v>
      </c>
      <c r="F2754" s="69" t="s">
        <v>7467</v>
      </c>
    </row>
    <row r="2755" spans="1:6" ht="22.5" x14ac:dyDescent="0.2">
      <c r="A2755" s="50">
        <v>42.2</v>
      </c>
      <c r="B2755" s="64" t="s">
        <v>7468</v>
      </c>
      <c r="C2755" s="47"/>
      <c r="D2755" s="47"/>
      <c r="E2755" s="47"/>
      <c r="F2755" s="47"/>
    </row>
    <row r="2756" spans="1:6" ht="45" x14ac:dyDescent="0.2">
      <c r="A2756" s="65" t="s">
        <v>7469</v>
      </c>
      <c r="B2756" s="66" t="s">
        <v>7470</v>
      </c>
      <c r="C2756" s="74" t="s">
        <v>203</v>
      </c>
      <c r="D2756" s="69" t="s">
        <v>7471</v>
      </c>
      <c r="E2756" s="69" t="s">
        <v>319</v>
      </c>
      <c r="F2756" s="69" t="s">
        <v>7472</v>
      </c>
    </row>
    <row r="2757" spans="1:6" ht="45" x14ac:dyDescent="0.2">
      <c r="A2757" s="65" t="s">
        <v>7473</v>
      </c>
      <c r="B2757" s="66" t="s">
        <v>7474</v>
      </c>
      <c r="C2757" s="74" t="s">
        <v>203</v>
      </c>
      <c r="D2757" s="69" t="s">
        <v>7475</v>
      </c>
      <c r="E2757" s="69" t="s">
        <v>319</v>
      </c>
      <c r="F2757" s="69" t="s">
        <v>7476</v>
      </c>
    </row>
    <row r="2758" spans="1:6" ht="56.25" x14ac:dyDescent="0.2">
      <c r="A2758" s="65" t="s">
        <v>7477</v>
      </c>
      <c r="B2758" s="66" t="s">
        <v>7478</v>
      </c>
      <c r="C2758" s="74" t="s">
        <v>203</v>
      </c>
      <c r="D2758" s="69" t="s">
        <v>7259</v>
      </c>
      <c r="E2758" s="69" t="s">
        <v>319</v>
      </c>
      <c r="F2758" s="69" t="s">
        <v>7479</v>
      </c>
    </row>
    <row r="2759" spans="1:6" ht="56.25" x14ac:dyDescent="0.2">
      <c r="A2759" s="65" t="s">
        <v>7480</v>
      </c>
      <c r="B2759" s="66" t="s">
        <v>7481</v>
      </c>
      <c r="C2759" s="74" t="s">
        <v>203</v>
      </c>
      <c r="D2759" s="69" t="s">
        <v>7482</v>
      </c>
      <c r="E2759" s="69" t="s">
        <v>319</v>
      </c>
      <c r="F2759" s="69" t="s">
        <v>7483</v>
      </c>
    </row>
    <row r="2760" spans="1:6" ht="56.25" x14ac:dyDescent="0.2">
      <c r="A2760" s="65" t="s">
        <v>7484</v>
      </c>
      <c r="B2760" s="66" t="s">
        <v>7485</v>
      </c>
      <c r="C2760" s="74" t="s">
        <v>203</v>
      </c>
      <c r="D2760" s="69" t="s">
        <v>6171</v>
      </c>
      <c r="E2760" s="69" t="s">
        <v>319</v>
      </c>
      <c r="F2760" s="69" t="s">
        <v>3255</v>
      </c>
    </row>
    <row r="2761" spans="1:6" ht="45" x14ac:dyDescent="0.2">
      <c r="A2761" s="65" t="s">
        <v>7486</v>
      </c>
      <c r="B2761" s="66" t="s">
        <v>7487</v>
      </c>
      <c r="C2761" s="74" t="s">
        <v>203</v>
      </c>
      <c r="D2761" s="69" t="s">
        <v>5867</v>
      </c>
      <c r="E2761" s="69" t="s">
        <v>319</v>
      </c>
      <c r="F2761" s="69" t="s">
        <v>7488</v>
      </c>
    </row>
    <row r="2762" spans="1:6" ht="45" x14ac:dyDescent="0.2">
      <c r="A2762" s="65" t="s">
        <v>7489</v>
      </c>
      <c r="B2762" s="66" t="s">
        <v>7490</v>
      </c>
      <c r="C2762" s="74" t="s">
        <v>203</v>
      </c>
      <c r="D2762" s="69" t="s">
        <v>7471</v>
      </c>
      <c r="E2762" s="69" t="s">
        <v>319</v>
      </c>
      <c r="F2762" s="69" t="s">
        <v>7472</v>
      </c>
    </row>
    <row r="2763" spans="1:6" ht="56.25" x14ac:dyDescent="0.2">
      <c r="A2763" s="65" t="s">
        <v>7491</v>
      </c>
      <c r="B2763" s="66" t="s">
        <v>7492</v>
      </c>
      <c r="C2763" s="74" t="s">
        <v>203</v>
      </c>
      <c r="D2763" s="69" t="s">
        <v>5888</v>
      </c>
      <c r="E2763" s="69" t="s">
        <v>319</v>
      </c>
      <c r="F2763" s="69" t="s">
        <v>7493</v>
      </c>
    </row>
    <row r="2764" spans="1:6" ht="45" x14ac:dyDescent="0.2">
      <c r="A2764" s="65" t="s">
        <v>7494</v>
      </c>
      <c r="B2764" s="66" t="s">
        <v>7495</v>
      </c>
      <c r="C2764" s="74" t="s">
        <v>203</v>
      </c>
      <c r="D2764" s="69" t="s">
        <v>7496</v>
      </c>
      <c r="E2764" s="69" t="s">
        <v>319</v>
      </c>
      <c r="F2764" s="69" t="s">
        <v>7497</v>
      </c>
    </row>
    <row r="2765" spans="1:6" ht="45" x14ac:dyDescent="0.2">
      <c r="A2765" s="65" t="s">
        <v>7498</v>
      </c>
      <c r="B2765" s="66" t="s">
        <v>7499</v>
      </c>
      <c r="C2765" s="74" t="s">
        <v>203</v>
      </c>
      <c r="D2765" s="69" t="s">
        <v>7500</v>
      </c>
      <c r="E2765" s="69" t="s">
        <v>319</v>
      </c>
      <c r="F2765" s="69" t="s">
        <v>7501</v>
      </c>
    </row>
    <row r="2766" spans="1:6" ht="56.25" x14ac:dyDescent="0.2">
      <c r="A2766" s="65" t="s">
        <v>7502</v>
      </c>
      <c r="B2766" s="66" t="s">
        <v>7503</v>
      </c>
      <c r="C2766" s="74" t="s">
        <v>203</v>
      </c>
      <c r="D2766" s="69" t="s">
        <v>348</v>
      </c>
      <c r="E2766" s="69" t="s">
        <v>319</v>
      </c>
      <c r="F2766" s="69" t="s">
        <v>7504</v>
      </c>
    </row>
    <row r="2767" spans="1:6" ht="45" x14ac:dyDescent="0.2">
      <c r="A2767" s="65" t="s">
        <v>7505</v>
      </c>
      <c r="B2767" s="66" t="s">
        <v>7506</v>
      </c>
      <c r="C2767" s="74" t="s">
        <v>203</v>
      </c>
      <c r="D2767" s="69" t="s">
        <v>7507</v>
      </c>
      <c r="E2767" s="69" t="s">
        <v>319</v>
      </c>
      <c r="F2767" s="69" t="s">
        <v>7508</v>
      </c>
    </row>
    <row r="2768" spans="1:6" ht="56.25" x14ac:dyDescent="0.2">
      <c r="A2768" s="65" t="s">
        <v>7509</v>
      </c>
      <c r="B2768" s="66" t="s">
        <v>7510</v>
      </c>
      <c r="C2768" s="74" t="s">
        <v>203</v>
      </c>
      <c r="D2768" s="69" t="s">
        <v>7511</v>
      </c>
      <c r="E2768" s="69" t="s">
        <v>319</v>
      </c>
      <c r="F2768" s="69" t="s">
        <v>7512</v>
      </c>
    </row>
    <row r="2769" spans="1:6" ht="56.25" x14ac:dyDescent="0.2">
      <c r="A2769" s="65" t="s">
        <v>7513</v>
      </c>
      <c r="B2769" s="66" t="s">
        <v>7514</v>
      </c>
      <c r="C2769" s="74" t="s">
        <v>203</v>
      </c>
      <c r="D2769" s="69" t="s">
        <v>7515</v>
      </c>
      <c r="E2769" s="69" t="s">
        <v>319</v>
      </c>
      <c r="F2769" s="69" t="s">
        <v>7516</v>
      </c>
    </row>
    <row r="2770" spans="1:6" ht="56.25" x14ac:dyDescent="0.2">
      <c r="A2770" s="70" t="s">
        <v>7517</v>
      </c>
      <c r="B2770" s="65" t="s">
        <v>7518</v>
      </c>
      <c r="C2770" s="75" t="s">
        <v>203</v>
      </c>
      <c r="D2770" s="72" t="s">
        <v>7519</v>
      </c>
      <c r="E2770" s="72" t="s">
        <v>319</v>
      </c>
      <c r="F2770" s="72" t="s">
        <v>7520</v>
      </c>
    </row>
    <row r="2771" spans="1:6" ht="56.25" x14ac:dyDescent="0.2">
      <c r="A2771" s="70" t="s">
        <v>7521</v>
      </c>
      <c r="B2771" s="65" t="s">
        <v>7522</v>
      </c>
      <c r="C2771" s="75" t="s">
        <v>203</v>
      </c>
      <c r="D2771" s="72" t="s">
        <v>5718</v>
      </c>
      <c r="E2771" s="72" t="s">
        <v>319</v>
      </c>
      <c r="F2771" s="72" t="s">
        <v>7523</v>
      </c>
    </row>
    <row r="2772" spans="1:6" ht="56.25" x14ac:dyDescent="0.2">
      <c r="A2772" s="70" t="s">
        <v>7524</v>
      </c>
      <c r="B2772" s="65" t="s">
        <v>7525</v>
      </c>
      <c r="C2772" s="75" t="s">
        <v>203</v>
      </c>
      <c r="D2772" s="72" t="s">
        <v>7526</v>
      </c>
      <c r="E2772" s="72" t="s">
        <v>319</v>
      </c>
      <c r="F2772" s="72" t="s">
        <v>7527</v>
      </c>
    </row>
    <row r="2773" spans="1:6" ht="56.25" x14ac:dyDescent="0.2">
      <c r="A2773" s="65" t="s">
        <v>7528</v>
      </c>
      <c r="B2773" s="66" t="s">
        <v>7529</v>
      </c>
      <c r="C2773" s="74" t="s">
        <v>203</v>
      </c>
      <c r="D2773" s="69" t="s">
        <v>6137</v>
      </c>
      <c r="E2773" s="69" t="s">
        <v>319</v>
      </c>
      <c r="F2773" s="69" t="s">
        <v>7530</v>
      </c>
    </row>
    <row r="2774" spans="1:6" ht="45" x14ac:dyDescent="0.2">
      <c r="A2774" s="65" t="s">
        <v>7531</v>
      </c>
      <c r="B2774" s="66" t="s">
        <v>7532</v>
      </c>
      <c r="C2774" s="74" t="s">
        <v>203</v>
      </c>
      <c r="D2774" s="69" t="s">
        <v>6607</v>
      </c>
      <c r="E2774" s="69" t="s">
        <v>319</v>
      </c>
      <c r="F2774" s="69" t="s">
        <v>7533</v>
      </c>
    </row>
    <row r="2775" spans="1:6" ht="45" x14ac:dyDescent="0.2">
      <c r="A2775" s="65" t="s">
        <v>7534</v>
      </c>
      <c r="B2775" s="66" t="s">
        <v>7535</v>
      </c>
      <c r="C2775" s="74" t="s">
        <v>203</v>
      </c>
      <c r="D2775" s="69" t="s">
        <v>7536</v>
      </c>
      <c r="E2775" s="69" t="s">
        <v>319</v>
      </c>
      <c r="F2775" s="69" t="s">
        <v>7537</v>
      </c>
    </row>
    <row r="2776" spans="1:6" ht="22.5" x14ac:dyDescent="0.2">
      <c r="A2776" s="49">
        <v>43</v>
      </c>
      <c r="B2776" s="64" t="s">
        <v>7538</v>
      </c>
      <c r="C2776" s="47"/>
      <c r="D2776" s="47"/>
      <c r="E2776" s="47"/>
      <c r="F2776" s="47"/>
    </row>
    <row r="2777" spans="1:6" x14ac:dyDescent="0.2">
      <c r="A2777" s="50">
        <v>43.01</v>
      </c>
      <c r="B2777" s="64" t="s">
        <v>7539</v>
      </c>
      <c r="C2777" s="47"/>
      <c r="D2777" s="47"/>
      <c r="E2777" s="47"/>
      <c r="F2777" s="47"/>
    </row>
    <row r="2778" spans="1:6" ht="67.5" x14ac:dyDescent="0.2">
      <c r="A2778" s="70" t="s">
        <v>7540</v>
      </c>
      <c r="B2778" s="66" t="s">
        <v>7541</v>
      </c>
      <c r="C2778" s="71" t="s">
        <v>203</v>
      </c>
      <c r="D2778" s="72" t="s">
        <v>7542</v>
      </c>
      <c r="E2778" s="72" t="s">
        <v>337</v>
      </c>
      <c r="F2778" s="72" t="s">
        <v>7543</v>
      </c>
    </row>
    <row r="2779" spans="1:6" ht="67.5" x14ac:dyDescent="0.2">
      <c r="A2779" s="70" t="s">
        <v>7544</v>
      </c>
      <c r="B2779" s="66" t="s">
        <v>7545</v>
      </c>
      <c r="C2779" s="71" t="s">
        <v>203</v>
      </c>
      <c r="D2779" s="72" t="s">
        <v>7546</v>
      </c>
      <c r="E2779" s="72" t="s">
        <v>337</v>
      </c>
      <c r="F2779" s="72" t="s">
        <v>7547</v>
      </c>
    </row>
    <row r="2780" spans="1:6" x14ac:dyDescent="0.2">
      <c r="A2780" s="50">
        <v>43.02</v>
      </c>
      <c r="B2780" s="64" t="s">
        <v>7548</v>
      </c>
      <c r="C2780" s="47"/>
      <c r="D2780" s="47"/>
      <c r="E2780" s="47"/>
      <c r="F2780" s="47"/>
    </row>
    <row r="2781" spans="1:6" ht="22.5" x14ac:dyDescent="0.2">
      <c r="A2781" s="65" t="s">
        <v>7549</v>
      </c>
      <c r="B2781" s="65" t="s">
        <v>7550</v>
      </c>
      <c r="C2781" s="67" t="s">
        <v>203</v>
      </c>
      <c r="D2781" s="69" t="s">
        <v>7551</v>
      </c>
      <c r="E2781" s="69" t="s">
        <v>319</v>
      </c>
      <c r="F2781" s="69" t="s">
        <v>7552</v>
      </c>
    </row>
    <row r="2782" spans="1:6" ht="33.75" x14ac:dyDescent="0.2">
      <c r="A2782" s="65" t="s">
        <v>7553</v>
      </c>
      <c r="B2782" s="65" t="s">
        <v>7554</v>
      </c>
      <c r="C2782" s="67" t="s">
        <v>203</v>
      </c>
      <c r="D2782" s="69" t="s">
        <v>7555</v>
      </c>
      <c r="E2782" s="69" t="s">
        <v>7556</v>
      </c>
      <c r="F2782" s="69" t="s">
        <v>7557</v>
      </c>
    </row>
    <row r="2783" spans="1:6" ht="22.5" x14ac:dyDescent="0.2">
      <c r="A2783" s="65" t="s">
        <v>7558</v>
      </c>
      <c r="B2783" s="65" t="s">
        <v>7559</v>
      </c>
      <c r="C2783" s="67" t="s">
        <v>203</v>
      </c>
      <c r="D2783" s="69" t="s">
        <v>7560</v>
      </c>
      <c r="E2783" s="69" t="s">
        <v>7561</v>
      </c>
      <c r="F2783" s="69" t="s">
        <v>4285</v>
      </c>
    </row>
    <row r="2784" spans="1:6" ht="33.75" x14ac:dyDescent="0.2">
      <c r="A2784" s="65" t="s">
        <v>7562</v>
      </c>
      <c r="B2784" s="65" t="s">
        <v>7563</v>
      </c>
      <c r="C2784" s="67" t="s">
        <v>203</v>
      </c>
      <c r="D2784" s="69" t="s">
        <v>7564</v>
      </c>
      <c r="E2784" s="69" t="s">
        <v>319</v>
      </c>
      <c r="F2784" s="69" t="s">
        <v>7565</v>
      </c>
    </row>
    <row r="2785" spans="1:6" ht="33.75" x14ac:dyDescent="0.2">
      <c r="A2785" s="65" t="s">
        <v>7566</v>
      </c>
      <c r="B2785" s="65" t="s">
        <v>7567</v>
      </c>
      <c r="C2785" s="67" t="s">
        <v>203</v>
      </c>
      <c r="D2785" s="69" t="s">
        <v>6187</v>
      </c>
      <c r="E2785" s="69" t="s">
        <v>331</v>
      </c>
      <c r="F2785" s="69" t="s">
        <v>6803</v>
      </c>
    </row>
    <row r="2786" spans="1:6" ht="22.5" x14ac:dyDescent="0.2">
      <c r="A2786" s="65" t="s">
        <v>7568</v>
      </c>
      <c r="B2786" s="65" t="s">
        <v>7569</v>
      </c>
      <c r="C2786" s="67" t="s">
        <v>203</v>
      </c>
      <c r="D2786" s="69" t="s">
        <v>7570</v>
      </c>
      <c r="E2786" s="69" t="s">
        <v>7561</v>
      </c>
      <c r="F2786" s="69" t="s">
        <v>7571</v>
      </c>
    </row>
    <row r="2787" spans="1:6" ht="56.25" x14ac:dyDescent="0.2">
      <c r="A2787" s="65" t="s">
        <v>7572</v>
      </c>
      <c r="B2787" s="66" t="s">
        <v>7573</v>
      </c>
      <c r="C2787" s="67" t="s">
        <v>203</v>
      </c>
      <c r="D2787" s="69" t="s">
        <v>7574</v>
      </c>
      <c r="E2787" s="69" t="s">
        <v>328</v>
      </c>
      <c r="F2787" s="69" t="s">
        <v>7575</v>
      </c>
    </row>
    <row r="2788" spans="1:6" ht="22.5" x14ac:dyDescent="0.2">
      <c r="A2788" s="65" t="s">
        <v>7576</v>
      </c>
      <c r="B2788" s="65" t="s">
        <v>7577</v>
      </c>
      <c r="C2788" s="67" t="s">
        <v>203</v>
      </c>
      <c r="D2788" s="69" t="s">
        <v>7578</v>
      </c>
      <c r="E2788" s="69" t="s">
        <v>7561</v>
      </c>
      <c r="F2788" s="69" t="s">
        <v>7579</v>
      </c>
    </row>
    <row r="2789" spans="1:6" ht="22.5" x14ac:dyDescent="0.2">
      <c r="A2789" s="65" t="s">
        <v>7580</v>
      </c>
      <c r="B2789" s="65" t="s">
        <v>7581</v>
      </c>
      <c r="C2789" s="67" t="s">
        <v>203</v>
      </c>
      <c r="D2789" s="69" t="s">
        <v>7582</v>
      </c>
      <c r="E2789" s="69" t="s">
        <v>7561</v>
      </c>
      <c r="F2789" s="69" t="s">
        <v>7583</v>
      </c>
    </row>
    <row r="2790" spans="1:6" x14ac:dyDescent="0.2">
      <c r="A2790" s="50">
        <v>43.03</v>
      </c>
      <c r="B2790" s="64" t="s">
        <v>7584</v>
      </c>
      <c r="C2790" s="47"/>
      <c r="D2790" s="47"/>
      <c r="E2790" s="47"/>
      <c r="F2790" s="47"/>
    </row>
    <row r="2791" spans="1:6" ht="22.5" x14ac:dyDescent="0.2">
      <c r="A2791" s="65" t="s">
        <v>7585</v>
      </c>
      <c r="B2791" s="65" t="s">
        <v>7586</v>
      </c>
      <c r="C2791" s="67" t="s">
        <v>203</v>
      </c>
      <c r="D2791" s="69" t="s">
        <v>7587</v>
      </c>
      <c r="E2791" s="69" t="s">
        <v>327</v>
      </c>
      <c r="F2791" s="69" t="s">
        <v>7588</v>
      </c>
    </row>
    <row r="2792" spans="1:6" ht="22.5" x14ac:dyDescent="0.2">
      <c r="A2792" s="65" t="s">
        <v>7589</v>
      </c>
      <c r="B2792" s="65" t="s">
        <v>7590</v>
      </c>
      <c r="C2792" s="67" t="s">
        <v>203</v>
      </c>
      <c r="D2792" s="69" t="s">
        <v>7591</v>
      </c>
      <c r="E2792" s="69" t="s">
        <v>7592</v>
      </c>
      <c r="F2792" s="69" t="s">
        <v>7593</v>
      </c>
    </row>
    <row r="2793" spans="1:6" ht="45" x14ac:dyDescent="0.2">
      <c r="A2793" s="65" t="s">
        <v>7594</v>
      </c>
      <c r="B2793" s="66" t="s">
        <v>7595</v>
      </c>
      <c r="C2793" s="67" t="s">
        <v>203</v>
      </c>
      <c r="D2793" s="69" t="s">
        <v>7596</v>
      </c>
      <c r="E2793" s="69" t="s">
        <v>326</v>
      </c>
      <c r="F2793" s="69" t="s">
        <v>7597</v>
      </c>
    </row>
    <row r="2794" spans="1:6" ht="56.25" x14ac:dyDescent="0.2">
      <c r="A2794" s="65" t="s">
        <v>7598</v>
      </c>
      <c r="B2794" s="66" t="s">
        <v>7599</v>
      </c>
      <c r="C2794" s="67" t="s">
        <v>240</v>
      </c>
      <c r="D2794" s="69" t="s">
        <v>7600</v>
      </c>
      <c r="E2794" s="69" t="s">
        <v>7601</v>
      </c>
      <c r="F2794" s="69" t="s">
        <v>7602</v>
      </c>
    </row>
    <row r="2795" spans="1:6" ht="56.25" x14ac:dyDescent="0.2">
      <c r="A2795" s="65" t="s">
        <v>7603</v>
      </c>
      <c r="B2795" s="66" t="s">
        <v>7604</v>
      </c>
      <c r="C2795" s="67" t="s">
        <v>240</v>
      </c>
      <c r="D2795" s="69" t="s">
        <v>7605</v>
      </c>
      <c r="E2795" s="69" t="s">
        <v>7606</v>
      </c>
      <c r="F2795" s="69" t="s">
        <v>7607</v>
      </c>
    </row>
    <row r="2796" spans="1:6" ht="56.25" x14ac:dyDescent="0.2">
      <c r="A2796" s="65" t="s">
        <v>7608</v>
      </c>
      <c r="B2796" s="66" t="s">
        <v>7609</v>
      </c>
      <c r="C2796" s="67" t="s">
        <v>240</v>
      </c>
      <c r="D2796" s="69" t="s">
        <v>7610</v>
      </c>
      <c r="E2796" s="69" t="s">
        <v>7611</v>
      </c>
      <c r="F2796" s="69" t="s">
        <v>7612</v>
      </c>
    </row>
    <row r="2797" spans="1:6" ht="45" x14ac:dyDescent="0.2">
      <c r="A2797" s="65" t="s">
        <v>7613</v>
      </c>
      <c r="B2797" s="66" t="s">
        <v>7614</v>
      </c>
      <c r="C2797" s="67" t="s">
        <v>203</v>
      </c>
      <c r="D2797" s="69" t="s">
        <v>7615</v>
      </c>
      <c r="E2797" s="69" t="s">
        <v>7616</v>
      </c>
      <c r="F2797" s="69" t="s">
        <v>7617</v>
      </c>
    </row>
    <row r="2798" spans="1:6" ht="45" x14ac:dyDescent="0.2">
      <c r="A2798" s="65" t="s">
        <v>7618</v>
      </c>
      <c r="B2798" s="66" t="s">
        <v>7619</v>
      </c>
      <c r="C2798" s="67" t="s">
        <v>203</v>
      </c>
      <c r="D2798" s="69" t="s">
        <v>7620</v>
      </c>
      <c r="E2798" s="69" t="s">
        <v>7621</v>
      </c>
      <c r="F2798" s="69" t="s">
        <v>7622</v>
      </c>
    </row>
    <row r="2799" spans="1:6" ht="45" x14ac:dyDescent="0.2">
      <c r="A2799" s="65" t="s">
        <v>7623</v>
      </c>
      <c r="B2799" s="66" t="s">
        <v>7624</v>
      </c>
      <c r="C2799" s="67" t="s">
        <v>203</v>
      </c>
      <c r="D2799" s="69" t="s">
        <v>7625</v>
      </c>
      <c r="E2799" s="69" t="s">
        <v>337</v>
      </c>
      <c r="F2799" s="69" t="s">
        <v>7626</v>
      </c>
    </row>
    <row r="2800" spans="1:6" x14ac:dyDescent="0.2">
      <c r="A2800" s="50">
        <v>43.04</v>
      </c>
      <c r="B2800" s="64" t="s">
        <v>7627</v>
      </c>
      <c r="C2800" s="47"/>
      <c r="D2800" s="47"/>
      <c r="E2800" s="47"/>
      <c r="F2800" s="47"/>
    </row>
    <row r="2801" spans="1:6" x14ac:dyDescent="0.2">
      <c r="A2801" s="65" t="s">
        <v>7628</v>
      </c>
      <c r="B2801" s="65" t="s">
        <v>7629</v>
      </c>
      <c r="C2801" s="67" t="s">
        <v>203</v>
      </c>
      <c r="D2801" s="69" t="s">
        <v>7630</v>
      </c>
      <c r="E2801" s="69" t="s">
        <v>7561</v>
      </c>
      <c r="F2801" s="69" t="s">
        <v>7631</v>
      </c>
    </row>
    <row r="2802" spans="1:6" ht="22.5" x14ac:dyDescent="0.2">
      <c r="A2802" s="50">
        <v>43.05</v>
      </c>
      <c r="B2802" s="64" t="s">
        <v>7632</v>
      </c>
      <c r="C2802" s="47"/>
      <c r="D2802" s="47"/>
      <c r="E2802" s="47"/>
      <c r="F2802" s="47"/>
    </row>
    <row r="2803" spans="1:6" ht="22.5" x14ac:dyDescent="0.2">
      <c r="A2803" s="65" t="s">
        <v>7633</v>
      </c>
      <c r="B2803" s="65" t="s">
        <v>7634</v>
      </c>
      <c r="C2803" s="67" t="s">
        <v>203</v>
      </c>
      <c r="D2803" s="69" t="s">
        <v>7635</v>
      </c>
      <c r="E2803" s="69" t="s">
        <v>321</v>
      </c>
      <c r="F2803" s="69" t="s">
        <v>7636</v>
      </c>
    </row>
    <row r="2804" spans="1:6" ht="45" x14ac:dyDescent="0.2">
      <c r="A2804" s="65" t="s">
        <v>7637</v>
      </c>
      <c r="B2804" s="66" t="s">
        <v>7638</v>
      </c>
      <c r="C2804" s="67" t="s">
        <v>203</v>
      </c>
      <c r="D2804" s="69" t="s">
        <v>7639</v>
      </c>
      <c r="E2804" s="69" t="s">
        <v>321</v>
      </c>
      <c r="F2804" s="69" t="s">
        <v>7640</v>
      </c>
    </row>
    <row r="2805" spans="1:6" x14ac:dyDescent="0.2">
      <c r="A2805" s="50">
        <v>43.06</v>
      </c>
      <c r="B2805" s="64" t="s">
        <v>7641</v>
      </c>
      <c r="C2805" s="47"/>
      <c r="D2805" s="47"/>
      <c r="E2805" s="47"/>
      <c r="F2805" s="47"/>
    </row>
    <row r="2806" spans="1:6" ht="22.5" x14ac:dyDescent="0.2">
      <c r="A2806" s="65" t="s">
        <v>7642</v>
      </c>
      <c r="B2806" s="65" t="s">
        <v>7643</v>
      </c>
      <c r="C2806" s="67" t="s">
        <v>203</v>
      </c>
      <c r="D2806" s="69" t="s">
        <v>7644</v>
      </c>
      <c r="E2806" s="69" t="s">
        <v>319</v>
      </c>
      <c r="F2806" s="69" t="s">
        <v>7645</v>
      </c>
    </row>
    <row r="2807" spans="1:6" x14ac:dyDescent="0.2">
      <c r="A2807" s="50">
        <v>43.07</v>
      </c>
      <c r="B2807" s="64" t="s">
        <v>7646</v>
      </c>
      <c r="C2807" s="47"/>
      <c r="D2807" s="47"/>
      <c r="E2807" s="47"/>
      <c r="F2807" s="47"/>
    </row>
    <row r="2808" spans="1:6" ht="45" x14ac:dyDescent="0.2">
      <c r="A2808" s="65" t="s">
        <v>7647</v>
      </c>
      <c r="B2808" s="66" t="s">
        <v>7648</v>
      </c>
      <c r="C2808" s="67" t="s">
        <v>240</v>
      </c>
      <c r="D2808" s="69" t="s">
        <v>7649</v>
      </c>
      <c r="E2808" s="69" t="s">
        <v>7650</v>
      </c>
      <c r="F2808" s="69" t="s">
        <v>7651</v>
      </c>
    </row>
    <row r="2809" spans="1:6" ht="45" x14ac:dyDescent="0.2">
      <c r="A2809" s="65" t="s">
        <v>7652</v>
      </c>
      <c r="B2809" s="66" t="s">
        <v>7653</v>
      </c>
      <c r="C2809" s="67" t="s">
        <v>240</v>
      </c>
      <c r="D2809" s="69" t="s">
        <v>7654</v>
      </c>
      <c r="E2809" s="69" t="s">
        <v>7655</v>
      </c>
      <c r="F2809" s="69" t="s">
        <v>7656</v>
      </c>
    </row>
    <row r="2810" spans="1:6" ht="45" x14ac:dyDescent="0.2">
      <c r="A2810" s="65" t="s">
        <v>7657</v>
      </c>
      <c r="B2810" s="66" t="s">
        <v>7658</v>
      </c>
      <c r="C2810" s="67" t="s">
        <v>240</v>
      </c>
      <c r="D2810" s="69" t="s">
        <v>7659</v>
      </c>
      <c r="E2810" s="69" t="s">
        <v>7650</v>
      </c>
      <c r="F2810" s="69" t="s">
        <v>7660</v>
      </c>
    </row>
    <row r="2811" spans="1:6" ht="45" x14ac:dyDescent="0.2">
      <c r="A2811" s="65" t="s">
        <v>7661</v>
      </c>
      <c r="B2811" s="66" t="s">
        <v>7662</v>
      </c>
      <c r="C2811" s="67" t="s">
        <v>240</v>
      </c>
      <c r="D2811" s="69" t="s">
        <v>7663</v>
      </c>
      <c r="E2811" s="69" t="s">
        <v>7650</v>
      </c>
      <c r="F2811" s="69" t="s">
        <v>7664</v>
      </c>
    </row>
    <row r="2812" spans="1:6" ht="33.75" x14ac:dyDescent="0.2">
      <c r="A2812" s="65" t="s">
        <v>7665</v>
      </c>
      <c r="B2812" s="65" t="s">
        <v>7666</v>
      </c>
      <c r="C2812" s="67" t="s">
        <v>240</v>
      </c>
      <c r="D2812" s="69" t="s">
        <v>7667</v>
      </c>
      <c r="E2812" s="69" t="s">
        <v>7655</v>
      </c>
      <c r="F2812" s="69" t="s">
        <v>7668</v>
      </c>
    </row>
    <row r="2813" spans="1:6" ht="33.75" x14ac:dyDescent="0.2">
      <c r="A2813" s="65" t="s">
        <v>7669</v>
      </c>
      <c r="B2813" s="65" t="s">
        <v>7670</v>
      </c>
      <c r="C2813" s="67" t="s">
        <v>240</v>
      </c>
      <c r="D2813" s="69" t="s">
        <v>7671</v>
      </c>
      <c r="E2813" s="69" t="s">
        <v>7655</v>
      </c>
      <c r="F2813" s="69" t="s">
        <v>7672</v>
      </c>
    </row>
    <row r="2814" spans="1:6" ht="33.75" x14ac:dyDescent="0.2">
      <c r="A2814" s="65" t="s">
        <v>7673</v>
      </c>
      <c r="B2814" s="65" t="s">
        <v>7674</v>
      </c>
      <c r="C2814" s="67" t="s">
        <v>240</v>
      </c>
      <c r="D2814" s="69" t="s">
        <v>7675</v>
      </c>
      <c r="E2814" s="69" t="s">
        <v>7650</v>
      </c>
      <c r="F2814" s="69" t="s">
        <v>7676</v>
      </c>
    </row>
    <row r="2815" spans="1:6" ht="33.75" x14ac:dyDescent="0.2">
      <c r="A2815" s="65" t="s">
        <v>7677</v>
      </c>
      <c r="B2815" s="65" t="s">
        <v>7678</v>
      </c>
      <c r="C2815" s="67" t="s">
        <v>240</v>
      </c>
      <c r="D2815" s="69" t="s">
        <v>7679</v>
      </c>
      <c r="E2815" s="69" t="s">
        <v>7650</v>
      </c>
      <c r="F2815" s="69" t="s">
        <v>7680</v>
      </c>
    </row>
    <row r="2816" spans="1:6" ht="45" x14ac:dyDescent="0.2">
      <c r="A2816" s="65" t="s">
        <v>7681</v>
      </c>
      <c r="B2816" s="66" t="s">
        <v>7682</v>
      </c>
      <c r="C2816" s="67" t="s">
        <v>240</v>
      </c>
      <c r="D2816" s="69" t="s">
        <v>7683</v>
      </c>
      <c r="E2816" s="69" t="s">
        <v>7650</v>
      </c>
      <c r="F2816" s="69" t="s">
        <v>7684</v>
      </c>
    </row>
    <row r="2817" spans="1:6" ht="45" x14ac:dyDescent="0.2">
      <c r="A2817" s="65" t="s">
        <v>7685</v>
      </c>
      <c r="B2817" s="66" t="s">
        <v>7686</v>
      </c>
      <c r="C2817" s="67" t="s">
        <v>240</v>
      </c>
      <c r="D2817" s="69" t="s">
        <v>7687</v>
      </c>
      <c r="E2817" s="69" t="s">
        <v>7650</v>
      </c>
      <c r="F2817" s="69" t="s">
        <v>7688</v>
      </c>
    </row>
    <row r="2818" spans="1:6" ht="22.5" x14ac:dyDescent="0.2">
      <c r="A2818" s="50">
        <v>43.08</v>
      </c>
      <c r="B2818" s="64" t="s">
        <v>7689</v>
      </c>
      <c r="C2818" s="47"/>
      <c r="D2818" s="47"/>
      <c r="E2818" s="47"/>
      <c r="F2818" s="47"/>
    </row>
    <row r="2819" spans="1:6" ht="33.75" x14ac:dyDescent="0.2">
      <c r="A2819" s="65" t="s">
        <v>7690</v>
      </c>
      <c r="B2819" s="65" t="s">
        <v>7691</v>
      </c>
      <c r="C2819" s="67" t="s">
        <v>203</v>
      </c>
      <c r="D2819" s="69" t="s">
        <v>7692</v>
      </c>
      <c r="E2819" s="69" t="s">
        <v>7693</v>
      </c>
      <c r="F2819" s="69" t="s">
        <v>7694</v>
      </c>
    </row>
    <row r="2820" spans="1:6" ht="45" x14ac:dyDescent="0.2">
      <c r="A2820" s="65" t="s">
        <v>7695</v>
      </c>
      <c r="B2820" s="66" t="s">
        <v>7696</v>
      </c>
      <c r="C2820" s="67" t="s">
        <v>203</v>
      </c>
      <c r="D2820" s="69" t="s">
        <v>7697</v>
      </c>
      <c r="E2820" s="69" t="s">
        <v>7693</v>
      </c>
      <c r="F2820" s="69" t="s">
        <v>7698</v>
      </c>
    </row>
    <row r="2821" spans="1:6" ht="45" x14ac:dyDescent="0.2">
      <c r="A2821" s="65" t="s">
        <v>7699</v>
      </c>
      <c r="B2821" s="66" t="s">
        <v>7700</v>
      </c>
      <c r="C2821" s="67" t="s">
        <v>203</v>
      </c>
      <c r="D2821" s="69" t="s">
        <v>7701</v>
      </c>
      <c r="E2821" s="69" t="s">
        <v>7693</v>
      </c>
      <c r="F2821" s="69" t="s">
        <v>7702</v>
      </c>
    </row>
    <row r="2822" spans="1:6" ht="45" x14ac:dyDescent="0.2">
      <c r="A2822" s="65" t="s">
        <v>7703</v>
      </c>
      <c r="B2822" s="66" t="s">
        <v>7704</v>
      </c>
      <c r="C2822" s="67" t="s">
        <v>203</v>
      </c>
      <c r="D2822" s="69" t="s">
        <v>7705</v>
      </c>
      <c r="E2822" s="69" t="s">
        <v>7693</v>
      </c>
      <c r="F2822" s="69" t="s">
        <v>7706</v>
      </c>
    </row>
    <row r="2823" spans="1:6" ht="33.75" x14ac:dyDescent="0.2">
      <c r="A2823" s="65" t="s">
        <v>7707</v>
      </c>
      <c r="B2823" s="66" t="s">
        <v>7708</v>
      </c>
      <c r="C2823" s="67" t="s">
        <v>203</v>
      </c>
      <c r="D2823" s="69" t="s">
        <v>7709</v>
      </c>
      <c r="E2823" s="69" t="s">
        <v>7710</v>
      </c>
      <c r="F2823" s="69" t="s">
        <v>7711</v>
      </c>
    </row>
    <row r="2824" spans="1:6" ht="33.75" x14ac:dyDescent="0.2">
      <c r="A2824" s="65" t="s">
        <v>7712</v>
      </c>
      <c r="B2824" s="66" t="s">
        <v>7713</v>
      </c>
      <c r="C2824" s="67" t="s">
        <v>203</v>
      </c>
      <c r="D2824" s="69" t="s">
        <v>7714</v>
      </c>
      <c r="E2824" s="69" t="s">
        <v>7710</v>
      </c>
      <c r="F2824" s="69" t="s">
        <v>7715</v>
      </c>
    </row>
    <row r="2825" spans="1:6" ht="33.75" x14ac:dyDescent="0.2">
      <c r="A2825" s="65" t="s">
        <v>7716</v>
      </c>
      <c r="B2825" s="66" t="s">
        <v>7717</v>
      </c>
      <c r="C2825" s="67" t="s">
        <v>203</v>
      </c>
      <c r="D2825" s="69" t="s">
        <v>7718</v>
      </c>
      <c r="E2825" s="69" t="s">
        <v>7710</v>
      </c>
      <c r="F2825" s="69" t="s">
        <v>7719</v>
      </c>
    </row>
    <row r="2826" spans="1:6" ht="33.75" x14ac:dyDescent="0.2">
      <c r="A2826" s="65" t="s">
        <v>7720</v>
      </c>
      <c r="B2826" s="66" t="s">
        <v>7721</v>
      </c>
      <c r="C2826" s="67" t="s">
        <v>203</v>
      </c>
      <c r="D2826" s="69" t="s">
        <v>7722</v>
      </c>
      <c r="E2826" s="69" t="s">
        <v>7710</v>
      </c>
      <c r="F2826" s="69" t="s">
        <v>7723</v>
      </c>
    </row>
    <row r="2827" spans="1:6" ht="33.75" x14ac:dyDescent="0.2">
      <c r="A2827" s="65" t="s">
        <v>7724</v>
      </c>
      <c r="B2827" s="66" t="s">
        <v>7725</v>
      </c>
      <c r="C2827" s="67" t="s">
        <v>203</v>
      </c>
      <c r="D2827" s="69" t="s">
        <v>7726</v>
      </c>
      <c r="E2827" s="69" t="s">
        <v>7710</v>
      </c>
      <c r="F2827" s="69" t="s">
        <v>7727</v>
      </c>
    </row>
    <row r="2828" spans="1:6" ht="33.75" x14ac:dyDescent="0.2">
      <c r="A2828" s="65" t="s">
        <v>7728</v>
      </c>
      <c r="B2828" s="66" t="s">
        <v>7729</v>
      </c>
      <c r="C2828" s="67" t="s">
        <v>203</v>
      </c>
      <c r="D2828" s="69" t="s">
        <v>7730</v>
      </c>
      <c r="E2828" s="69" t="s">
        <v>7710</v>
      </c>
      <c r="F2828" s="69" t="s">
        <v>7731</v>
      </c>
    </row>
    <row r="2829" spans="1:6" ht="33.75" x14ac:dyDescent="0.2">
      <c r="A2829" s="65" t="s">
        <v>7732</v>
      </c>
      <c r="B2829" s="66" t="s">
        <v>7733</v>
      </c>
      <c r="C2829" s="67" t="s">
        <v>203</v>
      </c>
      <c r="D2829" s="69" t="s">
        <v>7734</v>
      </c>
      <c r="E2829" s="69" t="s">
        <v>7710</v>
      </c>
      <c r="F2829" s="69" t="s">
        <v>7735</v>
      </c>
    </row>
    <row r="2830" spans="1:6" ht="33.75" x14ac:dyDescent="0.2">
      <c r="A2830" s="65" t="s">
        <v>7736</v>
      </c>
      <c r="B2830" s="66" t="s">
        <v>7737</v>
      </c>
      <c r="C2830" s="67" t="s">
        <v>203</v>
      </c>
      <c r="D2830" s="69" t="s">
        <v>7738</v>
      </c>
      <c r="E2830" s="69" t="s">
        <v>7710</v>
      </c>
      <c r="F2830" s="69" t="s">
        <v>7739</v>
      </c>
    </row>
    <row r="2831" spans="1:6" ht="33.75" x14ac:dyDescent="0.2">
      <c r="A2831" s="65" t="s">
        <v>7740</v>
      </c>
      <c r="B2831" s="66" t="s">
        <v>7741</v>
      </c>
      <c r="C2831" s="67" t="s">
        <v>203</v>
      </c>
      <c r="D2831" s="69" t="s">
        <v>7742</v>
      </c>
      <c r="E2831" s="69" t="s">
        <v>7710</v>
      </c>
      <c r="F2831" s="69" t="s">
        <v>7743</v>
      </c>
    </row>
    <row r="2832" spans="1:6" ht="33.75" x14ac:dyDescent="0.2">
      <c r="A2832" s="65" t="s">
        <v>7744</v>
      </c>
      <c r="B2832" s="66" t="s">
        <v>7745</v>
      </c>
      <c r="C2832" s="67" t="s">
        <v>203</v>
      </c>
      <c r="D2832" s="69" t="s">
        <v>7746</v>
      </c>
      <c r="E2832" s="69" t="s">
        <v>7710</v>
      </c>
      <c r="F2832" s="69" t="s">
        <v>7747</v>
      </c>
    </row>
    <row r="2833" spans="1:6" ht="33.75" x14ac:dyDescent="0.2">
      <c r="A2833" s="65" t="s">
        <v>7748</v>
      </c>
      <c r="B2833" s="66" t="s">
        <v>7749</v>
      </c>
      <c r="C2833" s="67" t="s">
        <v>203</v>
      </c>
      <c r="D2833" s="69" t="s">
        <v>7750</v>
      </c>
      <c r="E2833" s="69" t="s">
        <v>7710</v>
      </c>
      <c r="F2833" s="69" t="s">
        <v>7751</v>
      </c>
    </row>
    <row r="2834" spans="1:6" x14ac:dyDescent="0.2">
      <c r="A2834" s="50">
        <v>43.1</v>
      </c>
      <c r="B2834" s="64" t="s">
        <v>7752</v>
      </c>
      <c r="C2834" s="47"/>
      <c r="D2834" s="47"/>
      <c r="E2834" s="47"/>
      <c r="F2834" s="47"/>
    </row>
    <row r="2835" spans="1:6" ht="45" x14ac:dyDescent="0.2">
      <c r="A2835" s="65" t="s">
        <v>7753</v>
      </c>
      <c r="B2835" s="66" t="s">
        <v>7754</v>
      </c>
      <c r="C2835" s="67" t="s">
        <v>203</v>
      </c>
      <c r="D2835" s="69" t="s">
        <v>7755</v>
      </c>
      <c r="E2835" s="69" t="s">
        <v>4654</v>
      </c>
      <c r="F2835" s="69" t="s">
        <v>7756</v>
      </c>
    </row>
    <row r="2836" spans="1:6" ht="45" x14ac:dyDescent="0.2">
      <c r="A2836" s="65" t="s">
        <v>7757</v>
      </c>
      <c r="B2836" s="66" t="s">
        <v>7758</v>
      </c>
      <c r="C2836" s="67" t="s">
        <v>203</v>
      </c>
      <c r="D2836" s="69" t="s">
        <v>7759</v>
      </c>
      <c r="E2836" s="69" t="s">
        <v>4654</v>
      </c>
      <c r="F2836" s="69" t="s">
        <v>7760</v>
      </c>
    </row>
    <row r="2837" spans="1:6" ht="45" x14ac:dyDescent="0.2">
      <c r="A2837" s="65" t="s">
        <v>7761</v>
      </c>
      <c r="B2837" s="66" t="s">
        <v>7762</v>
      </c>
      <c r="C2837" s="67" t="s">
        <v>203</v>
      </c>
      <c r="D2837" s="69" t="s">
        <v>7763</v>
      </c>
      <c r="E2837" s="69" t="s">
        <v>4654</v>
      </c>
      <c r="F2837" s="69" t="s">
        <v>7764</v>
      </c>
    </row>
    <row r="2838" spans="1:6" ht="45" x14ac:dyDescent="0.2">
      <c r="A2838" s="65" t="s">
        <v>7765</v>
      </c>
      <c r="B2838" s="66" t="s">
        <v>7766</v>
      </c>
      <c r="C2838" s="67" t="s">
        <v>203</v>
      </c>
      <c r="D2838" s="69" t="s">
        <v>7767</v>
      </c>
      <c r="E2838" s="69" t="s">
        <v>4654</v>
      </c>
      <c r="F2838" s="69" t="s">
        <v>7768</v>
      </c>
    </row>
    <row r="2839" spans="1:6" ht="45" x14ac:dyDescent="0.2">
      <c r="A2839" s="65" t="s">
        <v>7769</v>
      </c>
      <c r="B2839" s="66" t="s">
        <v>7770</v>
      </c>
      <c r="C2839" s="67" t="s">
        <v>203</v>
      </c>
      <c r="D2839" s="69" t="s">
        <v>7771</v>
      </c>
      <c r="E2839" s="69" t="s">
        <v>4654</v>
      </c>
      <c r="F2839" s="69" t="s">
        <v>7772</v>
      </c>
    </row>
    <row r="2840" spans="1:6" ht="45" x14ac:dyDescent="0.2">
      <c r="A2840" s="65" t="s">
        <v>7773</v>
      </c>
      <c r="B2840" s="66" t="s">
        <v>7774</v>
      </c>
      <c r="C2840" s="67" t="s">
        <v>203</v>
      </c>
      <c r="D2840" s="69" t="s">
        <v>7775</v>
      </c>
      <c r="E2840" s="69" t="s">
        <v>4654</v>
      </c>
      <c r="F2840" s="69" t="s">
        <v>7776</v>
      </c>
    </row>
    <row r="2841" spans="1:6" ht="45" x14ac:dyDescent="0.2">
      <c r="A2841" s="65" t="s">
        <v>7777</v>
      </c>
      <c r="B2841" s="66" t="s">
        <v>7778</v>
      </c>
      <c r="C2841" s="67" t="s">
        <v>203</v>
      </c>
      <c r="D2841" s="69" t="s">
        <v>7779</v>
      </c>
      <c r="E2841" s="69" t="s">
        <v>4654</v>
      </c>
      <c r="F2841" s="69" t="s">
        <v>7780</v>
      </c>
    </row>
    <row r="2842" spans="1:6" ht="45" x14ac:dyDescent="0.2">
      <c r="A2842" s="65" t="s">
        <v>7781</v>
      </c>
      <c r="B2842" s="66" t="s">
        <v>7782</v>
      </c>
      <c r="C2842" s="67" t="s">
        <v>203</v>
      </c>
      <c r="D2842" s="69" t="s">
        <v>7783</v>
      </c>
      <c r="E2842" s="69" t="s">
        <v>4654</v>
      </c>
      <c r="F2842" s="69" t="s">
        <v>7784</v>
      </c>
    </row>
    <row r="2843" spans="1:6" ht="45" x14ac:dyDescent="0.2">
      <c r="A2843" s="65" t="s">
        <v>7785</v>
      </c>
      <c r="B2843" s="66" t="s">
        <v>7786</v>
      </c>
      <c r="C2843" s="74" t="s">
        <v>203</v>
      </c>
      <c r="D2843" s="69" t="s">
        <v>7787</v>
      </c>
      <c r="E2843" s="69" t="s">
        <v>4654</v>
      </c>
      <c r="F2843" s="69" t="s">
        <v>7788</v>
      </c>
    </row>
    <row r="2844" spans="1:6" ht="45" x14ac:dyDescent="0.2">
      <c r="A2844" s="65" t="s">
        <v>7789</v>
      </c>
      <c r="B2844" s="66" t="s">
        <v>7790</v>
      </c>
      <c r="C2844" s="74" t="s">
        <v>203</v>
      </c>
      <c r="D2844" s="69" t="s">
        <v>7791</v>
      </c>
      <c r="E2844" s="69" t="s">
        <v>4654</v>
      </c>
      <c r="F2844" s="69" t="s">
        <v>7792</v>
      </c>
    </row>
    <row r="2845" spans="1:6" ht="45" x14ac:dyDescent="0.2">
      <c r="A2845" s="65" t="s">
        <v>7793</v>
      </c>
      <c r="B2845" s="66" t="s">
        <v>7794</v>
      </c>
      <c r="C2845" s="74" t="s">
        <v>203</v>
      </c>
      <c r="D2845" s="69" t="s">
        <v>7795</v>
      </c>
      <c r="E2845" s="69" t="s">
        <v>4654</v>
      </c>
      <c r="F2845" s="69" t="s">
        <v>7796</v>
      </c>
    </row>
    <row r="2846" spans="1:6" ht="45" x14ac:dyDescent="0.2">
      <c r="A2846" s="65" t="s">
        <v>7797</v>
      </c>
      <c r="B2846" s="66" t="s">
        <v>7798</v>
      </c>
      <c r="C2846" s="74" t="s">
        <v>203</v>
      </c>
      <c r="D2846" s="69" t="s">
        <v>7799</v>
      </c>
      <c r="E2846" s="69" t="s">
        <v>4654</v>
      </c>
      <c r="F2846" s="69" t="s">
        <v>7800</v>
      </c>
    </row>
    <row r="2847" spans="1:6" ht="45" x14ac:dyDescent="0.2">
      <c r="A2847" s="65" t="s">
        <v>7801</v>
      </c>
      <c r="B2847" s="66" t="s">
        <v>7802</v>
      </c>
      <c r="C2847" s="74" t="s">
        <v>203</v>
      </c>
      <c r="D2847" s="69" t="s">
        <v>7803</v>
      </c>
      <c r="E2847" s="69" t="s">
        <v>4654</v>
      </c>
      <c r="F2847" s="69" t="s">
        <v>7804</v>
      </c>
    </row>
    <row r="2848" spans="1:6" ht="45" x14ac:dyDescent="0.2">
      <c r="A2848" s="65" t="s">
        <v>7805</v>
      </c>
      <c r="B2848" s="66" t="s">
        <v>7806</v>
      </c>
      <c r="C2848" s="74" t="s">
        <v>203</v>
      </c>
      <c r="D2848" s="69" t="s">
        <v>7807</v>
      </c>
      <c r="E2848" s="69" t="s">
        <v>4654</v>
      </c>
      <c r="F2848" s="69" t="s">
        <v>7808</v>
      </c>
    </row>
    <row r="2849" spans="1:6" ht="45" x14ac:dyDescent="0.2">
      <c r="A2849" s="65" t="s">
        <v>7809</v>
      </c>
      <c r="B2849" s="66" t="s">
        <v>7810</v>
      </c>
      <c r="C2849" s="74" t="s">
        <v>203</v>
      </c>
      <c r="D2849" s="69" t="s">
        <v>7811</v>
      </c>
      <c r="E2849" s="69" t="s">
        <v>4654</v>
      </c>
      <c r="F2849" s="69" t="s">
        <v>7812</v>
      </c>
    </row>
    <row r="2850" spans="1:6" ht="56.25" x14ac:dyDescent="0.2">
      <c r="A2850" s="65" t="s">
        <v>7813</v>
      </c>
      <c r="B2850" s="66" t="s">
        <v>7814</v>
      </c>
      <c r="C2850" s="74" t="s">
        <v>203</v>
      </c>
      <c r="D2850" s="69" t="s">
        <v>7815</v>
      </c>
      <c r="E2850" s="69" t="s">
        <v>4654</v>
      </c>
      <c r="F2850" s="69" t="s">
        <v>7816</v>
      </c>
    </row>
    <row r="2851" spans="1:6" ht="56.25" x14ac:dyDescent="0.2">
      <c r="A2851" s="65" t="s">
        <v>7817</v>
      </c>
      <c r="B2851" s="66" t="s">
        <v>7818</v>
      </c>
      <c r="C2851" s="74" t="s">
        <v>203</v>
      </c>
      <c r="D2851" s="69" t="s">
        <v>7819</v>
      </c>
      <c r="E2851" s="69" t="s">
        <v>4654</v>
      </c>
      <c r="F2851" s="69" t="s">
        <v>7820</v>
      </c>
    </row>
    <row r="2852" spans="1:6" ht="45" x14ac:dyDescent="0.2">
      <c r="A2852" s="65" t="s">
        <v>7821</v>
      </c>
      <c r="B2852" s="66" t="s">
        <v>7822</v>
      </c>
      <c r="C2852" s="74" t="s">
        <v>203</v>
      </c>
      <c r="D2852" s="69" t="s">
        <v>7823</v>
      </c>
      <c r="E2852" s="69" t="s">
        <v>4654</v>
      </c>
      <c r="F2852" s="69" t="s">
        <v>7824</v>
      </c>
    </row>
    <row r="2853" spans="1:6" ht="45" x14ac:dyDescent="0.2">
      <c r="A2853" s="65" t="s">
        <v>7825</v>
      </c>
      <c r="B2853" s="66" t="s">
        <v>7826</v>
      </c>
      <c r="C2853" s="74" t="s">
        <v>203</v>
      </c>
      <c r="D2853" s="69" t="s">
        <v>7827</v>
      </c>
      <c r="E2853" s="69" t="s">
        <v>4654</v>
      </c>
      <c r="F2853" s="69" t="s">
        <v>7828</v>
      </c>
    </row>
    <row r="2854" spans="1:6" ht="45" x14ac:dyDescent="0.2">
      <c r="A2854" s="65" t="s">
        <v>7829</v>
      </c>
      <c r="B2854" s="66" t="s">
        <v>7830</v>
      </c>
      <c r="C2854" s="74" t="s">
        <v>203</v>
      </c>
      <c r="D2854" s="69" t="s">
        <v>7831</v>
      </c>
      <c r="E2854" s="69" t="s">
        <v>4654</v>
      </c>
      <c r="F2854" s="69" t="s">
        <v>7832</v>
      </c>
    </row>
    <row r="2855" spans="1:6" ht="45" x14ac:dyDescent="0.2">
      <c r="A2855" s="65" t="s">
        <v>7833</v>
      </c>
      <c r="B2855" s="66" t="s">
        <v>7834</v>
      </c>
      <c r="C2855" s="74" t="s">
        <v>203</v>
      </c>
      <c r="D2855" s="69" t="s">
        <v>7835</v>
      </c>
      <c r="E2855" s="69" t="s">
        <v>4654</v>
      </c>
      <c r="F2855" s="69" t="s">
        <v>7836</v>
      </c>
    </row>
    <row r="2856" spans="1:6" ht="45" x14ac:dyDescent="0.2">
      <c r="A2856" s="65" t="s">
        <v>7837</v>
      </c>
      <c r="B2856" s="66" t="s">
        <v>7838</v>
      </c>
      <c r="C2856" s="74" t="s">
        <v>203</v>
      </c>
      <c r="D2856" s="69" t="s">
        <v>7839</v>
      </c>
      <c r="E2856" s="69" t="s">
        <v>4654</v>
      </c>
      <c r="F2856" s="69" t="s">
        <v>7840</v>
      </c>
    </row>
    <row r="2857" spans="1:6" ht="45" x14ac:dyDescent="0.2">
      <c r="A2857" s="65" t="s">
        <v>7841</v>
      </c>
      <c r="B2857" s="66" t="s">
        <v>7842</v>
      </c>
      <c r="C2857" s="74" t="s">
        <v>203</v>
      </c>
      <c r="D2857" s="69" t="s">
        <v>7843</v>
      </c>
      <c r="E2857" s="69" t="s">
        <v>4654</v>
      </c>
      <c r="F2857" s="69" t="s">
        <v>7844</v>
      </c>
    </row>
    <row r="2858" spans="1:6" x14ac:dyDescent="0.2">
      <c r="A2858" s="50">
        <v>43.11</v>
      </c>
      <c r="B2858" s="64" t="s">
        <v>7845</v>
      </c>
      <c r="C2858" s="47"/>
      <c r="D2858" s="47"/>
      <c r="E2858" s="47"/>
      <c r="F2858" s="47"/>
    </row>
    <row r="2859" spans="1:6" ht="56.25" x14ac:dyDescent="0.2">
      <c r="A2859" s="65" t="s">
        <v>7846</v>
      </c>
      <c r="B2859" s="66" t="s">
        <v>7847</v>
      </c>
      <c r="C2859" s="74" t="s">
        <v>203</v>
      </c>
      <c r="D2859" s="69" t="s">
        <v>7848</v>
      </c>
      <c r="E2859" s="69" t="s">
        <v>7849</v>
      </c>
      <c r="F2859" s="69" t="s">
        <v>7850</v>
      </c>
    </row>
    <row r="2860" spans="1:6" ht="56.25" x14ac:dyDescent="0.2">
      <c r="A2860" s="65" t="s">
        <v>7851</v>
      </c>
      <c r="B2860" s="66" t="s">
        <v>7852</v>
      </c>
      <c r="C2860" s="74" t="s">
        <v>203</v>
      </c>
      <c r="D2860" s="69" t="s">
        <v>7853</v>
      </c>
      <c r="E2860" s="69" t="s">
        <v>7849</v>
      </c>
      <c r="F2860" s="69" t="s">
        <v>7854</v>
      </c>
    </row>
    <row r="2861" spans="1:6" ht="56.25" x14ac:dyDescent="0.2">
      <c r="A2861" s="65" t="s">
        <v>7855</v>
      </c>
      <c r="B2861" s="66" t="s">
        <v>7856</v>
      </c>
      <c r="C2861" s="74" t="s">
        <v>203</v>
      </c>
      <c r="D2861" s="69" t="s">
        <v>7857</v>
      </c>
      <c r="E2861" s="69" t="s">
        <v>7849</v>
      </c>
      <c r="F2861" s="69" t="s">
        <v>7858</v>
      </c>
    </row>
    <row r="2862" spans="1:6" ht="56.25" x14ac:dyDescent="0.2">
      <c r="A2862" s="65" t="s">
        <v>7859</v>
      </c>
      <c r="B2862" s="66" t="s">
        <v>7860</v>
      </c>
      <c r="C2862" s="74" t="s">
        <v>203</v>
      </c>
      <c r="D2862" s="69" t="s">
        <v>7861</v>
      </c>
      <c r="E2862" s="69" t="s">
        <v>7849</v>
      </c>
      <c r="F2862" s="69" t="s">
        <v>7862</v>
      </c>
    </row>
    <row r="2863" spans="1:6" ht="56.25" x14ac:dyDescent="0.2">
      <c r="A2863" s="65" t="s">
        <v>7863</v>
      </c>
      <c r="B2863" s="66" t="s">
        <v>7864</v>
      </c>
      <c r="C2863" s="74" t="s">
        <v>203</v>
      </c>
      <c r="D2863" s="69" t="s">
        <v>7865</v>
      </c>
      <c r="E2863" s="69" t="s">
        <v>7849</v>
      </c>
      <c r="F2863" s="69" t="s">
        <v>7866</v>
      </c>
    </row>
    <row r="2864" spans="1:6" ht="56.25" x14ac:dyDescent="0.2">
      <c r="A2864" s="65" t="s">
        <v>7867</v>
      </c>
      <c r="B2864" s="66" t="s">
        <v>7868</v>
      </c>
      <c r="C2864" s="74" t="s">
        <v>203</v>
      </c>
      <c r="D2864" s="69" t="s">
        <v>7869</v>
      </c>
      <c r="E2864" s="69" t="s">
        <v>7849</v>
      </c>
      <c r="F2864" s="69" t="s">
        <v>7870</v>
      </c>
    </row>
    <row r="2865" spans="1:6" ht="67.5" x14ac:dyDescent="0.2">
      <c r="A2865" s="70" t="s">
        <v>7871</v>
      </c>
      <c r="B2865" s="65" t="s">
        <v>7872</v>
      </c>
      <c r="C2865" s="75" t="s">
        <v>203</v>
      </c>
      <c r="D2865" s="72" t="s">
        <v>7873</v>
      </c>
      <c r="E2865" s="72" t="s">
        <v>342</v>
      </c>
      <c r="F2865" s="72" t="s">
        <v>7874</v>
      </c>
    </row>
    <row r="2866" spans="1:6" ht="67.5" x14ac:dyDescent="0.2">
      <c r="A2866" s="70" t="s">
        <v>7875</v>
      </c>
      <c r="B2866" s="66" t="s">
        <v>7876</v>
      </c>
      <c r="C2866" s="75" t="s">
        <v>203</v>
      </c>
      <c r="D2866" s="72" t="s">
        <v>7877</v>
      </c>
      <c r="E2866" s="72" t="s">
        <v>342</v>
      </c>
      <c r="F2866" s="72" t="s">
        <v>7878</v>
      </c>
    </row>
    <row r="2867" spans="1:6" ht="56.25" x14ac:dyDescent="0.2">
      <c r="A2867" s="65" t="s">
        <v>7879</v>
      </c>
      <c r="B2867" s="66" t="s">
        <v>7880</v>
      </c>
      <c r="C2867" s="74" t="s">
        <v>203</v>
      </c>
      <c r="D2867" s="69" t="s">
        <v>7881</v>
      </c>
      <c r="E2867" s="69" t="s">
        <v>342</v>
      </c>
      <c r="F2867" s="69" t="s">
        <v>7882</v>
      </c>
    </row>
    <row r="2868" spans="1:6" ht="56.25" x14ac:dyDescent="0.2">
      <c r="A2868" s="65" t="s">
        <v>7883</v>
      </c>
      <c r="B2868" s="66" t="s">
        <v>7884</v>
      </c>
      <c r="C2868" s="74" t="s">
        <v>203</v>
      </c>
      <c r="D2868" s="69" t="s">
        <v>7885</v>
      </c>
      <c r="E2868" s="69" t="s">
        <v>342</v>
      </c>
      <c r="F2868" s="69" t="s">
        <v>7886</v>
      </c>
    </row>
    <row r="2869" spans="1:6" ht="56.25" x14ac:dyDescent="0.2">
      <c r="A2869" s="65" t="s">
        <v>7887</v>
      </c>
      <c r="B2869" s="66" t="s">
        <v>7888</v>
      </c>
      <c r="C2869" s="74" t="s">
        <v>203</v>
      </c>
      <c r="D2869" s="69" t="s">
        <v>7889</v>
      </c>
      <c r="E2869" s="69" t="s">
        <v>342</v>
      </c>
      <c r="F2869" s="69" t="s">
        <v>7890</v>
      </c>
    </row>
    <row r="2870" spans="1:6" ht="56.25" x14ac:dyDescent="0.2">
      <c r="A2870" s="65" t="s">
        <v>7891</v>
      </c>
      <c r="B2870" s="66" t="s">
        <v>7892</v>
      </c>
      <c r="C2870" s="67" t="s">
        <v>203</v>
      </c>
      <c r="D2870" s="69" t="s">
        <v>7893</v>
      </c>
      <c r="E2870" s="69" t="s">
        <v>342</v>
      </c>
      <c r="F2870" s="69" t="s">
        <v>7894</v>
      </c>
    </row>
    <row r="2871" spans="1:6" ht="56.25" x14ac:dyDescent="0.2">
      <c r="A2871" s="65" t="s">
        <v>7895</v>
      </c>
      <c r="B2871" s="66" t="s">
        <v>7896</v>
      </c>
      <c r="C2871" s="67" t="s">
        <v>203</v>
      </c>
      <c r="D2871" s="69" t="s">
        <v>7897</v>
      </c>
      <c r="E2871" s="69" t="s">
        <v>342</v>
      </c>
      <c r="F2871" s="69" t="s">
        <v>7898</v>
      </c>
    </row>
    <row r="2872" spans="1:6" ht="56.25" x14ac:dyDescent="0.2">
      <c r="A2872" s="65" t="s">
        <v>7899</v>
      </c>
      <c r="B2872" s="66" t="s">
        <v>7900</v>
      </c>
      <c r="C2872" s="67" t="s">
        <v>203</v>
      </c>
      <c r="D2872" s="69" t="s">
        <v>7901</v>
      </c>
      <c r="E2872" s="69" t="s">
        <v>342</v>
      </c>
      <c r="F2872" s="69" t="s">
        <v>7902</v>
      </c>
    </row>
    <row r="2873" spans="1:6" ht="56.25" x14ac:dyDescent="0.2">
      <c r="A2873" s="70" t="s">
        <v>7903</v>
      </c>
      <c r="B2873" s="65" t="s">
        <v>7904</v>
      </c>
      <c r="C2873" s="71" t="s">
        <v>203</v>
      </c>
      <c r="D2873" s="72" t="s">
        <v>7905</v>
      </c>
      <c r="E2873" s="72" t="s">
        <v>342</v>
      </c>
      <c r="F2873" s="72" t="s">
        <v>7906</v>
      </c>
    </row>
    <row r="2874" spans="1:6" ht="56.25" x14ac:dyDescent="0.2">
      <c r="A2874" s="65" t="s">
        <v>7907</v>
      </c>
      <c r="B2874" s="66" t="s">
        <v>7908</v>
      </c>
      <c r="C2874" s="67" t="s">
        <v>203</v>
      </c>
      <c r="D2874" s="69" t="s">
        <v>7909</v>
      </c>
      <c r="E2874" s="69" t="s">
        <v>342</v>
      </c>
      <c r="F2874" s="69" t="s">
        <v>7910</v>
      </c>
    </row>
    <row r="2875" spans="1:6" x14ac:dyDescent="0.2">
      <c r="A2875" s="50">
        <v>43.12</v>
      </c>
      <c r="B2875" s="64" t="s">
        <v>7911</v>
      </c>
      <c r="C2875" s="47"/>
      <c r="D2875" s="47"/>
      <c r="E2875" s="47"/>
      <c r="F2875" s="47"/>
    </row>
    <row r="2876" spans="1:6" ht="33.75" x14ac:dyDescent="0.2">
      <c r="A2876" s="65" t="s">
        <v>7912</v>
      </c>
      <c r="B2876" s="65" t="s">
        <v>7913</v>
      </c>
      <c r="C2876" s="67" t="s">
        <v>203</v>
      </c>
      <c r="D2876" s="69" t="s">
        <v>7914</v>
      </c>
      <c r="E2876" s="69" t="s">
        <v>332</v>
      </c>
      <c r="F2876" s="69" t="s">
        <v>7915</v>
      </c>
    </row>
    <row r="2877" spans="1:6" ht="22.5" x14ac:dyDescent="0.2">
      <c r="A2877" s="50">
        <v>43.2</v>
      </c>
      <c r="B2877" s="64" t="s">
        <v>7916</v>
      </c>
      <c r="C2877" s="47"/>
      <c r="D2877" s="47"/>
      <c r="E2877" s="47"/>
      <c r="F2877" s="47"/>
    </row>
    <row r="2878" spans="1:6" ht="56.25" x14ac:dyDescent="0.2">
      <c r="A2878" s="65" t="s">
        <v>7917</v>
      </c>
      <c r="B2878" s="66" t="s">
        <v>7918</v>
      </c>
      <c r="C2878" s="67" t="s">
        <v>203</v>
      </c>
      <c r="D2878" s="69" t="s">
        <v>4115</v>
      </c>
      <c r="E2878" s="69" t="s">
        <v>299</v>
      </c>
      <c r="F2878" s="69" t="s">
        <v>7919</v>
      </c>
    </row>
    <row r="2879" spans="1:6" ht="33.75" x14ac:dyDescent="0.2">
      <c r="A2879" s="65" t="s">
        <v>7920</v>
      </c>
      <c r="B2879" s="65" t="s">
        <v>7921</v>
      </c>
      <c r="C2879" s="67" t="s">
        <v>203</v>
      </c>
      <c r="D2879" s="69" t="s">
        <v>7922</v>
      </c>
      <c r="E2879" s="69" t="s">
        <v>321</v>
      </c>
      <c r="F2879" s="69" t="s">
        <v>7923</v>
      </c>
    </row>
    <row r="2880" spans="1:6" ht="22.5" x14ac:dyDescent="0.2">
      <c r="A2880" s="65" t="s">
        <v>7924</v>
      </c>
      <c r="B2880" s="65" t="s">
        <v>7925</v>
      </c>
      <c r="C2880" s="67" t="s">
        <v>203</v>
      </c>
      <c r="D2880" s="69" t="s">
        <v>7926</v>
      </c>
      <c r="E2880" s="69" t="s">
        <v>319</v>
      </c>
      <c r="F2880" s="69" t="s">
        <v>7927</v>
      </c>
    </row>
    <row r="2881" spans="1:6" ht="22.5" x14ac:dyDescent="0.2">
      <c r="A2881" s="65" t="s">
        <v>7928</v>
      </c>
      <c r="B2881" s="65" t="s">
        <v>7929</v>
      </c>
      <c r="C2881" s="67" t="s">
        <v>203</v>
      </c>
      <c r="D2881" s="69" t="s">
        <v>7930</v>
      </c>
      <c r="E2881" s="69" t="s">
        <v>319</v>
      </c>
      <c r="F2881" s="69" t="s">
        <v>7931</v>
      </c>
    </row>
    <row r="2882" spans="1:6" ht="33.75" x14ac:dyDescent="0.2">
      <c r="A2882" s="65" t="s">
        <v>7932</v>
      </c>
      <c r="B2882" s="65" t="s">
        <v>7933</v>
      </c>
      <c r="C2882" s="67" t="s">
        <v>203</v>
      </c>
      <c r="D2882" s="69" t="s">
        <v>7934</v>
      </c>
      <c r="E2882" s="69" t="s">
        <v>336</v>
      </c>
      <c r="F2882" s="69" t="s">
        <v>7935</v>
      </c>
    </row>
    <row r="2883" spans="1:6" ht="22.5" x14ac:dyDescent="0.2">
      <c r="A2883" s="49">
        <v>44</v>
      </c>
      <c r="B2883" s="64" t="s">
        <v>7936</v>
      </c>
      <c r="C2883" s="47"/>
      <c r="D2883" s="47"/>
      <c r="E2883" s="47"/>
      <c r="F2883" s="47"/>
    </row>
    <row r="2884" spans="1:6" x14ac:dyDescent="0.2">
      <c r="A2884" s="50">
        <v>44.01</v>
      </c>
      <c r="B2884" s="64" t="s">
        <v>7937</v>
      </c>
      <c r="C2884" s="47"/>
      <c r="D2884" s="47"/>
      <c r="E2884" s="47"/>
      <c r="F2884" s="47"/>
    </row>
    <row r="2885" spans="1:6" x14ac:dyDescent="0.2">
      <c r="A2885" s="65" t="s">
        <v>7938</v>
      </c>
      <c r="B2885" s="65" t="s">
        <v>7939</v>
      </c>
      <c r="C2885" s="67" t="s">
        <v>203</v>
      </c>
      <c r="D2885" s="69" t="s">
        <v>7940</v>
      </c>
      <c r="E2885" s="69" t="s">
        <v>3517</v>
      </c>
      <c r="F2885" s="69" t="s">
        <v>7941</v>
      </c>
    </row>
    <row r="2886" spans="1:6" ht="33.75" x14ac:dyDescent="0.2">
      <c r="A2886" s="65" t="s">
        <v>7942</v>
      </c>
      <c r="B2886" s="65" t="s">
        <v>7943</v>
      </c>
      <c r="C2886" s="67" t="s">
        <v>203</v>
      </c>
      <c r="D2886" s="69" t="s">
        <v>7944</v>
      </c>
      <c r="E2886" s="69" t="s">
        <v>337</v>
      </c>
      <c r="F2886" s="69" t="s">
        <v>7945</v>
      </c>
    </row>
    <row r="2887" spans="1:6" ht="22.5" x14ac:dyDescent="0.2">
      <c r="A2887" s="65" t="s">
        <v>7946</v>
      </c>
      <c r="B2887" s="65" t="s">
        <v>7947</v>
      </c>
      <c r="C2887" s="67" t="s">
        <v>203</v>
      </c>
      <c r="D2887" s="69" t="s">
        <v>7948</v>
      </c>
      <c r="E2887" s="69" t="s">
        <v>3517</v>
      </c>
      <c r="F2887" s="69" t="s">
        <v>7949</v>
      </c>
    </row>
    <row r="2888" spans="1:6" ht="33.75" x14ac:dyDescent="0.2">
      <c r="A2888" s="65" t="s">
        <v>7950</v>
      </c>
      <c r="B2888" s="65" t="s">
        <v>7951</v>
      </c>
      <c r="C2888" s="67" t="s">
        <v>203</v>
      </c>
      <c r="D2888" s="69" t="s">
        <v>7952</v>
      </c>
      <c r="E2888" s="69" t="s">
        <v>3517</v>
      </c>
      <c r="F2888" s="69" t="s">
        <v>7953</v>
      </c>
    </row>
    <row r="2889" spans="1:6" x14ac:dyDescent="0.2">
      <c r="A2889" s="65" t="s">
        <v>7954</v>
      </c>
      <c r="B2889" s="65" t="s">
        <v>7955</v>
      </c>
      <c r="C2889" s="67" t="s">
        <v>203</v>
      </c>
      <c r="D2889" s="69" t="s">
        <v>4856</v>
      </c>
      <c r="E2889" s="69" t="s">
        <v>337</v>
      </c>
      <c r="F2889" s="69" t="s">
        <v>7956</v>
      </c>
    </row>
    <row r="2890" spans="1:6" x14ac:dyDescent="0.2">
      <c r="A2890" s="65" t="s">
        <v>7957</v>
      </c>
      <c r="B2890" s="65" t="s">
        <v>7958</v>
      </c>
      <c r="C2890" s="67" t="s">
        <v>203</v>
      </c>
      <c r="D2890" s="69" t="s">
        <v>7959</v>
      </c>
      <c r="E2890" s="69" t="s">
        <v>337</v>
      </c>
      <c r="F2890" s="69" t="s">
        <v>7960</v>
      </c>
    </row>
    <row r="2891" spans="1:6" ht="22.5" x14ac:dyDescent="0.2">
      <c r="A2891" s="65" t="s">
        <v>7961</v>
      </c>
      <c r="B2891" s="65" t="s">
        <v>7962</v>
      </c>
      <c r="C2891" s="67" t="s">
        <v>203</v>
      </c>
      <c r="D2891" s="69" t="s">
        <v>7963</v>
      </c>
      <c r="E2891" s="69" t="s">
        <v>337</v>
      </c>
      <c r="F2891" s="69" t="s">
        <v>7964</v>
      </c>
    </row>
    <row r="2892" spans="1:6" x14ac:dyDescent="0.2">
      <c r="A2892" s="65" t="s">
        <v>7965</v>
      </c>
      <c r="B2892" s="65" t="s">
        <v>7966</v>
      </c>
      <c r="C2892" s="67" t="s">
        <v>203</v>
      </c>
      <c r="D2892" s="69" t="s">
        <v>5896</v>
      </c>
      <c r="E2892" s="69" t="s">
        <v>319</v>
      </c>
      <c r="F2892" s="69" t="s">
        <v>7967</v>
      </c>
    </row>
    <row r="2893" spans="1:6" ht="22.5" x14ac:dyDescent="0.2">
      <c r="A2893" s="65" t="s">
        <v>7968</v>
      </c>
      <c r="B2893" s="65" t="s">
        <v>7969</v>
      </c>
      <c r="C2893" s="67" t="s">
        <v>203</v>
      </c>
      <c r="D2893" s="69" t="s">
        <v>7970</v>
      </c>
      <c r="E2893" s="69" t="s">
        <v>337</v>
      </c>
      <c r="F2893" s="69" t="s">
        <v>7971</v>
      </c>
    </row>
    <row r="2894" spans="1:6" ht="22.5" x14ac:dyDescent="0.2">
      <c r="A2894" s="65" t="s">
        <v>7972</v>
      </c>
      <c r="B2894" s="65" t="s">
        <v>7973</v>
      </c>
      <c r="C2894" s="67" t="s">
        <v>203</v>
      </c>
      <c r="D2894" s="69" t="s">
        <v>7974</v>
      </c>
      <c r="E2894" s="69" t="s">
        <v>337</v>
      </c>
      <c r="F2894" s="69" t="s">
        <v>7975</v>
      </c>
    </row>
    <row r="2895" spans="1:6" x14ac:dyDescent="0.2">
      <c r="A2895" s="65" t="s">
        <v>7976</v>
      </c>
      <c r="B2895" s="65" t="s">
        <v>7977</v>
      </c>
      <c r="C2895" s="67" t="s">
        <v>203</v>
      </c>
      <c r="D2895" s="69" t="s">
        <v>7978</v>
      </c>
      <c r="E2895" s="69" t="s">
        <v>319</v>
      </c>
      <c r="F2895" s="69" t="s">
        <v>7979</v>
      </c>
    </row>
    <row r="2896" spans="1:6" ht="22.5" x14ac:dyDescent="0.2">
      <c r="A2896" s="65" t="s">
        <v>7980</v>
      </c>
      <c r="B2896" s="65" t="s">
        <v>7981</v>
      </c>
      <c r="C2896" s="67" t="s">
        <v>203</v>
      </c>
      <c r="D2896" s="69" t="s">
        <v>7982</v>
      </c>
      <c r="E2896" s="69" t="s">
        <v>345</v>
      </c>
      <c r="F2896" s="69" t="s">
        <v>7983</v>
      </c>
    </row>
    <row r="2897" spans="1:6" ht="22.5" x14ac:dyDescent="0.2">
      <c r="A2897" s="65" t="s">
        <v>7984</v>
      </c>
      <c r="B2897" s="65" t="s">
        <v>7985</v>
      </c>
      <c r="C2897" s="67" t="s">
        <v>203</v>
      </c>
      <c r="D2897" s="69" t="s">
        <v>7986</v>
      </c>
      <c r="E2897" s="69" t="s">
        <v>345</v>
      </c>
      <c r="F2897" s="69" t="s">
        <v>7987</v>
      </c>
    </row>
    <row r="2898" spans="1:6" ht="22.5" x14ac:dyDescent="0.2">
      <c r="A2898" s="65" t="s">
        <v>7988</v>
      </c>
      <c r="B2898" s="65" t="s">
        <v>7989</v>
      </c>
      <c r="C2898" s="67" t="s">
        <v>203</v>
      </c>
      <c r="D2898" s="69" t="s">
        <v>7990</v>
      </c>
      <c r="E2898" s="69" t="s">
        <v>321</v>
      </c>
      <c r="F2898" s="69" t="s">
        <v>7991</v>
      </c>
    </row>
    <row r="2899" spans="1:6" ht="22.5" x14ac:dyDescent="0.2">
      <c r="A2899" s="65" t="s">
        <v>7992</v>
      </c>
      <c r="B2899" s="65" t="s">
        <v>7993</v>
      </c>
      <c r="C2899" s="67" t="s">
        <v>203</v>
      </c>
      <c r="D2899" s="69" t="s">
        <v>7994</v>
      </c>
      <c r="E2899" s="69" t="s">
        <v>319</v>
      </c>
      <c r="F2899" s="69" t="s">
        <v>7995</v>
      </c>
    </row>
    <row r="2900" spans="1:6" ht="45" x14ac:dyDescent="0.2">
      <c r="A2900" s="65" t="s">
        <v>7996</v>
      </c>
      <c r="B2900" s="66" t="s">
        <v>7997</v>
      </c>
      <c r="C2900" s="67" t="s">
        <v>203</v>
      </c>
      <c r="D2900" s="69" t="s">
        <v>7998</v>
      </c>
      <c r="E2900" s="69" t="s">
        <v>7999</v>
      </c>
      <c r="F2900" s="69" t="s">
        <v>8000</v>
      </c>
    </row>
    <row r="2901" spans="1:6" ht="22.5" x14ac:dyDescent="0.2">
      <c r="A2901" s="65" t="s">
        <v>8001</v>
      </c>
      <c r="B2901" s="65" t="s">
        <v>8002</v>
      </c>
      <c r="C2901" s="67" t="s">
        <v>203</v>
      </c>
      <c r="D2901" s="69" t="s">
        <v>8003</v>
      </c>
      <c r="E2901" s="69" t="s">
        <v>345</v>
      </c>
      <c r="F2901" s="69" t="s">
        <v>8004</v>
      </c>
    </row>
    <row r="2902" spans="1:6" ht="33.75" x14ac:dyDescent="0.2">
      <c r="A2902" s="65" t="s">
        <v>8005</v>
      </c>
      <c r="B2902" s="65" t="s">
        <v>8006</v>
      </c>
      <c r="C2902" s="67" t="s">
        <v>240</v>
      </c>
      <c r="D2902" s="69" t="s">
        <v>8007</v>
      </c>
      <c r="E2902" s="69" t="s">
        <v>3517</v>
      </c>
      <c r="F2902" s="69" t="s">
        <v>8008</v>
      </c>
    </row>
    <row r="2903" spans="1:6" ht="22.5" x14ac:dyDescent="0.2">
      <c r="A2903" s="65" t="s">
        <v>8009</v>
      </c>
      <c r="B2903" s="65" t="s">
        <v>8010</v>
      </c>
      <c r="C2903" s="67" t="s">
        <v>203</v>
      </c>
      <c r="D2903" s="69" t="s">
        <v>8011</v>
      </c>
      <c r="E2903" s="69" t="s">
        <v>319</v>
      </c>
      <c r="F2903" s="69" t="s">
        <v>2151</v>
      </c>
    </row>
    <row r="2904" spans="1:6" x14ac:dyDescent="0.2">
      <c r="A2904" s="50">
        <v>44.02</v>
      </c>
      <c r="B2904" s="64" t="s">
        <v>8012</v>
      </c>
      <c r="C2904" s="47"/>
      <c r="D2904" s="47"/>
      <c r="E2904" s="47"/>
      <c r="F2904" s="47"/>
    </row>
    <row r="2905" spans="1:6" ht="33.75" x14ac:dyDescent="0.2">
      <c r="A2905" s="65" t="s">
        <v>8013</v>
      </c>
      <c r="B2905" s="66" t="s">
        <v>8014</v>
      </c>
      <c r="C2905" s="67" t="s">
        <v>204</v>
      </c>
      <c r="D2905" s="69" t="s">
        <v>8015</v>
      </c>
      <c r="E2905" s="69" t="s">
        <v>1070</v>
      </c>
      <c r="F2905" s="69" t="s">
        <v>8016</v>
      </c>
    </row>
    <row r="2906" spans="1:6" ht="22.5" x14ac:dyDescent="0.2">
      <c r="A2906" s="65" t="s">
        <v>8017</v>
      </c>
      <c r="B2906" s="65" t="s">
        <v>8018</v>
      </c>
      <c r="C2906" s="67" t="s">
        <v>204</v>
      </c>
      <c r="D2906" s="69" t="s">
        <v>8019</v>
      </c>
      <c r="E2906" s="69" t="s">
        <v>2109</v>
      </c>
      <c r="F2906" s="69" t="s">
        <v>8020</v>
      </c>
    </row>
    <row r="2907" spans="1:6" ht="45" x14ac:dyDescent="0.2">
      <c r="A2907" s="65" t="s">
        <v>8021</v>
      </c>
      <c r="B2907" s="66" t="s">
        <v>8022</v>
      </c>
      <c r="C2907" s="67" t="s">
        <v>204</v>
      </c>
      <c r="D2907" s="69" t="s">
        <v>8023</v>
      </c>
      <c r="E2907" s="69" t="s">
        <v>3794</v>
      </c>
      <c r="F2907" s="69" t="s">
        <v>8024</v>
      </c>
    </row>
    <row r="2908" spans="1:6" ht="33.75" x14ac:dyDescent="0.2">
      <c r="A2908" s="65" t="s">
        <v>8025</v>
      </c>
      <c r="B2908" s="65" t="s">
        <v>8026</v>
      </c>
      <c r="C2908" s="67" t="s">
        <v>204</v>
      </c>
      <c r="D2908" s="69" t="s">
        <v>8027</v>
      </c>
      <c r="E2908" s="68"/>
      <c r="F2908" s="69" t="s">
        <v>8027</v>
      </c>
    </row>
    <row r="2909" spans="1:6" x14ac:dyDescent="0.2">
      <c r="A2909" s="50">
        <v>44.03</v>
      </c>
      <c r="B2909" s="64" t="s">
        <v>8028</v>
      </c>
      <c r="C2909" s="47"/>
      <c r="D2909" s="47"/>
      <c r="E2909" s="47"/>
      <c r="F2909" s="47"/>
    </row>
    <row r="2910" spans="1:6" ht="45" x14ac:dyDescent="0.2">
      <c r="A2910" s="65" t="s">
        <v>8029</v>
      </c>
      <c r="B2910" s="66" t="s">
        <v>8030</v>
      </c>
      <c r="C2910" s="67" t="s">
        <v>203</v>
      </c>
      <c r="D2910" s="69" t="s">
        <v>8031</v>
      </c>
      <c r="E2910" s="69" t="s">
        <v>315</v>
      </c>
      <c r="F2910" s="69" t="s">
        <v>8032</v>
      </c>
    </row>
    <row r="2911" spans="1:6" ht="22.5" x14ac:dyDescent="0.2">
      <c r="A2911" s="65" t="s">
        <v>8033</v>
      </c>
      <c r="B2911" s="65" t="s">
        <v>8034</v>
      </c>
      <c r="C2911" s="67" t="s">
        <v>203</v>
      </c>
      <c r="D2911" s="69" t="s">
        <v>5494</v>
      </c>
      <c r="E2911" s="69" t="s">
        <v>2533</v>
      </c>
      <c r="F2911" s="69" t="s">
        <v>2507</v>
      </c>
    </row>
    <row r="2912" spans="1:6" ht="45" x14ac:dyDescent="0.2">
      <c r="A2912" s="65" t="s">
        <v>8035</v>
      </c>
      <c r="B2912" s="66" t="s">
        <v>8036</v>
      </c>
      <c r="C2912" s="67" t="s">
        <v>203</v>
      </c>
      <c r="D2912" s="69" t="s">
        <v>8037</v>
      </c>
      <c r="E2912" s="69" t="s">
        <v>315</v>
      </c>
      <c r="F2912" s="69" t="s">
        <v>8038</v>
      </c>
    </row>
    <row r="2913" spans="1:6" x14ac:dyDescent="0.2">
      <c r="A2913" s="65" t="s">
        <v>8039</v>
      </c>
      <c r="B2913" s="65" t="s">
        <v>8040</v>
      </c>
      <c r="C2913" s="67" t="s">
        <v>203</v>
      </c>
      <c r="D2913" s="69" t="s">
        <v>8041</v>
      </c>
      <c r="E2913" s="69" t="s">
        <v>2533</v>
      </c>
      <c r="F2913" s="69" t="s">
        <v>8042</v>
      </c>
    </row>
    <row r="2914" spans="1:6" ht="33.75" x14ac:dyDescent="0.2">
      <c r="A2914" s="65" t="s">
        <v>8043</v>
      </c>
      <c r="B2914" s="65" t="s">
        <v>8044</v>
      </c>
      <c r="C2914" s="67" t="s">
        <v>203</v>
      </c>
      <c r="D2914" s="69" t="s">
        <v>8045</v>
      </c>
      <c r="E2914" s="69" t="s">
        <v>315</v>
      </c>
      <c r="F2914" s="69" t="s">
        <v>8046</v>
      </c>
    </row>
    <row r="2915" spans="1:6" x14ac:dyDescent="0.2">
      <c r="A2915" s="65" t="s">
        <v>8047</v>
      </c>
      <c r="B2915" s="65" t="s">
        <v>8048</v>
      </c>
      <c r="C2915" s="67" t="s">
        <v>203</v>
      </c>
      <c r="D2915" s="69" t="s">
        <v>8049</v>
      </c>
      <c r="E2915" s="69" t="s">
        <v>2533</v>
      </c>
      <c r="F2915" s="69" t="s">
        <v>8050</v>
      </c>
    </row>
    <row r="2916" spans="1:6" x14ac:dyDescent="0.2">
      <c r="A2916" s="65" t="s">
        <v>8051</v>
      </c>
      <c r="B2916" s="65" t="s">
        <v>8052</v>
      </c>
      <c r="C2916" s="67" t="s">
        <v>203</v>
      </c>
      <c r="D2916" s="69" t="s">
        <v>5538</v>
      </c>
      <c r="E2916" s="69" t="s">
        <v>315</v>
      </c>
      <c r="F2916" s="69" t="s">
        <v>8053</v>
      </c>
    </row>
    <row r="2917" spans="1:6" ht="22.5" x14ac:dyDescent="0.2">
      <c r="A2917" s="65" t="s">
        <v>8054</v>
      </c>
      <c r="B2917" s="65" t="s">
        <v>8055</v>
      </c>
      <c r="C2917" s="67" t="s">
        <v>203</v>
      </c>
      <c r="D2917" s="69" t="s">
        <v>8056</v>
      </c>
      <c r="E2917" s="69" t="s">
        <v>315</v>
      </c>
      <c r="F2917" s="69" t="s">
        <v>8057</v>
      </c>
    </row>
    <row r="2918" spans="1:6" ht="22.5" x14ac:dyDescent="0.2">
      <c r="A2918" s="65" t="s">
        <v>8058</v>
      </c>
      <c r="B2918" s="65" t="s">
        <v>8059</v>
      </c>
      <c r="C2918" s="67" t="s">
        <v>203</v>
      </c>
      <c r="D2918" s="69" t="s">
        <v>8060</v>
      </c>
      <c r="E2918" s="69" t="s">
        <v>315</v>
      </c>
      <c r="F2918" s="69" t="s">
        <v>8061</v>
      </c>
    </row>
    <row r="2919" spans="1:6" x14ac:dyDescent="0.2">
      <c r="A2919" s="65" t="s">
        <v>8062</v>
      </c>
      <c r="B2919" s="65" t="s">
        <v>8063</v>
      </c>
      <c r="C2919" s="67" t="s">
        <v>203</v>
      </c>
      <c r="D2919" s="69" t="s">
        <v>8064</v>
      </c>
      <c r="E2919" s="69" t="s">
        <v>319</v>
      </c>
      <c r="F2919" s="69" t="s">
        <v>8065</v>
      </c>
    </row>
    <row r="2920" spans="1:6" ht="22.5" x14ac:dyDescent="0.2">
      <c r="A2920" s="65" t="s">
        <v>8066</v>
      </c>
      <c r="B2920" s="65" t="s">
        <v>8067</v>
      </c>
      <c r="C2920" s="67" t="s">
        <v>203</v>
      </c>
      <c r="D2920" s="69" t="s">
        <v>252</v>
      </c>
      <c r="E2920" s="69" t="s">
        <v>224</v>
      </c>
      <c r="F2920" s="69" t="s">
        <v>8068</v>
      </c>
    </row>
    <row r="2921" spans="1:6" x14ac:dyDescent="0.2">
      <c r="A2921" s="65" t="s">
        <v>8069</v>
      </c>
      <c r="B2921" s="65" t="s">
        <v>8070</v>
      </c>
      <c r="C2921" s="67" t="s">
        <v>203</v>
      </c>
      <c r="D2921" s="69" t="s">
        <v>8071</v>
      </c>
      <c r="E2921" s="69" t="s">
        <v>1103</v>
      </c>
      <c r="F2921" s="69" t="s">
        <v>8072</v>
      </c>
    </row>
    <row r="2922" spans="1:6" ht="56.25" x14ac:dyDescent="0.2">
      <c r="A2922" s="70" t="s">
        <v>8073</v>
      </c>
      <c r="B2922" s="65" t="s">
        <v>8074</v>
      </c>
      <c r="C2922" s="71" t="s">
        <v>203</v>
      </c>
      <c r="D2922" s="72" t="s">
        <v>8075</v>
      </c>
      <c r="E2922" s="72" t="s">
        <v>1103</v>
      </c>
      <c r="F2922" s="72" t="s">
        <v>8076</v>
      </c>
    </row>
    <row r="2923" spans="1:6" ht="22.5" x14ac:dyDescent="0.2">
      <c r="A2923" s="65" t="s">
        <v>8077</v>
      </c>
      <c r="B2923" s="65" t="s">
        <v>8078</v>
      </c>
      <c r="C2923" s="67" t="s">
        <v>203</v>
      </c>
      <c r="D2923" s="69" t="s">
        <v>239</v>
      </c>
      <c r="E2923" s="69" t="s">
        <v>1103</v>
      </c>
      <c r="F2923" s="69" t="s">
        <v>6585</v>
      </c>
    </row>
    <row r="2924" spans="1:6" ht="33.75" x14ac:dyDescent="0.2">
      <c r="A2924" s="65" t="s">
        <v>8079</v>
      </c>
      <c r="B2924" s="66" t="s">
        <v>8080</v>
      </c>
      <c r="C2924" s="67" t="s">
        <v>203</v>
      </c>
      <c r="D2924" s="69" t="s">
        <v>8081</v>
      </c>
      <c r="E2924" s="69" t="s">
        <v>1090</v>
      </c>
      <c r="F2924" s="69" t="s">
        <v>8082</v>
      </c>
    </row>
    <row r="2925" spans="1:6" x14ac:dyDescent="0.2">
      <c r="A2925" s="65" t="s">
        <v>8083</v>
      </c>
      <c r="B2925" s="65" t="s">
        <v>8084</v>
      </c>
      <c r="C2925" s="67" t="s">
        <v>203</v>
      </c>
      <c r="D2925" s="69" t="s">
        <v>8085</v>
      </c>
      <c r="E2925" s="69" t="s">
        <v>319</v>
      </c>
      <c r="F2925" s="69" t="s">
        <v>8086</v>
      </c>
    </row>
    <row r="2926" spans="1:6" ht="33.75" x14ac:dyDescent="0.2">
      <c r="A2926" s="65" t="s">
        <v>8087</v>
      </c>
      <c r="B2926" s="66" t="s">
        <v>8088</v>
      </c>
      <c r="C2926" s="67" t="s">
        <v>203</v>
      </c>
      <c r="D2926" s="69" t="s">
        <v>8089</v>
      </c>
      <c r="E2926" s="69" t="s">
        <v>325</v>
      </c>
      <c r="F2926" s="69" t="s">
        <v>8090</v>
      </c>
    </row>
    <row r="2927" spans="1:6" ht="33.75" x14ac:dyDescent="0.2">
      <c r="A2927" s="65" t="s">
        <v>8091</v>
      </c>
      <c r="B2927" s="66" t="s">
        <v>8092</v>
      </c>
      <c r="C2927" s="67" t="s">
        <v>203</v>
      </c>
      <c r="D2927" s="69" t="s">
        <v>349</v>
      </c>
      <c r="E2927" s="69" t="s">
        <v>325</v>
      </c>
      <c r="F2927" s="69" t="s">
        <v>8093</v>
      </c>
    </row>
    <row r="2928" spans="1:6" ht="45" x14ac:dyDescent="0.2">
      <c r="A2928" s="65" t="s">
        <v>8094</v>
      </c>
      <c r="B2928" s="66" t="s">
        <v>8095</v>
      </c>
      <c r="C2928" s="67" t="s">
        <v>203</v>
      </c>
      <c r="D2928" s="69" t="s">
        <v>8096</v>
      </c>
      <c r="E2928" s="69" t="s">
        <v>325</v>
      </c>
      <c r="F2928" s="69" t="s">
        <v>8097</v>
      </c>
    </row>
    <row r="2929" spans="1:6" ht="33.75" x14ac:dyDescent="0.2">
      <c r="A2929" s="65" t="s">
        <v>8098</v>
      </c>
      <c r="B2929" s="66" t="s">
        <v>8099</v>
      </c>
      <c r="C2929" s="67" t="s">
        <v>203</v>
      </c>
      <c r="D2929" s="69" t="s">
        <v>8100</v>
      </c>
      <c r="E2929" s="69" t="s">
        <v>325</v>
      </c>
      <c r="F2929" s="69" t="s">
        <v>7644</v>
      </c>
    </row>
    <row r="2930" spans="1:6" ht="45" x14ac:dyDescent="0.2">
      <c r="A2930" s="65" t="s">
        <v>8101</v>
      </c>
      <c r="B2930" s="66" t="s">
        <v>8102</v>
      </c>
      <c r="C2930" s="67" t="s">
        <v>203</v>
      </c>
      <c r="D2930" s="69" t="s">
        <v>8103</v>
      </c>
      <c r="E2930" s="69" t="s">
        <v>325</v>
      </c>
      <c r="F2930" s="69" t="s">
        <v>8104</v>
      </c>
    </row>
    <row r="2931" spans="1:6" ht="45" x14ac:dyDescent="0.2">
      <c r="A2931" s="65" t="s">
        <v>8105</v>
      </c>
      <c r="B2931" s="66" t="s">
        <v>8106</v>
      </c>
      <c r="C2931" s="67" t="s">
        <v>203</v>
      </c>
      <c r="D2931" s="69" t="s">
        <v>8107</v>
      </c>
      <c r="E2931" s="69" t="s">
        <v>325</v>
      </c>
      <c r="F2931" s="69" t="s">
        <v>8108</v>
      </c>
    </row>
    <row r="2932" spans="1:6" ht="33.75" x14ac:dyDescent="0.2">
      <c r="A2932" s="65" t="s">
        <v>8109</v>
      </c>
      <c r="B2932" s="65" t="s">
        <v>8110</v>
      </c>
      <c r="C2932" s="67" t="s">
        <v>203</v>
      </c>
      <c r="D2932" s="69" t="s">
        <v>8111</v>
      </c>
      <c r="E2932" s="69" t="s">
        <v>325</v>
      </c>
      <c r="F2932" s="69" t="s">
        <v>8112</v>
      </c>
    </row>
    <row r="2933" spans="1:6" ht="45" x14ac:dyDescent="0.2">
      <c r="A2933" s="65" t="s">
        <v>8113</v>
      </c>
      <c r="B2933" s="66" t="s">
        <v>8114</v>
      </c>
      <c r="C2933" s="67" t="s">
        <v>203</v>
      </c>
      <c r="D2933" s="69" t="s">
        <v>8115</v>
      </c>
      <c r="E2933" s="69" t="s">
        <v>325</v>
      </c>
      <c r="F2933" s="69" t="s">
        <v>8116</v>
      </c>
    </row>
    <row r="2934" spans="1:6" ht="45" x14ac:dyDescent="0.2">
      <c r="A2934" s="65" t="s">
        <v>8117</v>
      </c>
      <c r="B2934" s="66" t="s">
        <v>8118</v>
      </c>
      <c r="C2934" s="67" t="s">
        <v>203</v>
      </c>
      <c r="D2934" s="69" t="s">
        <v>8119</v>
      </c>
      <c r="E2934" s="69" t="s">
        <v>1103</v>
      </c>
      <c r="F2934" s="69" t="s">
        <v>8120</v>
      </c>
    </row>
    <row r="2935" spans="1:6" ht="45" x14ac:dyDescent="0.2">
      <c r="A2935" s="65" t="s">
        <v>8121</v>
      </c>
      <c r="B2935" s="66" t="s">
        <v>8122</v>
      </c>
      <c r="C2935" s="67" t="s">
        <v>203</v>
      </c>
      <c r="D2935" s="69" t="s">
        <v>8123</v>
      </c>
      <c r="E2935" s="69" t="s">
        <v>1090</v>
      </c>
      <c r="F2935" s="69" t="s">
        <v>8124</v>
      </c>
    </row>
    <row r="2936" spans="1:6" ht="22.5" x14ac:dyDescent="0.2">
      <c r="A2936" s="65" t="s">
        <v>8125</v>
      </c>
      <c r="B2936" s="65" t="s">
        <v>8126</v>
      </c>
      <c r="C2936" s="67" t="s">
        <v>203</v>
      </c>
      <c r="D2936" s="69" t="s">
        <v>8127</v>
      </c>
      <c r="E2936" s="69" t="s">
        <v>8128</v>
      </c>
      <c r="F2936" s="69" t="s">
        <v>8129</v>
      </c>
    </row>
    <row r="2937" spans="1:6" ht="45" x14ac:dyDescent="0.2">
      <c r="A2937" s="65" t="s">
        <v>8130</v>
      </c>
      <c r="B2937" s="66" t="s">
        <v>8131</v>
      </c>
      <c r="C2937" s="67" t="s">
        <v>203</v>
      </c>
      <c r="D2937" s="69" t="s">
        <v>8132</v>
      </c>
      <c r="E2937" s="69" t="s">
        <v>1103</v>
      </c>
      <c r="F2937" s="69" t="s">
        <v>8133</v>
      </c>
    </row>
    <row r="2938" spans="1:6" ht="45" x14ac:dyDescent="0.2">
      <c r="A2938" s="65" t="s">
        <v>8134</v>
      </c>
      <c r="B2938" s="66" t="s">
        <v>8135</v>
      </c>
      <c r="C2938" s="67" t="s">
        <v>203</v>
      </c>
      <c r="D2938" s="69" t="s">
        <v>8136</v>
      </c>
      <c r="E2938" s="69" t="s">
        <v>325</v>
      </c>
      <c r="F2938" s="69" t="s">
        <v>8137</v>
      </c>
    </row>
    <row r="2939" spans="1:6" ht="45" x14ac:dyDescent="0.2">
      <c r="A2939" s="65" t="s">
        <v>8138</v>
      </c>
      <c r="B2939" s="66" t="s">
        <v>8139</v>
      </c>
      <c r="C2939" s="67" t="s">
        <v>203</v>
      </c>
      <c r="D2939" s="69" t="s">
        <v>8140</v>
      </c>
      <c r="E2939" s="69" t="s">
        <v>325</v>
      </c>
      <c r="F2939" s="69" t="s">
        <v>8141</v>
      </c>
    </row>
    <row r="2940" spans="1:6" ht="22.5" x14ac:dyDescent="0.2">
      <c r="A2940" s="65" t="s">
        <v>8142</v>
      </c>
      <c r="B2940" s="65" t="s">
        <v>8143</v>
      </c>
      <c r="C2940" s="67" t="s">
        <v>240</v>
      </c>
      <c r="D2940" s="69" t="s">
        <v>8144</v>
      </c>
      <c r="E2940" s="69" t="s">
        <v>8145</v>
      </c>
      <c r="F2940" s="69" t="s">
        <v>8146</v>
      </c>
    </row>
    <row r="2941" spans="1:6" ht="22.5" x14ac:dyDescent="0.2">
      <c r="A2941" s="65" t="s">
        <v>8147</v>
      </c>
      <c r="B2941" s="65" t="s">
        <v>8148</v>
      </c>
      <c r="C2941" s="67" t="s">
        <v>203</v>
      </c>
      <c r="D2941" s="69" t="s">
        <v>1875</v>
      </c>
      <c r="E2941" s="69" t="s">
        <v>325</v>
      </c>
      <c r="F2941" s="69" t="s">
        <v>8149</v>
      </c>
    </row>
    <row r="2942" spans="1:6" ht="22.5" x14ac:dyDescent="0.2">
      <c r="A2942" s="65" t="s">
        <v>8150</v>
      </c>
      <c r="B2942" s="65" t="s">
        <v>8151</v>
      </c>
      <c r="C2942" s="67" t="s">
        <v>203</v>
      </c>
      <c r="D2942" s="69" t="s">
        <v>8152</v>
      </c>
      <c r="E2942" s="69" t="s">
        <v>325</v>
      </c>
      <c r="F2942" s="69" t="s">
        <v>8153</v>
      </c>
    </row>
    <row r="2943" spans="1:6" ht="67.5" x14ac:dyDescent="0.2">
      <c r="A2943" s="70" t="s">
        <v>8154</v>
      </c>
      <c r="B2943" s="66" t="s">
        <v>8155</v>
      </c>
      <c r="C2943" s="71" t="s">
        <v>203</v>
      </c>
      <c r="D2943" s="72" t="s">
        <v>8156</v>
      </c>
      <c r="E2943" s="72" t="s">
        <v>1103</v>
      </c>
      <c r="F2943" s="72" t="s">
        <v>8157</v>
      </c>
    </row>
    <row r="2944" spans="1:6" ht="45" x14ac:dyDescent="0.2">
      <c r="A2944" s="65" t="s">
        <v>8158</v>
      </c>
      <c r="B2944" s="66" t="s">
        <v>8159</v>
      </c>
      <c r="C2944" s="67" t="s">
        <v>203</v>
      </c>
      <c r="D2944" s="69" t="s">
        <v>8160</v>
      </c>
      <c r="E2944" s="69" t="s">
        <v>1090</v>
      </c>
      <c r="F2944" s="69" t="s">
        <v>8161</v>
      </c>
    </row>
    <row r="2945" spans="1:6" ht="33.75" x14ac:dyDescent="0.2">
      <c r="A2945" s="65" t="s">
        <v>8162</v>
      </c>
      <c r="B2945" s="65" t="s">
        <v>8163</v>
      </c>
      <c r="C2945" s="67" t="s">
        <v>203</v>
      </c>
      <c r="D2945" s="69" t="s">
        <v>8164</v>
      </c>
      <c r="E2945" s="69" t="s">
        <v>1090</v>
      </c>
      <c r="F2945" s="69" t="s">
        <v>8165</v>
      </c>
    </row>
    <row r="2946" spans="1:6" x14ac:dyDescent="0.2">
      <c r="A2946" s="65" t="s">
        <v>8166</v>
      </c>
      <c r="B2946" s="65" t="s">
        <v>8167</v>
      </c>
      <c r="C2946" s="67" t="s">
        <v>203</v>
      </c>
      <c r="D2946" s="69" t="s">
        <v>8168</v>
      </c>
      <c r="E2946" s="69" t="s">
        <v>315</v>
      </c>
      <c r="F2946" s="69" t="s">
        <v>8169</v>
      </c>
    </row>
    <row r="2947" spans="1:6" x14ac:dyDescent="0.2">
      <c r="A2947" s="65" t="s">
        <v>8170</v>
      </c>
      <c r="B2947" s="65" t="s">
        <v>8171</v>
      </c>
      <c r="C2947" s="67" t="s">
        <v>203</v>
      </c>
      <c r="D2947" s="69" t="s">
        <v>8172</v>
      </c>
      <c r="E2947" s="69" t="s">
        <v>319</v>
      </c>
      <c r="F2947" s="69" t="s">
        <v>8173</v>
      </c>
    </row>
    <row r="2948" spans="1:6" ht="22.5" x14ac:dyDescent="0.2">
      <c r="A2948" s="65" t="s">
        <v>8174</v>
      </c>
      <c r="B2948" s="65" t="s">
        <v>8175</v>
      </c>
      <c r="C2948" s="67" t="s">
        <v>203</v>
      </c>
      <c r="D2948" s="69" t="s">
        <v>7397</v>
      </c>
      <c r="E2948" s="69" t="s">
        <v>2935</v>
      </c>
      <c r="F2948" s="69" t="s">
        <v>8176</v>
      </c>
    </row>
    <row r="2949" spans="1:6" ht="56.25" x14ac:dyDescent="0.2">
      <c r="A2949" s="65" t="s">
        <v>8177</v>
      </c>
      <c r="B2949" s="66" t="s">
        <v>8178</v>
      </c>
      <c r="C2949" s="67" t="s">
        <v>203</v>
      </c>
      <c r="D2949" s="69" t="s">
        <v>8179</v>
      </c>
      <c r="E2949" s="69" t="s">
        <v>319</v>
      </c>
      <c r="F2949" s="69" t="s">
        <v>8180</v>
      </c>
    </row>
    <row r="2950" spans="1:6" ht="45" x14ac:dyDescent="0.2">
      <c r="A2950" s="65" t="s">
        <v>8181</v>
      </c>
      <c r="B2950" s="66" t="s">
        <v>8182</v>
      </c>
      <c r="C2950" s="67" t="s">
        <v>203</v>
      </c>
      <c r="D2950" s="69" t="s">
        <v>8183</v>
      </c>
      <c r="E2950" s="69" t="s">
        <v>319</v>
      </c>
      <c r="F2950" s="69" t="s">
        <v>8184</v>
      </c>
    </row>
    <row r="2951" spans="1:6" x14ac:dyDescent="0.2">
      <c r="A2951" s="50">
        <v>44.04</v>
      </c>
      <c r="B2951" s="64" t="s">
        <v>8185</v>
      </c>
      <c r="C2951" s="47"/>
      <c r="D2951" s="47"/>
      <c r="E2951" s="47"/>
      <c r="F2951" s="47"/>
    </row>
    <row r="2952" spans="1:6" ht="22.5" x14ac:dyDescent="0.2">
      <c r="A2952" s="65" t="s">
        <v>8186</v>
      </c>
      <c r="B2952" s="65" t="s">
        <v>8187</v>
      </c>
      <c r="C2952" s="67" t="s">
        <v>204</v>
      </c>
      <c r="D2952" s="69" t="s">
        <v>8188</v>
      </c>
      <c r="E2952" s="69" t="s">
        <v>839</v>
      </c>
      <c r="F2952" s="69" t="s">
        <v>8189</v>
      </c>
    </row>
    <row r="2953" spans="1:6" x14ac:dyDescent="0.2">
      <c r="A2953" s="65" t="s">
        <v>8190</v>
      </c>
      <c r="B2953" s="65" t="s">
        <v>8191</v>
      </c>
      <c r="C2953" s="67" t="s">
        <v>204</v>
      </c>
      <c r="D2953" s="69" t="s">
        <v>8192</v>
      </c>
      <c r="E2953" s="69" t="s">
        <v>2109</v>
      </c>
      <c r="F2953" s="69" t="s">
        <v>8193</v>
      </c>
    </row>
    <row r="2954" spans="1:6" ht="22.5" x14ac:dyDescent="0.2">
      <c r="A2954" s="65" t="s">
        <v>8194</v>
      </c>
      <c r="B2954" s="65" t="s">
        <v>8195</v>
      </c>
      <c r="C2954" s="67" t="s">
        <v>204</v>
      </c>
      <c r="D2954" s="69" t="s">
        <v>8196</v>
      </c>
      <c r="E2954" s="69" t="s">
        <v>839</v>
      </c>
      <c r="F2954" s="69" t="s">
        <v>8197</v>
      </c>
    </row>
    <row r="2955" spans="1:6" x14ac:dyDescent="0.2">
      <c r="A2955" s="50">
        <v>44.06</v>
      </c>
      <c r="B2955" s="64" t="s">
        <v>8198</v>
      </c>
      <c r="C2955" s="47"/>
      <c r="D2955" s="47"/>
      <c r="E2955" s="47"/>
      <c r="F2955" s="47"/>
    </row>
    <row r="2956" spans="1:6" ht="22.5" x14ac:dyDescent="0.2">
      <c r="A2956" s="65" t="s">
        <v>8199</v>
      </c>
      <c r="B2956" s="65" t="s">
        <v>8200</v>
      </c>
      <c r="C2956" s="67" t="s">
        <v>221</v>
      </c>
      <c r="D2956" s="69" t="s">
        <v>8201</v>
      </c>
      <c r="E2956" s="69" t="s">
        <v>337</v>
      </c>
      <c r="F2956" s="69" t="s">
        <v>8202</v>
      </c>
    </row>
    <row r="2957" spans="1:6" ht="22.5" x14ac:dyDescent="0.2">
      <c r="A2957" s="65" t="s">
        <v>8203</v>
      </c>
      <c r="B2957" s="65" t="s">
        <v>8204</v>
      </c>
      <c r="C2957" s="67" t="s">
        <v>221</v>
      </c>
      <c r="D2957" s="69" t="s">
        <v>8205</v>
      </c>
      <c r="E2957" s="69" t="s">
        <v>337</v>
      </c>
      <c r="F2957" s="69" t="s">
        <v>8206</v>
      </c>
    </row>
    <row r="2958" spans="1:6" x14ac:dyDescent="0.2">
      <c r="A2958" s="65" t="s">
        <v>8207</v>
      </c>
      <c r="B2958" s="65" t="s">
        <v>8208</v>
      </c>
      <c r="C2958" s="67" t="s">
        <v>203</v>
      </c>
      <c r="D2958" s="69" t="s">
        <v>8209</v>
      </c>
      <c r="E2958" s="69" t="s">
        <v>345</v>
      </c>
      <c r="F2958" s="69" t="s">
        <v>8210</v>
      </c>
    </row>
    <row r="2959" spans="1:6" ht="22.5" x14ac:dyDescent="0.2">
      <c r="A2959" s="65" t="s">
        <v>8211</v>
      </c>
      <c r="B2959" s="65" t="s">
        <v>8212</v>
      </c>
      <c r="C2959" s="67" t="s">
        <v>203</v>
      </c>
      <c r="D2959" s="69" t="s">
        <v>8213</v>
      </c>
      <c r="E2959" s="69" t="s">
        <v>319</v>
      </c>
      <c r="F2959" s="69" t="s">
        <v>8214</v>
      </c>
    </row>
    <row r="2960" spans="1:6" ht="22.5" x14ac:dyDescent="0.2">
      <c r="A2960" s="65" t="s">
        <v>8215</v>
      </c>
      <c r="B2960" s="65" t="s">
        <v>8216</v>
      </c>
      <c r="C2960" s="67" t="s">
        <v>203</v>
      </c>
      <c r="D2960" s="69" t="s">
        <v>8217</v>
      </c>
      <c r="E2960" s="69" t="s">
        <v>319</v>
      </c>
      <c r="F2960" s="69" t="s">
        <v>8218</v>
      </c>
    </row>
    <row r="2961" spans="1:6" ht="22.5" x14ac:dyDescent="0.2">
      <c r="A2961" s="65" t="s">
        <v>8219</v>
      </c>
      <c r="B2961" s="65" t="s">
        <v>8220</v>
      </c>
      <c r="C2961" s="67" t="s">
        <v>203</v>
      </c>
      <c r="D2961" s="69" t="s">
        <v>8221</v>
      </c>
      <c r="E2961" s="69" t="s">
        <v>319</v>
      </c>
      <c r="F2961" s="69" t="s">
        <v>8222</v>
      </c>
    </row>
    <row r="2962" spans="1:6" ht="22.5" x14ac:dyDescent="0.2">
      <c r="A2962" s="65" t="s">
        <v>8223</v>
      </c>
      <c r="B2962" s="65" t="s">
        <v>8224</v>
      </c>
      <c r="C2962" s="67" t="s">
        <v>203</v>
      </c>
      <c r="D2962" s="69" t="s">
        <v>8225</v>
      </c>
      <c r="E2962" s="69" t="s">
        <v>319</v>
      </c>
      <c r="F2962" s="69" t="s">
        <v>8226</v>
      </c>
    </row>
    <row r="2963" spans="1:6" ht="22.5" x14ac:dyDescent="0.2">
      <c r="A2963" s="65" t="s">
        <v>8227</v>
      </c>
      <c r="B2963" s="65" t="s">
        <v>8228</v>
      </c>
      <c r="C2963" s="67" t="s">
        <v>203</v>
      </c>
      <c r="D2963" s="69" t="s">
        <v>8229</v>
      </c>
      <c r="E2963" s="69" t="s">
        <v>319</v>
      </c>
      <c r="F2963" s="69" t="s">
        <v>8230</v>
      </c>
    </row>
    <row r="2964" spans="1:6" ht="22.5" x14ac:dyDescent="0.2">
      <c r="A2964" s="65" t="s">
        <v>8231</v>
      </c>
      <c r="B2964" s="65" t="s">
        <v>8232</v>
      </c>
      <c r="C2964" s="67" t="s">
        <v>203</v>
      </c>
      <c r="D2964" s="69" t="s">
        <v>8233</v>
      </c>
      <c r="E2964" s="69" t="s">
        <v>319</v>
      </c>
      <c r="F2964" s="69" t="s">
        <v>8234</v>
      </c>
    </row>
    <row r="2965" spans="1:6" ht="22.5" x14ac:dyDescent="0.2">
      <c r="A2965" s="65" t="s">
        <v>8235</v>
      </c>
      <c r="B2965" s="65" t="s">
        <v>8236</v>
      </c>
      <c r="C2965" s="67" t="s">
        <v>203</v>
      </c>
      <c r="D2965" s="69" t="s">
        <v>8237</v>
      </c>
      <c r="E2965" s="69" t="s">
        <v>319</v>
      </c>
      <c r="F2965" s="69" t="s">
        <v>8238</v>
      </c>
    </row>
    <row r="2966" spans="1:6" ht="22.5" x14ac:dyDescent="0.2">
      <c r="A2966" s="65" t="s">
        <v>8239</v>
      </c>
      <c r="B2966" s="65" t="s">
        <v>8240</v>
      </c>
      <c r="C2966" s="67" t="s">
        <v>203</v>
      </c>
      <c r="D2966" s="69" t="s">
        <v>8241</v>
      </c>
      <c r="E2966" s="69" t="s">
        <v>319</v>
      </c>
      <c r="F2966" s="69" t="s">
        <v>8242</v>
      </c>
    </row>
    <row r="2967" spans="1:6" ht="22.5" x14ac:dyDescent="0.2">
      <c r="A2967" s="65" t="s">
        <v>8243</v>
      </c>
      <c r="B2967" s="65" t="s">
        <v>8244</v>
      </c>
      <c r="C2967" s="67" t="s">
        <v>203</v>
      </c>
      <c r="D2967" s="69" t="s">
        <v>8245</v>
      </c>
      <c r="E2967" s="69" t="s">
        <v>319</v>
      </c>
      <c r="F2967" s="69" t="s">
        <v>8246</v>
      </c>
    </row>
    <row r="2968" spans="1:6" ht="22.5" x14ac:dyDescent="0.2">
      <c r="A2968" s="65" t="s">
        <v>8247</v>
      </c>
      <c r="B2968" s="65" t="s">
        <v>8248</v>
      </c>
      <c r="C2968" s="67" t="s">
        <v>203</v>
      </c>
      <c r="D2968" s="69" t="s">
        <v>8249</v>
      </c>
      <c r="E2968" s="69" t="s">
        <v>319</v>
      </c>
      <c r="F2968" s="69" t="s">
        <v>8250</v>
      </c>
    </row>
    <row r="2969" spans="1:6" ht="22.5" x14ac:dyDescent="0.2">
      <c r="A2969" s="65" t="s">
        <v>8251</v>
      </c>
      <c r="B2969" s="65" t="s">
        <v>8252</v>
      </c>
      <c r="C2969" s="67" t="s">
        <v>203</v>
      </c>
      <c r="D2969" s="69" t="s">
        <v>8253</v>
      </c>
      <c r="E2969" s="69" t="s">
        <v>319</v>
      </c>
      <c r="F2969" s="69" t="s">
        <v>8254</v>
      </c>
    </row>
    <row r="2970" spans="1:6" ht="22.5" x14ac:dyDescent="0.2">
      <c r="A2970" s="65" t="s">
        <v>8255</v>
      </c>
      <c r="B2970" s="65" t="s">
        <v>8256</v>
      </c>
      <c r="C2970" s="67" t="s">
        <v>203</v>
      </c>
      <c r="D2970" s="69" t="s">
        <v>8257</v>
      </c>
      <c r="E2970" s="69" t="s">
        <v>319</v>
      </c>
      <c r="F2970" s="69" t="s">
        <v>8258</v>
      </c>
    </row>
    <row r="2971" spans="1:6" ht="22.5" x14ac:dyDescent="0.2">
      <c r="A2971" s="65" t="s">
        <v>8259</v>
      </c>
      <c r="B2971" s="65" t="s">
        <v>8260</v>
      </c>
      <c r="C2971" s="67" t="s">
        <v>203</v>
      </c>
      <c r="D2971" s="69" t="s">
        <v>8261</v>
      </c>
      <c r="E2971" s="69" t="s">
        <v>319</v>
      </c>
      <c r="F2971" s="69" t="s">
        <v>8262</v>
      </c>
    </row>
    <row r="2972" spans="1:6" ht="22.5" x14ac:dyDescent="0.2">
      <c r="A2972" s="65" t="s">
        <v>8263</v>
      </c>
      <c r="B2972" s="65" t="s">
        <v>8264</v>
      </c>
      <c r="C2972" s="67" t="s">
        <v>203</v>
      </c>
      <c r="D2972" s="69" t="s">
        <v>8265</v>
      </c>
      <c r="E2972" s="69" t="s">
        <v>319</v>
      </c>
      <c r="F2972" s="69" t="s">
        <v>8266</v>
      </c>
    </row>
    <row r="2973" spans="1:6" ht="22.5" x14ac:dyDescent="0.2">
      <c r="A2973" s="65" t="s">
        <v>8267</v>
      </c>
      <c r="B2973" s="65" t="s">
        <v>8268</v>
      </c>
      <c r="C2973" s="67" t="s">
        <v>203</v>
      </c>
      <c r="D2973" s="69" t="s">
        <v>8269</v>
      </c>
      <c r="E2973" s="69" t="s">
        <v>319</v>
      </c>
      <c r="F2973" s="69" t="s">
        <v>8270</v>
      </c>
    </row>
    <row r="2974" spans="1:6" ht="22.5" x14ac:dyDescent="0.2">
      <c r="A2974" s="65" t="s">
        <v>8271</v>
      </c>
      <c r="B2974" s="65" t="s">
        <v>8272</v>
      </c>
      <c r="C2974" s="67" t="s">
        <v>203</v>
      </c>
      <c r="D2974" s="69" t="s">
        <v>8273</v>
      </c>
      <c r="E2974" s="69" t="s">
        <v>319</v>
      </c>
      <c r="F2974" s="69" t="s">
        <v>8274</v>
      </c>
    </row>
    <row r="2975" spans="1:6" ht="22.5" x14ac:dyDescent="0.2">
      <c r="A2975" s="65" t="s">
        <v>8275</v>
      </c>
      <c r="B2975" s="65" t="s">
        <v>8276</v>
      </c>
      <c r="C2975" s="67" t="s">
        <v>203</v>
      </c>
      <c r="D2975" s="69" t="s">
        <v>8277</v>
      </c>
      <c r="E2975" s="69" t="s">
        <v>319</v>
      </c>
      <c r="F2975" s="69" t="s">
        <v>8278</v>
      </c>
    </row>
    <row r="2976" spans="1:6" ht="22.5" x14ac:dyDescent="0.2">
      <c r="A2976" s="50">
        <v>44.2</v>
      </c>
      <c r="B2976" s="64" t="s">
        <v>8279</v>
      </c>
      <c r="C2976" s="47"/>
      <c r="D2976" s="47"/>
      <c r="E2976" s="47"/>
      <c r="F2976" s="47"/>
    </row>
    <row r="2977" spans="1:6" ht="22.5" x14ac:dyDescent="0.2">
      <c r="A2977" s="65" t="s">
        <v>8280</v>
      </c>
      <c r="B2977" s="65" t="s">
        <v>8281</v>
      </c>
      <c r="C2977" s="67" t="s">
        <v>203</v>
      </c>
      <c r="D2977" s="69" t="s">
        <v>8282</v>
      </c>
      <c r="E2977" s="69" t="s">
        <v>318</v>
      </c>
      <c r="F2977" s="69" t="s">
        <v>8283</v>
      </c>
    </row>
    <row r="2978" spans="1:6" x14ac:dyDescent="0.2">
      <c r="A2978" s="65" t="s">
        <v>8284</v>
      </c>
      <c r="B2978" s="65" t="s">
        <v>8285</v>
      </c>
      <c r="C2978" s="67" t="s">
        <v>203</v>
      </c>
      <c r="D2978" s="69" t="s">
        <v>8286</v>
      </c>
      <c r="E2978" s="69" t="s">
        <v>319</v>
      </c>
      <c r="F2978" s="69" t="s">
        <v>8287</v>
      </c>
    </row>
    <row r="2979" spans="1:6" x14ac:dyDescent="0.2">
      <c r="A2979" s="65" t="s">
        <v>8288</v>
      </c>
      <c r="B2979" s="65" t="s">
        <v>8289</v>
      </c>
      <c r="C2979" s="67" t="s">
        <v>203</v>
      </c>
      <c r="D2979" s="69" t="s">
        <v>8290</v>
      </c>
      <c r="E2979" s="69" t="s">
        <v>319</v>
      </c>
      <c r="F2979" s="69" t="s">
        <v>8291</v>
      </c>
    </row>
    <row r="2980" spans="1:6" ht="22.5" x14ac:dyDescent="0.2">
      <c r="A2980" s="65" t="s">
        <v>8292</v>
      </c>
      <c r="B2980" s="65" t="s">
        <v>8293</v>
      </c>
      <c r="C2980" s="67" t="s">
        <v>203</v>
      </c>
      <c r="D2980" s="69" t="s">
        <v>8294</v>
      </c>
      <c r="E2980" s="69" t="s">
        <v>337</v>
      </c>
      <c r="F2980" s="69" t="s">
        <v>8295</v>
      </c>
    </row>
    <row r="2981" spans="1:6" ht="22.5" x14ac:dyDescent="0.2">
      <c r="A2981" s="65" t="s">
        <v>8296</v>
      </c>
      <c r="B2981" s="65" t="s">
        <v>8297</v>
      </c>
      <c r="C2981" s="67" t="s">
        <v>203</v>
      </c>
      <c r="D2981" s="73"/>
      <c r="E2981" s="69" t="s">
        <v>4745</v>
      </c>
      <c r="F2981" s="69" t="s">
        <v>4745</v>
      </c>
    </row>
    <row r="2982" spans="1:6" x14ac:dyDescent="0.2">
      <c r="A2982" s="65" t="s">
        <v>8298</v>
      </c>
      <c r="B2982" s="65" t="s">
        <v>8299</v>
      </c>
      <c r="C2982" s="67" t="s">
        <v>203</v>
      </c>
      <c r="D2982" s="69" t="s">
        <v>8300</v>
      </c>
      <c r="E2982" s="69" t="s">
        <v>223</v>
      </c>
      <c r="F2982" s="69" t="s">
        <v>8301</v>
      </c>
    </row>
    <row r="2983" spans="1:6" x14ac:dyDescent="0.2">
      <c r="A2983" s="65" t="s">
        <v>8302</v>
      </c>
      <c r="B2983" s="65" t="s">
        <v>8303</v>
      </c>
      <c r="C2983" s="67" t="s">
        <v>203</v>
      </c>
      <c r="D2983" s="69" t="s">
        <v>3939</v>
      </c>
      <c r="E2983" s="69" t="s">
        <v>223</v>
      </c>
      <c r="F2983" s="69" t="s">
        <v>8304</v>
      </c>
    </row>
    <row r="2984" spans="1:6" ht="22.5" x14ac:dyDescent="0.2">
      <c r="A2984" s="65" t="s">
        <v>8305</v>
      </c>
      <c r="B2984" s="65" t="s">
        <v>8306</v>
      </c>
      <c r="C2984" s="67" t="s">
        <v>203</v>
      </c>
      <c r="D2984" s="69" t="s">
        <v>8307</v>
      </c>
      <c r="E2984" s="69" t="s">
        <v>8308</v>
      </c>
      <c r="F2984" s="69" t="s">
        <v>8309</v>
      </c>
    </row>
    <row r="2985" spans="1:6" ht="33.75" x14ac:dyDescent="0.2">
      <c r="A2985" s="65" t="s">
        <v>8310</v>
      </c>
      <c r="B2985" s="66" t="s">
        <v>8311</v>
      </c>
      <c r="C2985" s="67" t="s">
        <v>203</v>
      </c>
      <c r="D2985" s="69" t="s">
        <v>7527</v>
      </c>
      <c r="E2985" s="69" t="s">
        <v>243</v>
      </c>
      <c r="F2985" s="69" t="s">
        <v>8312</v>
      </c>
    </row>
    <row r="2986" spans="1:6" ht="22.5" x14ac:dyDescent="0.2">
      <c r="A2986" s="65" t="s">
        <v>8313</v>
      </c>
      <c r="B2986" s="65" t="s">
        <v>8314</v>
      </c>
      <c r="C2986" s="67" t="s">
        <v>203</v>
      </c>
      <c r="D2986" s="69" t="s">
        <v>8315</v>
      </c>
      <c r="E2986" s="69" t="s">
        <v>223</v>
      </c>
      <c r="F2986" s="69" t="s">
        <v>8316</v>
      </c>
    </row>
    <row r="2987" spans="1:6" ht="22.5" x14ac:dyDescent="0.2">
      <c r="A2987" s="65" t="s">
        <v>8317</v>
      </c>
      <c r="B2987" s="65" t="s">
        <v>8318</v>
      </c>
      <c r="C2987" s="67" t="s">
        <v>203</v>
      </c>
      <c r="D2987" s="69" t="s">
        <v>8319</v>
      </c>
      <c r="E2987" s="69" t="s">
        <v>8308</v>
      </c>
      <c r="F2987" s="69" t="s">
        <v>8320</v>
      </c>
    </row>
    <row r="2988" spans="1:6" x14ac:dyDescent="0.2">
      <c r="A2988" s="65" t="s">
        <v>8321</v>
      </c>
      <c r="B2988" s="65" t="s">
        <v>8322</v>
      </c>
      <c r="C2988" s="67" t="s">
        <v>203</v>
      </c>
      <c r="D2988" s="69" t="s">
        <v>8323</v>
      </c>
      <c r="E2988" s="69" t="s">
        <v>8308</v>
      </c>
      <c r="F2988" s="69" t="s">
        <v>8324</v>
      </c>
    </row>
    <row r="2989" spans="1:6" x14ac:dyDescent="0.2">
      <c r="A2989" s="65" t="s">
        <v>8325</v>
      </c>
      <c r="B2989" s="65" t="s">
        <v>8326</v>
      </c>
      <c r="C2989" s="67" t="s">
        <v>203</v>
      </c>
      <c r="D2989" s="69" t="s">
        <v>8327</v>
      </c>
      <c r="E2989" s="69" t="s">
        <v>4923</v>
      </c>
      <c r="F2989" s="69" t="s">
        <v>8328</v>
      </c>
    </row>
    <row r="2990" spans="1:6" ht="22.5" x14ac:dyDescent="0.2">
      <c r="A2990" s="65" t="s">
        <v>8329</v>
      </c>
      <c r="B2990" s="65" t="s">
        <v>8330</v>
      </c>
      <c r="C2990" s="67" t="s">
        <v>203</v>
      </c>
      <c r="D2990" s="69" t="s">
        <v>8331</v>
      </c>
      <c r="E2990" s="69" t="s">
        <v>319</v>
      </c>
      <c r="F2990" s="69" t="s">
        <v>8332</v>
      </c>
    </row>
    <row r="2991" spans="1:6" ht="22.5" x14ac:dyDescent="0.2">
      <c r="A2991" s="65" t="s">
        <v>8333</v>
      </c>
      <c r="B2991" s="65" t="s">
        <v>8334</v>
      </c>
      <c r="C2991" s="67" t="s">
        <v>203</v>
      </c>
      <c r="D2991" s="69" t="s">
        <v>8335</v>
      </c>
      <c r="E2991" s="69" t="s">
        <v>319</v>
      </c>
      <c r="F2991" s="69" t="s">
        <v>8336</v>
      </c>
    </row>
    <row r="2992" spans="1:6" x14ac:dyDescent="0.2">
      <c r="A2992" s="65" t="s">
        <v>8337</v>
      </c>
      <c r="B2992" s="65" t="s">
        <v>8338</v>
      </c>
      <c r="C2992" s="67" t="s">
        <v>203</v>
      </c>
      <c r="D2992" s="69" t="s">
        <v>8339</v>
      </c>
      <c r="E2992" s="69" t="s">
        <v>223</v>
      </c>
      <c r="F2992" s="69" t="s">
        <v>8340</v>
      </c>
    </row>
    <row r="2993" spans="1:6" ht="22.5" x14ac:dyDescent="0.2">
      <c r="A2993" s="65" t="s">
        <v>8341</v>
      </c>
      <c r="B2993" s="65" t="s">
        <v>8342</v>
      </c>
      <c r="C2993" s="67" t="s">
        <v>203</v>
      </c>
      <c r="D2993" s="69" t="s">
        <v>8343</v>
      </c>
      <c r="E2993" s="69" t="s">
        <v>318</v>
      </c>
      <c r="F2993" s="69" t="s">
        <v>8344</v>
      </c>
    </row>
    <row r="2994" spans="1:6" ht="22.5" x14ac:dyDescent="0.2">
      <c r="A2994" s="65" t="s">
        <v>8345</v>
      </c>
      <c r="B2994" s="65" t="s">
        <v>8346</v>
      </c>
      <c r="C2994" s="67" t="s">
        <v>203</v>
      </c>
      <c r="D2994" s="69" t="s">
        <v>8347</v>
      </c>
      <c r="E2994" s="69" t="s">
        <v>318</v>
      </c>
      <c r="F2994" s="69" t="s">
        <v>8348</v>
      </c>
    </row>
    <row r="2995" spans="1:6" ht="22.5" x14ac:dyDescent="0.2">
      <c r="A2995" s="65" t="s">
        <v>8349</v>
      </c>
      <c r="B2995" s="65" t="s">
        <v>8350</v>
      </c>
      <c r="C2995" s="67" t="s">
        <v>203</v>
      </c>
      <c r="D2995" s="69" t="s">
        <v>1221</v>
      </c>
      <c r="E2995" s="69" t="s">
        <v>274</v>
      </c>
      <c r="F2995" s="69" t="s">
        <v>4051</v>
      </c>
    </row>
    <row r="2996" spans="1:6" x14ac:dyDescent="0.2">
      <c r="A2996" s="65" t="s">
        <v>8351</v>
      </c>
      <c r="B2996" s="65" t="s">
        <v>8352</v>
      </c>
      <c r="C2996" s="67" t="s">
        <v>203</v>
      </c>
      <c r="D2996" s="69" t="s">
        <v>3243</v>
      </c>
      <c r="E2996" s="69" t="s">
        <v>8353</v>
      </c>
      <c r="F2996" s="69" t="s">
        <v>8354</v>
      </c>
    </row>
    <row r="2997" spans="1:6" ht="22.5" x14ac:dyDescent="0.2">
      <c r="A2997" s="65" t="s">
        <v>8355</v>
      </c>
      <c r="B2997" s="65" t="s">
        <v>8356</v>
      </c>
      <c r="C2997" s="67" t="s">
        <v>203</v>
      </c>
      <c r="D2997" s="69" t="s">
        <v>8357</v>
      </c>
      <c r="E2997" s="69" t="s">
        <v>335</v>
      </c>
      <c r="F2997" s="69" t="s">
        <v>8358</v>
      </c>
    </row>
    <row r="2998" spans="1:6" x14ac:dyDescent="0.2">
      <c r="A2998" s="65" t="s">
        <v>8359</v>
      </c>
      <c r="B2998" s="65" t="s">
        <v>8360</v>
      </c>
      <c r="C2998" s="67" t="s">
        <v>203</v>
      </c>
      <c r="D2998" s="69" t="s">
        <v>786</v>
      </c>
      <c r="E2998" s="69" t="s">
        <v>243</v>
      </c>
      <c r="F2998" s="69" t="s">
        <v>8361</v>
      </c>
    </row>
    <row r="2999" spans="1:6" x14ac:dyDescent="0.2">
      <c r="A2999" s="65" t="s">
        <v>8362</v>
      </c>
      <c r="B2999" s="65" t="s">
        <v>8363</v>
      </c>
      <c r="C2999" s="67" t="s">
        <v>203</v>
      </c>
      <c r="D2999" s="69" t="s">
        <v>8364</v>
      </c>
      <c r="E2999" s="69" t="s">
        <v>243</v>
      </c>
      <c r="F2999" s="69" t="s">
        <v>8365</v>
      </c>
    </row>
    <row r="3000" spans="1:6" ht="22.5" x14ac:dyDescent="0.2">
      <c r="A3000" s="65" t="s">
        <v>8366</v>
      </c>
      <c r="B3000" s="65" t="s">
        <v>8367</v>
      </c>
      <c r="C3000" s="67" t="s">
        <v>203</v>
      </c>
      <c r="D3000" s="69" t="s">
        <v>8368</v>
      </c>
      <c r="E3000" s="69" t="s">
        <v>336</v>
      </c>
      <c r="F3000" s="69" t="s">
        <v>8369</v>
      </c>
    </row>
    <row r="3001" spans="1:6" x14ac:dyDescent="0.2">
      <c r="A3001" s="65" t="s">
        <v>8370</v>
      </c>
      <c r="B3001" s="65" t="s">
        <v>8371</v>
      </c>
      <c r="C3001" s="67" t="s">
        <v>203</v>
      </c>
      <c r="D3001" s="69" t="s">
        <v>8372</v>
      </c>
      <c r="E3001" s="69" t="s">
        <v>336</v>
      </c>
      <c r="F3001" s="69" t="s">
        <v>5531</v>
      </c>
    </row>
    <row r="3002" spans="1:6" ht="22.5" x14ac:dyDescent="0.2">
      <c r="A3002" s="49">
        <v>45</v>
      </c>
      <c r="B3002" s="64" t="s">
        <v>8373</v>
      </c>
      <c r="C3002" s="47"/>
      <c r="D3002" s="47"/>
      <c r="E3002" s="47"/>
      <c r="F3002" s="47"/>
    </row>
    <row r="3003" spans="1:6" x14ac:dyDescent="0.2">
      <c r="A3003" s="50">
        <v>45.01</v>
      </c>
      <c r="B3003" s="64" t="s">
        <v>8374</v>
      </c>
      <c r="C3003" s="47"/>
      <c r="D3003" s="47"/>
      <c r="E3003" s="47"/>
      <c r="F3003" s="47"/>
    </row>
    <row r="3004" spans="1:6" ht="33.75" x14ac:dyDescent="0.2">
      <c r="A3004" s="65" t="s">
        <v>8375</v>
      </c>
      <c r="B3004" s="65" t="s">
        <v>8376</v>
      </c>
      <c r="C3004" s="67" t="s">
        <v>203</v>
      </c>
      <c r="D3004" s="69" t="s">
        <v>8377</v>
      </c>
      <c r="E3004" s="69" t="s">
        <v>8378</v>
      </c>
      <c r="F3004" s="69" t="s">
        <v>8379</v>
      </c>
    </row>
    <row r="3005" spans="1:6" ht="33.75" x14ac:dyDescent="0.2">
      <c r="A3005" s="65" t="s">
        <v>8380</v>
      </c>
      <c r="B3005" s="65" t="s">
        <v>8381</v>
      </c>
      <c r="C3005" s="67" t="s">
        <v>203</v>
      </c>
      <c r="D3005" s="69" t="s">
        <v>8382</v>
      </c>
      <c r="E3005" s="69" t="s">
        <v>8378</v>
      </c>
      <c r="F3005" s="69" t="s">
        <v>8383</v>
      </c>
    </row>
    <row r="3006" spans="1:6" ht="33.75" x14ac:dyDescent="0.2">
      <c r="A3006" s="65" t="s">
        <v>8384</v>
      </c>
      <c r="B3006" s="65" t="s">
        <v>8385</v>
      </c>
      <c r="C3006" s="67" t="s">
        <v>203</v>
      </c>
      <c r="D3006" s="69" t="s">
        <v>8386</v>
      </c>
      <c r="E3006" s="69" t="s">
        <v>8387</v>
      </c>
      <c r="F3006" s="69" t="s">
        <v>8388</v>
      </c>
    </row>
    <row r="3007" spans="1:6" ht="33.75" x14ac:dyDescent="0.2">
      <c r="A3007" s="65" t="s">
        <v>8389</v>
      </c>
      <c r="B3007" s="65" t="s">
        <v>8390</v>
      </c>
      <c r="C3007" s="67" t="s">
        <v>203</v>
      </c>
      <c r="D3007" s="69" t="s">
        <v>8391</v>
      </c>
      <c r="E3007" s="69" t="s">
        <v>8387</v>
      </c>
      <c r="F3007" s="69" t="s">
        <v>8392</v>
      </c>
    </row>
    <row r="3008" spans="1:6" ht="33.75" x14ac:dyDescent="0.2">
      <c r="A3008" s="65" t="s">
        <v>8393</v>
      </c>
      <c r="B3008" s="65" t="s">
        <v>8394</v>
      </c>
      <c r="C3008" s="67" t="s">
        <v>203</v>
      </c>
      <c r="D3008" s="69" t="s">
        <v>8395</v>
      </c>
      <c r="E3008" s="69" t="s">
        <v>8387</v>
      </c>
      <c r="F3008" s="69" t="s">
        <v>8396</v>
      </c>
    </row>
    <row r="3009" spans="1:6" ht="33.75" x14ac:dyDescent="0.2">
      <c r="A3009" s="65" t="s">
        <v>8397</v>
      </c>
      <c r="B3009" s="65" t="s">
        <v>8398</v>
      </c>
      <c r="C3009" s="67" t="s">
        <v>203</v>
      </c>
      <c r="D3009" s="69" t="s">
        <v>8399</v>
      </c>
      <c r="E3009" s="69" t="s">
        <v>8387</v>
      </c>
      <c r="F3009" s="69" t="s">
        <v>8400</v>
      </c>
    </row>
    <row r="3010" spans="1:6" x14ac:dyDescent="0.2">
      <c r="A3010" s="50">
        <v>45.02</v>
      </c>
      <c r="B3010" s="64" t="s">
        <v>8401</v>
      </c>
      <c r="C3010" s="47"/>
      <c r="D3010" s="47"/>
      <c r="E3010" s="47"/>
      <c r="F3010" s="47"/>
    </row>
    <row r="3011" spans="1:6" ht="22.5" x14ac:dyDescent="0.2">
      <c r="A3011" s="65" t="s">
        <v>8402</v>
      </c>
      <c r="B3011" s="65" t="s">
        <v>8403</v>
      </c>
      <c r="C3011" s="67" t="s">
        <v>203</v>
      </c>
      <c r="D3011" s="69" t="s">
        <v>8404</v>
      </c>
      <c r="E3011" s="69" t="s">
        <v>8405</v>
      </c>
      <c r="F3011" s="69" t="s">
        <v>8406</v>
      </c>
    </row>
    <row r="3012" spans="1:6" ht="22.5" x14ac:dyDescent="0.2">
      <c r="A3012" s="65" t="s">
        <v>8407</v>
      </c>
      <c r="B3012" s="65" t="s">
        <v>8408</v>
      </c>
      <c r="C3012" s="67" t="s">
        <v>203</v>
      </c>
      <c r="D3012" s="69" t="s">
        <v>8409</v>
      </c>
      <c r="E3012" s="69" t="s">
        <v>8410</v>
      </c>
      <c r="F3012" s="69" t="s">
        <v>8411</v>
      </c>
    </row>
    <row r="3013" spans="1:6" ht="22.5" x14ac:dyDescent="0.2">
      <c r="A3013" s="65" t="s">
        <v>8412</v>
      </c>
      <c r="B3013" s="65" t="s">
        <v>8413</v>
      </c>
      <c r="C3013" s="67" t="s">
        <v>203</v>
      </c>
      <c r="D3013" s="69" t="s">
        <v>8414</v>
      </c>
      <c r="E3013" s="69" t="s">
        <v>8415</v>
      </c>
      <c r="F3013" s="69" t="s">
        <v>8416</v>
      </c>
    </row>
    <row r="3014" spans="1:6" ht="22.5" x14ac:dyDescent="0.2">
      <c r="A3014" s="65" t="s">
        <v>8417</v>
      </c>
      <c r="B3014" s="65" t="s">
        <v>8418</v>
      </c>
      <c r="C3014" s="67" t="s">
        <v>203</v>
      </c>
      <c r="D3014" s="69" t="s">
        <v>8419</v>
      </c>
      <c r="E3014" s="69" t="s">
        <v>8420</v>
      </c>
      <c r="F3014" s="69" t="s">
        <v>8421</v>
      </c>
    </row>
    <row r="3015" spans="1:6" ht="22.5" x14ac:dyDescent="0.2">
      <c r="A3015" s="65" t="s">
        <v>8422</v>
      </c>
      <c r="B3015" s="65" t="s">
        <v>8423</v>
      </c>
      <c r="C3015" s="67" t="s">
        <v>203</v>
      </c>
      <c r="D3015" s="69" t="s">
        <v>8424</v>
      </c>
      <c r="E3015" s="69" t="s">
        <v>8425</v>
      </c>
      <c r="F3015" s="69" t="s">
        <v>8426</v>
      </c>
    </row>
    <row r="3016" spans="1:6" x14ac:dyDescent="0.2">
      <c r="A3016" s="50">
        <v>45.03</v>
      </c>
      <c r="B3016" s="64" t="s">
        <v>8427</v>
      </c>
      <c r="C3016" s="47"/>
      <c r="D3016" s="47"/>
      <c r="E3016" s="47"/>
      <c r="F3016" s="47"/>
    </row>
    <row r="3017" spans="1:6" ht="22.5" x14ac:dyDescent="0.2">
      <c r="A3017" s="65" t="s">
        <v>8428</v>
      </c>
      <c r="B3017" s="65" t="s">
        <v>8429</v>
      </c>
      <c r="C3017" s="67" t="s">
        <v>203</v>
      </c>
      <c r="D3017" s="69" t="s">
        <v>8430</v>
      </c>
      <c r="E3017" s="69" t="s">
        <v>333</v>
      </c>
      <c r="F3017" s="69" t="s">
        <v>8431</v>
      </c>
    </row>
    <row r="3018" spans="1:6" ht="22.5" x14ac:dyDescent="0.2">
      <c r="A3018" s="65" t="s">
        <v>8432</v>
      </c>
      <c r="B3018" s="65" t="s">
        <v>8433</v>
      </c>
      <c r="C3018" s="67" t="s">
        <v>203</v>
      </c>
      <c r="D3018" s="69" t="s">
        <v>8434</v>
      </c>
      <c r="E3018" s="69" t="s">
        <v>333</v>
      </c>
      <c r="F3018" s="69" t="s">
        <v>8435</v>
      </c>
    </row>
    <row r="3019" spans="1:6" ht="22.5" x14ac:dyDescent="0.2">
      <c r="A3019" s="65" t="s">
        <v>8436</v>
      </c>
      <c r="B3019" s="65" t="s">
        <v>8437</v>
      </c>
      <c r="C3019" s="67" t="s">
        <v>203</v>
      </c>
      <c r="D3019" s="69" t="s">
        <v>8438</v>
      </c>
      <c r="E3019" s="69" t="s">
        <v>4839</v>
      </c>
      <c r="F3019" s="69" t="s">
        <v>8439</v>
      </c>
    </row>
    <row r="3020" spans="1:6" ht="22.5" x14ac:dyDescent="0.2">
      <c r="A3020" s="65" t="s">
        <v>8440</v>
      </c>
      <c r="B3020" s="65" t="s">
        <v>8441</v>
      </c>
      <c r="C3020" s="67" t="s">
        <v>203</v>
      </c>
      <c r="D3020" s="69" t="s">
        <v>8442</v>
      </c>
      <c r="E3020" s="69" t="s">
        <v>4839</v>
      </c>
      <c r="F3020" s="69" t="s">
        <v>8443</v>
      </c>
    </row>
    <row r="3021" spans="1:6" ht="22.5" x14ac:dyDescent="0.2">
      <c r="A3021" s="65" t="s">
        <v>8444</v>
      </c>
      <c r="B3021" s="65" t="s">
        <v>8445</v>
      </c>
      <c r="C3021" s="67" t="s">
        <v>203</v>
      </c>
      <c r="D3021" s="69" t="s">
        <v>8446</v>
      </c>
      <c r="E3021" s="69" t="s">
        <v>333</v>
      </c>
      <c r="F3021" s="69" t="s">
        <v>8447</v>
      </c>
    </row>
    <row r="3022" spans="1:6" ht="22.5" x14ac:dyDescent="0.2">
      <c r="A3022" s="50">
        <v>45.2</v>
      </c>
      <c r="B3022" s="64" t="s">
        <v>8448</v>
      </c>
      <c r="C3022" s="47"/>
      <c r="D3022" s="47"/>
      <c r="E3022" s="47"/>
      <c r="F3022" s="47"/>
    </row>
    <row r="3023" spans="1:6" ht="22.5" x14ac:dyDescent="0.2">
      <c r="A3023" s="65" t="s">
        <v>8449</v>
      </c>
      <c r="B3023" s="65" t="s">
        <v>8450</v>
      </c>
      <c r="C3023" s="67" t="s">
        <v>203</v>
      </c>
      <c r="D3023" s="69" t="s">
        <v>8451</v>
      </c>
      <c r="E3023" s="73"/>
      <c r="F3023" s="69" t="s">
        <v>8451</v>
      </c>
    </row>
    <row r="3024" spans="1:6" ht="22.5" x14ac:dyDescent="0.2">
      <c r="A3024" s="49">
        <v>46</v>
      </c>
      <c r="B3024" s="64" t="s">
        <v>8452</v>
      </c>
      <c r="C3024" s="47"/>
      <c r="D3024" s="47"/>
      <c r="E3024" s="47"/>
      <c r="F3024" s="47"/>
    </row>
    <row r="3025" spans="1:6" ht="33.75" x14ac:dyDescent="0.2">
      <c r="A3025" s="50">
        <v>46.01</v>
      </c>
      <c r="B3025" s="64" t="s">
        <v>8453</v>
      </c>
      <c r="C3025" s="48"/>
      <c r="D3025" s="48"/>
      <c r="E3025" s="48"/>
      <c r="F3025" s="48"/>
    </row>
    <row r="3026" spans="1:6" ht="45" x14ac:dyDescent="0.2">
      <c r="A3026" s="65" t="s">
        <v>8454</v>
      </c>
      <c r="B3026" s="66" t="s">
        <v>8455</v>
      </c>
      <c r="C3026" s="67" t="s">
        <v>221</v>
      </c>
      <c r="D3026" s="69" t="s">
        <v>384</v>
      </c>
      <c r="E3026" s="69" t="s">
        <v>319</v>
      </c>
      <c r="F3026" s="69" t="s">
        <v>8456</v>
      </c>
    </row>
    <row r="3027" spans="1:6" ht="45" x14ac:dyDescent="0.2">
      <c r="A3027" s="65" t="s">
        <v>8457</v>
      </c>
      <c r="B3027" s="66" t="s">
        <v>8458</v>
      </c>
      <c r="C3027" s="67" t="s">
        <v>221</v>
      </c>
      <c r="D3027" s="69" t="s">
        <v>7471</v>
      </c>
      <c r="E3027" s="69" t="s">
        <v>319</v>
      </c>
      <c r="F3027" s="69" t="s">
        <v>7472</v>
      </c>
    </row>
    <row r="3028" spans="1:6" ht="45" x14ac:dyDescent="0.2">
      <c r="A3028" s="65" t="s">
        <v>8459</v>
      </c>
      <c r="B3028" s="66" t="s">
        <v>8460</v>
      </c>
      <c r="C3028" s="67" t="s">
        <v>221</v>
      </c>
      <c r="D3028" s="69" t="s">
        <v>8461</v>
      </c>
      <c r="E3028" s="69" t="s">
        <v>319</v>
      </c>
      <c r="F3028" s="69" t="s">
        <v>8462</v>
      </c>
    </row>
    <row r="3029" spans="1:6" ht="45" x14ac:dyDescent="0.2">
      <c r="A3029" s="65" t="s">
        <v>8463</v>
      </c>
      <c r="B3029" s="66" t="s">
        <v>8464</v>
      </c>
      <c r="C3029" s="67" t="s">
        <v>221</v>
      </c>
      <c r="D3029" s="69" t="s">
        <v>8465</v>
      </c>
      <c r="E3029" s="69" t="s">
        <v>319</v>
      </c>
      <c r="F3029" s="69" t="s">
        <v>8466</v>
      </c>
    </row>
    <row r="3030" spans="1:6" ht="45" x14ac:dyDescent="0.2">
      <c r="A3030" s="65" t="s">
        <v>8467</v>
      </c>
      <c r="B3030" s="66" t="s">
        <v>8468</v>
      </c>
      <c r="C3030" s="67" t="s">
        <v>221</v>
      </c>
      <c r="D3030" s="69" t="s">
        <v>1356</v>
      </c>
      <c r="E3030" s="69" t="s">
        <v>331</v>
      </c>
      <c r="F3030" s="69" t="s">
        <v>8469</v>
      </c>
    </row>
    <row r="3031" spans="1:6" ht="45" x14ac:dyDescent="0.2">
      <c r="A3031" s="65" t="s">
        <v>8470</v>
      </c>
      <c r="B3031" s="66" t="s">
        <v>8471</v>
      </c>
      <c r="C3031" s="67" t="s">
        <v>221</v>
      </c>
      <c r="D3031" s="69" t="s">
        <v>8472</v>
      </c>
      <c r="E3031" s="69" t="s">
        <v>5343</v>
      </c>
      <c r="F3031" s="69" t="s">
        <v>8473</v>
      </c>
    </row>
    <row r="3032" spans="1:6" ht="45" x14ac:dyDescent="0.2">
      <c r="A3032" s="65" t="s">
        <v>8474</v>
      </c>
      <c r="B3032" s="66" t="s">
        <v>8475</v>
      </c>
      <c r="C3032" s="67" t="s">
        <v>221</v>
      </c>
      <c r="D3032" s="69" t="s">
        <v>8476</v>
      </c>
      <c r="E3032" s="69" t="s">
        <v>4923</v>
      </c>
      <c r="F3032" s="69" t="s">
        <v>8477</v>
      </c>
    </row>
    <row r="3033" spans="1:6" ht="45" x14ac:dyDescent="0.2">
      <c r="A3033" s="65" t="s">
        <v>8478</v>
      </c>
      <c r="B3033" s="66" t="s">
        <v>8479</v>
      </c>
      <c r="C3033" s="67" t="s">
        <v>221</v>
      </c>
      <c r="D3033" s="69" t="s">
        <v>8480</v>
      </c>
      <c r="E3033" s="69" t="s">
        <v>321</v>
      </c>
      <c r="F3033" s="69" t="s">
        <v>8481</v>
      </c>
    </row>
    <row r="3034" spans="1:6" ht="45" x14ac:dyDescent="0.2">
      <c r="A3034" s="65" t="s">
        <v>8482</v>
      </c>
      <c r="B3034" s="66" t="s">
        <v>8483</v>
      </c>
      <c r="C3034" s="67" t="s">
        <v>221</v>
      </c>
      <c r="D3034" s="69" t="s">
        <v>8484</v>
      </c>
      <c r="E3034" s="69" t="s">
        <v>1080</v>
      </c>
      <c r="F3034" s="69" t="s">
        <v>8485</v>
      </c>
    </row>
    <row r="3035" spans="1:6" ht="22.5" x14ac:dyDescent="0.2">
      <c r="A3035" s="50">
        <v>46.02</v>
      </c>
      <c r="B3035" s="64" t="s">
        <v>8486</v>
      </c>
      <c r="C3035" s="47"/>
      <c r="D3035" s="47"/>
      <c r="E3035" s="47"/>
      <c r="F3035" s="47"/>
    </row>
    <row r="3036" spans="1:6" ht="56.25" x14ac:dyDescent="0.2">
      <c r="A3036" s="65" t="s">
        <v>8487</v>
      </c>
      <c r="B3036" s="66" t="s">
        <v>8488</v>
      </c>
      <c r="C3036" s="67" t="s">
        <v>221</v>
      </c>
      <c r="D3036" s="69" t="s">
        <v>3447</v>
      </c>
      <c r="E3036" s="69" t="s">
        <v>319</v>
      </c>
      <c r="F3036" s="69" t="s">
        <v>8489</v>
      </c>
    </row>
    <row r="3037" spans="1:6" ht="56.25" x14ac:dyDescent="0.2">
      <c r="A3037" s="65" t="s">
        <v>8490</v>
      </c>
      <c r="B3037" s="66" t="s">
        <v>8491</v>
      </c>
      <c r="C3037" s="67" t="s">
        <v>221</v>
      </c>
      <c r="D3037" s="69" t="s">
        <v>242</v>
      </c>
      <c r="E3037" s="69" t="s">
        <v>331</v>
      </c>
      <c r="F3037" s="69" t="s">
        <v>8492</v>
      </c>
    </row>
    <row r="3038" spans="1:6" ht="56.25" x14ac:dyDescent="0.2">
      <c r="A3038" s="65" t="s">
        <v>8493</v>
      </c>
      <c r="B3038" s="66" t="s">
        <v>8494</v>
      </c>
      <c r="C3038" s="67" t="s">
        <v>221</v>
      </c>
      <c r="D3038" s="69" t="s">
        <v>8495</v>
      </c>
      <c r="E3038" s="69" t="s">
        <v>4923</v>
      </c>
      <c r="F3038" s="69" t="s">
        <v>8496</v>
      </c>
    </row>
    <row r="3039" spans="1:6" ht="56.25" x14ac:dyDescent="0.2">
      <c r="A3039" s="65" t="s">
        <v>8497</v>
      </c>
      <c r="B3039" s="66" t="s">
        <v>8498</v>
      </c>
      <c r="C3039" s="67" t="s">
        <v>221</v>
      </c>
      <c r="D3039" s="69" t="s">
        <v>8499</v>
      </c>
      <c r="E3039" s="69" t="s">
        <v>1080</v>
      </c>
      <c r="F3039" s="69" t="s">
        <v>8500</v>
      </c>
    </row>
    <row r="3040" spans="1:6" ht="22.5" x14ac:dyDescent="0.2">
      <c r="A3040" s="50">
        <v>46.03</v>
      </c>
      <c r="B3040" s="64" t="s">
        <v>8501</v>
      </c>
      <c r="C3040" s="48"/>
      <c r="D3040" s="48"/>
      <c r="E3040" s="48"/>
      <c r="F3040" s="48"/>
    </row>
    <row r="3041" spans="1:6" ht="56.25" x14ac:dyDescent="0.2">
      <c r="A3041" s="65" t="s">
        <v>8502</v>
      </c>
      <c r="B3041" s="66" t="s">
        <v>8503</v>
      </c>
      <c r="C3041" s="67" t="s">
        <v>221</v>
      </c>
      <c r="D3041" s="69" t="s">
        <v>6800</v>
      </c>
      <c r="E3041" s="69" t="s">
        <v>331</v>
      </c>
      <c r="F3041" s="69" t="s">
        <v>8504</v>
      </c>
    </row>
    <row r="3042" spans="1:6" ht="56.25" x14ac:dyDescent="0.2">
      <c r="A3042" s="65" t="s">
        <v>8505</v>
      </c>
      <c r="B3042" s="66" t="s">
        <v>8506</v>
      </c>
      <c r="C3042" s="67" t="s">
        <v>221</v>
      </c>
      <c r="D3042" s="69" t="s">
        <v>8507</v>
      </c>
      <c r="E3042" s="69" t="s">
        <v>4923</v>
      </c>
      <c r="F3042" s="69" t="s">
        <v>8508</v>
      </c>
    </row>
    <row r="3043" spans="1:6" ht="56.25" x14ac:dyDescent="0.2">
      <c r="A3043" s="65" t="s">
        <v>8509</v>
      </c>
      <c r="B3043" s="66" t="s">
        <v>8510</v>
      </c>
      <c r="C3043" s="67" t="s">
        <v>221</v>
      </c>
      <c r="D3043" s="69" t="s">
        <v>6958</v>
      </c>
      <c r="E3043" s="69" t="s">
        <v>1080</v>
      </c>
      <c r="F3043" s="69" t="s">
        <v>8511</v>
      </c>
    </row>
    <row r="3044" spans="1:6" ht="56.25" x14ac:dyDescent="0.2">
      <c r="A3044" s="65" t="s">
        <v>8512</v>
      </c>
      <c r="B3044" s="66" t="s">
        <v>8513</v>
      </c>
      <c r="C3044" s="67" t="s">
        <v>221</v>
      </c>
      <c r="D3044" s="69" t="s">
        <v>8514</v>
      </c>
      <c r="E3044" s="69" t="s">
        <v>1080</v>
      </c>
      <c r="F3044" s="69" t="s">
        <v>8515</v>
      </c>
    </row>
    <row r="3045" spans="1:6" ht="56.25" x14ac:dyDescent="0.2">
      <c r="A3045" s="65" t="s">
        <v>8516</v>
      </c>
      <c r="B3045" s="66" t="s">
        <v>8517</v>
      </c>
      <c r="C3045" s="67" t="s">
        <v>221</v>
      </c>
      <c r="D3045" s="69" t="s">
        <v>8518</v>
      </c>
      <c r="E3045" s="69" t="s">
        <v>319</v>
      </c>
      <c r="F3045" s="69" t="s">
        <v>8519</v>
      </c>
    </row>
    <row r="3046" spans="1:6" ht="45" x14ac:dyDescent="0.2">
      <c r="A3046" s="50">
        <v>46.04</v>
      </c>
      <c r="B3046" s="51" t="s">
        <v>8520</v>
      </c>
      <c r="C3046" s="48"/>
      <c r="D3046" s="48"/>
      <c r="E3046" s="48"/>
      <c r="F3046" s="48"/>
    </row>
    <row r="3047" spans="1:6" ht="45" x14ac:dyDescent="0.2">
      <c r="A3047" s="65" t="s">
        <v>8521</v>
      </c>
      <c r="B3047" s="66" t="s">
        <v>8522</v>
      </c>
      <c r="C3047" s="67" t="s">
        <v>221</v>
      </c>
      <c r="D3047" s="69" t="s">
        <v>8523</v>
      </c>
      <c r="E3047" s="69" t="s">
        <v>325</v>
      </c>
      <c r="F3047" s="69" t="s">
        <v>8524</v>
      </c>
    </row>
    <row r="3048" spans="1:6" ht="45" x14ac:dyDescent="0.2">
      <c r="A3048" s="65" t="s">
        <v>8525</v>
      </c>
      <c r="B3048" s="66" t="s">
        <v>8526</v>
      </c>
      <c r="C3048" s="67" t="s">
        <v>221</v>
      </c>
      <c r="D3048" s="69" t="s">
        <v>8527</v>
      </c>
      <c r="E3048" s="69" t="s">
        <v>325</v>
      </c>
      <c r="F3048" s="69" t="s">
        <v>8528</v>
      </c>
    </row>
    <row r="3049" spans="1:6" ht="45" x14ac:dyDescent="0.2">
      <c r="A3049" s="65" t="s">
        <v>8529</v>
      </c>
      <c r="B3049" s="66" t="s">
        <v>8530</v>
      </c>
      <c r="C3049" s="67" t="s">
        <v>221</v>
      </c>
      <c r="D3049" s="69" t="s">
        <v>8531</v>
      </c>
      <c r="E3049" s="69" t="s">
        <v>325</v>
      </c>
      <c r="F3049" s="69" t="s">
        <v>8532</v>
      </c>
    </row>
    <row r="3050" spans="1:6" ht="33.75" x14ac:dyDescent="0.2">
      <c r="A3050" s="65" t="s">
        <v>8533</v>
      </c>
      <c r="B3050" s="66" t="s">
        <v>8534</v>
      </c>
      <c r="C3050" s="67" t="s">
        <v>221</v>
      </c>
      <c r="D3050" s="69" t="s">
        <v>8535</v>
      </c>
      <c r="E3050" s="69" t="s">
        <v>325</v>
      </c>
      <c r="F3050" s="69" t="s">
        <v>680</v>
      </c>
    </row>
    <row r="3051" spans="1:6" ht="33.75" x14ac:dyDescent="0.2">
      <c r="A3051" s="65" t="s">
        <v>8536</v>
      </c>
      <c r="B3051" s="66" t="s">
        <v>8537</v>
      </c>
      <c r="C3051" s="67" t="s">
        <v>221</v>
      </c>
      <c r="D3051" s="69" t="s">
        <v>8538</v>
      </c>
      <c r="E3051" s="69" t="s">
        <v>325</v>
      </c>
      <c r="F3051" s="69" t="s">
        <v>8539</v>
      </c>
    </row>
    <row r="3052" spans="1:6" ht="33.75" x14ac:dyDescent="0.2">
      <c r="A3052" s="65" t="s">
        <v>8540</v>
      </c>
      <c r="B3052" s="66" t="s">
        <v>8541</v>
      </c>
      <c r="C3052" s="67" t="s">
        <v>221</v>
      </c>
      <c r="D3052" s="69" t="s">
        <v>8542</v>
      </c>
      <c r="E3052" s="69" t="s">
        <v>335</v>
      </c>
      <c r="F3052" s="69" t="s">
        <v>8543</v>
      </c>
    </row>
    <row r="3053" spans="1:6" ht="33.75" x14ac:dyDescent="0.2">
      <c r="A3053" s="65" t="s">
        <v>8544</v>
      </c>
      <c r="B3053" s="66" t="s">
        <v>8545</v>
      </c>
      <c r="C3053" s="67" t="s">
        <v>221</v>
      </c>
      <c r="D3053" s="69" t="s">
        <v>8546</v>
      </c>
      <c r="E3053" s="69" t="s">
        <v>335</v>
      </c>
      <c r="F3053" s="69" t="s">
        <v>8547</v>
      </c>
    </row>
    <row r="3054" spans="1:6" ht="33.75" x14ac:dyDescent="0.2">
      <c r="A3054" s="65" t="s">
        <v>8548</v>
      </c>
      <c r="B3054" s="66" t="s">
        <v>8549</v>
      </c>
      <c r="C3054" s="67" t="s">
        <v>221</v>
      </c>
      <c r="D3054" s="69" t="s">
        <v>1632</v>
      </c>
      <c r="E3054" s="69" t="s">
        <v>335</v>
      </c>
      <c r="F3054" s="69" t="s">
        <v>8550</v>
      </c>
    </row>
    <row r="3055" spans="1:6" ht="22.5" x14ac:dyDescent="0.2">
      <c r="A3055" s="50">
        <v>46.05</v>
      </c>
      <c r="B3055" s="64" t="s">
        <v>8551</v>
      </c>
      <c r="C3055" s="47"/>
      <c r="D3055" s="47"/>
      <c r="E3055" s="47"/>
      <c r="F3055" s="47"/>
    </row>
    <row r="3056" spans="1:6" ht="45" x14ac:dyDescent="0.2">
      <c r="A3056" s="65" t="s">
        <v>8552</v>
      </c>
      <c r="B3056" s="66" t="s">
        <v>8553</v>
      </c>
      <c r="C3056" s="67" t="s">
        <v>221</v>
      </c>
      <c r="D3056" s="69" t="s">
        <v>6538</v>
      </c>
      <c r="E3056" s="69" t="s">
        <v>325</v>
      </c>
      <c r="F3056" s="69" t="s">
        <v>4839</v>
      </c>
    </row>
    <row r="3057" spans="1:6" ht="45" x14ac:dyDescent="0.2">
      <c r="A3057" s="65" t="s">
        <v>8554</v>
      </c>
      <c r="B3057" s="66" t="s">
        <v>8555</v>
      </c>
      <c r="C3057" s="67" t="s">
        <v>221</v>
      </c>
      <c r="D3057" s="69" t="s">
        <v>8556</v>
      </c>
      <c r="E3057" s="69" t="s">
        <v>325</v>
      </c>
      <c r="F3057" s="69" t="s">
        <v>8557</v>
      </c>
    </row>
    <row r="3058" spans="1:6" ht="45" x14ac:dyDescent="0.2">
      <c r="A3058" s="65" t="s">
        <v>8558</v>
      </c>
      <c r="B3058" s="66" t="s">
        <v>8559</v>
      </c>
      <c r="C3058" s="67" t="s">
        <v>221</v>
      </c>
      <c r="D3058" s="69" t="s">
        <v>8560</v>
      </c>
      <c r="E3058" s="69" t="s">
        <v>335</v>
      </c>
      <c r="F3058" s="69" t="s">
        <v>8561</v>
      </c>
    </row>
    <row r="3059" spans="1:6" ht="45" x14ac:dyDescent="0.2">
      <c r="A3059" s="65" t="s">
        <v>8562</v>
      </c>
      <c r="B3059" s="66" t="s">
        <v>8563</v>
      </c>
      <c r="C3059" s="67" t="s">
        <v>221</v>
      </c>
      <c r="D3059" s="69" t="s">
        <v>8564</v>
      </c>
      <c r="E3059" s="69" t="s">
        <v>335</v>
      </c>
      <c r="F3059" s="69" t="s">
        <v>8565</v>
      </c>
    </row>
    <row r="3060" spans="1:6" ht="45" x14ac:dyDescent="0.2">
      <c r="A3060" s="65" t="s">
        <v>8566</v>
      </c>
      <c r="B3060" s="66" t="s">
        <v>8567</v>
      </c>
      <c r="C3060" s="67" t="s">
        <v>221</v>
      </c>
      <c r="D3060" s="69" t="s">
        <v>8568</v>
      </c>
      <c r="E3060" s="69" t="s">
        <v>335</v>
      </c>
      <c r="F3060" s="69" t="s">
        <v>8569</v>
      </c>
    </row>
    <row r="3061" spans="1:6" ht="45" x14ac:dyDescent="0.2">
      <c r="A3061" s="65" t="s">
        <v>8570</v>
      </c>
      <c r="B3061" s="66" t="s">
        <v>8571</v>
      </c>
      <c r="C3061" s="67" t="s">
        <v>221</v>
      </c>
      <c r="D3061" s="69" t="s">
        <v>8572</v>
      </c>
      <c r="E3061" s="69" t="s">
        <v>335</v>
      </c>
      <c r="F3061" s="69" t="s">
        <v>8573</v>
      </c>
    </row>
    <row r="3062" spans="1:6" x14ac:dyDescent="0.2">
      <c r="A3062" s="50">
        <v>46.07</v>
      </c>
      <c r="B3062" s="64" t="s">
        <v>8574</v>
      </c>
      <c r="C3062" s="47"/>
      <c r="D3062" s="47"/>
      <c r="E3062" s="47"/>
      <c r="F3062" s="47"/>
    </row>
    <row r="3063" spans="1:6" ht="22.5" x14ac:dyDescent="0.2">
      <c r="A3063" s="65" t="s">
        <v>8575</v>
      </c>
      <c r="B3063" s="65" t="s">
        <v>8576</v>
      </c>
      <c r="C3063" s="67" t="s">
        <v>221</v>
      </c>
      <c r="D3063" s="69" t="s">
        <v>8577</v>
      </c>
      <c r="E3063" s="69" t="s">
        <v>321</v>
      </c>
      <c r="F3063" s="69" t="s">
        <v>7107</v>
      </c>
    </row>
    <row r="3064" spans="1:6" ht="22.5" x14ac:dyDescent="0.2">
      <c r="A3064" s="65" t="s">
        <v>8578</v>
      </c>
      <c r="B3064" s="65" t="s">
        <v>8579</v>
      </c>
      <c r="C3064" s="67" t="s">
        <v>221</v>
      </c>
      <c r="D3064" s="69" t="s">
        <v>8580</v>
      </c>
      <c r="E3064" s="69" t="s">
        <v>1080</v>
      </c>
      <c r="F3064" s="69" t="s">
        <v>8581</v>
      </c>
    </row>
    <row r="3065" spans="1:6" ht="22.5" x14ac:dyDescent="0.2">
      <c r="A3065" s="65" t="s">
        <v>8582</v>
      </c>
      <c r="B3065" s="65" t="s">
        <v>8583</v>
      </c>
      <c r="C3065" s="67" t="s">
        <v>221</v>
      </c>
      <c r="D3065" s="69" t="s">
        <v>8584</v>
      </c>
      <c r="E3065" s="69" t="s">
        <v>1085</v>
      </c>
      <c r="F3065" s="69" t="s">
        <v>8515</v>
      </c>
    </row>
    <row r="3066" spans="1:6" ht="22.5" x14ac:dyDescent="0.2">
      <c r="A3066" s="65" t="s">
        <v>8585</v>
      </c>
      <c r="B3066" s="65" t="s">
        <v>8586</v>
      </c>
      <c r="C3066" s="67" t="s">
        <v>221</v>
      </c>
      <c r="D3066" s="69" t="s">
        <v>8587</v>
      </c>
      <c r="E3066" s="69" t="s">
        <v>1090</v>
      </c>
      <c r="F3066" s="69" t="s">
        <v>8588</v>
      </c>
    </row>
    <row r="3067" spans="1:6" ht="22.5" x14ac:dyDescent="0.2">
      <c r="A3067" s="65" t="s">
        <v>8589</v>
      </c>
      <c r="B3067" s="65" t="s">
        <v>8590</v>
      </c>
      <c r="C3067" s="67" t="s">
        <v>221</v>
      </c>
      <c r="D3067" s="69" t="s">
        <v>8591</v>
      </c>
      <c r="E3067" s="69" t="s">
        <v>8592</v>
      </c>
      <c r="F3067" s="69" t="s">
        <v>8593</v>
      </c>
    </row>
    <row r="3068" spans="1:6" ht="22.5" x14ac:dyDescent="0.2">
      <c r="A3068" s="65" t="s">
        <v>8594</v>
      </c>
      <c r="B3068" s="65" t="s">
        <v>8595</v>
      </c>
      <c r="C3068" s="67" t="s">
        <v>221</v>
      </c>
      <c r="D3068" s="69" t="s">
        <v>8596</v>
      </c>
      <c r="E3068" s="69" t="s">
        <v>5092</v>
      </c>
      <c r="F3068" s="69" t="s">
        <v>8597</v>
      </c>
    </row>
    <row r="3069" spans="1:6" ht="22.5" x14ac:dyDescent="0.2">
      <c r="A3069" s="65" t="s">
        <v>8598</v>
      </c>
      <c r="B3069" s="65" t="s">
        <v>8599</v>
      </c>
      <c r="C3069" s="67" t="s">
        <v>221</v>
      </c>
      <c r="D3069" s="69" t="s">
        <v>8600</v>
      </c>
      <c r="E3069" s="69" t="s">
        <v>328</v>
      </c>
      <c r="F3069" s="69" t="s">
        <v>8601</v>
      </c>
    </row>
    <row r="3070" spans="1:6" ht="22.5" x14ac:dyDescent="0.2">
      <c r="A3070" s="65" t="s">
        <v>8602</v>
      </c>
      <c r="B3070" s="65" t="s">
        <v>8603</v>
      </c>
      <c r="C3070" s="67" t="s">
        <v>221</v>
      </c>
      <c r="D3070" s="69" t="s">
        <v>8604</v>
      </c>
      <c r="E3070" s="69" t="s">
        <v>4003</v>
      </c>
      <c r="F3070" s="69" t="s">
        <v>8605</v>
      </c>
    </row>
    <row r="3071" spans="1:6" ht="22.5" x14ac:dyDescent="0.2">
      <c r="A3071" s="65" t="s">
        <v>8606</v>
      </c>
      <c r="B3071" s="65" t="s">
        <v>8607</v>
      </c>
      <c r="C3071" s="67" t="s">
        <v>221</v>
      </c>
      <c r="D3071" s="69" t="s">
        <v>8608</v>
      </c>
      <c r="E3071" s="69" t="s">
        <v>4745</v>
      </c>
      <c r="F3071" s="69" t="s">
        <v>8609</v>
      </c>
    </row>
    <row r="3072" spans="1:6" ht="22.5" x14ac:dyDescent="0.2">
      <c r="A3072" s="65" t="s">
        <v>8610</v>
      </c>
      <c r="B3072" s="65" t="s">
        <v>8611</v>
      </c>
      <c r="C3072" s="67" t="s">
        <v>221</v>
      </c>
      <c r="D3072" s="69" t="s">
        <v>8612</v>
      </c>
      <c r="E3072" s="69" t="s">
        <v>8613</v>
      </c>
      <c r="F3072" s="69" t="s">
        <v>8614</v>
      </c>
    </row>
    <row r="3073" spans="1:6" ht="22.5" x14ac:dyDescent="0.2">
      <c r="A3073" s="50">
        <v>46.08</v>
      </c>
      <c r="B3073" s="64" t="s">
        <v>8615</v>
      </c>
      <c r="C3073" s="47"/>
      <c r="D3073" s="47"/>
      <c r="E3073" s="47"/>
      <c r="F3073" s="47"/>
    </row>
    <row r="3074" spans="1:6" ht="33.75" x14ac:dyDescent="0.2">
      <c r="A3074" s="65" t="s">
        <v>8616</v>
      </c>
      <c r="B3074" s="65" t="s">
        <v>8617</v>
      </c>
      <c r="C3074" s="67" t="s">
        <v>221</v>
      </c>
      <c r="D3074" s="69" t="s">
        <v>1751</v>
      </c>
      <c r="E3074" s="69" t="s">
        <v>321</v>
      </c>
      <c r="F3074" s="69" t="s">
        <v>8618</v>
      </c>
    </row>
    <row r="3075" spans="1:6" ht="33.75" x14ac:dyDescent="0.2">
      <c r="A3075" s="65" t="s">
        <v>8619</v>
      </c>
      <c r="B3075" s="65" t="s">
        <v>8620</v>
      </c>
      <c r="C3075" s="67" t="s">
        <v>221</v>
      </c>
      <c r="D3075" s="69" t="s">
        <v>8621</v>
      </c>
      <c r="E3075" s="69" t="s">
        <v>1080</v>
      </c>
      <c r="F3075" s="69" t="s">
        <v>8622</v>
      </c>
    </row>
    <row r="3076" spans="1:6" ht="33.75" x14ac:dyDescent="0.2">
      <c r="A3076" s="65" t="s">
        <v>8623</v>
      </c>
      <c r="B3076" s="65" t="s">
        <v>8624</v>
      </c>
      <c r="C3076" s="67" t="s">
        <v>221</v>
      </c>
      <c r="D3076" s="69" t="s">
        <v>8625</v>
      </c>
      <c r="E3076" s="69" t="s">
        <v>1085</v>
      </c>
      <c r="F3076" s="69" t="s">
        <v>8626</v>
      </c>
    </row>
    <row r="3077" spans="1:6" ht="45" x14ac:dyDescent="0.2">
      <c r="A3077" s="65" t="s">
        <v>8627</v>
      </c>
      <c r="B3077" s="66" t="s">
        <v>8628</v>
      </c>
      <c r="C3077" s="67" t="s">
        <v>221</v>
      </c>
      <c r="D3077" s="69" t="s">
        <v>8629</v>
      </c>
      <c r="E3077" s="69" t="s">
        <v>1090</v>
      </c>
      <c r="F3077" s="69" t="s">
        <v>8630</v>
      </c>
    </row>
    <row r="3078" spans="1:6" ht="45" x14ac:dyDescent="0.2">
      <c r="A3078" s="65" t="s">
        <v>8631</v>
      </c>
      <c r="B3078" s="66" t="s">
        <v>8632</v>
      </c>
      <c r="C3078" s="67" t="s">
        <v>221</v>
      </c>
      <c r="D3078" s="69" t="s">
        <v>8633</v>
      </c>
      <c r="E3078" s="69" t="s">
        <v>8592</v>
      </c>
      <c r="F3078" s="69" t="s">
        <v>8634</v>
      </c>
    </row>
    <row r="3079" spans="1:6" ht="33.75" x14ac:dyDescent="0.2">
      <c r="A3079" s="65" t="s">
        <v>8635</v>
      </c>
      <c r="B3079" s="65" t="s">
        <v>8636</v>
      </c>
      <c r="C3079" s="67" t="s">
        <v>221</v>
      </c>
      <c r="D3079" s="69" t="s">
        <v>8637</v>
      </c>
      <c r="E3079" s="69" t="s">
        <v>5092</v>
      </c>
      <c r="F3079" s="69" t="s">
        <v>8638</v>
      </c>
    </row>
    <row r="3080" spans="1:6" ht="45" x14ac:dyDescent="0.2">
      <c r="A3080" s="65" t="s">
        <v>8639</v>
      </c>
      <c r="B3080" s="66" t="s">
        <v>8640</v>
      </c>
      <c r="C3080" s="67" t="s">
        <v>221</v>
      </c>
      <c r="D3080" s="69" t="s">
        <v>8641</v>
      </c>
      <c r="E3080" s="69" t="s">
        <v>328</v>
      </c>
      <c r="F3080" s="69" t="s">
        <v>8642</v>
      </c>
    </row>
    <row r="3081" spans="1:6" ht="33.75" x14ac:dyDescent="0.2">
      <c r="A3081" s="65" t="s">
        <v>8643</v>
      </c>
      <c r="B3081" s="65" t="s">
        <v>8644</v>
      </c>
      <c r="C3081" s="67" t="s">
        <v>221</v>
      </c>
      <c r="D3081" s="69" t="s">
        <v>8645</v>
      </c>
      <c r="E3081" s="69" t="s">
        <v>4003</v>
      </c>
      <c r="F3081" s="69" t="s">
        <v>8646</v>
      </c>
    </row>
    <row r="3082" spans="1:6" ht="33.75" x14ac:dyDescent="0.2">
      <c r="A3082" s="65" t="s">
        <v>8647</v>
      </c>
      <c r="B3082" s="65" t="s">
        <v>8648</v>
      </c>
      <c r="C3082" s="67" t="s">
        <v>221</v>
      </c>
      <c r="D3082" s="69" t="s">
        <v>8649</v>
      </c>
      <c r="E3082" s="69" t="s">
        <v>4745</v>
      </c>
      <c r="F3082" s="69" t="s">
        <v>8650</v>
      </c>
    </row>
    <row r="3083" spans="1:6" ht="33.75" x14ac:dyDescent="0.2">
      <c r="A3083" s="65" t="s">
        <v>8651</v>
      </c>
      <c r="B3083" s="65" t="s">
        <v>8652</v>
      </c>
      <c r="C3083" s="67" t="s">
        <v>221</v>
      </c>
      <c r="D3083" s="69" t="s">
        <v>8653</v>
      </c>
      <c r="E3083" s="69" t="s">
        <v>8613</v>
      </c>
      <c r="F3083" s="69" t="s">
        <v>8654</v>
      </c>
    </row>
    <row r="3084" spans="1:6" ht="45" x14ac:dyDescent="0.2">
      <c r="A3084" s="50">
        <v>46.09</v>
      </c>
      <c r="B3084" s="51" t="s">
        <v>8655</v>
      </c>
      <c r="C3084" s="48"/>
      <c r="D3084" s="48"/>
      <c r="E3084" s="48"/>
      <c r="F3084" s="48"/>
    </row>
    <row r="3085" spans="1:6" ht="33.75" x14ac:dyDescent="0.2">
      <c r="A3085" s="65" t="s">
        <v>8656</v>
      </c>
      <c r="B3085" s="65" t="s">
        <v>8657</v>
      </c>
      <c r="C3085" s="67" t="s">
        <v>203</v>
      </c>
      <c r="D3085" s="69" t="s">
        <v>8658</v>
      </c>
      <c r="E3085" s="69" t="s">
        <v>323</v>
      </c>
      <c r="F3085" s="69" t="s">
        <v>8659</v>
      </c>
    </row>
    <row r="3086" spans="1:6" ht="33.75" x14ac:dyDescent="0.2">
      <c r="A3086" s="65" t="s">
        <v>8660</v>
      </c>
      <c r="B3086" s="65" t="s">
        <v>8661</v>
      </c>
      <c r="C3086" s="67" t="s">
        <v>203</v>
      </c>
      <c r="D3086" s="69" t="s">
        <v>8662</v>
      </c>
      <c r="E3086" s="69" t="s">
        <v>323</v>
      </c>
      <c r="F3086" s="69" t="s">
        <v>8663</v>
      </c>
    </row>
    <row r="3087" spans="1:6" ht="33.75" x14ac:dyDescent="0.2">
      <c r="A3087" s="65" t="s">
        <v>8664</v>
      </c>
      <c r="B3087" s="65" t="s">
        <v>8665</v>
      </c>
      <c r="C3087" s="67" t="s">
        <v>203</v>
      </c>
      <c r="D3087" s="69" t="s">
        <v>8666</v>
      </c>
      <c r="E3087" s="69" t="s">
        <v>318</v>
      </c>
      <c r="F3087" s="69" t="s">
        <v>8667</v>
      </c>
    </row>
    <row r="3088" spans="1:6" ht="33.75" x14ac:dyDescent="0.2">
      <c r="A3088" s="65" t="s">
        <v>8668</v>
      </c>
      <c r="B3088" s="65" t="s">
        <v>8669</v>
      </c>
      <c r="C3088" s="67" t="s">
        <v>203</v>
      </c>
      <c r="D3088" s="69" t="s">
        <v>8670</v>
      </c>
      <c r="E3088" s="69" t="s">
        <v>318</v>
      </c>
      <c r="F3088" s="69" t="s">
        <v>8671</v>
      </c>
    </row>
    <row r="3089" spans="1:6" ht="33.75" x14ac:dyDescent="0.2">
      <c r="A3089" s="65" t="s">
        <v>8672</v>
      </c>
      <c r="B3089" s="65" t="s">
        <v>8673</v>
      </c>
      <c r="C3089" s="67" t="s">
        <v>203</v>
      </c>
      <c r="D3089" s="69" t="s">
        <v>8674</v>
      </c>
      <c r="E3089" s="69" t="s">
        <v>323</v>
      </c>
      <c r="F3089" s="69" t="s">
        <v>8675</v>
      </c>
    </row>
    <row r="3090" spans="1:6" ht="33.75" x14ac:dyDescent="0.2">
      <c r="A3090" s="65" t="s">
        <v>8676</v>
      </c>
      <c r="B3090" s="65" t="s">
        <v>8677</v>
      </c>
      <c r="C3090" s="67" t="s">
        <v>203</v>
      </c>
      <c r="D3090" s="69" t="s">
        <v>8678</v>
      </c>
      <c r="E3090" s="69" t="s">
        <v>323</v>
      </c>
      <c r="F3090" s="69" t="s">
        <v>3607</v>
      </c>
    </row>
    <row r="3091" spans="1:6" ht="33.75" x14ac:dyDescent="0.2">
      <c r="A3091" s="65" t="s">
        <v>8679</v>
      </c>
      <c r="B3091" s="65" t="s">
        <v>8680</v>
      </c>
      <c r="C3091" s="67" t="s">
        <v>203</v>
      </c>
      <c r="D3091" s="69" t="s">
        <v>5242</v>
      </c>
      <c r="E3091" s="69" t="s">
        <v>318</v>
      </c>
      <c r="F3091" s="69" t="s">
        <v>8681</v>
      </c>
    </row>
    <row r="3092" spans="1:6" ht="33.75" x14ac:dyDescent="0.2">
      <c r="A3092" s="65" t="s">
        <v>8682</v>
      </c>
      <c r="B3092" s="65" t="s">
        <v>8683</v>
      </c>
      <c r="C3092" s="67" t="s">
        <v>203</v>
      </c>
      <c r="D3092" s="69" t="s">
        <v>8684</v>
      </c>
      <c r="E3092" s="69" t="s">
        <v>318</v>
      </c>
      <c r="F3092" s="69" t="s">
        <v>8685</v>
      </c>
    </row>
    <row r="3093" spans="1:6" ht="33.75" x14ac:dyDescent="0.2">
      <c r="A3093" s="65" t="s">
        <v>8686</v>
      </c>
      <c r="B3093" s="65" t="s">
        <v>8687</v>
      </c>
      <c r="C3093" s="67" t="s">
        <v>203</v>
      </c>
      <c r="D3093" s="69" t="s">
        <v>8688</v>
      </c>
      <c r="E3093" s="69" t="s">
        <v>323</v>
      </c>
      <c r="F3093" s="69" t="s">
        <v>8689</v>
      </c>
    </row>
    <row r="3094" spans="1:6" ht="33.75" x14ac:dyDescent="0.2">
      <c r="A3094" s="65" t="s">
        <v>8690</v>
      </c>
      <c r="B3094" s="65" t="s">
        <v>8691</v>
      </c>
      <c r="C3094" s="67" t="s">
        <v>203</v>
      </c>
      <c r="D3094" s="69" t="s">
        <v>8692</v>
      </c>
      <c r="E3094" s="69" t="s">
        <v>323</v>
      </c>
      <c r="F3094" s="69" t="s">
        <v>8693</v>
      </c>
    </row>
    <row r="3095" spans="1:6" ht="45" x14ac:dyDescent="0.2">
      <c r="A3095" s="65" t="s">
        <v>8694</v>
      </c>
      <c r="B3095" s="66" t="s">
        <v>8695</v>
      </c>
      <c r="C3095" s="67" t="s">
        <v>203</v>
      </c>
      <c r="D3095" s="69" t="s">
        <v>8696</v>
      </c>
      <c r="E3095" s="69" t="s">
        <v>318</v>
      </c>
      <c r="F3095" s="69" t="s">
        <v>8697</v>
      </c>
    </row>
    <row r="3096" spans="1:6" ht="45" x14ac:dyDescent="0.2">
      <c r="A3096" s="65" t="s">
        <v>8698</v>
      </c>
      <c r="B3096" s="66" t="s">
        <v>8699</v>
      </c>
      <c r="C3096" s="67" t="s">
        <v>203</v>
      </c>
      <c r="D3096" s="69" t="s">
        <v>8700</v>
      </c>
      <c r="E3096" s="69" t="s">
        <v>318</v>
      </c>
      <c r="F3096" s="69" t="s">
        <v>8701</v>
      </c>
    </row>
    <row r="3097" spans="1:6" ht="33.75" x14ac:dyDescent="0.2">
      <c r="A3097" s="65" t="s">
        <v>8702</v>
      </c>
      <c r="B3097" s="65" t="s">
        <v>8703</v>
      </c>
      <c r="C3097" s="67" t="s">
        <v>203</v>
      </c>
      <c r="D3097" s="69" t="s">
        <v>8704</v>
      </c>
      <c r="E3097" s="69" t="s">
        <v>323</v>
      </c>
      <c r="F3097" s="69" t="s">
        <v>8705</v>
      </c>
    </row>
    <row r="3098" spans="1:6" ht="33.75" x14ac:dyDescent="0.2">
      <c r="A3098" s="65" t="s">
        <v>8706</v>
      </c>
      <c r="B3098" s="65" t="s">
        <v>8707</v>
      </c>
      <c r="C3098" s="67" t="s">
        <v>203</v>
      </c>
      <c r="D3098" s="69" t="s">
        <v>8708</v>
      </c>
      <c r="E3098" s="69" t="s">
        <v>318</v>
      </c>
      <c r="F3098" s="69" t="s">
        <v>8709</v>
      </c>
    </row>
    <row r="3099" spans="1:6" ht="33.75" x14ac:dyDescent="0.2">
      <c r="A3099" s="65" t="s">
        <v>8710</v>
      </c>
      <c r="B3099" s="65" t="s">
        <v>8711</v>
      </c>
      <c r="C3099" s="67" t="s">
        <v>203</v>
      </c>
      <c r="D3099" s="69" t="s">
        <v>339</v>
      </c>
      <c r="E3099" s="69" t="s">
        <v>323</v>
      </c>
      <c r="F3099" s="69" t="s">
        <v>8712</v>
      </c>
    </row>
    <row r="3100" spans="1:6" ht="33.75" x14ac:dyDescent="0.2">
      <c r="A3100" s="65" t="s">
        <v>8713</v>
      </c>
      <c r="B3100" s="65" t="s">
        <v>8714</v>
      </c>
      <c r="C3100" s="67" t="s">
        <v>203</v>
      </c>
      <c r="D3100" s="69" t="s">
        <v>8715</v>
      </c>
      <c r="E3100" s="69" t="s">
        <v>318</v>
      </c>
      <c r="F3100" s="69" t="s">
        <v>8716</v>
      </c>
    </row>
    <row r="3101" spans="1:6" ht="33.75" x14ac:dyDescent="0.2">
      <c r="A3101" s="65" t="s">
        <v>8717</v>
      </c>
      <c r="B3101" s="65" t="s">
        <v>8718</v>
      </c>
      <c r="C3101" s="67" t="s">
        <v>203</v>
      </c>
      <c r="D3101" s="69" t="s">
        <v>8719</v>
      </c>
      <c r="E3101" s="69" t="s">
        <v>318</v>
      </c>
      <c r="F3101" s="69" t="s">
        <v>8720</v>
      </c>
    </row>
    <row r="3102" spans="1:6" ht="33.75" x14ac:dyDescent="0.2">
      <c r="A3102" s="65" t="s">
        <v>8721</v>
      </c>
      <c r="B3102" s="65" t="s">
        <v>8722</v>
      </c>
      <c r="C3102" s="67" t="s">
        <v>203</v>
      </c>
      <c r="D3102" s="69" t="s">
        <v>8723</v>
      </c>
      <c r="E3102" s="69" t="s">
        <v>318</v>
      </c>
      <c r="F3102" s="69" t="s">
        <v>8724</v>
      </c>
    </row>
    <row r="3103" spans="1:6" ht="33.75" x14ac:dyDescent="0.2">
      <c r="A3103" s="65" t="s">
        <v>8725</v>
      </c>
      <c r="B3103" s="65" t="s">
        <v>8726</v>
      </c>
      <c r="C3103" s="67" t="s">
        <v>203</v>
      </c>
      <c r="D3103" s="69" t="s">
        <v>8727</v>
      </c>
      <c r="E3103" s="69" t="s">
        <v>318</v>
      </c>
      <c r="F3103" s="69" t="s">
        <v>8728</v>
      </c>
    </row>
    <row r="3104" spans="1:6" ht="33.75" x14ac:dyDescent="0.2">
      <c r="A3104" s="65" t="s">
        <v>8729</v>
      </c>
      <c r="B3104" s="65" t="s">
        <v>8730</v>
      </c>
      <c r="C3104" s="67" t="s">
        <v>203</v>
      </c>
      <c r="D3104" s="69" t="s">
        <v>8731</v>
      </c>
      <c r="E3104" s="69" t="s">
        <v>318</v>
      </c>
      <c r="F3104" s="69" t="s">
        <v>8732</v>
      </c>
    </row>
    <row r="3105" spans="1:6" ht="33.75" x14ac:dyDescent="0.2">
      <c r="A3105" s="65" t="s">
        <v>8733</v>
      </c>
      <c r="B3105" s="65" t="s">
        <v>8734</v>
      </c>
      <c r="C3105" s="67" t="s">
        <v>203</v>
      </c>
      <c r="D3105" s="69" t="s">
        <v>8735</v>
      </c>
      <c r="E3105" s="69" t="s">
        <v>319</v>
      </c>
      <c r="F3105" s="69" t="s">
        <v>8736</v>
      </c>
    </row>
    <row r="3106" spans="1:6" ht="33.75" x14ac:dyDescent="0.2">
      <c r="A3106" s="65" t="s">
        <v>8737</v>
      </c>
      <c r="B3106" s="65" t="s">
        <v>8738</v>
      </c>
      <c r="C3106" s="67" t="s">
        <v>203</v>
      </c>
      <c r="D3106" s="69" t="s">
        <v>8739</v>
      </c>
      <c r="E3106" s="69" t="s">
        <v>318</v>
      </c>
      <c r="F3106" s="69" t="s">
        <v>8740</v>
      </c>
    </row>
    <row r="3107" spans="1:6" ht="45" x14ac:dyDescent="0.2">
      <c r="A3107" s="65" t="s">
        <v>8741</v>
      </c>
      <c r="B3107" s="66" t="s">
        <v>8742</v>
      </c>
      <c r="C3107" s="67" t="s">
        <v>203</v>
      </c>
      <c r="D3107" s="69" t="s">
        <v>8743</v>
      </c>
      <c r="E3107" s="69" t="s">
        <v>323</v>
      </c>
      <c r="F3107" s="69" t="s">
        <v>8744</v>
      </c>
    </row>
    <row r="3108" spans="1:6" ht="45" x14ac:dyDescent="0.2">
      <c r="A3108" s="65" t="s">
        <v>8745</v>
      </c>
      <c r="B3108" s="66" t="s">
        <v>8746</v>
      </c>
      <c r="C3108" s="67" t="s">
        <v>203</v>
      </c>
      <c r="D3108" s="69" t="s">
        <v>8747</v>
      </c>
      <c r="E3108" s="69" t="s">
        <v>318</v>
      </c>
      <c r="F3108" s="69" t="s">
        <v>8748</v>
      </c>
    </row>
    <row r="3109" spans="1:6" ht="45" x14ac:dyDescent="0.2">
      <c r="A3109" s="65" t="s">
        <v>8749</v>
      </c>
      <c r="B3109" s="66" t="s">
        <v>8750</v>
      </c>
      <c r="C3109" s="67" t="s">
        <v>203</v>
      </c>
      <c r="D3109" s="69" t="s">
        <v>8751</v>
      </c>
      <c r="E3109" s="69" t="s">
        <v>318</v>
      </c>
      <c r="F3109" s="69" t="s">
        <v>8752</v>
      </c>
    </row>
    <row r="3110" spans="1:6" ht="45" x14ac:dyDescent="0.2">
      <c r="A3110" s="65" t="s">
        <v>8753</v>
      </c>
      <c r="B3110" s="66" t="s">
        <v>8754</v>
      </c>
      <c r="C3110" s="67" t="s">
        <v>203</v>
      </c>
      <c r="D3110" s="69" t="s">
        <v>8755</v>
      </c>
      <c r="E3110" s="69" t="s">
        <v>318</v>
      </c>
      <c r="F3110" s="69" t="s">
        <v>8756</v>
      </c>
    </row>
    <row r="3111" spans="1:6" ht="45" x14ac:dyDescent="0.2">
      <c r="A3111" s="65" t="s">
        <v>8757</v>
      </c>
      <c r="B3111" s="66" t="s">
        <v>8758</v>
      </c>
      <c r="C3111" s="67" t="s">
        <v>203</v>
      </c>
      <c r="D3111" s="69" t="s">
        <v>8331</v>
      </c>
      <c r="E3111" s="69" t="s">
        <v>318</v>
      </c>
      <c r="F3111" s="69" t="s">
        <v>8759</v>
      </c>
    </row>
    <row r="3112" spans="1:6" ht="45" x14ac:dyDescent="0.2">
      <c r="A3112" s="65" t="s">
        <v>8760</v>
      </c>
      <c r="B3112" s="66" t="s">
        <v>8761</v>
      </c>
      <c r="C3112" s="67" t="s">
        <v>203</v>
      </c>
      <c r="D3112" s="69" t="s">
        <v>8762</v>
      </c>
      <c r="E3112" s="69" t="s">
        <v>318</v>
      </c>
      <c r="F3112" s="69" t="s">
        <v>8763</v>
      </c>
    </row>
    <row r="3113" spans="1:6" ht="45" x14ac:dyDescent="0.2">
      <c r="A3113" s="65" t="s">
        <v>8764</v>
      </c>
      <c r="B3113" s="66" t="s">
        <v>8765</v>
      </c>
      <c r="C3113" s="67" t="s">
        <v>203</v>
      </c>
      <c r="D3113" s="69" t="s">
        <v>8766</v>
      </c>
      <c r="E3113" s="69" t="s">
        <v>318</v>
      </c>
      <c r="F3113" s="69" t="s">
        <v>5904</v>
      </c>
    </row>
    <row r="3114" spans="1:6" ht="45" x14ac:dyDescent="0.2">
      <c r="A3114" s="65" t="s">
        <v>8767</v>
      </c>
      <c r="B3114" s="66" t="s">
        <v>8768</v>
      </c>
      <c r="C3114" s="67" t="s">
        <v>203</v>
      </c>
      <c r="D3114" s="69" t="s">
        <v>8769</v>
      </c>
      <c r="E3114" s="69" t="s">
        <v>318</v>
      </c>
      <c r="F3114" s="69" t="s">
        <v>8770</v>
      </c>
    </row>
    <row r="3115" spans="1:6" ht="45" x14ac:dyDescent="0.2">
      <c r="A3115" s="65" t="s">
        <v>8771</v>
      </c>
      <c r="B3115" s="66" t="s">
        <v>8772</v>
      </c>
      <c r="C3115" s="67" t="s">
        <v>203</v>
      </c>
      <c r="D3115" s="69" t="s">
        <v>8773</v>
      </c>
      <c r="E3115" s="69" t="s">
        <v>319</v>
      </c>
      <c r="F3115" s="69" t="s">
        <v>8774</v>
      </c>
    </row>
    <row r="3116" spans="1:6" ht="22.5" x14ac:dyDescent="0.2">
      <c r="A3116" s="50">
        <v>46.1</v>
      </c>
      <c r="B3116" s="64" t="s">
        <v>8775</v>
      </c>
      <c r="C3116" s="47"/>
      <c r="D3116" s="47"/>
      <c r="E3116" s="47"/>
      <c r="F3116" s="47"/>
    </row>
    <row r="3117" spans="1:6" ht="22.5" x14ac:dyDescent="0.2">
      <c r="A3117" s="65" t="s">
        <v>8776</v>
      </c>
      <c r="B3117" s="65" t="s">
        <v>8777</v>
      </c>
      <c r="C3117" s="67" t="s">
        <v>221</v>
      </c>
      <c r="D3117" s="69" t="s">
        <v>8778</v>
      </c>
      <c r="E3117" s="69" t="s">
        <v>7999</v>
      </c>
      <c r="F3117" s="69" t="s">
        <v>5507</v>
      </c>
    </row>
    <row r="3118" spans="1:6" ht="22.5" x14ac:dyDescent="0.2">
      <c r="A3118" s="65" t="s">
        <v>8779</v>
      </c>
      <c r="B3118" s="65" t="s">
        <v>8780</v>
      </c>
      <c r="C3118" s="67" t="s">
        <v>221</v>
      </c>
      <c r="D3118" s="69" t="s">
        <v>8781</v>
      </c>
      <c r="E3118" s="69" t="s">
        <v>6048</v>
      </c>
      <c r="F3118" s="69" t="s">
        <v>8782</v>
      </c>
    </row>
    <row r="3119" spans="1:6" ht="22.5" x14ac:dyDescent="0.2">
      <c r="A3119" s="65" t="s">
        <v>8783</v>
      </c>
      <c r="B3119" s="65" t="s">
        <v>8784</v>
      </c>
      <c r="C3119" s="67" t="s">
        <v>221</v>
      </c>
      <c r="D3119" s="69" t="s">
        <v>8785</v>
      </c>
      <c r="E3119" s="69" t="s">
        <v>322</v>
      </c>
      <c r="F3119" s="69" t="s">
        <v>8786</v>
      </c>
    </row>
    <row r="3120" spans="1:6" ht="33.75" x14ac:dyDescent="0.2">
      <c r="A3120" s="65" t="s">
        <v>8787</v>
      </c>
      <c r="B3120" s="65" t="s">
        <v>8788</v>
      </c>
      <c r="C3120" s="67" t="s">
        <v>221</v>
      </c>
      <c r="D3120" s="69" t="s">
        <v>8789</v>
      </c>
      <c r="E3120" s="69" t="s">
        <v>233</v>
      </c>
      <c r="F3120" s="69" t="s">
        <v>8790</v>
      </c>
    </row>
    <row r="3121" spans="1:6" ht="33.75" x14ac:dyDescent="0.2">
      <c r="A3121" s="65" t="s">
        <v>8791</v>
      </c>
      <c r="B3121" s="65" t="s">
        <v>8792</v>
      </c>
      <c r="C3121" s="67" t="s">
        <v>221</v>
      </c>
      <c r="D3121" s="69" t="s">
        <v>8793</v>
      </c>
      <c r="E3121" s="69" t="s">
        <v>233</v>
      </c>
      <c r="F3121" s="69" t="s">
        <v>8794</v>
      </c>
    </row>
    <row r="3122" spans="1:6" ht="22.5" x14ac:dyDescent="0.2">
      <c r="A3122" s="65" t="s">
        <v>8795</v>
      </c>
      <c r="B3122" s="65" t="s">
        <v>8796</v>
      </c>
      <c r="C3122" s="67" t="s">
        <v>221</v>
      </c>
      <c r="D3122" s="69" t="s">
        <v>8797</v>
      </c>
      <c r="E3122" s="69" t="s">
        <v>8798</v>
      </c>
      <c r="F3122" s="69" t="s">
        <v>8799</v>
      </c>
    </row>
    <row r="3123" spans="1:6" ht="33.75" x14ac:dyDescent="0.2">
      <c r="A3123" s="65" t="s">
        <v>8800</v>
      </c>
      <c r="B3123" s="65" t="s">
        <v>8801</v>
      </c>
      <c r="C3123" s="67" t="s">
        <v>221</v>
      </c>
      <c r="D3123" s="69" t="s">
        <v>8802</v>
      </c>
      <c r="E3123" s="69" t="s">
        <v>8803</v>
      </c>
      <c r="F3123" s="69" t="s">
        <v>8804</v>
      </c>
    </row>
    <row r="3124" spans="1:6" ht="22.5" x14ac:dyDescent="0.2">
      <c r="A3124" s="65" t="s">
        <v>8805</v>
      </c>
      <c r="B3124" s="65" t="s">
        <v>8806</v>
      </c>
      <c r="C3124" s="67" t="s">
        <v>221</v>
      </c>
      <c r="D3124" s="69" t="s">
        <v>8807</v>
      </c>
      <c r="E3124" s="69" t="s">
        <v>8808</v>
      </c>
      <c r="F3124" s="69" t="s">
        <v>8809</v>
      </c>
    </row>
    <row r="3125" spans="1:6" ht="22.5" x14ac:dyDescent="0.2">
      <c r="A3125" s="65" t="s">
        <v>8810</v>
      </c>
      <c r="B3125" s="65" t="s">
        <v>8811</v>
      </c>
      <c r="C3125" s="67" t="s">
        <v>221</v>
      </c>
      <c r="D3125" s="69" t="s">
        <v>8812</v>
      </c>
      <c r="E3125" s="69" t="s">
        <v>8813</v>
      </c>
      <c r="F3125" s="69" t="s">
        <v>8814</v>
      </c>
    </row>
    <row r="3126" spans="1:6" ht="22.5" x14ac:dyDescent="0.2">
      <c r="A3126" s="65" t="s">
        <v>8815</v>
      </c>
      <c r="B3126" s="65" t="s">
        <v>8816</v>
      </c>
      <c r="C3126" s="67" t="s">
        <v>221</v>
      </c>
      <c r="D3126" s="69" t="s">
        <v>8817</v>
      </c>
      <c r="E3126" s="69" t="s">
        <v>6048</v>
      </c>
      <c r="F3126" s="69" t="s">
        <v>8818</v>
      </c>
    </row>
    <row r="3127" spans="1:6" ht="22.5" x14ac:dyDescent="0.2">
      <c r="A3127" s="65" t="s">
        <v>8819</v>
      </c>
      <c r="B3127" s="65" t="s">
        <v>8820</v>
      </c>
      <c r="C3127" s="67" t="s">
        <v>221</v>
      </c>
      <c r="D3127" s="69" t="s">
        <v>8821</v>
      </c>
      <c r="E3127" s="69" t="s">
        <v>322</v>
      </c>
      <c r="F3127" s="69" t="s">
        <v>5782</v>
      </c>
    </row>
    <row r="3128" spans="1:6" ht="33.75" x14ac:dyDescent="0.2">
      <c r="A3128" s="65" t="s">
        <v>8822</v>
      </c>
      <c r="B3128" s="65" t="s">
        <v>8823</v>
      </c>
      <c r="C3128" s="67" t="s">
        <v>221</v>
      </c>
      <c r="D3128" s="69" t="s">
        <v>8824</v>
      </c>
      <c r="E3128" s="69" t="s">
        <v>233</v>
      </c>
      <c r="F3128" s="69" t="s">
        <v>8825</v>
      </c>
    </row>
    <row r="3129" spans="1:6" ht="33.75" x14ac:dyDescent="0.2">
      <c r="A3129" s="65" t="s">
        <v>8826</v>
      </c>
      <c r="B3129" s="65" t="s">
        <v>8827</v>
      </c>
      <c r="C3129" s="67" t="s">
        <v>221</v>
      </c>
      <c r="D3129" s="69" t="s">
        <v>8828</v>
      </c>
      <c r="E3129" s="69" t="s">
        <v>233</v>
      </c>
      <c r="F3129" s="69" t="s">
        <v>8829</v>
      </c>
    </row>
    <row r="3130" spans="1:6" ht="22.5" x14ac:dyDescent="0.2">
      <c r="A3130" s="65" t="s">
        <v>8830</v>
      </c>
      <c r="B3130" s="65" t="s">
        <v>8831</v>
      </c>
      <c r="C3130" s="67" t="s">
        <v>221</v>
      </c>
      <c r="D3130" s="69" t="s">
        <v>8832</v>
      </c>
      <c r="E3130" s="69" t="s">
        <v>8798</v>
      </c>
      <c r="F3130" s="69" t="s">
        <v>8833</v>
      </c>
    </row>
    <row r="3131" spans="1:6" ht="33.75" x14ac:dyDescent="0.2">
      <c r="A3131" s="65" t="s">
        <v>8834</v>
      </c>
      <c r="B3131" s="65" t="s">
        <v>8835</v>
      </c>
      <c r="C3131" s="67" t="s">
        <v>221</v>
      </c>
      <c r="D3131" s="69" t="s">
        <v>8836</v>
      </c>
      <c r="E3131" s="69" t="s">
        <v>8803</v>
      </c>
      <c r="F3131" s="69" t="s">
        <v>8837</v>
      </c>
    </row>
    <row r="3132" spans="1:6" ht="22.5" x14ac:dyDescent="0.2">
      <c r="A3132" s="50">
        <v>46.12</v>
      </c>
      <c r="B3132" s="64" t="s">
        <v>8838</v>
      </c>
      <c r="C3132" s="47"/>
      <c r="D3132" s="47"/>
      <c r="E3132" s="47"/>
      <c r="F3132" s="47"/>
    </row>
    <row r="3133" spans="1:6" ht="22.5" x14ac:dyDescent="0.2">
      <c r="A3133" s="65" t="s">
        <v>8839</v>
      </c>
      <c r="B3133" s="65" t="s">
        <v>8840</v>
      </c>
      <c r="C3133" s="67" t="s">
        <v>221</v>
      </c>
      <c r="D3133" s="69" t="s">
        <v>8841</v>
      </c>
      <c r="E3133" s="69" t="s">
        <v>8842</v>
      </c>
      <c r="F3133" s="69" t="s">
        <v>8843</v>
      </c>
    </row>
    <row r="3134" spans="1:6" ht="22.5" x14ac:dyDescent="0.2">
      <c r="A3134" s="65" t="s">
        <v>8844</v>
      </c>
      <c r="B3134" s="65" t="s">
        <v>8845</v>
      </c>
      <c r="C3134" s="67" t="s">
        <v>221</v>
      </c>
      <c r="D3134" s="69" t="s">
        <v>8846</v>
      </c>
      <c r="E3134" s="69" t="s">
        <v>8847</v>
      </c>
      <c r="F3134" s="69" t="s">
        <v>8848</v>
      </c>
    </row>
    <row r="3135" spans="1:6" ht="22.5" x14ac:dyDescent="0.2">
      <c r="A3135" s="65" t="s">
        <v>8849</v>
      </c>
      <c r="B3135" s="65" t="s">
        <v>8850</v>
      </c>
      <c r="C3135" s="67" t="s">
        <v>221</v>
      </c>
      <c r="D3135" s="69" t="s">
        <v>8851</v>
      </c>
      <c r="E3135" s="69" t="s">
        <v>8842</v>
      </c>
      <c r="F3135" s="69" t="s">
        <v>8852</v>
      </c>
    </row>
    <row r="3136" spans="1:6" ht="22.5" x14ac:dyDescent="0.2">
      <c r="A3136" s="65" t="s">
        <v>8853</v>
      </c>
      <c r="B3136" s="65" t="s">
        <v>8854</v>
      </c>
      <c r="C3136" s="67" t="s">
        <v>221</v>
      </c>
      <c r="D3136" s="69" t="s">
        <v>8855</v>
      </c>
      <c r="E3136" s="69" t="s">
        <v>8847</v>
      </c>
      <c r="F3136" s="69" t="s">
        <v>8856</v>
      </c>
    </row>
    <row r="3137" spans="1:6" ht="22.5" x14ac:dyDescent="0.2">
      <c r="A3137" s="65" t="s">
        <v>8857</v>
      </c>
      <c r="B3137" s="65" t="s">
        <v>8858</v>
      </c>
      <c r="C3137" s="67" t="s">
        <v>221</v>
      </c>
      <c r="D3137" s="69" t="s">
        <v>8859</v>
      </c>
      <c r="E3137" s="69" t="s">
        <v>8860</v>
      </c>
      <c r="F3137" s="69" t="s">
        <v>8861</v>
      </c>
    </row>
    <row r="3138" spans="1:6" ht="22.5" x14ac:dyDescent="0.2">
      <c r="A3138" s="65" t="s">
        <v>8862</v>
      </c>
      <c r="B3138" s="65" t="s">
        <v>8863</v>
      </c>
      <c r="C3138" s="67" t="s">
        <v>221</v>
      </c>
      <c r="D3138" s="69" t="s">
        <v>8864</v>
      </c>
      <c r="E3138" s="69" t="s">
        <v>8865</v>
      </c>
      <c r="F3138" s="69" t="s">
        <v>8866</v>
      </c>
    </row>
    <row r="3139" spans="1:6" ht="22.5" x14ac:dyDescent="0.2">
      <c r="A3139" s="65" t="s">
        <v>8867</v>
      </c>
      <c r="B3139" s="65" t="s">
        <v>8868</v>
      </c>
      <c r="C3139" s="67" t="s">
        <v>221</v>
      </c>
      <c r="D3139" s="69" t="s">
        <v>8869</v>
      </c>
      <c r="E3139" s="69" t="s">
        <v>921</v>
      </c>
      <c r="F3139" s="69" t="s">
        <v>8870</v>
      </c>
    </row>
    <row r="3140" spans="1:6" ht="22.5" x14ac:dyDescent="0.2">
      <c r="A3140" s="65" t="s">
        <v>8871</v>
      </c>
      <c r="B3140" s="65" t="s">
        <v>8872</v>
      </c>
      <c r="C3140" s="67" t="s">
        <v>221</v>
      </c>
      <c r="D3140" s="69" t="s">
        <v>8873</v>
      </c>
      <c r="E3140" s="69" t="s">
        <v>8874</v>
      </c>
      <c r="F3140" s="69" t="s">
        <v>8875</v>
      </c>
    </row>
    <row r="3141" spans="1:6" ht="22.5" x14ac:dyDescent="0.2">
      <c r="A3141" s="65" t="s">
        <v>8876</v>
      </c>
      <c r="B3141" s="65" t="s">
        <v>8877</v>
      </c>
      <c r="C3141" s="67" t="s">
        <v>221</v>
      </c>
      <c r="D3141" s="69" t="s">
        <v>8878</v>
      </c>
      <c r="E3141" s="69" t="s">
        <v>413</v>
      </c>
      <c r="F3141" s="69" t="s">
        <v>8879</v>
      </c>
    </row>
    <row r="3142" spans="1:6" ht="22.5" x14ac:dyDescent="0.2">
      <c r="A3142" s="65" t="s">
        <v>8880</v>
      </c>
      <c r="B3142" s="65" t="s">
        <v>8881</v>
      </c>
      <c r="C3142" s="67" t="s">
        <v>221</v>
      </c>
      <c r="D3142" s="69" t="s">
        <v>8882</v>
      </c>
      <c r="E3142" s="69" t="s">
        <v>8865</v>
      </c>
      <c r="F3142" s="69" t="s">
        <v>8883</v>
      </c>
    </row>
    <row r="3143" spans="1:6" ht="22.5" x14ac:dyDescent="0.2">
      <c r="A3143" s="65" t="s">
        <v>8884</v>
      </c>
      <c r="B3143" s="65" t="s">
        <v>8885</v>
      </c>
      <c r="C3143" s="67" t="s">
        <v>221</v>
      </c>
      <c r="D3143" s="69" t="s">
        <v>5198</v>
      </c>
      <c r="E3143" s="69" t="s">
        <v>921</v>
      </c>
      <c r="F3143" s="69" t="s">
        <v>8886</v>
      </c>
    </row>
    <row r="3144" spans="1:6" ht="22.5" x14ac:dyDescent="0.2">
      <c r="A3144" s="65" t="s">
        <v>8887</v>
      </c>
      <c r="B3144" s="65" t="s">
        <v>8888</v>
      </c>
      <c r="C3144" s="67" t="s">
        <v>221</v>
      </c>
      <c r="D3144" s="69" t="s">
        <v>8889</v>
      </c>
      <c r="E3144" s="69" t="s">
        <v>8874</v>
      </c>
      <c r="F3144" s="69" t="s">
        <v>8890</v>
      </c>
    </row>
    <row r="3145" spans="1:6" ht="22.5" x14ac:dyDescent="0.2">
      <c r="A3145" s="65" t="s">
        <v>8891</v>
      </c>
      <c r="B3145" s="65" t="s">
        <v>8892</v>
      </c>
      <c r="C3145" s="67" t="s">
        <v>221</v>
      </c>
      <c r="D3145" s="69" t="s">
        <v>8893</v>
      </c>
      <c r="E3145" s="69" t="s">
        <v>8865</v>
      </c>
      <c r="F3145" s="69" t="s">
        <v>8894</v>
      </c>
    </row>
    <row r="3146" spans="1:6" ht="22.5" x14ac:dyDescent="0.2">
      <c r="A3146" s="65" t="s">
        <v>8895</v>
      </c>
      <c r="B3146" s="65" t="s">
        <v>8896</v>
      </c>
      <c r="C3146" s="67" t="s">
        <v>221</v>
      </c>
      <c r="D3146" s="69" t="s">
        <v>8897</v>
      </c>
      <c r="E3146" s="69" t="s">
        <v>921</v>
      </c>
      <c r="F3146" s="69" t="s">
        <v>8898</v>
      </c>
    </row>
    <row r="3147" spans="1:6" ht="22.5" x14ac:dyDescent="0.2">
      <c r="A3147" s="65" t="s">
        <v>8899</v>
      </c>
      <c r="B3147" s="65" t="s">
        <v>8900</v>
      </c>
      <c r="C3147" s="67" t="s">
        <v>221</v>
      </c>
      <c r="D3147" s="69" t="s">
        <v>8901</v>
      </c>
      <c r="E3147" s="69" t="s">
        <v>8874</v>
      </c>
      <c r="F3147" s="69" t="s">
        <v>8902</v>
      </c>
    </row>
    <row r="3148" spans="1:6" ht="22.5" x14ac:dyDescent="0.2">
      <c r="A3148" s="65" t="s">
        <v>8903</v>
      </c>
      <c r="B3148" s="65" t="s">
        <v>8904</v>
      </c>
      <c r="C3148" s="67" t="s">
        <v>221</v>
      </c>
      <c r="D3148" s="69" t="s">
        <v>7561</v>
      </c>
      <c r="E3148" s="69" t="s">
        <v>8905</v>
      </c>
      <c r="F3148" s="69" t="s">
        <v>8906</v>
      </c>
    </row>
    <row r="3149" spans="1:6" ht="22.5" x14ac:dyDescent="0.2">
      <c r="A3149" s="65" t="s">
        <v>8907</v>
      </c>
      <c r="B3149" s="65" t="s">
        <v>8908</v>
      </c>
      <c r="C3149" s="67" t="s">
        <v>221</v>
      </c>
      <c r="D3149" s="69" t="s">
        <v>433</v>
      </c>
      <c r="E3149" s="69" t="s">
        <v>8909</v>
      </c>
      <c r="F3149" s="69" t="s">
        <v>8910</v>
      </c>
    </row>
    <row r="3150" spans="1:6" ht="22.5" x14ac:dyDescent="0.2">
      <c r="A3150" s="65" t="s">
        <v>8911</v>
      </c>
      <c r="B3150" s="65" t="s">
        <v>8912</v>
      </c>
      <c r="C3150" s="67" t="s">
        <v>221</v>
      </c>
      <c r="D3150" s="69" t="s">
        <v>8913</v>
      </c>
      <c r="E3150" s="69" t="s">
        <v>8914</v>
      </c>
      <c r="F3150" s="69" t="s">
        <v>8915</v>
      </c>
    </row>
    <row r="3151" spans="1:6" ht="22.5" x14ac:dyDescent="0.2">
      <c r="A3151" s="65" t="s">
        <v>8916</v>
      </c>
      <c r="B3151" s="65" t="s">
        <v>8917</v>
      </c>
      <c r="C3151" s="67" t="s">
        <v>221</v>
      </c>
      <c r="D3151" s="69" t="s">
        <v>8918</v>
      </c>
      <c r="E3151" s="69" t="s">
        <v>8919</v>
      </c>
      <c r="F3151" s="69" t="s">
        <v>8920</v>
      </c>
    </row>
    <row r="3152" spans="1:6" ht="22.5" x14ac:dyDescent="0.2">
      <c r="A3152" s="65" t="s">
        <v>8921</v>
      </c>
      <c r="B3152" s="65" t="s">
        <v>8922</v>
      </c>
      <c r="C3152" s="67" t="s">
        <v>221</v>
      </c>
      <c r="D3152" s="69" t="s">
        <v>8923</v>
      </c>
      <c r="E3152" s="69" t="s">
        <v>8847</v>
      </c>
      <c r="F3152" s="69" t="s">
        <v>8924</v>
      </c>
    </row>
    <row r="3153" spans="1:6" ht="22.5" x14ac:dyDescent="0.2">
      <c r="A3153" s="65" t="s">
        <v>8925</v>
      </c>
      <c r="B3153" s="65" t="s">
        <v>8926</v>
      </c>
      <c r="C3153" s="67" t="s">
        <v>221</v>
      </c>
      <c r="D3153" s="69" t="s">
        <v>8927</v>
      </c>
      <c r="E3153" s="69" t="s">
        <v>8847</v>
      </c>
      <c r="F3153" s="69" t="s">
        <v>8928</v>
      </c>
    </row>
    <row r="3154" spans="1:6" ht="22.5" x14ac:dyDescent="0.2">
      <c r="A3154" s="65" t="s">
        <v>8929</v>
      </c>
      <c r="B3154" s="65" t="s">
        <v>8930</v>
      </c>
      <c r="C3154" s="67" t="s">
        <v>221</v>
      </c>
      <c r="D3154" s="69" t="s">
        <v>8931</v>
      </c>
      <c r="E3154" s="69" t="s">
        <v>8847</v>
      </c>
      <c r="F3154" s="69" t="s">
        <v>8932</v>
      </c>
    </row>
    <row r="3155" spans="1:6" ht="22.5" x14ac:dyDescent="0.2">
      <c r="A3155" s="65" t="s">
        <v>8933</v>
      </c>
      <c r="B3155" s="65" t="s">
        <v>8934</v>
      </c>
      <c r="C3155" s="67" t="s">
        <v>221</v>
      </c>
      <c r="D3155" s="69" t="s">
        <v>8935</v>
      </c>
      <c r="E3155" s="69" t="s">
        <v>8936</v>
      </c>
      <c r="F3155" s="69" t="s">
        <v>8937</v>
      </c>
    </row>
    <row r="3156" spans="1:6" ht="22.5" x14ac:dyDescent="0.2">
      <c r="A3156" s="65" t="s">
        <v>8938</v>
      </c>
      <c r="B3156" s="65" t="s">
        <v>8939</v>
      </c>
      <c r="C3156" s="67" t="s">
        <v>221</v>
      </c>
      <c r="D3156" s="69" t="s">
        <v>8940</v>
      </c>
      <c r="E3156" s="69" t="s">
        <v>8860</v>
      </c>
      <c r="F3156" s="69" t="s">
        <v>8941</v>
      </c>
    </row>
    <row r="3157" spans="1:6" ht="22.5" x14ac:dyDescent="0.2">
      <c r="A3157" s="65" t="s">
        <v>8942</v>
      </c>
      <c r="B3157" s="65" t="s">
        <v>8943</v>
      </c>
      <c r="C3157" s="67" t="s">
        <v>221</v>
      </c>
      <c r="D3157" s="69" t="s">
        <v>8944</v>
      </c>
      <c r="E3157" s="69" t="s">
        <v>686</v>
      </c>
      <c r="F3157" s="69" t="s">
        <v>8945</v>
      </c>
    </row>
    <row r="3158" spans="1:6" ht="22.5" x14ac:dyDescent="0.2">
      <c r="A3158" s="65" t="s">
        <v>8946</v>
      </c>
      <c r="B3158" s="65" t="s">
        <v>8947</v>
      </c>
      <c r="C3158" s="67" t="s">
        <v>221</v>
      </c>
      <c r="D3158" s="69" t="s">
        <v>8948</v>
      </c>
      <c r="E3158" s="69" t="s">
        <v>8842</v>
      </c>
      <c r="F3158" s="69" t="s">
        <v>8949</v>
      </c>
    </row>
    <row r="3159" spans="1:6" ht="22.5" x14ac:dyDescent="0.2">
      <c r="A3159" s="65" t="s">
        <v>8950</v>
      </c>
      <c r="B3159" s="65" t="s">
        <v>8951</v>
      </c>
      <c r="C3159" s="67" t="s">
        <v>221</v>
      </c>
      <c r="D3159" s="69" t="s">
        <v>8952</v>
      </c>
      <c r="E3159" s="69" t="s">
        <v>8842</v>
      </c>
      <c r="F3159" s="69" t="s">
        <v>8953</v>
      </c>
    </row>
    <row r="3160" spans="1:6" ht="22.5" x14ac:dyDescent="0.2">
      <c r="A3160" s="65" t="s">
        <v>8954</v>
      </c>
      <c r="B3160" s="65" t="s">
        <v>8955</v>
      </c>
      <c r="C3160" s="67" t="s">
        <v>221</v>
      </c>
      <c r="D3160" s="69" t="s">
        <v>3795</v>
      </c>
      <c r="E3160" s="69" t="s">
        <v>8956</v>
      </c>
      <c r="F3160" s="69" t="s">
        <v>8957</v>
      </c>
    </row>
    <row r="3161" spans="1:6" ht="22.5" x14ac:dyDescent="0.2">
      <c r="A3161" s="50">
        <v>46.13</v>
      </c>
      <c r="B3161" s="64" t="s">
        <v>8958</v>
      </c>
      <c r="C3161" s="47"/>
      <c r="D3161" s="47"/>
      <c r="E3161" s="47"/>
      <c r="F3161" s="47"/>
    </row>
    <row r="3162" spans="1:6" ht="45" x14ac:dyDescent="0.2">
      <c r="A3162" s="65" t="s">
        <v>8959</v>
      </c>
      <c r="B3162" s="66" t="s">
        <v>8960</v>
      </c>
      <c r="C3162" s="67" t="s">
        <v>221</v>
      </c>
      <c r="D3162" s="69" t="s">
        <v>301</v>
      </c>
      <c r="E3162" s="69" t="s">
        <v>1165</v>
      </c>
      <c r="F3162" s="69" t="s">
        <v>8961</v>
      </c>
    </row>
    <row r="3163" spans="1:6" ht="45" x14ac:dyDescent="0.2">
      <c r="A3163" s="65" t="s">
        <v>8962</v>
      </c>
      <c r="B3163" s="66" t="s">
        <v>8963</v>
      </c>
      <c r="C3163" s="67" t="s">
        <v>221</v>
      </c>
      <c r="D3163" s="69" t="s">
        <v>6486</v>
      </c>
      <c r="E3163" s="69" t="s">
        <v>1165</v>
      </c>
      <c r="F3163" s="69" t="s">
        <v>8964</v>
      </c>
    </row>
    <row r="3164" spans="1:6" ht="45" x14ac:dyDescent="0.2">
      <c r="A3164" s="65" t="s">
        <v>8965</v>
      </c>
      <c r="B3164" s="66" t="s">
        <v>8966</v>
      </c>
      <c r="C3164" s="67" t="s">
        <v>221</v>
      </c>
      <c r="D3164" s="69" t="s">
        <v>8967</v>
      </c>
      <c r="E3164" s="69" t="s">
        <v>1165</v>
      </c>
      <c r="F3164" s="69" t="s">
        <v>4972</v>
      </c>
    </row>
    <row r="3165" spans="1:6" ht="45" x14ac:dyDescent="0.2">
      <c r="A3165" s="65" t="s">
        <v>8968</v>
      </c>
      <c r="B3165" s="66" t="s">
        <v>8969</v>
      </c>
      <c r="C3165" s="67" t="s">
        <v>221</v>
      </c>
      <c r="D3165" s="69" t="s">
        <v>4418</v>
      </c>
      <c r="E3165" s="69" t="s">
        <v>1165</v>
      </c>
      <c r="F3165" s="69" t="s">
        <v>8970</v>
      </c>
    </row>
    <row r="3166" spans="1:6" ht="45" x14ac:dyDescent="0.2">
      <c r="A3166" s="65" t="s">
        <v>8971</v>
      </c>
      <c r="B3166" s="66" t="s">
        <v>8972</v>
      </c>
      <c r="C3166" s="67" t="s">
        <v>221</v>
      </c>
      <c r="D3166" s="69" t="s">
        <v>8973</v>
      </c>
      <c r="E3166" s="69" t="s">
        <v>1165</v>
      </c>
      <c r="F3166" s="69" t="s">
        <v>8974</v>
      </c>
    </row>
    <row r="3167" spans="1:6" ht="33.75" x14ac:dyDescent="0.2">
      <c r="A3167" s="65" t="s">
        <v>8975</v>
      </c>
      <c r="B3167" s="65" t="s">
        <v>8976</v>
      </c>
      <c r="C3167" s="67" t="s">
        <v>221</v>
      </c>
      <c r="D3167" s="69" t="s">
        <v>8977</v>
      </c>
      <c r="E3167" s="69" t="s">
        <v>260</v>
      </c>
      <c r="F3167" s="69" t="s">
        <v>8978</v>
      </c>
    </row>
    <row r="3168" spans="1:6" ht="33.75" x14ac:dyDescent="0.2">
      <c r="A3168" s="65" t="s">
        <v>8979</v>
      </c>
      <c r="B3168" s="65" t="s">
        <v>8980</v>
      </c>
      <c r="C3168" s="67" t="s">
        <v>221</v>
      </c>
      <c r="D3168" s="69" t="s">
        <v>8981</v>
      </c>
      <c r="E3168" s="69" t="s">
        <v>260</v>
      </c>
      <c r="F3168" s="69" t="s">
        <v>8982</v>
      </c>
    </row>
    <row r="3169" spans="1:6" ht="33.75" x14ac:dyDescent="0.2">
      <c r="A3169" s="65" t="s">
        <v>8983</v>
      </c>
      <c r="B3169" s="65" t="s">
        <v>8984</v>
      </c>
      <c r="C3169" s="67" t="s">
        <v>221</v>
      </c>
      <c r="D3169" s="69" t="s">
        <v>8985</v>
      </c>
      <c r="E3169" s="69" t="s">
        <v>260</v>
      </c>
      <c r="F3169" s="69" t="s">
        <v>8986</v>
      </c>
    </row>
    <row r="3170" spans="1:6" ht="33.75" x14ac:dyDescent="0.2">
      <c r="A3170" s="65" t="s">
        <v>8987</v>
      </c>
      <c r="B3170" s="65" t="s">
        <v>8988</v>
      </c>
      <c r="C3170" s="67" t="s">
        <v>221</v>
      </c>
      <c r="D3170" s="69" t="s">
        <v>8989</v>
      </c>
      <c r="E3170" s="69" t="s">
        <v>260</v>
      </c>
      <c r="F3170" s="69" t="s">
        <v>8990</v>
      </c>
    </row>
    <row r="3171" spans="1:6" ht="33.75" x14ac:dyDescent="0.2">
      <c r="A3171" s="65" t="s">
        <v>8991</v>
      </c>
      <c r="B3171" s="65" t="s">
        <v>8992</v>
      </c>
      <c r="C3171" s="67" t="s">
        <v>221</v>
      </c>
      <c r="D3171" s="69" t="s">
        <v>8993</v>
      </c>
      <c r="E3171" s="69" t="s">
        <v>260</v>
      </c>
      <c r="F3171" s="69" t="s">
        <v>8994</v>
      </c>
    </row>
    <row r="3172" spans="1:6" ht="33.75" x14ac:dyDescent="0.2">
      <c r="A3172" s="65" t="s">
        <v>8995</v>
      </c>
      <c r="B3172" s="65" t="s">
        <v>8996</v>
      </c>
      <c r="C3172" s="67" t="s">
        <v>221</v>
      </c>
      <c r="D3172" s="69" t="s">
        <v>8997</v>
      </c>
      <c r="E3172" s="69" t="s">
        <v>260</v>
      </c>
      <c r="F3172" s="69" t="s">
        <v>8998</v>
      </c>
    </row>
    <row r="3173" spans="1:6" ht="33.75" x14ac:dyDescent="0.2">
      <c r="A3173" s="65" t="s">
        <v>8999</v>
      </c>
      <c r="B3173" s="65" t="s">
        <v>9000</v>
      </c>
      <c r="C3173" s="67" t="s">
        <v>221</v>
      </c>
      <c r="D3173" s="69" t="s">
        <v>9001</v>
      </c>
      <c r="E3173" s="69" t="s">
        <v>260</v>
      </c>
      <c r="F3173" s="69" t="s">
        <v>9002</v>
      </c>
    </row>
    <row r="3174" spans="1:6" ht="33.75" x14ac:dyDescent="0.2">
      <c r="A3174" s="65" t="s">
        <v>9003</v>
      </c>
      <c r="B3174" s="65" t="s">
        <v>9004</v>
      </c>
      <c r="C3174" s="67" t="s">
        <v>221</v>
      </c>
      <c r="D3174" s="69" t="s">
        <v>9005</v>
      </c>
      <c r="E3174" s="69" t="s">
        <v>260</v>
      </c>
      <c r="F3174" s="69" t="s">
        <v>9006</v>
      </c>
    </row>
    <row r="3175" spans="1:6" ht="22.5" x14ac:dyDescent="0.2">
      <c r="A3175" s="50">
        <v>46.14</v>
      </c>
      <c r="B3175" s="64" t="s">
        <v>9007</v>
      </c>
      <c r="C3175" s="47"/>
      <c r="D3175" s="47"/>
      <c r="E3175" s="47"/>
      <c r="F3175" s="47"/>
    </row>
    <row r="3176" spans="1:6" ht="33.75" x14ac:dyDescent="0.2">
      <c r="A3176" s="65" t="s">
        <v>9008</v>
      </c>
      <c r="B3176" s="66" t="s">
        <v>9009</v>
      </c>
      <c r="C3176" s="67" t="s">
        <v>221</v>
      </c>
      <c r="D3176" s="69" t="s">
        <v>9010</v>
      </c>
      <c r="E3176" s="69" t="s">
        <v>335</v>
      </c>
      <c r="F3176" s="69" t="s">
        <v>9011</v>
      </c>
    </row>
    <row r="3177" spans="1:6" ht="33.75" x14ac:dyDescent="0.2">
      <c r="A3177" s="65" t="s">
        <v>9012</v>
      </c>
      <c r="B3177" s="66" t="s">
        <v>9013</v>
      </c>
      <c r="C3177" s="67" t="s">
        <v>221</v>
      </c>
      <c r="D3177" s="69" t="s">
        <v>9014</v>
      </c>
      <c r="E3177" s="69" t="s">
        <v>335</v>
      </c>
      <c r="F3177" s="69" t="s">
        <v>9015</v>
      </c>
    </row>
    <row r="3178" spans="1:6" ht="33.75" x14ac:dyDescent="0.2">
      <c r="A3178" s="65" t="s">
        <v>9016</v>
      </c>
      <c r="B3178" s="66" t="s">
        <v>9017</v>
      </c>
      <c r="C3178" s="67" t="s">
        <v>221</v>
      </c>
      <c r="D3178" s="69" t="s">
        <v>9018</v>
      </c>
      <c r="E3178" s="69" t="s">
        <v>335</v>
      </c>
      <c r="F3178" s="69" t="s">
        <v>9019</v>
      </c>
    </row>
    <row r="3179" spans="1:6" ht="33.75" x14ac:dyDescent="0.2">
      <c r="A3179" s="65" t="s">
        <v>9020</v>
      </c>
      <c r="B3179" s="66" t="s">
        <v>9021</v>
      </c>
      <c r="C3179" s="67" t="s">
        <v>221</v>
      </c>
      <c r="D3179" s="69" t="s">
        <v>9022</v>
      </c>
      <c r="E3179" s="69" t="s">
        <v>335</v>
      </c>
      <c r="F3179" s="69" t="s">
        <v>9023</v>
      </c>
    </row>
    <row r="3180" spans="1:6" ht="33.75" x14ac:dyDescent="0.2">
      <c r="A3180" s="65" t="s">
        <v>9024</v>
      </c>
      <c r="B3180" s="66" t="s">
        <v>9025</v>
      </c>
      <c r="C3180" s="67" t="s">
        <v>221</v>
      </c>
      <c r="D3180" s="69" t="s">
        <v>9026</v>
      </c>
      <c r="E3180" s="69" t="s">
        <v>335</v>
      </c>
      <c r="F3180" s="69" t="s">
        <v>9027</v>
      </c>
    </row>
    <row r="3181" spans="1:6" ht="45" x14ac:dyDescent="0.2">
      <c r="A3181" s="65" t="s">
        <v>9028</v>
      </c>
      <c r="B3181" s="66" t="s">
        <v>9029</v>
      </c>
      <c r="C3181" s="67" t="s">
        <v>221</v>
      </c>
      <c r="D3181" s="69" t="s">
        <v>9030</v>
      </c>
      <c r="E3181" s="69" t="s">
        <v>335</v>
      </c>
      <c r="F3181" s="69" t="s">
        <v>9031</v>
      </c>
    </row>
    <row r="3182" spans="1:6" ht="33.75" x14ac:dyDescent="0.2">
      <c r="A3182" s="65" t="s">
        <v>9032</v>
      </c>
      <c r="B3182" s="66" t="s">
        <v>9033</v>
      </c>
      <c r="C3182" s="67" t="s">
        <v>221</v>
      </c>
      <c r="D3182" s="69" t="s">
        <v>9034</v>
      </c>
      <c r="E3182" s="69" t="s">
        <v>335</v>
      </c>
      <c r="F3182" s="69" t="s">
        <v>9035</v>
      </c>
    </row>
    <row r="3183" spans="1:6" ht="33.75" x14ac:dyDescent="0.2">
      <c r="A3183" s="65" t="s">
        <v>9036</v>
      </c>
      <c r="B3183" s="66" t="s">
        <v>9037</v>
      </c>
      <c r="C3183" s="67" t="s">
        <v>221</v>
      </c>
      <c r="D3183" s="69" t="s">
        <v>9038</v>
      </c>
      <c r="E3183" s="69" t="s">
        <v>335</v>
      </c>
      <c r="F3183" s="69" t="s">
        <v>9039</v>
      </c>
    </row>
    <row r="3184" spans="1:6" ht="33.75" x14ac:dyDescent="0.2">
      <c r="A3184" s="65" t="s">
        <v>9040</v>
      </c>
      <c r="B3184" s="66" t="s">
        <v>9041</v>
      </c>
      <c r="C3184" s="67" t="s">
        <v>221</v>
      </c>
      <c r="D3184" s="69" t="s">
        <v>9042</v>
      </c>
      <c r="E3184" s="69" t="s">
        <v>335</v>
      </c>
      <c r="F3184" s="69" t="s">
        <v>9043</v>
      </c>
    </row>
    <row r="3185" spans="1:6" ht="33.75" x14ac:dyDescent="0.2">
      <c r="A3185" s="65" t="s">
        <v>9044</v>
      </c>
      <c r="B3185" s="66" t="s">
        <v>9045</v>
      </c>
      <c r="C3185" s="67" t="s">
        <v>221</v>
      </c>
      <c r="D3185" s="69" t="s">
        <v>9046</v>
      </c>
      <c r="E3185" s="69" t="s">
        <v>335</v>
      </c>
      <c r="F3185" s="69" t="s">
        <v>9047</v>
      </c>
    </row>
    <row r="3186" spans="1:6" ht="33.75" x14ac:dyDescent="0.2">
      <c r="A3186" s="65" t="s">
        <v>9048</v>
      </c>
      <c r="B3186" s="66" t="s">
        <v>9049</v>
      </c>
      <c r="C3186" s="67" t="s">
        <v>221</v>
      </c>
      <c r="D3186" s="69" t="s">
        <v>9050</v>
      </c>
      <c r="E3186" s="69" t="s">
        <v>335</v>
      </c>
      <c r="F3186" s="69" t="s">
        <v>9051</v>
      </c>
    </row>
    <row r="3187" spans="1:6" ht="33.75" x14ac:dyDescent="0.2">
      <c r="A3187" s="65" t="s">
        <v>9052</v>
      </c>
      <c r="B3187" s="66" t="s">
        <v>9053</v>
      </c>
      <c r="C3187" s="67" t="s">
        <v>221</v>
      </c>
      <c r="D3187" s="69" t="s">
        <v>9054</v>
      </c>
      <c r="E3187" s="69" t="s">
        <v>335</v>
      </c>
      <c r="F3187" s="69" t="s">
        <v>9055</v>
      </c>
    </row>
    <row r="3188" spans="1:6" ht="22.5" x14ac:dyDescent="0.2">
      <c r="A3188" s="50">
        <v>46.15</v>
      </c>
      <c r="B3188" s="64" t="s">
        <v>9056</v>
      </c>
      <c r="C3188" s="47"/>
      <c r="D3188" s="47"/>
      <c r="E3188" s="47"/>
      <c r="F3188" s="47"/>
    </row>
    <row r="3189" spans="1:6" ht="45" x14ac:dyDescent="0.2">
      <c r="A3189" s="65" t="s">
        <v>9057</v>
      </c>
      <c r="B3189" s="66" t="s">
        <v>9058</v>
      </c>
      <c r="C3189" s="67" t="s">
        <v>221</v>
      </c>
      <c r="D3189" s="69" t="s">
        <v>6462</v>
      </c>
      <c r="E3189" s="69" t="s">
        <v>3774</v>
      </c>
      <c r="F3189" s="69" t="s">
        <v>9059</v>
      </c>
    </row>
    <row r="3190" spans="1:6" ht="45" x14ac:dyDescent="0.2">
      <c r="A3190" s="65" t="s">
        <v>9060</v>
      </c>
      <c r="B3190" s="66" t="s">
        <v>9061</v>
      </c>
      <c r="C3190" s="67" t="s">
        <v>221</v>
      </c>
      <c r="D3190" s="69" t="s">
        <v>9062</v>
      </c>
      <c r="E3190" s="69" t="s">
        <v>9063</v>
      </c>
      <c r="F3190" s="69" t="s">
        <v>9064</v>
      </c>
    </row>
    <row r="3191" spans="1:6" ht="45" x14ac:dyDescent="0.2">
      <c r="A3191" s="65" t="s">
        <v>9065</v>
      </c>
      <c r="B3191" s="66" t="s">
        <v>9066</v>
      </c>
      <c r="C3191" s="67" t="s">
        <v>221</v>
      </c>
      <c r="D3191" s="69" t="s">
        <v>9067</v>
      </c>
      <c r="E3191" s="69" t="s">
        <v>9063</v>
      </c>
      <c r="F3191" s="69" t="s">
        <v>9068</v>
      </c>
    </row>
    <row r="3192" spans="1:6" ht="33.75" x14ac:dyDescent="0.2">
      <c r="A3192" s="50">
        <v>46.18</v>
      </c>
      <c r="B3192" s="64" t="s">
        <v>9069</v>
      </c>
      <c r="C3192" s="47"/>
      <c r="D3192" s="47"/>
      <c r="E3192" s="47"/>
      <c r="F3192" s="47"/>
    </row>
    <row r="3193" spans="1:6" ht="45" x14ac:dyDescent="0.2">
      <c r="A3193" s="65" t="s">
        <v>9070</v>
      </c>
      <c r="B3193" s="66" t="s">
        <v>9071</v>
      </c>
      <c r="C3193" s="67" t="s">
        <v>221</v>
      </c>
      <c r="D3193" s="69" t="s">
        <v>9072</v>
      </c>
      <c r="E3193" s="69" t="s">
        <v>9073</v>
      </c>
      <c r="F3193" s="69" t="s">
        <v>9074</v>
      </c>
    </row>
    <row r="3194" spans="1:6" ht="33.75" x14ac:dyDescent="0.2">
      <c r="A3194" s="65" t="s">
        <v>9075</v>
      </c>
      <c r="B3194" s="66" t="s">
        <v>9076</v>
      </c>
      <c r="C3194" s="67" t="s">
        <v>221</v>
      </c>
      <c r="D3194" s="69" t="s">
        <v>9077</v>
      </c>
      <c r="E3194" s="69" t="s">
        <v>9073</v>
      </c>
      <c r="F3194" s="69" t="s">
        <v>9078</v>
      </c>
    </row>
    <row r="3195" spans="1:6" ht="33.75" x14ac:dyDescent="0.2">
      <c r="A3195" s="65" t="s">
        <v>9079</v>
      </c>
      <c r="B3195" s="66" t="s">
        <v>9080</v>
      </c>
      <c r="C3195" s="67" t="s">
        <v>221</v>
      </c>
      <c r="D3195" s="69" t="s">
        <v>9081</v>
      </c>
      <c r="E3195" s="69" t="s">
        <v>9073</v>
      </c>
      <c r="F3195" s="69" t="s">
        <v>9082</v>
      </c>
    </row>
    <row r="3196" spans="1:6" ht="33.75" x14ac:dyDescent="0.2">
      <c r="A3196" s="65" t="s">
        <v>9083</v>
      </c>
      <c r="B3196" s="66" t="s">
        <v>9084</v>
      </c>
      <c r="C3196" s="67" t="s">
        <v>221</v>
      </c>
      <c r="D3196" s="69" t="s">
        <v>9085</v>
      </c>
      <c r="E3196" s="69" t="s">
        <v>9073</v>
      </c>
      <c r="F3196" s="69" t="s">
        <v>9086</v>
      </c>
    </row>
    <row r="3197" spans="1:6" ht="33.75" x14ac:dyDescent="0.2">
      <c r="A3197" s="65" t="s">
        <v>9087</v>
      </c>
      <c r="B3197" s="66" t="s">
        <v>9088</v>
      </c>
      <c r="C3197" s="67" t="s">
        <v>221</v>
      </c>
      <c r="D3197" s="69" t="s">
        <v>9089</v>
      </c>
      <c r="E3197" s="69" t="s">
        <v>9090</v>
      </c>
      <c r="F3197" s="69" t="s">
        <v>9091</v>
      </c>
    </row>
    <row r="3198" spans="1:6" ht="33.75" x14ac:dyDescent="0.2">
      <c r="A3198" s="65" t="s">
        <v>9092</v>
      </c>
      <c r="B3198" s="66" t="s">
        <v>9093</v>
      </c>
      <c r="C3198" s="67" t="s">
        <v>221</v>
      </c>
      <c r="D3198" s="69" t="s">
        <v>9094</v>
      </c>
      <c r="E3198" s="69" t="s">
        <v>9090</v>
      </c>
      <c r="F3198" s="69" t="s">
        <v>9095</v>
      </c>
    </row>
    <row r="3199" spans="1:6" ht="22.5" x14ac:dyDescent="0.2">
      <c r="A3199" s="65" t="s">
        <v>9096</v>
      </c>
      <c r="B3199" s="65" t="s">
        <v>9097</v>
      </c>
      <c r="C3199" s="67" t="s">
        <v>203</v>
      </c>
      <c r="D3199" s="69" t="s">
        <v>9098</v>
      </c>
      <c r="E3199" s="69" t="s">
        <v>9099</v>
      </c>
      <c r="F3199" s="69" t="s">
        <v>9100</v>
      </c>
    </row>
    <row r="3200" spans="1:6" ht="22.5" x14ac:dyDescent="0.2">
      <c r="A3200" s="65" t="s">
        <v>9101</v>
      </c>
      <c r="B3200" s="65" t="s">
        <v>9102</v>
      </c>
      <c r="C3200" s="67" t="s">
        <v>203</v>
      </c>
      <c r="D3200" s="69" t="s">
        <v>9103</v>
      </c>
      <c r="E3200" s="69" t="s">
        <v>9099</v>
      </c>
      <c r="F3200" s="69" t="s">
        <v>9104</v>
      </c>
    </row>
    <row r="3201" spans="1:6" ht="22.5" x14ac:dyDescent="0.2">
      <c r="A3201" s="65" t="s">
        <v>9105</v>
      </c>
      <c r="B3201" s="65" t="s">
        <v>9106</v>
      </c>
      <c r="C3201" s="67" t="s">
        <v>203</v>
      </c>
      <c r="D3201" s="69" t="s">
        <v>9107</v>
      </c>
      <c r="E3201" s="69" t="s">
        <v>9108</v>
      </c>
      <c r="F3201" s="69" t="s">
        <v>9109</v>
      </c>
    </row>
    <row r="3202" spans="1:6" ht="22.5" x14ac:dyDescent="0.2">
      <c r="A3202" s="65" t="s">
        <v>9110</v>
      </c>
      <c r="B3202" s="65" t="s">
        <v>9111</v>
      </c>
      <c r="C3202" s="67" t="s">
        <v>203</v>
      </c>
      <c r="D3202" s="69" t="s">
        <v>9112</v>
      </c>
      <c r="E3202" s="69" t="s">
        <v>3536</v>
      </c>
      <c r="F3202" s="69" t="s">
        <v>9113</v>
      </c>
    </row>
    <row r="3203" spans="1:6" ht="22.5" x14ac:dyDescent="0.2">
      <c r="A3203" s="65" t="s">
        <v>9114</v>
      </c>
      <c r="B3203" s="65" t="s">
        <v>9115</v>
      </c>
      <c r="C3203" s="67" t="s">
        <v>203</v>
      </c>
      <c r="D3203" s="69" t="s">
        <v>9116</v>
      </c>
      <c r="E3203" s="69" t="s">
        <v>9117</v>
      </c>
      <c r="F3203" s="69" t="s">
        <v>9118</v>
      </c>
    </row>
    <row r="3204" spans="1:6" ht="22.5" x14ac:dyDescent="0.2">
      <c r="A3204" s="65" t="s">
        <v>9119</v>
      </c>
      <c r="B3204" s="65" t="s">
        <v>9120</v>
      </c>
      <c r="C3204" s="67" t="s">
        <v>203</v>
      </c>
      <c r="D3204" s="69" t="s">
        <v>7020</v>
      </c>
      <c r="E3204" s="69" t="s">
        <v>331</v>
      </c>
      <c r="F3204" s="69" t="s">
        <v>9121</v>
      </c>
    </row>
    <row r="3205" spans="1:6" ht="22.5" x14ac:dyDescent="0.2">
      <c r="A3205" s="65" t="s">
        <v>9122</v>
      </c>
      <c r="B3205" s="65" t="s">
        <v>9123</v>
      </c>
      <c r="C3205" s="67" t="s">
        <v>203</v>
      </c>
      <c r="D3205" s="69" t="s">
        <v>9124</v>
      </c>
      <c r="E3205" s="69" t="s">
        <v>9125</v>
      </c>
      <c r="F3205" s="69" t="s">
        <v>9126</v>
      </c>
    </row>
    <row r="3206" spans="1:6" ht="33.75" x14ac:dyDescent="0.2">
      <c r="A3206" s="65" t="s">
        <v>9127</v>
      </c>
      <c r="B3206" s="65" t="s">
        <v>9128</v>
      </c>
      <c r="C3206" s="67" t="s">
        <v>203</v>
      </c>
      <c r="D3206" s="69" t="s">
        <v>9129</v>
      </c>
      <c r="E3206" s="69" t="s">
        <v>9117</v>
      </c>
      <c r="F3206" s="69" t="s">
        <v>9130</v>
      </c>
    </row>
    <row r="3207" spans="1:6" ht="33.75" x14ac:dyDescent="0.2">
      <c r="A3207" s="65" t="s">
        <v>9131</v>
      </c>
      <c r="B3207" s="65" t="s">
        <v>9132</v>
      </c>
      <c r="C3207" s="67" t="s">
        <v>203</v>
      </c>
      <c r="D3207" s="69" t="s">
        <v>9133</v>
      </c>
      <c r="E3207" s="69" t="s">
        <v>9099</v>
      </c>
      <c r="F3207" s="69" t="s">
        <v>9134</v>
      </c>
    </row>
    <row r="3208" spans="1:6" ht="33.75" x14ac:dyDescent="0.2">
      <c r="A3208" s="65" t="s">
        <v>9135</v>
      </c>
      <c r="B3208" s="65" t="s">
        <v>9136</v>
      </c>
      <c r="C3208" s="67" t="s">
        <v>203</v>
      </c>
      <c r="D3208" s="69" t="s">
        <v>9137</v>
      </c>
      <c r="E3208" s="69" t="s">
        <v>9117</v>
      </c>
      <c r="F3208" s="69" t="s">
        <v>9138</v>
      </c>
    </row>
    <row r="3209" spans="1:6" ht="33.75" x14ac:dyDescent="0.2">
      <c r="A3209" s="65" t="s">
        <v>9139</v>
      </c>
      <c r="B3209" s="65" t="s">
        <v>9140</v>
      </c>
      <c r="C3209" s="67" t="s">
        <v>203</v>
      </c>
      <c r="D3209" s="69" t="s">
        <v>9141</v>
      </c>
      <c r="E3209" s="69" t="s">
        <v>9125</v>
      </c>
      <c r="F3209" s="69" t="s">
        <v>9142</v>
      </c>
    </row>
    <row r="3210" spans="1:6" ht="33.75" x14ac:dyDescent="0.2">
      <c r="A3210" s="65" t="s">
        <v>9143</v>
      </c>
      <c r="B3210" s="66" t="s">
        <v>9144</v>
      </c>
      <c r="C3210" s="67" t="s">
        <v>203</v>
      </c>
      <c r="D3210" s="69" t="s">
        <v>9145</v>
      </c>
      <c r="E3210" s="69" t="s">
        <v>9108</v>
      </c>
      <c r="F3210" s="69" t="s">
        <v>9146</v>
      </c>
    </row>
    <row r="3211" spans="1:6" ht="33.75" x14ac:dyDescent="0.2">
      <c r="A3211" s="65" t="s">
        <v>9147</v>
      </c>
      <c r="B3211" s="66" t="s">
        <v>9148</v>
      </c>
      <c r="C3211" s="67" t="s">
        <v>203</v>
      </c>
      <c r="D3211" s="69" t="s">
        <v>9149</v>
      </c>
      <c r="E3211" s="69" t="s">
        <v>9117</v>
      </c>
      <c r="F3211" s="69" t="s">
        <v>9150</v>
      </c>
    </row>
    <row r="3212" spans="1:6" ht="33.75" x14ac:dyDescent="0.2">
      <c r="A3212" s="65" t="s">
        <v>9151</v>
      </c>
      <c r="B3212" s="66" t="s">
        <v>9152</v>
      </c>
      <c r="C3212" s="67" t="s">
        <v>203</v>
      </c>
      <c r="D3212" s="69" t="s">
        <v>9153</v>
      </c>
      <c r="E3212" s="69" t="s">
        <v>9125</v>
      </c>
      <c r="F3212" s="69" t="s">
        <v>9154</v>
      </c>
    </row>
    <row r="3213" spans="1:6" ht="22.5" x14ac:dyDescent="0.2">
      <c r="A3213" s="65" t="s">
        <v>9155</v>
      </c>
      <c r="B3213" s="65" t="s">
        <v>9156</v>
      </c>
      <c r="C3213" s="67" t="s">
        <v>203</v>
      </c>
      <c r="D3213" s="69" t="s">
        <v>9157</v>
      </c>
      <c r="E3213" s="69" t="s">
        <v>9099</v>
      </c>
      <c r="F3213" s="69" t="s">
        <v>9158</v>
      </c>
    </row>
    <row r="3214" spans="1:6" ht="22.5" x14ac:dyDescent="0.2">
      <c r="A3214" s="65" t="s">
        <v>9159</v>
      </c>
      <c r="B3214" s="65" t="s">
        <v>9160</v>
      </c>
      <c r="C3214" s="67" t="s">
        <v>203</v>
      </c>
      <c r="D3214" s="69" t="s">
        <v>9161</v>
      </c>
      <c r="E3214" s="69" t="s">
        <v>9108</v>
      </c>
      <c r="F3214" s="69" t="s">
        <v>9162</v>
      </c>
    </row>
    <row r="3215" spans="1:6" ht="33.75" x14ac:dyDescent="0.2">
      <c r="A3215" s="50">
        <v>46.19</v>
      </c>
      <c r="B3215" s="64" t="s">
        <v>9163</v>
      </c>
      <c r="C3215" s="47"/>
      <c r="D3215" s="47"/>
      <c r="E3215" s="47"/>
      <c r="F3215" s="47"/>
    </row>
    <row r="3216" spans="1:6" ht="45" x14ac:dyDescent="0.2">
      <c r="A3216" s="65" t="s">
        <v>9164</v>
      </c>
      <c r="B3216" s="66" t="s">
        <v>9165</v>
      </c>
      <c r="C3216" s="67" t="s">
        <v>203</v>
      </c>
      <c r="D3216" s="69" t="s">
        <v>9166</v>
      </c>
      <c r="E3216" s="69" t="s">
        <v>9117</v>
      </c>
      <c r="F3216" s="69" t="s">
        <v>9167</v>
      </c>
    </row>
    <row r="3217" spans="1:6" ht="45" x14ac:dyDescent="0.2">
      <c r="A3217" s="65" t="s">
        <v>9168</v>
      </c>
      <c r="B3217" s="66" t="s">
        <v>9169</v>
      </c>
      <c r="C3217" s="67" t="s">
        <v>203</v>
      </c>
      <c r="D3217" s="69" t="s">
        <v>9170</v>
      </c>
      <c r="E3217" s="69" t="s">
        <v>9125</v>
      </c>
      <c r="F3217" s="69" t="s">
        <v>9171</v>
      </c>
    </row>
    <row r="3218" spans="1:6" ht="45" x14ac:dyDescent="0.2">
      <c r="A3218" s="65" t="s">
        <v>9172</v>
      </c>
      <c r="B3218" s="66" t="s">
        <v>9173</v>
      </c>
      <c r="C3218" s="67" t="s">
        <v>203</v>
      </c>
      <c r="D3218" s="69" t="s">
        <v>9174</v>
      </c>
      <c r="E3218" s="69" t="s">
        <v>9175</v>
      </c>
      <c r="F3218" s="69" t="s">
        <v>9176</v>
      </c>
    </row>
    <row r="3219" spans="1:6" ht="45" x14ac:dyDescent="0.2">
      <c r="A3219" s="65" t="s">
        <v>9177</v>
      </c>
      <c r="B3219" s="66" t="s">
        <v>9178</v>
      </c>
      <c r="C3219" s="67" t="s">
        <v>203</v>
      </c>
      <c r="D3219" s="69" t="s">
        <v>9179</v>
      </c>
      <c r="E3219" s="69" t="s">
        <v>5023</v>
      </c>
      <c r="F3219" s="69" t="s">
        <v>9180</v>
      </c>
    </row>
    <row r="3220" spans="1:6" ht="45" x14ac:dyDescent="0.2">
      <c r="A3220" s="65" t="s">
        <v>9181</v>
      </c>
      <c r="B3220" s="66" t="s">
        <v>9182</v>
      </c>
      <c r="C3220" s="67" t="s">
        <v>203</v>
      </c>
      <c r="D3220" s="69" t="s">
        <v>9183</v>
      </c>
      <c r="E3220" s="69" t="s">
        <v>9117</v>
      </c>
      <c r="F3220" s="69" t="s">
        <v>9184</v>
      </c>
    </row>
    <row r="3221" spans="1:6" ht="45" x14ac:dyDescent="0.2">
      <c r="A3221" s="65" t="s">
        <v>9185</v>
      </c>
      <c r="B3221" s="66" t="s">
        <v>9186</v>
      </c>
      <c r="C3221" s="67" t="s">
        <v>203</v>
      </c>
      <c r="D3221" s="69" t="s">
        <v>9187</v>
      </c>
      <c r="E3221" s="69" t="s">
        <v>9117</v>
      </c>
      <c r="F3221" s="69" t="s">
        <v>9188</v>
      </c>
    </row>
    <row r="3222" spans="1:6" ht="45" x14ac:dyDescent="0.2">
      <c r="A3222" s="65" t="s">
        <v>9189</v>
      </c>
      <c r="B3222" s="66" t="s">
        <v>9190</v>
      </c>
      <c r="C3222" s="67" t="s">
        <v>203</v>
      </c>
      <c r="D3222" s="69" t="s">
        <v>9191</v>
      </c>
      <c r="E3222" s="69" t="s">
        <v>9125</v>
      </c>
      <c r="F3222" s="69" t="s">
        <v>9192</v>
      </c>
    </row>
    <row r="3223" spans="1:6" ht="45" x14ac:dyDescent="0.2">
      <c r="A3223" s="65" t="s">
        <v>9193</v>
      </c>
      <c r="B3223" s="66" t="s">
        <v>9194</v>
      </c>
      <c r="C3223" s="67" t="s">
        <v>203</v>
      </c>
      <c r="D3223" s="69" t="s">
        <v>9195</v>
      </c>
      <c r="E3223" s="69" t="s">
        <v>9175</v>
      </c>
      <c r="F3223" s="69" t="s">
        <v>9196</v>
      </c>
    </row>
    <row r="3224" spans="1:6" ht="45" x14ac:dyDescent="0.2">
      <c r="A3224" s="65" t="s">
        <v>9197</v>
      </c>
      <c r="B3224" s="66" t="s">
        <v>9198</v>
      </c>
      <c r="C3224" s="67" t="s">
        <v>203</v>
      </c>
      <c r="D3224" s="69" t="s">
        <v>9199</v>
      </c>
      <c r="E3224" s="69" t="s">
        <v>5023</v>
      </c>
      <c r="F3224" s="69" t="s">
        <v>9200</v>
      </c>
    </row>
    <row r="3225" spans="1:6" ht="22.5" x14ac:dyDescent="0.2">
      <c r="A3225" s="50">
        <v>46.2</v>
      </c>
      <c r="B3225" s="64" t="s">
        <v>9201</v>
      </c>
      <c r="C3225" s="47"/>
      <c r="D3225" s="47"/>
      <c r="E3225" s="47"/>
      <c r="F3225" s="47"/>
    </row>
    <row r="3226" spans="1:6" ht="33.75" x14ac:dyDescent="0.2">
      <c r="A3226" s="65" t="s">
        <v>9202</v>
      </c>
      <c r="B3226" s="65" t="s">
        <v>9203</v>
      </c>
      <c r="C3226" s="67" t="s">
        <v>221</v>
      </c>
      <c r="D3226" s="69" t="s">
        <v>1230</v>
      </c>
      <c r="E3226" s="69" t="s">
        <v>8914</v>
      </c>
      <c r="F3226" s="69" t="s">
        <v>1616</v>
      </c>
    </row>
    <row r="3227" spans="1:6" ht="33.75" x14ac:dyDescent="0.2">
      <c r="A3227" s="65" t="s">
        <v>9204</v>
      </c>
      <c r="B3227" s="65" t="s">
        <v>9205</v>
      </c>
      <c r="C3227" s="67" t="s">
        <v>221</v>
      </c>
      <c r="D3227" s="69" t="s">
        <v>9206</v>
      </c>
      <c r="E3227" s="69" t="s">
        <v>3875</v>
      </c>
      <c r="F3227" s="69" t="s">
        <v>9207</v>
      </c>
    </row>
    <row r="3228" spans="1:6" ht="22.5" x14ac:dyDescent="0.2">
      <c r="A3228" s="50">
        <v>46.21</v>
      </c>
      <c r="B3228" s="64" t="s">
        <v>9208</v>
      </c>
      <c r="C3228" s="47"/>
      <c r="D3228" s="47"/>
      <c r="E3228" s="47"/>
      <c r="F3228" s="47"/>
    </row>
    <row r="3229" spans="1:6" ht="45" x14ac:dyDescent="0.2">
      <c r="A3229" s="65" t="s">
        <v>9209</v>
      </c>
      <c r="B3229" s="66" t="s">
        <v>9210</v>
      </c>
      <c r="C3229" s="67" t="s">
        <v>221</v>
      </c>
      <c r="D3229" s="69" t="s">
        <v>9211</v>
      </c>
      <c r="E3229" s="69" t="s">
        <v>1090</v>
      </c>
      <c r="F3229" s="69" t="s">
        <v>9212</v>
      </c>
    </row>
    <row r="3230" spans="1:6" ht="33.75" x14ac:dyDescent="0.2">
      <c r="A3230" s="65" t="s">
        <v>9213</v>
      </c>
      <c r="B3230" s="66" t="s">
        <v>9214</v>
      </c>
      <c r="C3230" s="67" t="s">
        <v>221</v>
      </c>
      <c r="D3230" s="69" t="s">
        <v>9215</v>
      </c>
      <c r="E3230" s="69" t="s">
        <v>8592</v>
      </c>
      <c r="F3230" s="69" t="s">
        <v>9216</v>
      </c>
    </row>
    <row r="3231" spans="1:6" ht="33.75" x14ac:dyDescent="0.2">
      <c r="A3231" s="65" t="s">
        <v>9217</v>
      </c>
      <c r="B3231" s="66" t="s">
        <v>9218</v>
      </c>
      <c r="C3231" s="67" t="s">
        <v>221</v>
      </c>
      <c r="D3231" s="69" t="s">
        <v>9219</v>
      </c>
      <c r="E3231" s="69" t="s">
        <v>8592</v>
      </c>
      <c r="F3231" s="69" t="s">
        <v>9220</v>
      </c>
    </row>
    <row r="3232" spans="1:6" ht="45" x14ac:dyDescent="0.2">
      <c r="A3232" s="65" t="s">
        <v>9221</v>
      </c>
      <c r="B3232" s="66" t="s">
        <v>9222</v>
      </c>
      <c r="C3232" s="67" t="s">
        <v>221</v>
      </c>
      <c r="D3232" s="69" t="s">
        <v>9223</v>
      </c>
      <c r="E3232" s="69" t="s">
        <v>5092</v>
      </c>
      <c r="F3232" s="69" t="s">
        <v>9224</v>
      </c>
    </row>
    <row r="3233" spans="1:6" ht="33.75" x14ac:dyDescent="0.2">
      <c r="A3233" s="65" t="s">
        <v>9225</v>
      </c>
      <c r="B3233" s="66" t="s">
        <v>9226</v>
      </c>
      <c r="C3233" s="67" t="s">
        <v>221</v>
      </c>
      <c r="D3233" s="69" t="s">
        <v>9227</v>
      </c>
      <c r="E3233" s="69" t="s">
        <v>328</v>
      </c>
      <c r="F3233" s="69" t="s">
        <v>9228</v>
      </c>
    </row>
    <row r="3234" spans="1:6" ht="45" x14ac:dyDescent="0.2">
      <c r="A3234" s="65" t="s">
        <v>9229</v>
      </c>
      <c r="B3234" s="66" t="s">
        <v>9230</v>
      </c>
      <c r="C3234" s="67" t="s">
        <v>221</v>
      </c>
      <c r="D3234" s="69" t="s">
        <v>9231</v>
      </c>
      <c r="E3234" s="69" t="s">
        <v>4003</v>
      </c>
      <c r="F3234" s="69" t="s">
        <v>9232</v>
      </c>
    </row>
    <row r="3235" spans="1:6" ht="33.75" x14ac:dyDescent="0.2">
      <c r="A3235" s="65" t="s">
        <v>9233</v>
      </c>
      <c r="B3235" s="66" t="s">
        <v>9234</v>
      </c>
      <c r="C3235" s="67" t="s">
        <v>221</v>
      </c>
      <c r="D3235" s="69" t="s">
        <v>9235</v>
      </c>
      <c r="E3235" s="69" t="s">
        <v>9236</v>
      </c>
      <c r="F3235" s="69" t="s">
        <v>9237</v>
      </c>
    </row>
    <row r="3236" spans="1:6" ht="45" x14ac:dyDescent="0.2">
      <c r="A3236" s="65" t="s">
        <v>9238</v>
      </c>
      <c r="B3236" s="66" t="s">
        <v>9239</v>
      </c>
      <c r="C3236" s="67" t="s">
        <v>221</v>
      </c>
      <c r="D3236" s="69" t="s">
        <v>9240</v>
      </c>
      <c r="E3236" s="69" t="s">
        <v>4745</v>
      </c>
      <c r="F3236" s="69" t="s">
        <v>9241</v>
      </c>
    </row>
    <row r="3237" spans="1:6" ht="45" x14ac:dyDescent="0.2">
      <c r="A3237" s="65" t="s">
        <v>9242</v>
      </c>
      <c r="B3237" s="66" t="s">
        <v>9243</v>
      </c>
      <c r="C3237" s="67" t="s">
        <v>221</v>
      </c>
      <c r="D3237" s="69" t="s">
        <v>9244</v>
      </c>
      <c r="E3237" s="69" t="s">
        <v>9245</v>
      </c>
      <c r="F3237" s="69" t="s">
        <v>9246</v>
      </c>
    </row>
    <row r="3238" spans="1:6" ht="45" x14ac:dyDescent="0.2">
      <c r="A3238" s="65" t="s">
        <v>9247</v>
      </c>
      <c r="B3238" s="66" t="s">
        <v>9248</v>
      </c>
      <c r="C3238" s="67" t="s">
        <v>221</v>
      </c>
      <c r="D3238" s="69" t="s">
        <v>9249</v>
      </c>
      <c r="E3238" s="69" t="s">
        <v>8613</v>
      </c>
      <c r="F3238" s="69" t="s">
        <v>9250</v>
      </c>
    </row>
    <row r="3239" spans="1:6" ht="45" x14ac:dyDescent="0.2">
      <c r="A3239" s="65" t="s">
        <v>9251</v>
      </c>
      <c r="B3239" s="66" t="s">
        <v>9252</v>
      </c>
      <c r="C3239" s="67" t="s">
        <v>221</v>
      </c>
      <c r="D3239" s="69" t="s">
        <v>9253</v>
      </c>
      <c r="E3239" s="69" t="s">
        <v>345</v>
      </c>
      <c r="F3239" s="69" t="s">
        <v>9254</v>
      </c>
    </row>
    <row r="3240" spans="1:6" ht="45" x14ac:dyDescent="0.2">
      <c r="A3240" s="65" t="s">
        <v>9255</v>
      </c>
      <c r="B3240" s="66" t="s">
        <v>9256</v>
      </c>
      <c r="C3240" s="67" t="s">
        <v>221</v>
      </c>
      <c r="D3240" s="69" t="s">
        <v>9257</v>
      </c>
      <c r="E3240" s="69" t="s">
        <v>9258</v>
      </c>
      <c r="F3240" s="69" t="s">
        <v>9259</v>
      </c>
    </row>
    <row r="3241" spans="1:6" ht="45" x14ac:dyDescent="0.2">
      <c r="A3241" s="65" t="s">
        <v>9260</v>
      </c>
      <c r="B3241" s="66" t="s">
        <v>9261</v>
      </c>
      <c r="C3241" s="67" t="s">
        <v>221</v>
      </c>
      <c r="D3241" s="69" t="s">
        <v>9262</v>
      </c>
      <c r="E3241" s="69" t="s">
        <v>9263</v>
      </c>
      <c r="F3241" s="69" t="s">
        <v>9264</v>
      </c>
    </row>
    <row r="3242" spans="1:6" ht="22.5" x14ac:dyDescent="0.2">
      <c r="A3242" s="50">
        <v>46.23</v>
      </c>
      <c r="B3242" s="64" t="s">
        <v>9265</v>
      </c>
      <c r="C3242" s="47"/>
      <c r="D3242" s="47"/>
      <c r="E3242" s="47"/>
      <c r="F3242" s="47"/>
    </row>
    <row r="3243" spans="1:6" ht="22.5" x14ac:dyDescent="0.2">
      <c r="A3243" s="65" t="s">
        <v>9266</v>
      </c>
      <c r="B3243" s="65" t="s">
        <v>9267</v>
      </c>
      <c r="C3243" s="67" t="s">
        <v>221</v>
      </c>
      <c r="D3243" s="69" t="s">
        <v>9268</v>
      </c>
      <c r="E3243" s="69" t="s">
        <v>301</v>
      </c>
      <c r="F3243" s="69" t="s">
        <v>9269</v>
      </c>
    </row>
    <row r="3244" spans="1:6" ht="22.5" x14ac:dyDescent="0.2">
      <c r="A3244" s="65" t="s">
        <v>9270</v>
      </c>
      <c r="B3244" s="65" t="s">
        <v>9271</v>
      </c>
      <c r="C3244" s="67" t="s">
        <v>221</v>
      </c>
      <c r="D3244" s="69" t="s">
        <v>9272</v>
      </c>
      <c r="E3244" s="69" t="s">
        <v>9273</v>
      </c>
      <c r="F3244" s="69" t="s">
        <v>9274</v>
      </c>
    </row>
    <row r="3245" spans="1:6" ht="22.5" x14ac:dyDescent="0.2">
      <c r="A3245" s="65" t="s">
        <v>9275</v>
      </c>
      <c r="B3245" s="65" t="s">
        <v>9276</v>
      </c>
      <c r="C3245" s="67" t="s">
        <v>221</v>
      </c>
      <c r="D3245" s="69" t="s">
        <v>9277</v>
      </c>
      <c r="E3245" s="69" t="s">
        <v>9278</v>
      </c>
      <c r="F3245" s="69" t="s">
        <v>9279</v>
      </c>
    </row>
    <row r="3246" spans="1:6" ht="22.5" x14ac:dyDescent="0.2">
      <c r="A3246" s="65" t="s">
        <v>9280</v>
      </c>
      <c r="B3246" s="65" t="s">
        <v>9281</v>
      </c>
      <c r="C3246" s="67" t="s">
        <v>221</v>
      </c>
      <c r="D3246" s="69" t="s">
        <v>9282</v>
      </c>
      <c r="E3246" s="69" t="s">
        <v>340</v>
      </c>
      <c r="F3246" s="69" t="s">
        <v>9283</v>
      </c>
    </row>
    <row r="3247" spans="1:6" ht="22.5" x14ac:dyDescent="0.2">
      <c r="A3247" s="65" t="s">
        <v>9284</v>
      </c>
      <c r="B3247" s="65" t="s">
        <v>9285</v>
      </c>
      <c r="C3247" s="67" t="s">
        <v>221</v>
      </c>
      <c r="D3247" s="69" t="s">
        <v>9286</v>
      </c>
      <c r="E3247" s="69" t="s">
        <v>414</v>
      </c>
      <c r="F3247" s="69" t="s">
        <v>9287</v>
      </c>
    </row>
    <row r="3248" spans="1:6" ht="22.5" x14ac:dyDescent="0.2">
      <c r="A3248" s="65" t="s">
        <v>9288</v>
      </c>
      <c r="B3248" s="65" t="s">
        <v>9289</v>
      </c>
      <c r="C3248" s="67" t="s">
        <v>221</v>
      </c>
      <c r="D3248" s="69" t="s">
        <v>9290</v>
      </c>
      <c r="E3248" s="69" t="s">
        <v>9291</v>
      </c>
      <c r="F3248" s="69" t="s">
        <v>9292</v>
      </c>
    </row>
    <row r="3249" spans="1:6" ht="22.5" x14ac:dyDescent="0.2">
      <c r="A3249" s="65" t="s">
        <v>9293</v>
      </c>
      <c r="B3249" s="65" t="s">
        <v>9294</v>
      </c>
      <c r="C3249" s="67" t="s">
        <v>221</v>
      </c>
      <c r="D3249" s="69" t="s">
        <v>9295</v>
      </c>
      <c r="E3249" s="69" t="s">
        <v>363</v>
      </c>
      <c r="F3249" s="69" t="s">
        <v>9296</v>
      </c>
    </row>
    <row r="3250" spans="1:6" ht="22.5" x14ac:dyDescent="0.2">
      <c r="A3250" s="65" t="s">
        <v>9297</v>
      </c>
      <c r="B3250" s="65" t="s">
        <v>9298</v>
      </c>
      <c r="C3250" s="67" t="s">
        <v>221</v>
      </c>
      <c r="D3250" s="69" t="s">
        <v>9299</v>
      </c>
      <c r="E3250" s="69" t="s">
        <v>271</v>
      </c>
      <c r="F3250" s="69" t="s">
        <v>9300</v>
      </c>
    </row>
    <row r="3251" spans="1:6" ht="22.5" x14ac:dyDescent="0.2">
      <c r="A3251" s="50">
        <v>46.26</v>
      </c>
      <c r="B3251" s="64" t="s">
        <v>9301</v>
      </c>
      <c r="C3251" s="47"/>
      <c r="D3251" s="47"/>
      <c r="E3251" s="47"/>
      <c r="F3251" s="47"/>
    </row>
    <row r="3252" spans="1:6" ht="33.75" x14ac:dyDescent="0.2">
      <c r="A3252" s="65" t="s">
        <v>9302</v>
      </c>
      <c r="B3252" s="65" t="s">
        <v>9303</v>
      </c>
      <c r="C3252" s="67" t="s">
        <v>221</v>
      </c>
      <c r="D3252" s="69" t="s">
        <v>9304</v>
      </c>
      <c r="E3252" s="69" t="s">
        <v>319</v>
      </c>
      <c r="F3252" s="69" t="s">
        <v>9305</v>
      </c>
    </row>
    <row r="3253" spans="1:6" ht="33.75" x14ac:dyDescent="0.2">
      <c r="A3253" s="65" t="s">
        <v>9306</v>
      </c>
      <c r="B3253" s="65" t="s">
        <v>9307</v>
      </c>
      <c r="C3253" s="67" t="s">
        <v>221</v>
      </c>
      <c r="D3253" s="69" t="s">
        <v>9308</v>
      </c>
      <c r="E3253" s="69" t="s">
        <v>319</v>
      </c>
      <c r="F3253" s="69" t="s">
        <v>9309</v>
      </c>
    </row>
    <row r="3254" spans="1:6" ht="33.75" x14ac:dyDescent="0.2">
      <c r="A3254" s="65" t="s">
        <v>9310</v>
      </c>
      <c r="B3254" s="65" t="s">
        <v>9311</v>
      </c>
      <c r="C3254" s="67" t="s">
        <v>221</v>
      </c>
      <c r="D3254" s="69" t="s">
        <v>9312</v>
      </c>
      <c r="E3254" s="69" t="s">
        <v>335</v>
      </c>
      <c r="F3254" s="69" t="s">
        <v>5770</v>
      </c>
    </row>
    <row r="3255" spans="1:6" ht="33.75" x14ac:dyDescent="0.2">
      <c r="A3255" s="65" t="s">
        <v>9313</v>
      </c>
      <c r="B3255" s="65" t="s">
        <v>9314</v>
      </c>
      <c r="C3255" s="67" t="s">
        <v>221</v>
      </c>
      <c r="D3255" s="69" t="s">
        <v>9315</v>
      </c>
      <c r="E3255" s="69" t="s">
        <v>335</v>
      </c>
      <c r="F3255" s="69" t="s">
        <v>9316</v>
      </c>
    </row>
    <row r="3256" spans="1:6" ht="33.75" x14ac:dyDescent="0.2">
      <c r="A3256" s="65" t="s">
        <v>9317</v>
      </c>
      <c r="B3256" s="65" t="s">
        <v>9318</v>
      </c>
      <c r="C3256" s="67" t="s">
        <v>221</v>
      </c>
      <c r="D3256" s="69" t="s">
        <v>9319</v>
      </c>
      <c r="E3256" s="69" t="s">
        <v>335</v>
      </c>
      <c r="F3256" s="69" t="s">
        <v>9320</v>
      </c>
    </row>
    <row r="3257" spans="1:6" ht="45" x14ac:dyDescent="0.2">
      <c r="A3257" s="65" t="s">
        <v>9321</v>
      </c>
      <c r="B3257" s="66" t="s">
        <v>9322</v>
      </c>
      <c r="C3257" s="67" t="s">
        <v>203</v>
      </c>
      <c r="D3257" s="69" t="s">
        <v>9323</v>
      </c>
      <c r="E3257" s="69" t="s">
        <v>318</v>
      </c>
      <c r="F3257" s="69" t="s">
        <v>9324</v>
      </c>
    </row>
    <row r="3258" spans="1:6" ht="45" x14ac:dyDescent="0.2">
      <c r="A3258" s="65" t="s">
        <v>9325</v>
      </c>
      <c r="B3258" s="66" t="s">
        <v>9326</v>
      </c>
      <c r="C3258" s="67" t="s">
        <v>203</v>
      </c>
      <c r="D3258" s="69" t="s">
        <v>5457</v>
      </c>
      <c r="E3258" s="69" t="s">
        <v>318</v>
      </c>
      <c r="F3258" s="69" t="s">
        <v>9327</v>
      </c>
    </row>
    <row r="3259" spans="1:6" ht="45" x14ac:dyDescent="0.2">
      <c r="A3259" s="65" t="s">
        <v>9328</v>
      </c>
      <c r="B3259" s="66" t="s">
        <v>9329</v>
      </c>
      <c r="C3259" s="67" t="s">
        <v>203</v>
      </c>
      <c r="D3259" s="69" t="s">
        <v>9330</v>
      </c>
      <c r="E3259" s="69" t="s">
        <v>319</v>
      </c>
      <c r="F3259" s="69" t="s">
        <v>9331</v>
      </c>
    </row>
    <row r="3260" spans="1:6" ht="45" x14ac:dyDescent="0.2">
      <c r="A3260" s="65" t="s">
        <v>9332</v>
      </c>
      <c r="B3260" s="66" t="s">
        <v>9333</v>
      </c>
      <c r="C3260" s="67" t="s">
        <v>203</v>
      </c>
      <c r="D3260" s="69" t="s">
        <v>9334</v>
      </c>
      <c r="E3260" s="69" t="s">
        <v>319</v>
      </c>
      <c r="F3260" s="69" t="s">
        <v>9335</v>
      </c>
    </row>
    <row r="3261" spans="1:6" ht="45" x14ac:dyDescent="0.2">
      <c r="A3261" s="65" t="s">
        <v>9336</v>
      </c>
      <c r="B3261" s="66" t="s">
        <v>9337</v>
      </c>
      <c r="C3261" s="67" t="s">
        <v>203</v>
      </c>
      <c r="D3261" s="69" t="s">
        <v>9338</v>
      </c>
      <c r="E3261" s="69" t="s">
        <v>319</v>
      </c>
      <c r="F3261" s="69" t="s">
        <v>9339</v>
      </c>
    </row>
    <row r="3262" spans="1:6" ht="45" x14ac:dyDescent="0.2">
      <c r="A3262" s="65" t="s">
        <v>9340</v>
      </c>
      <c r="B3262" s="66" t="s">
        <v>9341</v>
      </c>
      <c r="C3262" s="67" t="s">
        <v>240</v>
      </c>
      <c r="D3262" s="69" t="s">
        <v>9342</v>
      </c>
      <c r="E3262" s="69" t="s">
        <v>318</v>
      </c>
      <c r="F3262" s="69" t="s">
        <v>9343</v>
      </c>
    </row>
    <row r="3263" spans="1:6" ht="45" x14ac:dyDescent="0.2">
      <c r="A3263" s="65" t="s">
        <v>9344</v>
      </c>
      <c r="B3263" s="66" t="s">
        <v>9345</v>
      </c>
      <c r="C3263" s="67" t="s">
        <v>240</v>
      </c>
      <c r="D3263" s="69" t="s">
        <v>9346</v>
      </c>
      <c r="E3263" s="69" t="s">
        <v>318</v>
      </c>
      <c r="F3263" s="69" t="s">
        <v>9347</v>
      </c>
    </row>
    <row r="3264" spans="1:6" ht="45" x14ac:dyDescent="0.2">
      <c r="A3264" s="65" t="s">
        <v>9348</v>
      </c>
      <c r="B3264" s="66" t="s">
        <v>9349</v>
      </c>
      <c r="C3264" s="67" t="s">
        <v>240</v>
      </c>
      <c r="D3264" s="69" t="s">
        <v>9350</v>
      </c>
      <c r="E3264" s="69" t="s">
        <v>319</v>
      </c>
      <c r="F3264" s="69" t="s">
        <v>9351</v>
      </c>
    </row>
    <row r="3265" spans="1:6" ht="45" x14ac:dyDescent="0.2">
      <c r="A3265" s="65" t="s">
        <v>9352</v>
      </c>
      <c r="B3265" s="66" t="s">
        <v>9353</v>
      </c>
      <c r="C3265" s="67" t="s">
        <v>240</v>
      </c>
      <c r="D3265" s="69" t="s">
        <v>9354</v>
      </c>
      <c r="E3265" s="69" t="s">
        <v>319</v>
      </c>
      <c r="F3265" s="69" t="s">
        <v>9355</v>
      </c>
    </row>
    <row r="3266" spans="1:6" ht="45" x14ac:dyDescent="0.2">
      <c r="A3266" s="65" t="s">
        <v>9356</v>
      </c>
      <c r="B3266" s="66" t="s">
        <v>9357</v>
      </c>
      <c r="C3266" s="67" t="s">
        <v>240</v>
      </c>
      <c r="D3266" s="69" t="s">
        <v>9358</v>
      </c>
      <c r="E3266" s="69" t="s">
        <v>319</v>
      </c>
      <c r="F3266" s="69" t="s">
        <v>4156</v>
      </c>
    </row>
    <row r="3267" spans="1:6" ht="45" x14ac:dyDescent="0.2">
      <c r="A3267" s="65" t="s">
        <v>9359</v>
      </c>
      <c r="B3267" s="66" t="s">
        <v>9360</v>
      </c>
      <c r="C3267" s="67" t="s">
        <v>240</v>
      </c>
      <c r="D3267" s="69" t="s">
        <v>9361</v>
      </c>
      <c r="E3267" s="69" t="s">
        <v>319</v>
      </c>
      <c r="F3267" s="69" t="s">
        <v>9362</v>
      </c>
    </row>
    <row r="3268" spans="1:6" ht="33.75" x14ac:dyDescent="0.2">
      <c r="A3268" s="65" t="s">
        <v>9363</v>
      </c>
      <c r="B3268" s="65" t="s">
        <v>9364</v>
      </c>
      <c r="C3268" s="67" t="s">
        <v>221</v>
      </c>
      <c r="D3268" s="69" t="s">
        <v>9365</v>
      </c>
      <c r="E3268" s="69" t="s">
        <v>335</v>
      </c>
      <c r="F3268" s="69" t="s">
        <v>9366</v>
      </c>
    </row>
    <row r="3269" spans="1:6" ht="33.75" x14ac:dyDescent="0.2">
      <c r="A3269" s="65" t="s">
        <v>9367</v>
      </c>
      <c r="B3269" s="65" t="s">
        <v>9368</v>
      </c>
      <c r="C3269" s="67" t="s">
        <v>221</v>
      </c>
      <c r="D3269" s="69" t="s">
        <v>9369</v>
      </c>
      <c r="E3269" s="69" t="s">
        <v>335</v>
      </c>
      <c r="F3269" s="69" t="s">
        <v>9370</v>
      </c>
    </row>
    <row r="3270" spans="1:6" ht="22.5" x14ac:dyDescent="0.2">
      <c r="A3270" s="65" t="s">
        <v>9371</v>
      </c>
      <c r="B3270" s="65" t="s">
        <v>9372</v>
      </c>
      <c r="C3270" s="67" t="s">
        <v>203</v>
      </c>
      <c r="D3270" s="69" t="s">
        <v>9373</v>
      </c>
      <c r="E3270" s="69" t="s">
        <v>318</v>
      </c>
      <c r="F3270" s="69" t="s">
        <v>9374</v>
      </c>
    </row>
    <row r="3271" spans="1:6" ht="22.5" x14ac:dyDescent="0.2">
      <c r="A3271" s="65" t="s">
        <v>9375</v>
      </c>
      <c r="B3271" s="65" t="s">
        <v>9376</v>
      </c>
      <c r="C3271" s="67" t="s">
        <v>203</v>
      </c>
      <c r="D3271" s="69" t="s">
        <v>9377</v>
      </c>
      <c r="E3271" s="69" t="s">
        <v>318</v>
      </c>
      <c r="F3271" s="69" t="s">
        <v>9378</v>
      </c>
    </row>
    <row r="3272" spans="1:6" ht="22.5" x14ac:dyDescent="0.2">
      <c r="A3272" s="65" t="s">
        <v>9379</v>
      </c>
      <c r="B3272" s="65" t="s">
        <v>9380</v>
      </c>
      <c r="C3272" s="67" t="s">
        <v>203</v>
      </c>
      <c r="D3272" s="69" t="s">
        <v>9381</v>
      </c>
      <c r="E3272" s="69" t="s">
        <v>319</v>
      </c>
      <c r="F3272" s="69" t="s">
        <v>9382</v>
      </c>
    </row>
    <row r="3273" spans="1:6" ht="22.5" x14ac:dyDescent="0.2">
      <c r="A3273" s="65" t="s">
        <v>9383</v>
      </c>
      <c r="B3273" s="65" t="s">
        <v>9384</v>
      </c>
      <c r="C3273" s="67" t="s">
        <v>203</v>
      </c>
      <c r="D3273" s="69" t="s">
        <v>8234</v>
      </c>
      <c r="E3273" s="69" t="s">
        <v>319</v>
      </c>
      <c r="F3273" s="69" t="s">
        <v>9385</v>
      </c>
    </row>
    <row r="3274" spans="1:6" ht="22.5" x14ac:dyDescent="0.2">
      <c r="A3274" s="65" t="s">
        <v>9386</v>
      </c>
      <c r="B3274" s="65" t="s">
        <v>9387</v>
      </c>
      <c r="C3274" s="67" t="s">
        <v>203</v>
      </c>
      <c r="D3274" s="69" t="s">
        <v>258</v>
      </c>
      <c r="E3274" s="69" t="s">
        <v>319</v>
      </c>
      <c r="F3274" s="69" t="s">
        <v>9388</v>
      </c>
    </row>
    <row r="3275" spans="1:6" ht="22.5" x14ac:dyDescent="0.2">
      <c r="A3275" s="65" t="s">
        <v>9389</v>
      </c>
      <c r="B3275" s="65" t="s">
        <v>9390</v>
      </c>
      <c r="C3275" s="67" t="s">
        <v>203</v>
      </c>
      <c r="D3275" s="69" t="s">
        <v>9391</v>
      </c>
      <c r="E3275" s="69" t="s">
        <v>319</v>
      </c>
      <c r="F3275" s="69" t="s">
        <v>9392</v>
      </c>
    </row>
    <row r="3276" spans="1:6" ht="22.5" x14ac:dyDescent="0.2">
      <c r="A3276" s="65" t="s">
        <v>9393</v>
      </c>
      <c r="B3276" s="65" t="s">
        <v>9394</v>
      </c>
      <c r="C3276" s="74" t="s">
        <v>203</v>
      </c>
      <c r="D3276" s="69" t="s">
        <v>9395</v>
      </c>
      <c r="E3276" s="69" t="s">
        <v>318</v>
      </c>
      <c r="F3276" s="69" t="s">
        <v>9396</v>
      </c>
    </row>
    <row r="3277" spans="1:6" ht="22.5" x14ac:dyDescent="0.2">
      <c r="A3277" s="65" t="s">
        <v>9397</v>
      </c>
      <c r="B3277" s="65" t="s">
        <v>9398</v>
      </c>
      <c r="C3277" s="74" t="s">
        <v>203</v>
      </c>
      <c r="D3277" s="69" t="s">
        <v>8630</v>
      </c>
      <c r="E3277" s="69" t="s">
        <v>318</v>
      </c>
      <c r="F3277" s="69" t="s">
        <v>9399</v>
      </c>
    </row>
    <row r="3278" spans="1:6" ht="22.5" x14ac:dyDescent="0.2">
      <c r="A3278" s="65" t="s">
        <v>9400</v>
      </c>
      <c r="B3278" s="65" t="s">
        <v>9401</v>
      </c>
      <c r="C3278" s="74" t="s">
        <v>203</v>
      </c>
      <c r="D3278" s="69" t="s">
        <v>9402</v>
      </c>
      <c r="E3278" s="69" t="s">
        <v>319</v>
      </c>
      <c r="F3278" s="69" t="s">
        <v>9403</v>
      </c>
    </row>
    <row r="3279" spans="1:6" ht="22.5" x14ac:dyDescent="0.2">
      <c r="A3279" s="65" t="s">
        <v>9404</v>
      </c>
      <c r="B3279" s="65" t="s">
        <v>9405</v>
      </c>
      <c r="C3279" s="74" t="s">
        <v>203</v>
      </c>
      <c r="D3279" s="69" t="s">
        <v>9406</v>
      </c>
      <c r="E3279" s="69" t="s">
        <v>319</v>
      </c>
      <c r="F3279" s="69" t="s">
        <v>9407</v>
      </c>
    </row>
    <row r="3280" spans="1:6" ht="22.5" x14ac:dyDescent="0.2">
      <c r="A3280" s="65" t="s">
        <v>9408</v>
      </c>
      <c r="B3280" s="65" t="s">
        <v>9409</v>
      </c>
      <c r="C3280" s="74" t="s">
        <v>203</v>
      </c>
      <c r="D3280" s="69" t="s">
        <v>9410</v>
      </c>
      <c r="E3280" s="69" t="s">
        <v>319</v>
      </c>
      <c r="F3280" s="69" t="s">
        <v>9411</v>
      </c>
    </row>
    <row r="3281" spans="1:6" ht="22.5" x14ac:dyDescent="0.2">
      <c r="A3281" s="65" t="s">
        <v>9412</v>
      </c>
      <c r="B3281" s="65" t="s">
        <v>9413</v>
      </c>
      <c r="C3281" s="74" t="s">
        <v>203</v>
      </c>
      <c r="D3281" s="69" t="s">
        <v>9414</v>
      </c>
      <c r="E3281" s="69" t="s">
        <v>318</v>
      </c>
      <c r="F3281" s="69" t="s">
        <v>9415</v>
      </c>
    </row>
    <row r="3282" spans="1:6" ht="22.5" x14ac:dyDescent="0.2">
      <c r="A3282" s="65" t="s">
        <v>9416</v>
      </c>
      <c r="B3282" s="65" t="s">
        <v>9417</v>
      </c>
      <c r="C3282" s="74" t="s">
        <v>203</v>
      </c>
      <c r="D3282" s="69" t="s">
        <v>9418</v>
      </c>
      <c r="E3282" s="69" t="s">
        <v>318</v>
      </c>
      <c r="F3282" s="69" t="s">
        <v>9419</v>
      </c>
    </row>
    <row r="3283" spans="1:6" ht="22.5" x14ac:dyDescent="0.2">
      <c r="A3283" s="65" t="s">
        <v>9420</v>
      </c>
      <c r="B3283" s="65" t="s">
        <v>9421</v>
      </c>
      <c r="C3283" s="74" t="s">
        <v>203</v>
      </c>
      <c r="D3283" s="69" t="s">
        <v>9422</v>
      </c>
      <c r="E3283" s="69" t="s">
        <v>318</v>
      </c>
      <c r="F3283" s="69" t="s">
        <v>9423</v>
      </c>
    </row>
    <row r="3284" spans="1:6" ht="22.5" x14ac:dyDescent="0.2">
      <c r="A3284" s="65" t="s">
        <v>9424</v>
      </c>
      <c r="B3284" s="65" t="s">
        <v>9425</v>
      </c>
      <c r="C3284" s="74" t="s">
        <v>203</v>
      </c>
      <c r="D3284" s="69" t="s">
        <v>9184</v>
      </c>
      <c r="E3284" s="69" t="s">
        <v>319</v>
      </c>
      <c r="F3284" s="69" t="s">
        <v>9426</v>
      </c>
    </row>
    <row r="3285" spans="1:6" ht="22.5" x14ac:dyDescent="0.2">
      <c r="A3285" s="65" t="s">
        <v>9427</v>
      </c>
      <c r="B3285" s="65" t="s">
        <v>9428</v>
      </c>
      <c r="C3285" s="74" t="s">
        <v>203</v>
      </c>
      <c r="D3285" s="69" t="s">
        <v>9429</v>
      </c>
      <c r="E3285" s="69" t="s">
        <v>319</v>
      </c>
      <c r="F3285" s="69" t="s">
        <v>9430</v>
      </c>
    </row>
    <row r="3286" spans="1:6" ht="22.5" x14ac:dyDescent="0.2">
      <c r="A3286" s="65" t="s">
        <v>9431</v>
      </c>
      <c r="B3286" s="65" t="s">
        <v>9432</v>
      </c>
      <c r="C3286" s="74" t="s">
        <v>203</v>
      </c>
      <c r="D3286" s="69" t="s">
        <v>9433</v>
      </c>
      <c r="E3286" s="69" t="s">
        <v>319</v>
      </c>
      <c r="F3286" s="69" t="s">
        <v>9434</v>
      </c>
    </row>
    <row r="3287" spans="1:6" ht="45" x14ac:dyDescent="0.2">
      <c r="A3287" s="65" t="s">
        <v>9435</v>
      </c>
      <c r="B3287" s="66" t="s">
        <v>9436</v>
      </c>
      <c r="C3287" s="74" t="s">
        <v>203</v>
      </c>
      <c r="D3287" s="69" t="s">
        <v>9437</v>
      </c>
      <c r="E3287" s="69" t="s">
        <v>319</v>
      </c>
      <c r="F3287" s="69" t="s">
        <v>9438</v>
      </c>
    </row>
    <row r="3288" spans="1:6" ht="45" x14ac:dyDescent="0.2">
      <c r="A3288" s="65" t="s">
        <v>9439</v>
      </c>
      <c r="B3288" s="66" t="s">
        <v>9440</v>
      </c>
      <c r="C3288" s="74" t="s">
        <v>203</v>
      </c>
      <c r="D3288" s="69" t="s">
        <v>9441</v>
      </c>
      <c r="E3288" s="69" t="s">
        <v>319</v>
      </c>
      <c r="F3288" s="69" t="s">
        <v>9442</v>
      </c>
    </row>
    <row r="3289" spans="1:6" ht="33.75" x14ac:dyDescent="0.2">
      <c r="A3289" s="65" t="s">
        <v>9443</v>
      </c>
      <c r="B3289" s="65" t="s">
        <v>9444</v>
      </c>
      <c r="C3289" s="74" t="s">
        <v>203</v>
      </c>
      <c r="D3289" s="69" t="s">
        <v>9445</v>
      </c>
      <c r="E3289" s="69" t="s">
        <v>318</v>
      </c>
      <c r="F3289" s="69" t="s">
        <v>9446</v>
      </c>
    </row>
    <row r="3290" spans="1:6" ht="33.75" x14ac:dyDescent="0.2">
      <c r="A3290" s="65" t="s">
        <v>9447</v>
      </c>
      <c r="B3290" s="65" t="s">
        <v>9448</v>
      </c>
      <c r="C3290" s="74" t="s">
        <v>203</v>
      </c>
      <c r="D3290" s="69" t="s">
        <v>9449</v>
      </c>
      <c r="E3290" s="69" t="s">
        <v>319</v>
      </c>
      <c r="F3290" s="69" t="s">
        <v>9450</v>
      </c>
    </row>
    <row r="3291" spans="1:6" ht="33.75" x14ac:dyDescent="0.2">
      <c r="A3291" s="65" t="s">
        <v>9451</v>
      </c>
      <c r="B3291" s="65" t="s">
        <v>9452</v>
      </c>
      <c r="C3291" s="74" t="s">
        <v>203</v>
      </c>
      <c r="D3291" s="69" t="s">
        <v>9453</v>
      </c>
      <c r="E3291" s="69" t="s">
        <v>319</v>
      </c>
      <c r="F3291" s="69" t="s">
        <v>9454</v>
      </c>
    </row>
    <row r="3292" spans="1:6" ht="33.75" x14ac:dyDescent="0.2">
      <c r="A3292" s="65" t="s">
        <v>9455</v>
      </c>
      <c r="B3292" s="65" t="s">
        <v>9456</v>
      </c>
      <c r="C3292" s="74" t="s">
        <v>203</v>
      </c>
      <c r="D3292" s="69" t="s">
        <v>9457</v>
      </c>
      <c r="E3292" s="69" t="s">
        <v>319</v>
      </c>
      <c r="F3292" s="69" t="s">
        <v>9458</v>
      </c>
    </row>
    <row r="3293" spans="1:6" ht="33.75" x14ac:dyDescent="0.2">
      <c r="A3293" s="65" t="s">
        <v>9459</v>
      </c>
      <c r="B3293" s="65" t="s">
        <v>9460</v>
      </c>
      <c r="C3293" s="74" t="s">
        <v>203</v>
      </c>
      <c r="D3293" s="69" t="s">
        <v>9461</v>
      </c>
      <c r="E3293" s="69" t="s">
        <v>319</v>
      </c>
      <c r="F3293" s="69" t="s">
        <v>9462</v>
      </c>
    </row>
    <row r="3294" spans="1:6" ht="33.75" x14ac:dyDescent="0.2">
      <c r="A3294" s="65" t="s">
        <v>9463</v>
      </c>
      <c r="B3294" s="65" t="s">
        <v>9464</v>
      </c>
      <c r="C3294" s="74" t="s">
        <v>203</v>
      </c>
      <c r="D3294" s="69" t="s">
        <v>9465</v>
      </c>
      <c r="E3294" s="69" t="s">
        <v>319</v>
      </c>
      <c r="F3294" s="69" t="s">
        <v>9466</v>
      </c>
    </row>
    <row r="3295" spans="1:6" ht="33.75" x14ac:dyDescent="0.2">
      <c r="A3295" s="65" t="s">
        <v>9467</v>
      </c>
      <c r="B3295" s="65" t="s">
        <v>9468</v>
      </c>
      <c r="C3295" s="74" t="s">
        <v>203</v>
      </c>
      <c r="D3295" s="69" t="s">
        <v>9469</v>
      </c>
      <c r="E3295" s="69" t="s">
        <v>319</v>
      </c>
      <c r="F3295" s="69" t="s">
        <v>9470</v>
      </c>
    </row>
    <row r="3296" spans="1:6" ht="33.75" x14ac:dyDescent="0.2">
      <c r="A3296" s="65" t="s">
        <v>9471</v>
      </c>
      <c r="B3296" s="65" t="s">
        <v>9472</v>
      </c>
      <c r="C3296" s="74" t="s">
        <v>203</v>
      </c>
      <c r="D3296" s="69" t="s">
        <v>9473</v>
      </c>
      <c r="E3296" s="69" t="s">
        <v>319</v>
      </c>
      <c r="F3296" s="69" t="s">
        <v>9474</v>
      </c>
    </row>
    <row r="3297" spans="1:6" ht="33.75" x14ac:dyDescent="0.2">
      <c r="A3297" s="65" t="s">
        <v>9475</v>
      </c>
      <c r="B3297" s="65" t="s">
        <v>9476</v>
      </c>
      <c r="C3297" s="74" t="s">
        <v>203</v>
      </c>
      <c r="D3297" s="69" t="s">
        <v>9477</v>
      </c>
      <c r="E3297" s="69" t="s">
        <v>319</v>
      </c>
      <c r="F3297" s="69" t="s">
        <v>9478</v>
      </c>
    </row>
    <row r="3298" spans="1:6" ht="22.5" x14ac:dyDescent="0.2">
      <c r="A3298" s="65" t="s">
        <v>9479</v>
      </c>
      <c r="B3298" s="65" t="s">
        <v>9480</v>
      </c>
      <c r="C3298" s="74" t="s">
        <v>203</v>
      </c>
      <c r="D3298" s="69" t="s">
        <v>9481</v>
      </c>
      <c r="E3298" s="69" t="s">
        <v>318</v>
      </c>
      <c r="F3298" s="69" t="s">
        <v>9482</v>
      </c>
    </row>
    <row r="3299" spans="1:6" ht="22.5" x14ac:dyDescent="0.2">
      <c r="A3299" s="65" t="s">
        <v>9483</v>
      </c>
      <c r="B3299" s="65" t="s">
        <v>9484</v>
      </c>
      <c r="C3299" s="74" t="s">
        <v>203</v>
      </c>
      <c r="D3299" s="69" t="s">
        <v>9485</v>
      </c>
      <c r="E3299" s="69" t="s">
        <v>319</v>
      </c>
      <c r="F3299" s="69" t="s">
        <v>9486</v>
      </c>
    </row>
    <row r="3300" spans="1:6" ht="22.5" x14ac:dyDescent="0.2">
      <c r="A3300" s="65" t="s">
        <v>9487</v>
      </c>
      <c r="B3300" s="65" t="s">
        <v>9488</v>
      </c>
      <c r="C3300" s="74" t="s">
        <v>203</v>
      </c>
      <c r="D3300" s="69" t="s">
        <v>9489</v>
      </c>
      <c r="E3300" s="69" t="s">
        <v>319</v>
      </c>
      <c r="F3300" s="69" t="s">
        <v>9490</v>
      </c>
    </row>
    <row r="3301" spans="1:6" ht="22.5" x14ac:dyDescent="0.2">
      <c r="A3301" s="65" t="s">
        <v>9491</v>
      </c>
      <c r="B3301" s="65" t="s">
        <v>9492</v>
      </c>
      <c r="C3301" s="74" t="s">
        <v>203</v>
      </c>
      <c r="D3301" s="69" t="s">
        <v>9493</v>
      </c>
      <c r="E3301" s="69" t="s">
        <v>319</v>
      </c>
      <c r="F3301" s="69" t="s">
        <v>9494</v>
      </c>
    </row>
    <row r="3302" spans="1:6" ht="22.5" x14ac:dyDescent="0.2">
      <c r="A3302" s="65" t="s">
        <v>9495</v>
      </c>
      <c r="B3302" s="65" t="s">
        <v>9496</v>
      </c>
      <c r="C3302" s="74" t="s">
        <v>203</v>
      </c>
      <c r="D3302" s="69" t="s">
        <v>9497</v>
      </c>
      <c r="E3302" s="69" t="s">
        <v>319</v>
      </c>
      <c r="F3302" s="69" t="s">
        <v>9498</v>
      </c>
    </row>
    <row r="3303" spans="1:6" ht="56.25" x14ac:dyDescent="0.2">
      <c r="A3303" s="70" t="s">
        <v>9499</v>
      </c>
      <c r="B3303" s="65" t="s">
        <v>9500</v>
      </c>
      <c r="C3303" s="75" t="s">
        <v>203</v>
      </c>
      <c r="D3303" s="72" t="s">
        <v>9501</v>
      </c>
      <c r="E3303" s="72" t="s">
        <v>318</v>
      </c>
      <c r="F3303" s="72" t="s">
        <v>9502</v>
      </c>
    </row>
    <row r="3304" spans="1:6" ht="56.25" x14ac:dyDescent="0.2">
      <c r="A3304" s="70" t="s">
        <v>9503</v>
      </c>
      <c r="B3304" s="65" t="s">
        <v>9504</v>
      </c>
      <c r="C3304" s="75" t="s">
        <v>203</v>
      </c>
      <c r="D3304" s="72" t="s">
        <v>9505</v>
      </c>
      <c r="E3304" s="72" t="s">
        <v>318</v>
      </c>
      <c r="F3304" s="72" t="s">
        <v>9506</v>
      </c>
    </row>
    <row r="3305" spans="1:6" ht="56.25" x14ac:dyDescent="0.2">
      <c r="A3305" s="70" t="s">
        <v>9507</v>
      </c>
      <c r="B3305" s="65" t="s">
        <v>9508</v>
      </c>
      <c r="C3305" s="75" t="s">
        <v>203</v>
      </c>
      <c r="D3305" s="72" t="s">
        <v>9509</v>
      </c>
      <c r="E3305" s="72" t="s">
        <v>319</v>
      </c>
      <c r="F3305" s="72" t="s">
        <v>9510</v>
      </c>
    </row>
    <row r="3306" spans="1:6" ht="56.25" x14ac:dyDescent="0.2">
      <c r="A3306" s="70" t="s">
        <v>9511</v>
      </c>
      <c r="B3306" s="65" t="s">
        <v>9512</v>
      </c>
      <c r="C3306" s="75" t="s">
        <v>203</v>
      </c>
      <c r="D3306" s="72" t="s">
        <v>9513</v>
      </c>
      <c r="E3306" s="72" t="s">
        <v>319</v>
      </c>
      <c r="F3306" s="72" t="s">
        <v>9514</v>
      </c>
    </row>
    <row r="3307" spans="1:6" ht="33.75" x14ac:dyDescent="0.2">
      <c r="A3307" s="65" t="s">
        <v>9515</v>
      </c>
      <c r="B3307" s="65" t="s">
        <v>9516</v>
      </c>
      <c r="C3307" s="74" t="s">
        <v>203</v>
      </c>
      <c r="D3307" s="69" t="s">
        <v>9517</v>
      </c>
      <c r="E3307" s="69" t="s">
        <v>319</v>
      </c>
      <c r="F3307" s="69" t="s">
        <v>9518</v>
      </c>
    </row>
    <row r="3308" spans="1:6" ht="33.75" x14ac:dyDescent="0.2">
      <c r="A3308" s="65" t="s">
        <v>9519</v>
      </c>
      <c r="B3308" s="65" t="s">
        <v>9520</v>
      </c>
      <c r="C3308" s="74" t="s">
        <v>203</v>
      </c>
      <c r="D3308" s="69" t="s">
        <v>9521</v>
      </c>
      <c r="E3308" s="69" t="s">
        <v>319</v>
      </c>
      <c r="F3308" s="69" t="s">
        <v>9522</v>
      </c>
    </row>
    <row r="3309" spans="1:6" ht="22.5" x14ac:dyDescent="0.2">
      <c r="A3309" s="65" t="s">
        <v>9523</v>
      </c>
      <c r="B3309" s="65" t="s">
        <v>9524</v>
      </c>
      <c r="C3309" s="74" t="s">
        <v>203</v>
      </c>
      <c r="D3309" s="69" t="s">
        <v>9525</v>
      </c>
      <c r="E3309" s="69" t="s">
        <v>319</v>
      </c>
      <c r="F3309" s="69" t="s">
        <v>9526</v>
      </c>
    </row>
    <row r="3310" spans="1:6" ht="22.5" x14ac:dyDescent="0.2">
      <c r="A3310" s="65" t="s">
        <v>9527</v>
      </c>
      <c r="B3310" s="65" t="s">
        <v>9528</v>
      </c>
      <c r="C3310" s="74" t="s">
        <v>203</v>
      </c>
      <c r="D3310" s="69" t="s">
        <v>9529</v>
      </c>
      <c r="E3310" s="69" t="s">
        <v>319</v>
      </c>
      <c r="F3310" s="69" t="s">
        <v>9530</v>
      </c>
    </row>
    <row r="3311" spans="1:6" ht="22.5" x14ac:dyDescent="0.2">
      <c r="A3311" s="65" t="s">
        <v>9531</v>
      </c>
      <c r="B3311" s="65" t="s">
        <v>9532</v>
      </c>
      <c r="C3311" s="74" t="s">
        <v>203</v>
      </c>
      <c r="D3311" s="69" t="s">
        <v>9533</v>
      </c>
      <c r="E3311" s="69" t="s">
        <v>319</v>
      </c>
      <c r="F3311" s="69" t="s">
        <v>9534</v>
      </c>
    </row>
    <row r="3312" spans="1:6" ht="22.5" x14ac:dyDescent="0.2">
      <c r="A3312" s="65" t="s">
        <v>9535</v>
      </c>
      <c r="B3312" s="65" t="s">
        <v>9536</v>
      </c>
      <c r="C3312" s="74" t="s">
        <v>203</v>
      </c>
      <c r="D3312" s="69" t="s">
        <v>9537</v>
      </c>
      <c r="E3312" s="69" t="s">
        <v>319</v>
      </c>
      <c r="F3312" s="69" t="s">
        <v>9538</v>
      </c>
    </row>
    <row r="3313" spans="1:6" ht="22.5" x14ac:dyDescent="0.2">
      <c r="A3313" s="50">
        <v>46.27</v>
      </c>
      <c r="B3313" s="64" t="s">
        <v>9539</v>
      </c>
      <c r="C3313" s="47"/>
      <c r="D3313" s="47"/>
      <c r="E3313" s="47"/>
      <c r="F3313" s="47"/>
    </row>
    <row r="3314" spans="1:6" ht="45" x14ac:dyDescent="0.2">
      <c r="A3314" s="65" t="s">
        <v>9540</v>
      </c>
      <c r="B3314" s="66" t="s">
        <v>9541</v>
      </c>
      <c r="C3314" s="67" t="s">
        <v>221</v>
      </c>
      <c r="D3314" s="69" t="s">
        <v>9542</v>
      </c>
      <c r="E3314" s="69" t="s">
        <v>9543</v>
      </c>
      <c r="F3314" s="69" t="s">
        <v>9544</v>
      </c>
    </row>
    <row r="3315" spans="1:6" ht="45" x14ac:dyDescent="0.2">
      <c r="A3315" s="65" t="s">
        <v>9545</v>
      </c>
      <c r="B3315" s="66" t="s">
        <v>9546</v>
      </c>
      <c r="C3315" s="67" t="s">
        <v>221</v>
      </c>
      <c r="D3315" s="69" t="s">
        <v>9547</v>
      </c>
      <c r="E3315" s="69" t="s">
        <v>9543</v>
      </c>
      <c r="F3315" s="69" t="s">
        <v>9548</v>
      </c>
    </row>
    <row r="3316" spans="1:6" ht="45" x14ac:dyDescent="0.2">
      <c r="A3316" s="65" t="s">
        <v>9549</v>
      </c>
      <c r="B3316" s="66" t="s">
        <v>9550</v>
      </c>
      <c r="C3316" s="67" t="s">
        <v>221</v>
      </c>
      <c r="D3316" s="69" t="s">
        <v>9551</v>
      </c>
      <c r="E3316" s="69" t="s">
        <v>9543</v>
      </c>
      <c r="F3316" s="69" t="s">
        <v>9552</v>
      </c>
    </row>
    <row r="3317" spans="1:6" ht="45" x14ac:dyDescent="0.2">
      <c r="A3317" s="65" t="s">
        <v>9553</v>
      </c>
      <c r="B3317" s="66" t="s">
        <v>9554</v>
      </c>
      <c r="C3317" s="67" t="s">
        <v>221</v>
      </c>
      <c r="D3317" s="69" t="s">
        <v>9555</v>
      </c>
      <c r="E3317" s="69" t="s">
        <v>324</v>
      </c>
      <c r="F3317" s="69" t="s">
        <v>9556</v>
      </c>
    </row>
    <row r="3318" spans="1:6" ht="45" x14ac:dyDescent="0.2">
      <c r="A3318" s="65" t="s">
        <v>9557</v>
      </c>
      <c r="B3318" s="66" t="s">
        <v>9558</v>
      </c>
      <c r="C3318" s="67" t="s">
        <v>221</v>
      </c>
      <c r="D3318" s="69" t="s">
        <v>1349</v>
      </c>
      <c r="E3318" s="69" t="s">
        <v>324</v>
      </c>
      <c r="F3318" s="69" t="s">
        <v>9559</v>
      </c>
    </row>
    <row r="3319" spans="1:6" ht="45" x14ac:dyDescent="0.2">
      <c r="A3319" s="65" t="s">
        <v>9560</v>
      </c>
      <c r="B3319" s="66" t="s">
        <v>9561</v>
      </c>
      <c r="C3319" s="67" t="s">
        <v>221</v>
      </c>
      <c r="D3319" s="69" t="s">
        <v>9562</v>
      </c>
      <c r="E3319" s="69" t="s">
        <v>324</v>
      </c>
      <c r="F3319" s="69" t="s">
        <v>6330</v>
      </c>
    </row>
    <row r="3320" spans="1:6" ht="45" x14ac:dyDescent="0.2">
      <c r="A3320" s="65" t="s">
        <v>9563</v>
      </c>
      <c r="B3320" s="66" t="s">
        <v>9564</v>
      </c>
      <c r="C3320" s="67" t="s">
        <v>221</v>
      </c>
      <c r="D3320" s="69" t="s">
        <v>9565</v>
      </c>
      <c r="E3320" s="69" t="s">
        <v>324</v>
      </c>
      <c r="F3320" s="69" t="s">
        <v>9566</v>
      </c>
    </row>
    <row r="3321" spans="1:6" ht="22.5" x14ac:dyDescent="0.2">
      <c r="A3321" s="50">
        <v>46.32</v>
      </c>
      <c r="B3321" s="64" t="s">
        <v>9567</v>
      </c>
      <c r="C3321" s="48"/>
      <c r="D3321" s="48"/>
      <c r="E3321" s="48"/>
      <c r="F3321" s="48"/>
    </row>
    <row r="3322" spans="1:6" ht="45" x14ac:dyDescent="0.2">
      <c r="A3322" s="65" t="s">
        <v>9568</v>
      </c>
      <c r="B3322" s="66" t="s">
        <v>9569</v>
      </c>
      <c r="C3322" s="67" t="s">
        <v>221</v>
      </c>
      <c r="D3322" s="69" t="s">
        <v>9570</v>
      </c>
      <c r="E3322" s="69" t="s">
        <v>6048</v>
      </c>
      <c r="F3322" s="69" t="s">
        <v>9571</v>
      </c>
    </row>
    <row r="3323" spans="1:6" ht="45" x14ac:dyDescent="0.2">
      <c r="A3323" s="65" t="s">
        <v>9572</v>
      </c>
      <c r="B3323" s="66" t="s">
        <v>9573</v>
      </c>
      <c r="C3323" s="67" t="s">
        <v>221</v>
      </c>
      <c r="D3323" s="69" t="s">
        <v>9574</v>
      </c>
      <c r="E3323" s="69" t="s">
        <v>6048</v>
      </c>
      <c r="F3323" s="69" t="s">
        <v>9219</v>
      </c>
    </row>
    <row r="3324" spans="1:6" ht="45" x14ac:dyDescent="0.2">
      <c r="A3324" s="65" t="s">
        <v>9575</v>
      </c>
      <c r="B3324" s="66" t="s">
        <v>9576</v>
      </c>
      <c r="C3324" s="67" t="s">
        <v>221</v>
      </c>
      <c r="D3324" s="69" t="s">
        <v>1299</v>
      </c>
      <c r="E3324" s="69" t="s">
        <v>6048</v>
      </c>
      <c r="F3324" s="69" t="s">
        <v>9577</v>
      </c>
    </row>
    <row r="3325" spans="1:6" ht="45" x14ac:dyDescent="0.2">
      <c r="A3325" s="65" t="s">
        <v>9578</v>
      </c>
      <c r="B3325" s="66" t="s">
        <v>9579</v>
      </c>
      <c r="C3325" s="67" t="s">
        <v>221</v>
      </c>
      <c r="D3325" s="69" t="s">
        <v>9580</v>
      </c>
      <c r="E3325" s="69" t="s">
        <v>6048</v>
      </c>
      <c r="F3325" s="69" t="s">
        <v>9581</v>
      </c>
    </row>
    <row r="3326" spans="1:6" ht="45" x14ac:dyDescent="0.2">
      <c r="A3326" s="65" t="s">
        <v>9582</v>
      </c>
      <c r="B3326" s="66" t="s">
        <v>9583</v>
      </c>
      <c r="C3326" s="67" t="s">
        <v>221</v>
      </c>
      <c r="D3326" s="69" t="s">
        <v>715</v>
      </c>
      <c r="E3326" s="69" t="s">
        <v>6048</v>
      </c>
      <c r="F3326" s="69" t="s">
        <v>9584</v>
      </c>
    </row>
    <row r="3327" spans="1:6" ht="45" x14ac:dyDescent="0.2">
      <c r="A3327" s="65" t="s">
        <v>9585</v>
      </c>
      <c r="B3327" s="66" t="s">
        <v>9586</v>
      </c>
      <c r="C3327" s="67" t="s">
        <v>221</v>
      </c>
      <c r="D3327" s="69" t="s">
        <v>9587</v>
      </c>
      <c r="E3327" s="69" t="s">
        <v>6048</v>
      </c>
      <c r="F3327" s="69" t="s">
        <v>9588</v>
      </c>
    </row>
    <row r="3328" spans="1:6" ht="45" x14ac:dyDescent="0.2">
      <c r="A3328" s="65" t="s">
        <v>9589</v>
      </c>
      <c r="B3328" s="66" t="s">
        <v>9590</v>
      </c>
      <c r="C3328" s="67" t="s">
        <v>221</v>
      </c>
      <c r="D3328" s="69" t="s">
        <v>9591</v>
      </c>
      <c r="E3328" s="69" t="s">
        <v>6048</v>
      </c>
      <c r="F3328" s="69" t="s">
        <v>9592</v>
      </c>
    </row>
    <row r="3329" spans="1:6" ht="45" x14ac:dyDescent="0.2">
      <c r="A3329" s="65" t="s">
        <v>9593</v>
      </c>
      <c r="B3329" s="66" t="s">
        <v>9594</v>
      </c>
      <c r="C3329" s="67" t="s">
        <v>221</v>
      </c>
      <c r="D3329" s="69" t="s">
        <v>9595</v>
      </c>
      <c r="E3329" s="69" t="s">
        <v>6048</v>
      </c>
      <c r="F3329" s="69" t="s">
        <v>9596</v>
      </c>
    </row>
    <row r="3330" spans="1:6" ht="45" x14ac:dyDescent="0.2">
      <c r="A3330" s="65" t="s">
        <v>9597</v>
      </c>
      <c r="B3330" s="66" t="s">
        <v>9598</v>
      </c>
      <c r="C3330" s="67" t="s">
        <v>221</v>
      </c>
      <c r="D3330" s="69" t="s">
        <v>9599</v>
      </c>
      <c r="E3330" s="69" t="s">
        <v>6048</v>
      </c>
      <c r="F3330" s="69" t="s">
        <v>9600</v>
      </c>
    </row>
    <row r="3331" spans="1:6" ht="45" x14ac:dyDescent="0.2">
      <c r="A3331" s="65" t="s">
        <v>9601</v>
      </c>
      <c r="B3331" s="66" t="s">
        <v>9602</v>
      </c>
      <c r="C3331" s="67" t="s">
        <v>221</v>
      </c>
      <c r="D3331" s="69" t="s">
        <v>9603</v>
      </c>
      <c r="E3331" s="69" t="s">
        <v>6048</v>
      </c>
      <c r="F3331" s="69" t="s">
        <v>9604</v>
      </c>
    </row>
    <row r="3332" spans="1:6" ht="45" x14ac:dyDescent="0.2">
      <c r="A3332" s="65" t="s">
        <v>9605</v>
      </c>
      <c r="B3332" s="66" t="s">
        <v>9606</v>
      </c>
      <c r="C3332" s="67" t="s">
        <v>221</v>
      </c>
      <c r="D3332" s="69" t="s">
        <v>9607</v>
      </c>
      <c r="E3332" s="69" t="s">
        <v>6048</v>
      </c>
      <c r="F3332" s="69" t="s">
        <v>9608</v>
      </c>
    </row>
    <row r="3333" spans="1:6" ht="22.5" x14ac:dyDescent="0.2">
      <c r="A3333" s="50">
        <v>46.33</v>
      </c>
      <c r="B3333" s="64" t="s">
        <v>9609</v>
      </c>
      <c r="C3333" s="47"/>
      <c r="D3333" s="47"/>
      <c r="E3333" s="47"/>
      <c r="F3333" s="47"/>
    </row>
    <row r="3334" spans="1:6" ht="56.25" x14ac:dyDescent="0.2">
      <c r="A3334" s="70" t="s">
        <v>9610</v>
      </c>
      <c r="B3334" s="65" t="s">
        <v>9611</v>
      </c>
      <c r="C3334" s="71" t="s">
        <v>221</v>
      </c>
      <c r="D3334" s="72" t="s">
        <v>9612</v>
      </c>
      <c r="E3334" s="72" t="s">
        <v>325</v>
      </c>
      <c r="F3334" s="72" t="s">
        <v>9613</v>
      </c>
    </row>
    <row r="3335" spans="1:6" ht="56.25" x14ac:dyDescent="0.2">
      <c r="A3335" s="70" t="s">
        <v>9614</v>
      </c>
      <c r="B3335" s="65" t="s">
        <v>9615</v>
      </c>
      <c r="C3335" s="71" t="s">
        <v>221</v>
      </c>
      <c r="D3335" s="72" t="s">
        <v>6778</v>
      </c>
      <c r="E3335" s="72" t="s">
        <v>325</v>
      </c>
      <c r="F3335" s="72" t="s">
        <v>9616</v>
      </c>
    </row>
    <row r="3336" spans="1:6" ht="56.25" x14ac:dyDescent="0.2">
      <c r="A3336" s="70" t="s">
        <v>9617</v>
      </c>
      <c r="B3336" s="65" t="s">
        <v>9618</v>
      </c>
      <c r="C3336" s="71" t="s">
        <v>221</v>
      </c>
      <c r="D3336" s="72" t="s">
        <v>9619</v>
      </c>
      <c r="E3336" s="72" t="s">
        <v>325</v>
      </c>
      <c r="F3336" s="72" t="s">
        <v>3093</v>
      </c>
    </row>
    <row r="3337" spans="1:6" ht="56.25" x14ac:dyDescent="0.2">
      <c r="A3337" s="70" t="s">
        <v>9620</v>
      </c>
      <c r="B3337" s="65" t="s">
        <v>9621</v>
      </c>
      <c r="C3337" s="71" t="s">
        <v>221</v>
      </c>
      <c r="D3337" s="72" t="s">
        <v>9622</v>
      </c>
      <c r="E3337" s="72" t="s">
        <v>9623</v>
      </c>
      <c r="F3337" s="72" t="s">
        <v>9624</v>
      </c>
    </row>
    <row r="3338" spans="1:6" ht="45" x14ac:dyDescent="0.2">
      <c r="A3338" s="65" t="s">
        <v>9625</v>
      </c>
      <c r="B3338" s="66" t="s">
        <v>9626</v>
      </c>
      <c r="C3338" s="67" t="s">
        <v>203</v>
      </c>
      <c r="D3338" s="69" t="s">
        <v>9627</v>
      </c>
      <c r="E3338" s="69" t="s">
        <v>2708</v>
      </c>
      <c r="F3338" s="69" t="s">
        <v>9628</v>
      </c>
    </row>
    <row r="3339" spans="1:6" ht="45" x14ac:dyDescent="0.2">
      <c r="A3339" s="65" t="s">
        <v>9629</v>
      </c>
      <c r="B3339" s="66" t="s">
        <v>9630</v>
      </c>
      <c r="C3339" s="67" t="s">
        <v>203</v>
      </c>
      <c r="D3339" s="69" t="s">
        <v>9063</v>
      </c>
      <c r="E3339" s="69" t="s">
        <v>2708</v>
      </c>
      <c r="F3339" s="69" t="s">
        <v>3742</v>
      </c>
    </row>
    <row r="3340" spans="1:6" ht="45" x14ac:dyDescent="0.2">
      <c r="A3340" s="65" t="s">
        <v>9631</v>
      </c>
      <c r="B3340" s="66" t="s">
        <v>9632</v>
      </c>
      <c r="C3340" s="74" t="s">
        <v>203</v>
      </c>
      <c r="D3340" s="69" t="s">
        <v>9633</v>
      </c>
      <c r="E3340" s="69" t="s">
        <v>325</v>
      </c>
      <c r="F3340" s="69" t="s">
        <v>9634</v>
      </c>
    </row>
    <row r="3341" spans="1:6" ht="45" x14ac:dyDescent="0.2">
      <c r="A3341" s="65" t="s">
        <v>9635</v>
      </c>
      <c r="B3341" s="66" t="s">
        <v>9636</v>
      </c>
      <c r="C3341" s="74" t="s">
        <v>203</v>
      </c>
      <c r="D3341" s="69" t="s">
        <v>8813</v>
      </c>
      <c r="E3341" s="69" t="s">
        <v>318</v>
      </c>
      <c r="F3341" s="69" t="s">
        <v>9637</v>
      </c>
    </row>
    <row r="3342" spans="1:6" ht="45" x14ac:dyDescent="0.2">
      <c r="A3342" s="65" t="s">
        <v>9638</v>
      </c>
      <c r="B3342" s="66" t="s">
        <v>9639</v>
      </c>
      <c r="C3342" s="74" t="s">
        <v>203</v>
      </c>
      <c r="D3342" s="69" t="s">
        <v>1359</v>
      </c>
      <c r="E3342" s="69" t="s">
        <v>2708</v>
      </c>
      <c r="F3342" s="69" t="s">
        <v>9640</v>
      </c>
    </row>
    <row r="3343" spans="1:6" ht="45" x14ac:dyDescent="0.2">
      <c r="A3343" s="65" t="s">
        <v>9641</v>
      </c>
      <c r="B3343" s="66" t="s">
        <v>9642</v>
      </c>
      <c r="C3343" s="74" t="s">
        <v>203</v>
      </c>
      <c r="D3343" s="69" t="s">
        <v>8291</v>
      </c>
      <c r="E3343" s="69" t="s">
        <v>2708</v>
      </c>
      <c r="F3343" s="69" t="s">
        <v>9643</v>
      </c>
    </row>
    <row r="3344" spans="1:6" ht="45" x14ac:dyDescent="0.2">
      <c r="A3344" s="65" t="s">
        <v>9644</v>
      </c>
      <c r="B3344" s="66" t="s">
        <v>9645</v>
      </c>
      <c r="C3344" s="74" t="s">
        <v>203</v>
      </c>
      <c r="D3344" s="69" t="s">
        <v>9640</v>
      </c>
      <c r="E3344" s="69" t="s">
        <v>325</v>
      </c>
      <c r="F3344" s="69" t="s">
        <v>9646</v>
      </c>
    </row>
    <row r="3345" spans="1:6" ht="45" x14ac:dyDescent="0.2">
      <c r="A3345" s="65" t="s">
        <v>9647</v>
      </c>
      <c r="B3345" s="66" t="s">
        <v>9648</v>
      </c>
      <c r="C3345" s="74" t="s">
        <v>203</v>
      </c>
      <c r="D3345" s="69" t="s">
        <v>9649</v>
      </c>
      <c r="E3345" s="69" t="s">
        <v>318</v>
      </c>
      <c r="F3345" s="69" t="s">
        <v>9650</v>
      </c>
    </row>
    <row r="3346" spans="1:6" ht="33.75" x14ac:dyDescent="0.2">
      <c r="A3346" s="65" t="s">
        <v>9651</v>
      </c>
      <c r="B3346" s="65" t="s">
        <v>9652</v>
      </c>
      <c r="C3346" s="74" t="s">
        <v>203</v>
      </c>
      <c r="D3346" s="69" t="s">
        <v>9653</v>
      </c>
      <c r="E3346" s="69" t="s">
        <v>2708</v>
      </c>
      <c r="F3346" s="69" t="s">
        <v>9654</v>
      </c>
    </row>
    <row r="3347" spans="1:6" ht="33.75" x14ac:dyDescent="0.2">
      <c r="A3347" s="65" t="s">
        <v>9655</v>
      </c>
      <c r="B3347" s="65" t="s">
        <v>9656</v>
      </c>
      <c r="C3347" s="74" t="s">
        <v>203</v>
      </c>
      <c r="D3347" s="69" t="s">
        <v>9657</v>
      </c>
      <c r="E3347" s="69" t="s">
        <v>2708</v>
      </c>
      <c r="F3347" s="69" t="s">
        <v>9658</v>
      </c>
    </row>
    <row r="3348" spans="1:6" ht="33.75" x14ac:dyDescent="0.2">
      <c r="A3348" s="65" t="s">
        <v>9659</v>
      </c>
      <c r="B3348" s="65" t="s">
        <v>9660</v>
      </c>
      <c r="C3348" s="74" t="s">
        <v>203</v>
      </c>
      <c r="D3348" s="69" t="s">
        <v>9661</v>
      </c>
      <c r="E3348" s="69" t="s">
        <v>325</v>
      </c>
      <c r="F3348" s="69" t="s">
        <v>9662</v>
      </c>
    </row>
    <row r="3349" spans="1:6" ht="33.75" x14ac:dyDescent="0.2">
      <c r="A3349" s="65" t="s">
        <v>9663</v>
      </c>
      <c r="B3349" s="65" t="s">
        <v>9664</v>
      </c>
      <c r="C3349" s="74" t="s">
        <v>203</v>
      </c>
      <c r="D3349" s="69" t="s">
        <v>9665</v>
      </c>
      <c r="E3349" s="69" t="s">
        <v>318</v>
      </c>
      <c r="F3349" s="69" t="s">
        <v>9666</v>
      </c>
    </row>
    <row r="3350" spans="1:6" ht="45" x14ac:dyDescent="0.2">
      <c r="A3350" s="65" t="s">
        <v>9667</v>
      </c>
      <c r="B3350" s="66" t="s">
        <v>9668</v>
      </c>
      <c r="C3350" s="74" t="s">
        <v>203</v>
      </c>
      <c r="D3350" s="69" t="s">
        <v>9669</v>
      </c>
      <c r="E3350" s="69" t="s">
        <v>2708</v>
      </c>
      <c r="F3350" s="69" t="s">
        <v>9670</v>
      </c>
    </row>
    <row r="3351" spans="1:6" ht="45" x14ac:dyDescent="0.2">
      <c r="A3351" s="65" t="s">
        <v>9671</v>
      </c>
      <c r="B3351" s="66" t="s">
        <v>9672</v>
      </c>
      <c r="C3351" s="74" t="s">
        <v>203</v>
      </c>
      <c r="D3351" s="69" t="s">
        <v>9673</v>
      </c>
      <c r="E3351" s="69" t="s">
        <v>325</v>
      </c>
      <c r="F3351" s="69" t="s">
        <v>9674</v>
      </c>
    </row>
    <row r="3352" spans="1:6" ht="45" x14ac:dyDescent="0.2">
      <c r="A3352" s="65" t="s">
        <v>9675</v>
      </c>
      <c r="B3352" s="66" t="s">
        <v>9676</v>
      </c>
      <c r="C3352" s="74" t="s">
        <v>203</v>
      </c>
      <c r="D3352" s="69" t="s">
        <v>9677</v>
      </c>
      <c r="E3352" s="69" t="s">
        <v>318</v>
      </c>
      <c r="F3352" s="69" t="s">
        <v>9678</v>
      </c>
    </row>
    <row r="3353" spans="1:6" ht="45" x14ac:dyDescent="0.2">
      <c r="A3353" s="65" t="s">
        <v>9679</v>
      </c>
      <c r="B3353" s="66" t="s">
        <v>9680</v>
      </c>
      <c r="C3353" s="74" t="s">
        <v>203</v>
      </c>
      <c r="D3353" s="69" t="s">
        <v>9681</v>
      </c>
      <c r="E3353" s="69" t="s">
        <v>2708</v>
      </c>
      <c r="F3353" s="69" t="s">
        <v>9682</v>
      </c>
    </row>
    <row r="3354" spans="1:6" ht="45" x14ac:dyDescent="0.2">
      <c r="A3354" s="65" t="s">
        <v>9683</v>
      </c>
      <c r="B3354" s="66" t="s">
        <v>9684</v>
      </c>
      <c r="C3354" s="74" t="s">
        <v>203</v>
      </c>
      <c r="D3354" s="69" t="s">
        <v>9685</v>
      </c>
      <c r="E3354" s="69" t="s">
        <v>325</v>
      </c>
      <c r="F3354" s="69" t="s">
        <v>9686</v>
      </c>
    </row>
    <row r="3355" spans="1:6" ht="45" x14ac:dyDescent="0.2">
      <c r="A3355" s="65" t="s">
        <v>9687</v>
      </c>
      <c r="B3355" s="66" t="s">
        <v>9688</v>
      </c>
      <c r="C3355" s="74" t="s">
        <v>203</v>
      </c>
      <c r="D3355" s="69" t="s">
        <v>9689</v>
      </c>
      <c r="E3355" s="69" t="s">
        <v>318</v>
      </c>
      <c r="F3355" s="69" t="s">
        <v>9690</v>
      </c>
    </row>
    <row r="3356" spans="1:6" ht="45" x14ac:dyDescent="0.2">
      <c r="A3356" s="65" t="s">
        <v>9691</v>
      </c>
      <c r="B3356" s="66" t="s">
        <v>9692</v>
      </c>
      <c r="C3356" s="74" t="s">
        <v>203</v>
      </c>
      <c r="D3356" s="69" t="s">
        <v>9693</v>
      </c>
      <c r="E3356" s="69" t="s">
        <v>318</v>
      </c>
      <c r="F3356" s="69" t="s">
        <v>9694</v>
      </c>
    </row>
    <row r="3357" spans="1:6" ht="45" x14ac:dyDescent="0.2">
      <c r="A3357" s="65" t="s">
        <v>9695</v>
      </c>
      <c r="B3357" s="66" t="s">
        <v>9696</v>
      </c>
      <c r="C3357" s="74" t="s">
        <v>203</v>
      </c>
      <c r="D3357" s="69" t="s">
        <v>9697</v>
      </c>
      <c r="E3357" s="69" t="s">
        <v>325</v>
      </c>
      <c r="F3357" s="69" t="s">
        <v>9698</v>
      </c>
    </row>
    <row r="3358" spans="1:6" ht="45" x14ac:dyDescent="0.2">
      <c r="A3358" s="65" t="s">
        <v>9699</v>
      </c>
      <c r="B3358" s="66" t="s">
        <v>9700</v>
      </c>
      <c r="C3358" s="74" t="s">
        <v>203</v>
      </c>
      <c r="D3358" s="69" t="s">
        <v>9701</v>
      </c>
      <c r="E3358" s="69" t="s">
        <v>2708</v>
      </c>
      <c r="F3358" s="69" t="s">
        <v>8936</v>
      </c>
    </row>
    <row r="3359" spans="1:6" ht="45" x14ac:dyDescent="0.2">
      <c r="A3359" s="65" t="s">
        <v>9702</v>
      </c>
      <c r="B3359" s="66" t="s">
        <v>9703</v>
      </c>
      <c r="C3359" s="74" t="s">
        <v>203</v>
      </c>
      <c r="D3359" s="69" t="s">
        <v>9704</v>
      </c>
      <c r="E3359" s="69" t="s">
        <v>325</v>
      </c>
      <c r="F3359" s="69" t="s">
        <v>7223</v>
      </c>
    </row>
    <row r="3360" spans="1:6" ht="45" x14ac:dyDescent="0.2">
      <c r="A3360" s="65" t="s">
        <v>9705</v>
      </c>
      <c r="B3360" s="66" t="s">
        <v>9706</v>
      </c>
      <c r="C3360" s="74" t="s">
        <v>203</v>
      </c>
      <c r="D3360" s="69" t="s">
        <v>9707</v>
      </c>
      <c r="E3360" s="69" t="s">
        <v>318</v>
      </c>
      <c r="F3360" s="69" t="s">
        <v>9708</v>
      </c>
    </row>
    <row r="3361" spans="1:6" ht="45" x14ac:dyDescent="0.2">
      <c r="A3361" s="65" t="s">
        <v>9709</v>
      </c>
      <c r="B3361" s="66" t="s">
        <v>9710</v>
      </c>
      <c r="C3361" s="74" t="s">
        <v>203</v>
      </c>
      <c r="D3361" s="69" t="s">
        <v>9711</v>
      </c>
      <c r="E3361" s="69" t="s">
        <v>325</v>
      </c>
      <c r="F3361" s="69" t="s">
        <v>9712</v>
      </c>
    </row>
    <row r="3362" spans="1:6" ht="45" x14ac:dyDescent="0.2">
      <c r="A3362" s="65" t="s">
        <v>9713</v>
      </c>
      <c r="B3362" s="66" t="s">
        <v>9714</v>
      </c>
      <c r="C3362" s="74" t="s">
        <v>203</v>
      </c>
      <c r="D3362" s="69" t="s">
        <v>9715</v>
      </c>
      <c r="E3362" s="69" t="s">
        <v>318</v>
      </c>
      <c r="F3362" s="69" t="s">
        <v>6263</v>
      </c>
    </row>
    <row r="3363" spans="1:6" ht="45" x14ac:dyDescent="0.2">
      <c r="A3363" s="65" t="s">
        <v>9716</v>
      </c>
      <c r="B3363" s="66" t="s">
        <v>9717</v>
      </c>
      <c r="C3363" s="74" t="s">
        <v>203</v>
      </c>
      <c r="D3363" s="69" t="s">
        <v>9718</v>
      </c>
      <c r="E3363" s="69" t="s">
        <v>318</v>
      </c>
      <c r="F3363" s="69" t="s">
        <v>9719</v>
      </c>
    </row>
    <row r="3364" spans="1:6" ht="45" x14ac:dyDescent="0.2">
      <c r="A3364" s="65" t="s">
        <v>9720</v>
      </c>
      <c r="B3364" s="66" t="s">
        <v>9721</v>
      </c>
      <c r="C3364" s="74" t="s">
        <v>203</v>
      </c>
      <c r="D3364" s="69" t="s">
        <v>9722</v>
      </c>
      <c r="E3364" s="69" t="s">
        <v>318</v>
      </c>
      <c r="F3364" s="69" t="s">
        <v>9723</v>
      </c>
    </row>
    <row r="3365" spans="1:6" ht="45" x14ac:dyDescent="0.2">
      <c r="A3365" s="65" t="s">
        <v>9724</v>
      </c>
      <c r="B3365" s="66" t="s">
        <v>9725</v>
      </c>
      <c r="C3365" s="74" t="s">
        <v>203</v>
      </c>
      <c r="D3365" s="69" t="s">
        <v>9726</v>
      </c>
      <c r="E3365" s="69" t="s">
        <v>325</v>
      </c>
      <c r="F3365" s="69" t="s">
        <v>9727</v>
      </c>
    </row>
    <row r="3366" spans="1:6" ht="45" x14ac:dyDescent="0.2">
      <c r="A3366" s="65" t="s">
        <v>9728</v>
      </c>
      <c r="B3366" s="66" t="s">
        <v>9729</v>
      </c>
      <c r="C3366" s="74" t="s">
        <v>203</v>
      </c>
      <c r="D3366" s="69" t="s">
        <v>815</v>
      </c>
      <c r="E3366" s="69" t="s">
        <v>318</v>
      </c>
      <c r="F3366" s="69" t="s">
        <v>9730</v>
      </c>
    </row>
    <row r="3367" spans="1:6" ht="45" x14ac:dyDescent="0.2">
      <c r="A3367" s="65" t="s">
        <v>9731</v>
      </c>
      <c r="B3367" s="66" t="s">
        <v>9732</v>
      </c>
      <c r="C3367" s="74" t="s">
        <v>203</v>
      </c>
      <c r="D3367" s="69" t="s">
        <v>9733</v>
      </c>
      <c r="E3367" s="69" t="s">
        <v>2708</v>
      </c>
      <c r="F3367" s="69" t="s">
        <v>9734</v>
      </c>
    </row>
    <row r="3368" spans="1:6" ht="33.75" x14ac:dyDescent="0.2">
      <c r="A3368" s="65" t="s">
        <v>9735</v>
      </c>
      <c r="B3368" s="65" t="s">
        <v>9736</v>
      </c>
      <c r="C3368" s="67" t="s">
        <v>203</v>
      </c>
      <c r="D3368" s="69" t="s">
        <v>9737</v>
      </c>
      <c r="E3368" s="69" t="s">
        <v>2708</v>
      </c>
      <c r="F3368" s="69" t="s">
        <v>9738</v>
      </c>
    </row>
    <row r="3369" spans="1:6" ht="33.75" x14ac:dyDescent="0.2">
      <c r="A3369" s="65" t="s">
        <v>9739</v>
      </c>
      <c r="B3369" s="65" t="s">
        <v>9740</v>
      </c>
      <c r="C3369" s="67" t="s">
        <v>203</v>
      </c>
      <c r="D3369" s="69" t="s">
        <v>9741</v>
      </c>
      <c r="E3369" s="69" t="s">
        <v>2708</v>
      </c>
      <c r="F3369" s="69" t="s">
        <v>9742</v>
      </c>
    </row>
    <row r="3370" spans="1:6" ht="45" x14ac:dyDescent="0.2">
      <c r="A3370" s="65" t="s">
        <v>9743</v>
      </c>
      <c r="B3370" s="66" t="s">
        <v>9744</v>
      </c>
      <c r="C3370" s="67" t="s">
        <v>203</v>
      </c>
      <c r="D3370" s="69" t="s">
        <v>9745</v>
      </c>
      <c r="E3370" s="69" t="s">
        <v>325</v>
      </c>
      <c r="F3370" s="69" t="s">
        <v>9746</v>
      </c>
    </row>
    <row r="3371" spans="1:6" ht="22.5" x14ac:dyDescent="0.2">
      <c r="A3371" s="65" t="s">
        <v>9747</v>
      </c>
      <c r="B3371" s="65" t="s">
        <v>9748</v>
      </c>
      <c r="C3371" s="67" t="s">
        <v>240</v>
      </c>
      <c r="D3371" s="69" t="s">
        <v>9749</v>
      </c>
      <c r="E3371" s="69" t="s">
        <v>334</v>
      </c>
      <c r="F3371" s="69" t="s">
        <v>9750</v>
      </c>
    </row>
    <row r="3372" spans="1:6" ht="45" x14ac:dyDescent="0.2">
      <c r="A3372" s="49">
        <v>47</v>
      </c>
      <c r="B3372" s="51" t="s">
        <v>9751</v>
      </c>
      <c r="C3372" s="48"/>
      <c r="D3372" s="48"/>
      <c r="E3372" s="48"/>
      <c r="F3372" s="48"/>
    </row>
    <row r="3373" spans="1:6" ht="22.5" x14ac:dyDescent="0.2">
      <c r="A3373" s="50">
        <v>47.01</v>
      </c>
      <c r="B3373" s="64" t="s">
        <v>9752</v>
      </c>
      <c r="C3373" s="47"/>
      <c r="D3373" s="47"/>
      <c r="E3373" s="47"/>
      <c r="F3373" s="47"/>
    </row>
    <row r="3374" spans="1:6" ht="33.75" x14ac:dyDescent="0.2">
      <c r="A3374" s="65" t="s">
        <v>9753</v>
      </c>
      <c r="B3374" s="65" t="s">
        <v>9754</v>
      </c>
      <c r="C3374" s="67" t="s">
        <v>203</v>
      </c>
      <c r="D3374" s="69" t="s">
        <v>9755</v>
      </c>
      <c r="E3374" s="69" t="s">
        <v>322</v>
      </c>
      <c r="F3374" s="69" t="s">
        <v>9756</v>
      </c>
    </row>
    <row r="3375" spans="1:6" ht="33.75" x14ac:dyDescent="0.2">
      <c r="A3375" s="65" t="s">
        <v>9757</v>
      </c>
      <c r="B3375" s="65" t="s">
        <v>9758</v>
      </c>
      <c r="C3375" s="67" t="s">
        <v>203</v>
      </c>
      <c r="D3375" s="69" t="s">
        <v>9759</v>
      </c>
      <c r="E3375" s="69" t="s">
        <v>331</v>
      </c>
      <c r="F3375" s="69" t="s">
        <v>9760</v>
      </c>
    </row>
    <row r="3376" spans="1:6" ht="22.5" x14ac:dyDescent="0.2">
      <c r="A3376" s="65" t="s">
        <v>9761</v>
      </c>
      <c r="B3376" s="65" t="s">
        <v>9762</v>
      </c>
      <c r="C3376" s="67" t="s">
        <v>203</v>
      </c>
      <c r="D3376" s="69" t="s">
        <v>9763</v>
      </c>
      <c r="E3376" s="69" t="s">
        <v>333</v>
      </c>
      <c r="F3376" s="69" t="s">
        <v>9764</v>
      </c>
    </row>
    <row r="3377" spans="1:6" ht="33.75" x14ac:dyDescent="0.2">
      <c r="A3377" s="65" t="s">
        <v>9765</v>
      </c>
      <c r="B3377" s="65" t="s">
        <v>9766</v>
      </c>
      <c r="C3377" s="67" t="s">
        <v>203</v>
      </c>
      <c r="D3377" s="69" t="s">
        <v>7324</v>
      </c>
      <c r="E3377" s="69" t="s">
        <v>4923</v>
      </c>
      <c r="F3377" s="69" t="s">
        <v>9767</v>
      </c>
    </row>
    <row r="3378" spans="1:6" ht="33.75" x14ac:dyDescent="0.2">
      <c r="A3378" s="65" t="s">
        <v>9768</v>
      </c>
      <c r="B3378" s="65" t="s">
        <v>9769</v>
      </c>
      <c r="C3378" s="67" t="s">
        <v>203</v>
      </c>
      <c r="D3378" s="69" t="s">
        <v>9770</v>
      </c>
      <c r="E3378" s="69" t="s">
        <v>321</v>
      </c>
      <c r="F3378" s="69" t="s">
        <v>9771</v>
      </c>
    </row>
    <row r="3379" spans="1:6" ht="22.5" x14ac:dyDescent="0.2">
      <c r="A3379" s="65" t="s">
        <v>9772</v>
      </c>
      <c r="B3379" s="65" t="s">
        <v>9773</v>
      </c>
      <c r="C3379" s="67" t="s">
        <v>203</v>
      </c>
      <c r="D3379" s="69" t="s">
        <v>9774</v>
      </c>
      <c r="E3379" s="69" t="s">
        <v>9775</v>
      </c>
      <c r="F3379" s="69" t="s">
        <v>9776</v>
      </c>
    </row>
    <row r="3380" spans="1:6" ht="33.75" x14ac:dyDescent="0.2">
      <c r="A3380" s="65" t="s">
        <v>9777</v>
      </c>
      <c r="B3380" s="65" t="s">
        <v>9778</v>
      </c>
      <c r="C3380" s="67" t="s">
        <v>203</v>
      </c>
      <c r="D3380" s="69" t="s">
        <v>9779</v>
      </c>
      <c r="E3380" s="69" t="s">
        <v>317</v>
      </c>
      <c r="F3380" s="69" t="s">
        <v>9780</v>
      </c>
    </row>
    <row r="3381" spans="1:6" ht="22.5" x14ac:dyDescent="0.2">
      <c r="A3381" s="65" t="s">
        <v>9781</v>
      </c>
      <c r="B3381" s="65" t="s">
        <v>9782</v>
      </c>
      <c r="C3381" s="67" t="s">
        <v>203</v>
      </c>
      <c r="D3381" s="69" t="s">
        <v>9783</v>
      </c>
      <c r="E3381" s="69" t="s">
        <v>328</v>
      </c>
      <c r="F3381" s="69" t="s">
        <v>9784</v>
      </c>
    </row>
    <row r="3382" spans="1:6" ht="22.5" x14ac:dyDescent="0.2">
      <c r="A3382" s="65" t="s">
        <v>9785</v>
      </c>
      <c r="B3382" s="65" t="s">
        <v>9786</v>
      </c>
      <c r="C3382" s="67" t="s">
        <v>203</v>
      </c>
      <c r="D3382" s="69" t="s">
        <v>9787</v>
      </c>
      <c r="E3382" s="69" t="s">
        <v>345</v>
      </c>
      <c r="F3382" s="69" t="s">
        <v>9788</v>
      </c>
    </row>
    <row r="3383" spans="1:6" ht="33.75" x14ac:dyDescent="0.2">
      <c r="A3383" s="65" t="s">
        <v>9789</v>
      </c>
      <c r="B3383" s="65" t="s">
        <v>9790</v>
      </c>
      <c r="C3383" s="67" t="s">
        <v>203</v>
      </c>
      <c r="D3383" s="69" t="s">
        <v>9791</v>
      </c>
      <c r="E3383" s="69" t="s">
        <v>331</v>
      </c>
      <c r="F3383" s="69" t="s">
        <v>9792</v>
      </c>
    </row>
    <row r="3384" spans="1:6" ht="45" x14ac:dyDescent="0.2">
      <c r="A3384" s="65" t="s">
        <v>9793</v>
      </c>
      <c r="B3384" s="66" t="s">
        <v>9794</v>
      </c>
      <c r="C3384" s="67" t="s">
        <v>203</v>
      </c>
      <c r="D3384" s="69" t="s">
        <v>9795</v>
      </c>
      <c r="E3384" s="69" t="s">
        <v>322</v>
      </c>
      <c r="F3384" s="69" t="s">
        <v>350</v>
      </c>
    </row>
    <row r="3385" spans="1:6" ht="45" x14ac:dyDescent="0.2">
      <c r="A3385" s="65" t="s">
        <v>9796</v>
      </c>
      <c r="B3385" s="66" t="s">
        <v>9797</v>
      </c>
      <c r="C3385" s="67" t="s">
        <v>203</v>
      </c>
      <c r="D3385" s="69" t="s">
        <v>9798</v>
      </c>
      <c r="E3385" s="69" t="s">
        <v>322</v>
      </c>
      <c r="F3385" s="69" t="s">
        <v>9799</v>
      </c>
    </row>
    <row r="3386" spans="1:6" ht="45" x14ac:dyDescent="0.2">
      <c r="A3386" s="65" t="s">
        <v>9800</v>
      </c>
      <c r="B3386" s="66" t="s">
        <v>9801</v>
      </c>
      <c r="C3386" s="67" t="s">
        <v>203</v>
      </c>
      <c r="D3386" s="69" t="s">
        <v>9802</v>
      </c>
      <c r="E3386" s="69" t="s">
        <v>322</v>
      </c>
      <c r="F3386" s="69" t="s">
        <v>9803</v>
      </c>
    </row>
    <row r="3387" spans="1:6" ht="45" x14ac:dyDescent="0.2">
      <c r="A3387" s="65" t="s">
        <v>9804</v>
      </c>
      <c r="B3387" s="66" t="s">
        <v>9805</v>
      </c>
      <c r="C3387" s="67" t="s">
        <v>203</v>
      </c>
      <c r="D3387" s="69" t="s">
        <v>5097</v>
      </c>
      <c r="E3387" s="69" t="s">
        <v>319</v>
      </c>
      <c r="F3387" s="69" t="s">
        <v>9806</v>
      </c>
    </row>
    <row r="3388" spans="1:6" ht="45" x14ac:dyDescent="0.2">
      <c r="A3388" s="65" t="s">
        <v>9807</v>
      </c>
      <c r="B3388" s="66" t="s">
        <v>9808</v>
      </c>
      <c r="C3388" s="67" t="s">
        <v>203</v>
      </c>
      <c r="D3388" s="69" t="s">
        <v>9809</v>
      </c>
      <c r="E3388" s="69" t="s">
        <v>322</v>
      </c>
      <c r="F3388" s="69" t="s">
        <v>9810</v>
      </c>
    </row>
    <row r="3389" spans="1:6" ht="45" x14ac:dyDescent="0.2">
      <c r="A3389" s="65" t="s">
        <v>9811</v>
      </c>
      <c r="B3389" s="66" t="s">
        <v>9812</v>
      </c>
      <c r="C3389" s="67" t="s">
        <v>203</v>
      </c>
      <c r="D3389" s="69" t="s">
        <v>9813</v>
      </c>
      <c r="E3389" s="69" t="s">
        <v>321</v>
      </c>
      <c r="F3389" s="69" t="s">
        <v>9814</v>
      </c>
    </row>
    <row r="3390" spans="1:6" ht="33.75" x14ac:dyDescent="0.2">
      <c r="A3390" s="50">
        <v>47.02</v>
      </c>
      <c r="B3390" s="64" t="s">
        <v>9815</v>
      </c>
      <c r="C3390" s="48"/>
      <c r="D3390" s="48"/>
      <c r="E3390" s="48"/>
      <c r="F3390" s="48"/>
    </row>
    <row r="3391" spans="1:6" ht="45" x14ac:dyDescent="0.2">
      <c r="A3391" s="65" t="s">
        <v>9816</v>
      </c>
      <c r="B3391" s="66" t="s">
        <v>9817</v>
      </c>
      <c r="C3391" s="67" t="s">
        <v>203</v>
      </c>
      <c r="D3391" s="69" t="s">
        <v>9818</v>
      </c>
      <c r="E3391" s="69" t="s">
        <v>322</v>
      </c>
      <c r="F3391" s="69" t="s">
        <v>9819</v>
      </c>
    </row>
    <row r="3392" spans="1:6" ht="45" x14ac:dyDescent="0.2">
      <c r="A3392" s="65" t="s">
        <v>9820</v>
      </c>
      <c r="B3392" s="66" t="s">
        <v>9821</v>
      </c>
      <c r="C3392" s="67" t="s">
        <v>203</v>
      </c>
      <c r="D3392" s="69" t="s">
        <v>9822</v>
      </c>
      <c r="E3392" s="69" t="s">
        <v>322</v>
      </c>
      <c r="F3392" s="69" t="s">
        <v>9823</v>
      </c>
    </row>
    <row r="3393" spans="1:6" ht="45" x14ac:dyDescent="0.2">
      <c r="A3393" s="65" t="s">
        <v>9824</v>
      </c>
      <c r="B3393" s="66" t="s">
        <v>9825</v>
      </c>
      <c r="C3393" s="67" t="s">
        <v>203</v>
      </c>
      <c r="D3393" s="69" t="s">
        <v>9826</v>
      </c>
      <c r="E3393" s="69" t="s">
        <v>322</v>
      </c>
      <c r="F3393" s="69" t="s">
        <v>9827</v>
      </c>
    </row>
    <row r="3394" spans="1:6" ht="45" x14ac:dyDescent="0.2">
      <c r="A3394" s="65" t="s">
        <v>9828</v>
      </c>
      <c r="B3394" s="66" t="s">
        <v>9829</v>
      </c>
      <c r="C3394" s="67" t="s">
        <v>203</v>
      </c>
      <c r="D3394" s="69" t="s">
        <v>9830</v>
      </c>
      <c r="E3394" s="69" t="s">
        <v>322</v>
      </c>
      <c r="F3394" s="69" t="s">
        <v>9831</v>
      </c>
    </row>
    <row r="3395" spans="1:6" ht="45" x14ac:dyDescent="0.2">
      <c r="A3395" s="65" t="s">
        <v>9832</v>
      </c>
      <c r="B3395" s="66" t="s">
        <v>9833</v>
      </c>
      <c r="C3395" s="67" t="s">
        <v>203</v>
      </c>
      <c r="D3395" s="69" t="s">
        <v>9834</v>
      </c>
      <c r="E3395" s="69" t="s">
        <v>322</v>
      </c>
      <c r="F3395" s="69" t="s">
        <v>9835</v>
      </c>
    </row>
    <row r="3396" spans="1:6" ht="45" x14ac:dyDescent="0.2">
      <c r="A3396" s="65" t="s">
        <v>9836</v>
      </c>
      <c r="B3396" s="66" t="s">
        <v>9837</v>
      </c>
      <c r="C3396" s="67" t="s">
        <v>203</v>
      </c>
      <c r="D3396" s="69" t="s">
        <v>9838</v>
      </c>
      <c r="E3396" s="69" t="s">
        <v>322</v>
      </c>
      <c r="F3396" s="69" t="s">
        <v>9839</v>
      </c>
    </row>
    <row r="3397" spans="1:6" ht="45" x14ac:dyDescent="0.2">
      <c r="A3397" s="65" t="s">
        <v>9840</v>
      </c>
      <c r="B3397" s="66" t="s">
        <v>9841</v>
      </c>
      <c r="C3397" s="67" t="s">
        <v>203</v>
      </c>
      <c r="D3397" s="69" t="s">
        <v>9842</v>
      </c>
      <c r="E3397" s="69" t="s">
        <v>322</v>
      </c>
      <c r="F3397" s="69" t="s">
        <v>9843</v>
      </c>
    </row>
    <row r="3398" spans="1:6" ht="45" x14ac:dyDescent="0.2">
      <c r="A3398" s="65" t="s">
        <v>9844</v>
      </c>
      <c r="B3398" s="66" t="s">
        <v>9845</v>
      </c>
      <c r="C3398" s="67" t="s">
        <v>203</v>
      </c>
      <c r="D3398" s="69" t="s">
        <v>9846</v>
      </c>
      <c r="E3398" s="69" t="s">
        <v>322</v>
      </c>
      <c r="F3398" s="69" t="s">
        <v>382</v>
      </c>
    </row>
    <row r="3399" spans="1:6" ht="45" x14ac:dyDescent="0.2">
      <c r="A3399" s="65" t="s">
        <v>9847</v>
      </c>
      <c r="B3399" s="66" t="s">
        <v>9848</v>
      </c>
      <c r="C3399" s="67" t="s">
        <v>203</v>
      </c>
      <c r="D3399" s="69" t="s">
        <v>9849</v>
      </c>
      <c r="E3399" s="69" t="s">
        <v>322</v>
      </c>
      <c r="F3399" s="69" t="s">
        <v>9850</v>
      </c>
    </row>
    <row r="3400" spans="1:6" ht="33.75" x14ac:dyDescent="0.2">
      <c r="A3400" s="50">
        <v>47.04</v>
      </c>
      <c r="B3400" s="64" t="s">
        <v>9851</v>
      </c>
      <c r="C3400" s="47"/>
      <c r="D3400" s="47"/>
      <c r="E3400" s="47"/>
      <c r="F3400" s="47"/>
    </row>
    <row r="3401" spans="1:6" ht="45" x14ac:dyDescent="0.2">
      <c r="A3401" s="65" t="s">
        <v>9852</v>
      </c>
      <c r="B3401" s="66" t="s">
        <v>9853</v>
      </c>
      <c r="C3401" s="74" t="s">
        <v>203</v>
      </c>
      <c r="D3401" s="69" t="s">
        <v>9854</v>
      </c>
      <c r="E3401" s="69" t="s">
        <v>317</v>
      </c>
      <c r="F3401" s="69" t="s">
        <v>9855</v>
      </c>
    </row>
    <row r="3402" spans="1:6" ht="22.5" x14ac:dyDescent="0.2">
      <c r="A3402" s="65" t="s">
        <v>9856</v>
      </c>
      <c r="B3402" s="65" t="s">
        <v>9857</v>
      </c>
      <c r="C3402" s="74" t="s">
        <v>203</v>
      </c>
      <c r="D3402" s="69" t="s">
        <v>9858</v>
      </c>
      <c r="E3402" s="69" t="s">
        <v>317</v>
      </c>
      <c r="F3402" s="69" t="s">
        <v>9859</v>
      </c>
    </row>
    <row r="3403" spans="1:6" ht="22.5" x14ac:dyDescent="0.2">
      <c r="A3403" s="65" t="s">
        <v>9860</v>
      </c>
      <c r="B3403" s="65" t="s">
        <v>9861</v>
      </c>
      <c r="C3403" s="74" t="s">
        <v>203</v>
      </c>
      <c r="D3403" s="69" t="s">
        <v>9862</v>
      </c>
      <c r="E3403" s="69" t="s">
        <v>317</v>
      </c>
      <c r="F3403" s="69" t="s">
        <v>9863</v>
      </c>
    </row>
    <row r="3404" spans="1:6" ht="22.5" x14ac:dyDescent="0.2">
      <c r="A3404" s="65" t="s">
        <v>9864</v>
      </c>
      <c r="B3404" s="65" t="s">
        <v>9865</v>
      </c>
      <c r="C3404" s="74" t="s">
        <v>203</v>
      </c>
      <c r="D3404" s="69" t="s">
        <v>9866</v>
      </c>
      <c r="E3404" s="69" t="s">
        <v>317</v>
      </c>
      <c r="F3404" s="69" t="s">
        <v>9867</v>
      </c>
    </row>
    <row r="3405" spans="1:6" ht="45" x14ac:dyDescent="0.2">
      <c r="A3405" s="65" t="s">
        <v>9868</v>
      </c>
      <c r="B3405" s="66" t="s">
        <v>9869</v>
      </c>
      <c r="C3405" s="74" t="s">
        <v>203</v>
      </c>
      <c r="D3405" s="69" t="s">
        <v>9870</v>
      </c>
      <c r="E3405" s="69" t="s">
        <v>317</v>
      </c>
      <c r="F3405" s="69" t="s">
        <v>9871</v>
      </c>
    </row>
    <row r="3406" spans="1:6" ht="22.5" x14ac:dyDescent="0.2">
      <c r="A3406" s="65" t="s">
        <v>9872</v>
      </c>
      <c r="B3406" s="65" t="s">
        <v>9873</v>
      </c>
      <c r="C3406" s="74" t="s">
        <v>203</v>
      </c>
      <c r="D3406" s="69" t="s">
        <v>9874</v>
      </c>
      <c r="E3406" s="69" t="s">
        <v>331</v>
      </c>
      <c r="F3406" s="69" t="s">
        <v>9875</v>
      </c>
    </row>
    <row r="3407" spans="1:6" ht="22.5" x14ac:dyDescent="0.2">
      <c r="A3407" s="65" t="s">
        <v>9876</v>
      </c>
      <c r="B3407" s="65" t="s">
        <v>9877</v>
      </c>
      <c r="C3407" s="74" t="s">
        <v>203</v>
      </c>
      <c r="D3407" s="69" t="s">
        <v>9878</v>
      </c>
      <c r="E3407" s="69" t="s">
        <v>331</v>
      </c>
      <c r="F3407" s="69" t="s">
        <v>9879</v>
      </c>
    </row>
    <row r="3408" spans="1:6" ht="22.5" x14ac:dyDescent="0.2">
      <c r="A3408" s="65" t="s">
        <v>9880</v>
      </c>
      <c r="B3408" s="65" t="s">
        <v>9881</v>
      </c>
      <c r="C3408" s="74" t="s">
        <v>203</v>
      </c>
      <c r="D3408" s="69" t="s">
        <v>9882</v>
      </c>
      <c r="E3408" s="69" t="s">
        <v>317</v>
      </c>
      <c r="F3408" s="69" t="s">
        <v>9883</v>
      </c>
    </row>
    <row r="3409" spans="1:6" ht="45" x14ac:dyDescent="0.2">
      <c r="A3409" s="65" t="s">
        <v>9884</v>
      </c>
      <c r="B3409" s="66" t="s">
        <v>9885</v>
      </c>
      <c r="C3409" s="74" t="s">
        <v>203</v>
      </c>
      <c r="D3409" s="69" t="s">
        <v>9886</v>
      </c>
      <c r="E3409" s="69" t="s">
        <v>322</v>
      </c>
      <c r="F3409" s="69" t="s">
        <v>9887</v>
      </c>
    </row>
    <row r="3410" spans="1:6" ht="45" x14ac:dyDescent="0.2">
      <c r="A3410" s="65" t="s">
        <v>9888</v>
      </c>
      <c r="B3410" s="66" t="s">
        <v>9889</v>
      </c>
      <c r="C3410" s="74" t="s">
        <v>203</v>
      </c>
      <c r="D3410" s="69" t="s">
        <v>4843</v>
      </c>
      <c r="E3410" s="69" t="s">
        <v>317</v>
      </c>
      <c r="F3410" s="69" t="s">
        <v>9890</v>
      </c>
    </row>
    <row r="3411" spans="1:6" x14ac:dyDescent="0.2">
      <c r="A3411" s="50">
        <v>47.05</v>
      </c>
      <c r="B3411" s="64" t="s">
        <v>9891</v>
      </c>
      <c r="C3411" s="47"/>
      <c r="D3411" s="47"/>
      <c r="E3411" s="47"/>
      <c r="F3411" s="47"/>
    </row>
    <row r="3412" spans="1:6" ht="22.5" x14ac:dyDescent="0.2">
      <c r="A3412" s="65" t="s">
        <v>9892</v>
      </c>
      <c r="B3412" s="65" t="s">
        <v>9893</v>
      </c>
      <c r="C3412" s="74" t="s">
        <v>203</v>
      </c>
      <c r="D3412" s="69" t="s">
        <v>9894</v>
      </c>
      <c r="E3412" s="69" t="s">
        <v>322</v>
      </c>
      <c r="F3412" s="69" t="s">
        <v>9895</v>
      </c>
    </row>
    <row r="3413" spans="1:6" ht="22.5" x14ac:dyDescent="0.2">
      <c r="A3413" s="65" t="s">
        <v>9896</v>
      </c>
      <c r="B3413" s="65" t="s">
        <v>9897</v>
      </c>
      <c r="C3413" s="74" t="s">
        <v>203</v>
      </c>
      <c r="D3413" s="69" t="s">
        <v>9898</v>
      </c>
      <c r="E3413" s="69" t="s">
        <v>322</v>
      </c>
      <c r="F3413" s="69" t="s">
        <v>9899</v>
      </c>
    </row>
    <row r="3414" spans="1:6" ht="22.5" x14ac:dyDescent="0.2">
      <c r="A3414" s="65" t="s">
        <v>9900</v>
      </c>
      <c r="B3414" s="65" t="s">
        <v>9901</v>
      </c>
      <c r="C3414" s="74" t="s">
        <v>203</v>
      </c>
      <c r="D3414" s="69" t="s">
        <v>9902</v>
      </c>
      <c r="E3414" s="69" t="s">
        <v>322</v>
      </c>
      <c r="F3414" s="69" t="s">
        <v>9903</v>
      </c>
    </row>
    <row r="3415" spans="1:6" ht="22.5" x14ac:dyDescent="0.2">
      <c r="A3415" s="65" t="s">
        <v>9904</v>
      </c>
      <c r="B3415" s="65" t="s">
        <v>9905</v>
      </c>
      <c r="C3415" s="74" t="s">
        <v>203</v>
      </c>
      <c r="D3415" s="69" t="s">
        <v>9906</v>
      </c>
      <c r="E3415" s="69" t="s">
        <v>322</v>
      </c>
      <c r="F3415" s="69" t="s">
        <v>9907</v>
      </c>
    </row>
    <row r="3416" spans="1:6" ht="22.5" x14ac:dyDescent="0.2">
      <c r="A3416" s="65" t="s">
        <v>9908</v>
      </c>
      <c r="B3416" s="65" t="s">
        <v>9909</v>
      </c>
      <c r="C3416" s="74" t="s">
        <v>203</v>
      </c>
      <c r="D3416" s="69" t="s">
        <v>9910</v>
      </c>
      <c r="E3416" s="69" t="s">
        <v>322</v>
      </c>
      <c r="F3416" s="69" t="s">
        <v>9911</v>
      </c>
    </row>
    <row r="3417" spans="1:6" ht="22.5" x14ac:dyDescent="0.2">
      <c r="A3417" s="65" t="s">
        <v>9912</v>
      </c>
      <c r="B3417" s="65" t="s">
        <v>9913</v>
      </c>
      <c r="C3417" s="74" t="s">
        <v>203</v>
      </c>
      <c r="D3417" s="69" t="s">
        <v>9914</v>
      </c>
      <c r="E3417" s="69" t="s">
        <v>322</v>
      </c>
      <c r="F3417" s="69" t="s">
        <v>9915</v>
      </c>
    </row>
    <row r="3418" spans="1:6" ht="22.5" x14ac:dyDescent="0.2">
      <c r="A3418" s="65" t="s">
        <v>9916</v>
      </c>
      <c r="B3418" s="65" t="s">
        <v>9917</v>
      </c>
      <c r="C3418" s="74" t="s">
        <v>203</v>
      </c>
      <c r="D3418" s="69" t="s">
        <v>9918</v>
      </c>
      <c r="E3418" s="69" t="s">
        <v>322</v>
      </c>
      <c r="F3418" s="69" t="s">
        <v>9919</v>
      </c>
    </row>
    <row r="3419" spans="1:6" ht="22.5" x14ac:dyDescent="0.2">
      <c r="A3419" s="65" t="s">
        <v>9920</v>
      </c>
      <c r="B3419" s="65" t="s">
        <v>9921</v>
      </c>
      <c r="C3419" s="74" t="s">
        <v>203</v>
      </c>
      <c r="D3419" s="69" t="s">
        <v>9922</v>
      </c>
      <c r="E3419" s="69" t="s">
        <v>331</v>
      </c>
      <c r="F3419" s="69" t="s">
        <v>9923</v>
      </c>
    </row>
    <row r="3420" spans="1:6" ht="22.5" x14ac:dyDescent="0.2">
      <c r="A3420" s="65" t="s">
        <v>9924</v>
      </c>
      <c r="B3420" s="65" t="s">
        <v>9925</v>
      </c>
      <c r="C3420" s="74" t="s">
        <v>203</v>
      </c>
      <c r="D3420" s="69" t="s">
        <v>9926</v>
      </c>
      <c r="E3420" s="69" t="s">
        <v>322</v>
      </c>
      <c r="F3420" s="69" t="s">
        <v>9927</v>
      </c>
    </row>
    <row r="3421" spans="1:6" ht="22.5" x14ac:dyDescent="0.2">
      <c r="A3421" s="65" t="s">
        <v>9928</v>
      </c>
      <c r="B3421" s="65" t="s">
        <v>9929</v>
      </c>
      <c r="C3421" s="74" t="s">
        <v>203</v>
      </c>
      <c r="D3421" s="69" t="s">
        <v>9930</v>
      </c>
      <c r="E3421" s="69" t="s">
        <v>322</v>
      </c>
      <c r="F3421" s="69" t="s">
        <v>9931</v>
      </c>
    </row>
    <row r="3422" spans="1:6" ht="22.5" x14ac:dyDescent="0.2">
      <c r="A3422" s="65" t="s">
        <v>9932</v>
      </c>
      <c r="B3422" s="65" t="s">
        <v>9933</v>
      </c>
      <c r="C3422" s="74" t="s">
        <v>203</v>
      </c>
      <c r="D3422" s="69" t="s">
        <v>9934</v>
      </c>
      <c r="E3422" s="69" t="s">
        <v>322</v>
      </c>
      <c r="F3422" s="69" t="s">
        <v>9935</v>
      </c>
    </row>
    <row r="3423" spans="1:6" ht="22.5" x14ac:dyDescent="0.2">
      <c r="A3423" s="65" t="s">
        <v>9936</v>
      </c>
      <c r="B3423" s="65" t="s">
        <v>9937</v>
      </c>
      <c r="C3423" s="74" t="s">
        <v>203</v>
      </c>
      <c r="D3423" s="69" t="s">
        <v>9938</v>
      </c>
      <c r="E3423" s="69" t="s">
        <v>322</v>
      </c>
      <c r="F3423" s="69" t="s">
        <v>9939</v>
      </c>
    </row>
    <row r="3424" spans="1:6" ht="22.5" x14ac:dyDescent="0.2">
      <c r="A3424" s="65" t="s">
        <v>9940</v>
      </c>
      <c r="B3424" s="65" t="s">
        <v>9941</v>
      </c>
      <c r="C3424" s="74" t="s">
        <v>203</v>
      </c>
      <c r="D3424" s="69" t="s">
        <v>9240</v>
      </c>
      <c r="E3424" s="69" t="s">
        <v>322</v>
      </c>
      <c r="F3424" s="69" t="s">
        <v>9942</v>
      </c>
    </row>
    <row r="3425" spans="1:6" ht="22.5" x14ac:dyDescent="0.2">
      <c r="A3425" s="65" t="s">
        <v>9943</v>
      </c>
      <c r="B3425" s="65" t="s">
        <v>9944</v>
      </c>
      <c r="C3425" s="74" t="s">
        <v>203</v>
      </c>
      <c r="D3425" s="69" t="s">
        <v>9945</v>
      </c>
      <c r="E3425" s="69" t="s">
        <v>322</v>
      </c>
      <c r="F3425" s="69" t="s">
        <v>9946</v>
      </c>
    </row>
    <row r="3426" spans="1:6" ht="22.5" x14ac:dyDescent="0.2">
      <c r="A3426" s="65" t="s">
        <v>9947</v>
      </c>
      <c r="B3426" s="65" t="s">
        <v>9948</v>
      </c>
      <c r="C3426" s="74" t="s">
        <v>203</v>
      </c>
      <c r="D3426" s="69" t="s">
        <v>9949</v>
      </c>
      <c r="E3426" s="69" t="s">
        <v>331</v>
      </c>
      <c r="F3426" s="69" t="s">
        <v>9950</v>
      </c>
    </row>
    <row r="3427" spans="1:6" ht="22.5" x14ac:dyDescent="0.2">
      <c r="A3427" s="65" t="s">
        <v>9951</v>
      </c>
      <c r="B3427" s="65" t="s">
        <v>9952</v>
      </c>
      <c r="C3427" s="74" t="s">
        <v>203</v>
      </c>
      <c r="D3427" s="69" t="s">
        <v>9953</v>
      </c>
      <c r="E3427" s="69" t="s">
        <v>322</v>
      </c>
      <c r="F3427" s="69" t="s">
        <v>1095</v>
      </c>
    </row>
    <row r="3428" spans="1:6" ht="22.5" x14ac:dyDescent="0.2">
      <c r="A3428" s="65" t="s">
        <v>9954</v>
      </c>
      <c r="B3428" s="65" t="s">
        <v>9955</v>
      </c>
      <c r="C3428" s="74" t="s">
        <v>203</v>
      </c>
      <c r="D3428" s="69" t="s">
        <v>9956</v>
      </c>
      <c r="E3428" s="69" t="s">
        <v>322</v>
      </c>
      <c r="F3428" s="69" t="s">
        <v>9957</v>
      </c>
    </row>
    <row r="3429" spans="1:6" ht="22.5" x14ac:dyDescent="0.2">
      <c r="A3429" s="65" t="s">
        <v>9958</v>
      </c>
      <c r="B3429" s="65" t="s">
        <v>9959</v>
      </c>
      <c r="C3429" s="74" t="s">
        <v>203</v>
      </c>
      <c r="D3429" s="69" t="s">
        <v>9960</v>
      </c>
      <c r="E3429" s="69" t="s">
        <v>322</v>
      </c>
      <c r="F3429" s="69" t="s">
        <v>8700</v>
      </c>
    </row>
    <row r="3430" spans="1:6" ht="22.5" x14ac:dyDescent="0.2">
      <c r="A3430" s="65" t="s">
        <v>9961</v>
      </c>
      <c r="B3430" s="65" t="s">
        <v>9962</v>
      </c>
      <c r="C3430" s="74" t="s">
        <v>203</v>
      </c>
      <c r="D3430" s="69" t="s">
        <v>9963</v>
      </c>
      <c r="E3430" s="69" t="s">
        <v>322</v>
      </c>
      <c r="F3430" s="69" t="s">
        <v>9964</v>
      </c>
    </row>
    <row r="3431" spans="1:6" ht="22.5" x14ac:dyDescent="0.2">
      <c r="A3431" s="65" t="s">
        <v>9965</v>
      </c>
      <c r="B3431" s="65" t="s">
        <v>9966</v>
      </c>
      <c r="C3431" s="74" t="s">
        <v>203</v>
      </c>
      <c r="D3431" s="69" t="s">
        <v>9967</v>
      </c>
      <c r="E3431" s="69" t="s">
        <v>322</v>
      </c>
      <c r="F3431" s="69" t="s">
        <v>9968</v>
      </c>
    </row>
    <row r="3432" spans="1:6" ht="56.25" x14ac:dyDescent="0.2">
      <c r="A3432" s="70" t="s">
        <v>9969</v>
      </c>
      <c r="B3432" s="65" t="s">
        <v>9970</v>
      </c>
      <c r="C3432" s="75" t="s">
        <v>203</v>
      </c>
      <c r="D3432" s="72" t="s">
        <v>9971</v>
      </c>
      <c r="E3432" s="72" t="s">
        <v>333</v>
      </c>
      <c r="F3432" s="72" t="s">
        <v>9972</v>
      </c>
    </row>
    <row r="3433" spans="1:6" ht="56.25" x14ac:dyDescent="0.2">
      <c r="A3433" s="70" t="s">
        <v>9973</v>
      </c>
      <c r="B3433" s="65" t="s">
        <v>9974</v>
      </c>
      <c r="C3433" s="75" t="s">
        <v>203</v>
      </c>
      <c r="D3433" s="72" t="s">
        <v>9975</v>
      </c>
      <c r="E3433" s="72" t="s">
        <v>322</v>
      </c>
      <c r="F3433" s="72" t="s">
        <v>9976</v>
      </c>
    </row>
    <row r="3434" spans="1:6" ht="45" x14ac:dyDescent="0.2">
      <c r="A3434" s="65" t="s">
        <v>9977</v>
      </c>
      <c r="B3434" s="66" t="s">
        <v>9978</v>
      </c>
      <c r="C3434" s="74" t="s">
        <v>203</v>
      </c>
      <c r="D3434" s="69" t="s">
        <v>9979</v>
      </c>
      <c r="E3434" s="69" t="s">
        <v>322</v>
      </c>
      <c r="F3434" s="69" t="s">
        <v>9980</v>
      </c>
    </row>
    <row r="3435" spans="1:6" ht="22.5" x14ac:dyDescent="0.2">
      <c r="A3435" s="65" t="s">
        <v>9981</v>
      </c>
      <c r="B3435" s="65" t="s">
        <v>9982</v>
      </c>
      <c r="C3435" s="74" t="s">
        <v>203</v>
      </c>
      <c r="D3435" s="69" t="s">
        <v>9983</v>
      </c>
      <c r="E3435" s="69" t="s">
        <v>322</v>
      </c>
      <c r="F3435" s="69" t="s">
        <v>9984</v>
      </c>
    </row>
    <row r="3436" spans="1:6" ht="22.5" x14ac:dyDescent="0.2">
      <c r="A3436" s="65" t="s">
        <v>9985</v>
      </c>
      <c r="B3436" s="65" t="s">
        <v>9986</v>
      </c>
      <c r="C3436" s="74" t="s">
        <v>203</v>
      </c>
      <c r="D3436" s="69" t="s">
        <v>9987</v>
      </c>
      <c r="E3436" s="69" t="s">
        <v>331</v>
      </c>
      <c r="F3436" s="69" t="s">
        <v>9988</v>
      </c>
    </row>
    <row r="3437" spans="1:6" ht="22.5" x14ac:dyDescent="0.2">
      <c r="A3437" s="65" t="s">
        <v>9989</v>
      </c>
      <c r="B3437" s="65" t="s">
        <v>9990</v>
      </c>
      <c r="C3437" s="74" t="s">
        <v>203</v>
      </c>
      <c r="D3437" s="69" t="s">
        <v>9991</v>
      </c>
      <c r="E3437" s="69" t="s">
        <v>322</v>
      </c>
      <c r="F3437" s="69" t="s">
        <v>9992</v>
      </c>
    </row>
    <row r="3438" spans="1:6" ht="56.25" x14ac:dyDescent="0.2">
      <c r="A3438" s="70" t="s">
        <v>9993</v>
      </c>
      <c r="B3438" s="65" t="s">
        <v>9994</v>
      </c>
      <c r="C3438" s="75" t="s">
        <v>203</v>
      </c>
      <c r="D3438" s="72" t="s">
        <v>9995</v>
      </c>
      <c r="E3438" s="72" t="s">
        <v>324</v>
      </c>
      <c r="F3438" s="72" t="s">
        <v>9996</v>
      </c>
    </row>
    <row r="3439" spans="1:6" ht="56.25" x14ac:dyDescent="0.2">
      <c r="A3439" s="70" t="s">
        <v>9997</v>
      </c>
      <c r="B3439" s="65" t="s">
        <v>9998</v>
      </c>
      <c r="C3439" s="75" t="s">
        <v>203</v>
      </c>
      <c r="D3439" s="72" t="s">
        <v>9999</v>
      </c>
      <c r="E3439" s="72" t="s">
        <v>331</v>
      </c>
      <c r="F3439" s="72" t="s">
        <v>10000</v>
      </c>
    </row>
    <row r="3440" spans="1:6" ht="56.25" x14ac:dyDescent="0.2">
      <c r="A3440" s="70" t="s">
        <v>10001</v>
      </c>
      <c r="B3440" s="65" t="s">
        <v>10002</v>
      </c>
      <c r="C3440" s="75" t="s">
        <v>203</v>
      </c>
      <c r="D3440" s="72" t="s">
        <v>10003</v>
      </c>
      <c r="E3440" s="72" t="s">
        <v>331</v>
      </c>
      <c r="F3440" s="72" t="s">
        <v>10004</v>
      </c>
    </row>
    <row r="3441" spans="1:6" ht="56.25" x14ac:dyDescent="0.2">
      <c r="A3441" s="70" t="s">
        <v>10005</v>
      </c>
      <c r="B3441" s="65" t="s">
        <v>10006</v>
      </c>
      <c r="C3441" s="75" t="s">
        <v>203</v>
      </c>
      <c r="D3441" s="72" t="s">
        <v>10007</v>
      </c>
      <c r="E3441" s="72" t="s">
        <v>322</v>
      </c>
      <c r="F3441" s="72" t="s">
        <v>10008</v>
      </c>
    </row>
    <row r="3442" spans="1:6" ht="56.25" x14ac:dyDescent="0.2">
      <c r="A3442" s="65" t="s">
        <v>10009</v>
      </c>
      <c r="B3442" s="66" t="s">
        <v>10010</v>
      </c>
      <c r="C3442" s="74" t="s">
        <v>203</v>
      </c>
      <c r="D3442" s="69" t="s">
        <v>10011</v>
      </c>
      <c r="E3442" s="69" t="s">
        <v>322</v>
      </c>
      <c r="F3442" s="69" t="s">
        <v>10012</v>
      </c>
    </row>
    <row r="3443" spans="1:6" ht="56.25" x14ac:dyDescent="0.2">
      <c r="A3443" s="65" t="s">
        <v>10013</v>
      </c>
      <c r="B3443" s="66" t="s">
        <v>10014</v>
      </c>
      <c r="C3443" s="74" t="s">
        <v>203</v>
      </c>
      <c r="D3443" s="69" t="s">
        <v>10015</v>
      </c>
      <c r="E3443" s="69" t="s">
        <v>322</v>
      </c>
      <c r="F3443" s="69" t="s">
        <v>10016</v>
      </c>
    </row>
    <row r="3444" spans="1:6" ht="56.25" x14ac:dyDescent="0.2">
      <c r="A3444" s="65" t="s">
        <v>10017</v>
      </c>
      <c r="B3444" s="66" t="s">
        <v>10018</v>
      </c>
      <c r="C3444" s="74" t="s">
        <v>203</v>
      </c>
      <c r="D3444" s="69" t="s">
        <v>10019</v>
      </c>
      <c r="E3444" s="69" t="s">
        <v>322</v>
      </c>
      <c r="F3444" s="69" t="s">
        <v>10020</v>
      </c>
    </row>
    <row r="3445" spans="1:6" ht="56.25" x14ac:dyDescent="0.2">
      <c r="A3445" s="65" t="s">
        <v>10021</v>
      </c>
      <c r="B3445" s="66" t="s">
        <v>10022</v>
      </c>
      <c r="C3445" s="74" t="s">
        <v>203</v>
      </c>
      <c r="D3445" s="69" t="s">
        <v>10023</v>
      </c>
      <c r="E3445" s="69" t="s">
        <v>322</v>
      </c>
      <c r="F3445" s="69" t="s">
        <v>10024</v>
      </c>
    </row>
    <row r="3446" spans="1:6" ht="56.25" x14ac:dyDescent="0.2">
      <c r="A3446" s="65" t="s">
        <v>10025</v>
      </c>
      <c r="B3446" s="66" t="s">
        <v>10026</v>
      </c>
      <c r="C3446" s="74" t="s">
        <v>203</v>
      </c>
      <c r="D3446" s="69" t="s">
        <v>10027</v>
      </c>
      <c r="E3446" s="69" t="s">
        <v>322</v>
      </c>
      <c r="F3446" s="69" t="s">
        <v>10028</v>
      </c>
    </row>
    <row r="3447" spans="1:6" ht="56.25" x14ac:dyDescent="0.2">
      <c r="A3447" s="65" t="s">
        <v>10029</v>
      </c>
      <c r="B3447" s="66" t="s">
        <v>10030</v>
      </c>
      <c r="C3447" s="74" t="s">
        <v>203</v>
      </c>
      <c r="D3447" s="69" t="s">
        <v>10031</v>
      </c>
      <c r="E3447" s="69" t="s">
        <v>331</v>
      </c>
      <c r="F3447" s="69" t="s">
        <v>10032</v>
      </c>
    </row>
    <row r="3448" spans="1:6" ht="56.25" x14ac:dyDescent="0.2">
      <c r="A3448" s="65" t="s">
        <v>10033</v>
      </c>
      <c r="B3448" s="66" t="s">
        <v>10034</v>
      </c>
      <c r="C3448" s="74" t="s">
        <v>203</v>
      </c>
      <c r="D3448" s="69" t="s">
        <v>10035</v>
      </c>
      <c r="E3448" s="69" t="s">
        <v>331</v>
      </c>
      <c r="F3448" s="69" t="s">
        <v>10036</v>
      </c>
    </row>
    <row r="3449" spans="1:6" ht="56.25" x14ac:dyDescent="0.2">
      <c r="A3449" s="70" t="s">
        <v>10037</v>
      </c>
      <c r="B3449" s="65" t="s">
        <v>10038</v>
      </c>
      <c r="C3449" s="75" t="s">
        <v>203</v>
      </c>
      <c r="D3449" s="72" t="s">
        <v>10039</v>
      </c>
      <c r="E3449" s="72" t="s">
        <v>323</v>
      </c>
      <c r="F3449" s="72" t="s">
        <v>8473</v>
      </c>
    </row>
    <row r="3450" spans="1:6" ht="56.25" x14ac:dyDescent="0.2">
      <c r="A3450" s="65" t="s">
        <v>10040</v>
      </c>
      <c r="B3450" s="66" t="s">
        <v>10041</v>
      </c>
      <c r="C3450" s="74" t="s">
        <v>203</v>
      </c>
      <c r="D3450" s="69" t="s">
        <v>9211</v>
      </c>
      <c r="E3450" s="69" t="s">
        <v>322</v>
      </c>
      <c r="F3450" s="69" t="s">
        <v>10042</v>
      </c>
    </row>
    <row r="3451" spans="1:6" ht="56.25" x14ac:dyDescent="0.2">
      <c r="A3451" s="70" t="s">
        <v>10043</v>
      </c>
      <c r="B3451" s="65" t="s">
        <v>10044</v>
      </c>
      <c r="C3451" s="75" t="s">
        <v>203</v>
      </c>
      <c r="D3451" s="72" t="s">
        <v>10045</v>
      </c>
      <c r="E3451" s="72" t="s">
        <v>318</v>
      </c>
      <c r="F3451" s="72" t="s">
        <v>10046</v>
      </c>
    </row>
    <row r="3452" spans="1:6" ht="56.25" x14ac:dyDescent="0.2">
      <c r="A3452" s="70" t="s">
        <v>10047</v>
      </c>
      <c r="B3452" s="65" t="s">
        <v>10048</v>
      </c>
      <c r="C3452" s="75" t="s">
        <v>203</v>
      </c>
      <c r="D3452" s="72" t="s">
        <v>10049</v>
      </c>
      <c r="E3452" s="72" t="s">
        <v>322</v>
      </c>
      <c r="F3452" s="72" t="s">
        <v>10050</v>
      </c>
    </row>
    <row r="3453" spans="1:6" ht="56.25" x14ac:dyDescent="0.2">
      <c r="A3453" s="70" t="s">
        <v>10051</v>
      </c>
      <c r="B3453" s="65" t="s">
        <v>10052</v>
      </c>
      <c r="C3453" s="75" t="s">
        <v>203</v>
      </c>
      <c r="D3453" s="72" t="s">
        <v>10053</v>
      </c>
      <c r="E3453" s="72" t="s">
        <v>322</v>
      </c>
      <c r="F3453" s="72" t="s">
        <v>10054</v>
      </c>
    </row>
    <row r="3454" spans="1:6" ht="56.25" x14ac:dyDescent="0.2">
      <c r="A3454" s="65" t="s">
        <v>10055</v>
      </c>
      <c r="B3454" s="66" t="s">
        <v>10056</v>
      </c>
      <c r="C3454" s="74" t="s">
        <v>203</v>
      </c>
      <c r="D3454" s="69" t="s">
        <v>10057</v>
      </c>
      <c r="E3454" s="69" t="s">
        <v>322</v>
      </c>
      <c r="F3454" s="69" t="s">
        <v>10058</v>
      </c>
    </row>
    <row r="3455" spans="1:6" ht="67.5" x14ac:dyDescent="0.2">
      <c r="A3455" s="70" t="s">
        <v>10059</v>
      </c>
      <c r="B3455" s="66" t="s">
        <v>10060</v>
      </c>
      <c r="C3455" s="75" t="s">
        <v>203</v>
      </c>
      <c r="D3455" s="72" t="s">
        <v>10061</v>
      </c>
      <c r="E3455" s="72" t="s">
        <v>328</v>
      </c>
      <c r="F3455" s="72" t="s">
        <v>10062</v>
      </c>
    </row>
    <row r="3456" spans="1:6" ht="56.25" x14ac:dyDescent="0.2">
      <c r="A3456" s="70" t="s">
        <v>10063</v>
      </c>
      <c r="B3456" s="65" t="s">
        <v>10064</v>
      </c>
      <c r="C3456" s="75" t="s">
        <v>203</v>
      </c>
      <c r="D3456" s="72" t="s">
        <v>10065</v>
      </c>
      <c r="E3456" s="72" t="s">
        <v>328</v>
      </c>
      <c r="F3456" s="72" t="s">
        <v>10066</v>
      </c>
    </row>
    <row r="3457" spans="1:6" ht="22.5" x14ac:dyDescent="0.2">
      <c r="A3457" s="65" t="s">
        <v>10067</v>
      </c>
      <c r="B3457" s="65" t="s">
        <v>10068</v>
      </c>
      <c r="C3457" s="74" t="s">
        <v>203</v>
      </c>
      <c r="D3457" s="69" t="s">
        <v>10069</v>
      </c>
      <c r="E3457" s="69" t="s">
        <v>321</v>
      </c>
      <c r="F3457" s="69" t="s">
        <v>10070</v>
      </c>
    </row>
    <row r="3458" spans="1:6" ht="22.5" x14ac:dyDescent="0.2">
      <c r="A3458" s="50">
        <v>47.06</v>
      </c>
      <c r="B3458" s="64" t="s">
        <v>10071</v>
      </c>
      <c r="C3458" s="47"/>
      <c r="D3458" s="47"/>
      <c r="E3458" s="47"/>
      <c r="F3458" s="47"/>
    </row>
    <row r="3459" spans="1:6" ht="45" x14ac:dyDescent="0.2">
      <c r="A3459" s="65" t="s">
        <v>10072</v>
      </c>
      <c r="B3459" s="66" t="s">
        <v>10073</v>
      </c>
      <c r="C3459" s="74" t="s">
        <v>203</v>
      </c>
      <c r="D3459" s="69" t="s">
        <v>10074</v>
      </c>
      <c r="E3459" s="69" t="s">
        <v>9775</v>
      </c>
      <c r="F3459" s="69" t="s">
        <v>10075</v>
      </c>
    </row>
    <row r="3460" spans="1:6" ht="33.75" x14ac:dyDescent="0.2">
      <c r="A3460" s="65" t="s">
        <v>10076</v>
      </c>
      <c r="B3460" s="65" t="s">
        <v>10077</v>
      </c>
      <c r="C3460" s="74" t="s">
        <v>203</v>
      </c>
      <c r="D3460" s="69" t="s">
        <v>10078</v>
      </c>
      <c r="E3460" s="69" t="s">
        <v>9263</v>
      </c>
      <c r="F3460" s="69" t="s">
        <v>10079</v>
      </c>
    </row>
    <row r="3461" spans="1:6" ht="33.75" x14ac:dyDescent="0.2">
      <c r="A3461" s="65" t="s">
        <v>10080</v>
      </c>
      <c r="B3461" s="65" t="s">
        <v>10081</v>
      </c>
      <c r="C3461" s="74" t="s">
        <v>203</v>
      </c>
      <c r="D3461" s="69" t="s">
        <v>10082</v>
      </c>
      <c r="E3461" s="69" t="s">
        <v>9263</v>
      </c>
      <c r="F3461" s="69" t="s">
        <v>10083</v>
      </c>
    </row>
    <row r="3462" spans="1:6" ht="33.75" x14ac:dyDescent="0.2">
      <c r="A3462" s="65" t="s">
        <v>10084</v>
      </c>
      <c r="B3462" s="65" t="s">
        <v>10085</v>
      </c>
      <c r="C3462" s="74" t="s">
        <v>203</v>
      </c>
      <c r="D3462" s="69" t="s">
        <v>10086</v>
      </c>
      <c r="E3462" s="69" t="s">
        <v>9263</v>
      </c>
      <c r="F3462" s="69" t="s">
        <v>10087</v>
      </c>
    </row>
    <row r="3463" spans="1:6" ht="45" x14ac:dyDescent="0.2">
      <c r="A3463" s="65" t="s">
        <v>10088</v>
      </c>
      <c r="B3463" s="66" t="s">
        <v>10089</v>
      </c>
      <c r="C3463" s="74" t="s">
        <v>203</v>
      </c>
      <c r="D3463" s="69" t="s">
        <v>10090</v>
      </c>
      <c r="E3463" s="69" t="s">
        <v>9263</v>
      </c>
      <c r="F3463" s="69" t="s">
        <v>10091</v>
      </c>
    </row>
    <row r="3464" spans="1:6" ht="22.5" x14ac:dyDescent="0.2">
      <c r="A3464" s="65" t="s">
        <v>10092</v>
      </c>
      <c r="B3464" s="65" t="s">
        <v>10093</v>
      </c>
      <c r="C3464" s="74" t="s">
        <v>203</v>
      </c>
      <c r="D3464" s="69" t="s">
        <v>10094</v>
      </c>
      <c r="E3464" s="69" t="s">
        <v>328</v>
      </c>
      <c r="F3464" s="69" t="s">
        <v>10095</v>
      </c>
    </row>
    <row r="3465" spans="1:6" ht="22.5" x14ac:dyDescent="0.2">
      <c r="A3465" s="65" t="s">
        <v>10096</v>
      </c>
      <c r="B3465" s="65" t="s">
        <v>10097</v>
      </c>
      <c r="C3465" s="74" t="s">
        <v>203</v>
      </c>
      <c r="D3465" s="69" t="s">
        <v>10098</v>
      </c>
      <c r="E3465" s="69" t="s">
        <v>328</v>
      </c>
      <c r="F3465" s="69" t="s">
        <v>10099</v>
      </c>
    </row>
    <row r="3466" spans="1:6" ht="33.75" x14ac:dyDescent="0.2">
      <c r="A3466" s="65" t="s">
        <v>10100</v>
      </c>
      <c r="B3466" s="65" t="s">
        <v>10101</v>
      </c>
      <c r="C3466" s="74" t="s">
        <v>203</v>
      </c>
      <c r="D3466" s="69" t="s">
        <v>10102</v>
      </c>
      <c r="E3466" s="69" t="s">
        <v>328</v>
      </c>
      <c r="F3466" s="69" t="s">
        <v>10103</v>
      </c>
    </row>
    <row r="3467" spans="1:6" ht="33.75" x14ac:dyDescent="0.2">
      <c r="A3467" s="65" t="s">
        <v>10104</v>
      </c>
      <c r="B3467" s="65" t="s">
        <v>10105</v>
      </c>
      <c r="C3467" s="74" t="s">
        <v>203</v>
      </c>
      <c r="D3467" s="69" t="s">
        <v>10106</v>
      </c>
      <c r="E3467" s="69" t="s">
        <v>328</v>
      </c>
      <c r="F3467" s="69" t="s">
        <v>10107</v>
      </c>
    </row>
    <row r="3468" spans="1:6" ht="45" x14ac:dyDescent="0.2">
      <c r="A3468" s="65" t="s">
        <v>10108</v>
      </c>
      <c r="B3468" s="66" t="s">
        <v>10109</v>
      </c>
      <c r="C3468" s="74" t="s">
        <v>203</v>
      </c>
      <c r="D3468" s="69" t="s">
        <v>10110</v>
      </c>
      <c r="E3468" s="69" t="s">
        <v>9775</v>
      </c>
      <c r="F3468" s="69" t="s">
        <v>10111</v>
      </c>
    </row>
    <row r="3469" spans="1:6" ht="45" x14ac:dyDescent="0.2">
      <c r="A3469" s="65" t="s">
        <v>10112</v>
      </c>
      <c r="B3469" s="66" t="s">
        <v>10113</v>
      </c>
      <c r="C3469" s="74" t="s">
        <v>203</v>
      </c>
      <c r="D3469" s="69" t="s">
        <v>10114</v>
      </c>
      <c r="E3469" s="69" t="s">
        <v>331</v>
      </c>
      <c r="F3469" s="69" t="s">
        <v>10115</v>
      </c>
    </row>
    <row r="3470" spans="1:6" ht="22.5" x14ac:dyDescent="0.2">
      <c r="A3470" s="65" t="s">
        <v>10116</v>
      </c>
      <c r="B3470" s="65" t="s">
        <v>10117</v>
      </c>
      <c r="C3470" s="74" t="s">
        <v>203</v>
      </c>
      <c r="D3470" s="69" t="s">
        <v>10118</v>
      </c>
      <c r="E3470" s="69" t="s">
        <v>328</v>
      </c>
      <c r="F3470" s="69" t="s">
        <v>10119</v>
      </c>
    </row>
    <row r="3471" spans="1:6" ht="45" x14ac:dyDescent="0.2">
      <c r="A3471" s="65" t="s">
        <v>10120</v>
      </c>
      <c r="B3471" s="66" t="s">
        <v>10121</v>
      </c>
      <c r="C3471" s="74" t="s">
        <v>203</v>
      </c>
      <c r="D3471" s="69" t="s">
        <v>10122</v>
      </c>
      <c r="E3471" s="69" t="s">
        <v>333</v>
      </c>
      <c r="F3471" s="69" t="s">
        <v>10123</v>
      </c>
    </row>
    <row r="3472" spans="1:6" ht="45" x14ac:dyDescent="0.2">
      <c r="A3472" s="65" t="s">
        <v>10124</v>
      </c>
      <c r="B3472" s="66" t="s">
        <v>10125</v>
      </c>
      <c r="C3472" s="74" t="s">
        <v>203</v>
      </c>
      <c r="D3472" s="69" t="s">
        <v>10126</v>
      </c>
      <c r="E3472" s="69" t="s">
        <v>345</v>
      </c>
      <c r="F3472" s="69" t="s">
        <v>10127</v>
      </c>
    </row>
    <row r="3473" spans="1:6" ht="45" x14ac:dyDescent="0.2">
      <c r="A3473" s="65" t="s">
        <v>10128</v>
      </c>
      <c r="B3473" s="66" t="s">
        <v>10129</v>
      </c>
      <c r="C3473" s="74" t="s">
        <v>203</v>
      </c>
      <c r="D3473" s="69" t="s">
        <v>10130</v>
      </c>
      <c r="E3473" s="69" t="s">
        <v>328</v>
      </c>
      <c r="F3473" s="69" t="s">
        <v>10131</v>
      </c>
    </row>
    <row r="3474" spans="1:6" ht="45" x14ac:dyDescent="0.2">
      <c r="A3474" s="65" t="s">
        <v>10132</v>
      </c>
      <c r="B3474" s="66" t="s">
        <v>10133</v>
      </c>
      <c r="C3474" s="74" t="s">
        <v>203</v>
      </c>
      <c r="D3474" s="69" t="s">
        <v>10134</v>
      </c>
      <c r="E3474" s="69" t="s">
        <v>328</v>
      </c>
      <c r="F3474" s="69" t="s">
        <v>10135</v>
      </c>
    </row>
    <row r="3475" spans="1:6" ht="45" x14ac:dyDescent="0.2">
      <c r="A3475" s="65" t="s">
        <v>10136</v>
      </c>
      <c r="B3475" s="66" t="s">
        <v>10137</v>
      </c>
      <c r="C3475" s="74" t="s">
        <v>203</v>
      </c>
      <c r="D3475" s="69" t="s">
        <v>10138</v>
      </c>
      <c r="E3475" s="69" t="s">
        <v>328</v>
      </c>
      <c r="F3475" s="69" t="s">
        <v>10139</v>
      </c>
    </row>
    <row r="3476" spans="1:6" ht="22.5" x14ac:dyDescent="0.2">
      <c r="A3476" s="50">
        <v>47.07</v>
      </c>
      <c r="B3476" s="64" t="s">
        <v>10140</v>
      </c>
      <c r="C3476" s="47"/>
      <c r="D3476" s="47"/>
      <c r="E3476" s="47"/>
      <c r="F3476" s="47"/>
    </row>
    <row r="3477" spans="1:6" ht="56.25" x14ac:dyDescent="0.2">
      <c r="A3477" s="70" t="s">
        <v>10141</v>
      </c>
      <c r="B3477" s="65" t="s">
        <v>10142</v>
      </c>
      <c r="C3477" s="75" t="s">
        <v>203</v>
      </c>
      <c r="D3477" s="72" t="s">
        <v>10143</v>
      </c>
      <c r="E3477" s="72" t="s">
        <v>322</v>
      </c>
      <c r="F3477" s="72" t="s">
        <v>10144</v>
      </c>
    </row>
    <row r="3478" spans="1:6" ht="56.25" x14ac:dyDescent="0.2">
      <c r="A3478" s="70" t="s">
        <v>10145</v>
      </c>
      <c r="B3478" s="65" t="s">
        <v>10146</v>
      </c>
      <c r="C3478" s="75" t="s">
        <v>203</v>
      </c>
      <c r="D3478" s="72" t="s">
        <v>6744</v>
      </c>
      <c r="E3478" s="72" t="s">
        <v>331</v>
      </c>
      <c r="F3478" s="72" t="s">
        <v>10147</v>
      </c>
    </row>
    <row r="3479" spans="1:6" ht="56.25" x14ac:dyDescent="0.2">
      <c r="A3479" s="70" t="s">
        <v>10148</v>
      </c>
      <c r="B3479" s="65" t="s">
        <v>10149</v>
      </c>
      <c r="C3479" s="75" t="s">
        <v>203</v>
      </c>
      <c r="D3479" s="72" t="s">
        <v>10150</v>
      </c>
      <c r="E3479" s="72" t="s">
        <v>333</v>
      </c>
      <c r="F3479" s="72" t="s">
        <v>10151</v>
      </c>
    </row>
    <row r="3480" spans="1:6" ht="56.25" x14ac:dyDescent="0.2">
      <c r="A3480" s="70" t="s">
        <v>10152</v>
      </c>
      <c r="B3480" s="65" t="s">
        <v>10153</v>
      </c>
      <c r="C3480" s="75" t="s">
        <v>203</v>
      </c>
      <c r="D3480" s="72" t="s">
        <v>10154</v>
      </c>
      <c r="E3480" s="72" t="s">
        <v>5023</v>
      </c>
      <c r="F3480" s="72" t="s">
        <v>10155</v>
      </c>
    </row>
    <row r="3481" spans="1:6" ht="56.25" x14ac:dyDescent="0.2">
      <c r="A3481" s="70" t="s">
        <v>10156</v>
      </c>
      <c r="B3481" s="65" t="s">
        <v>10157</v>
      </c>
      <c r="C3481" s="75" t="s">
        <v>203</v>
      </c>
      <c r="D3481" s="72" t="s">
        <v>10158</v>
      </c>
      <c r="E3481" s="72" t="s">
        <v>9775</v>
      </c>
      <c r="F3481" s="72" t="s">
        <v>10159</v>
      </c>
    </row>
    <row r="3482" spans="1:6" ht="22.5" x14ac:dyDescent="0.2">
      <c r="A3482" s="50">
        <v>47.09</v>
      </c>
      <c r="B3482" s="64" t="s">
        <v>10160</v>
      </c>
      <c r="C3482" s="47"/>
      <c r="D3482" s="47"/>
      <c r="E3482" s="47"/>
      <c r="F3482" s="47"/>
    </row>
    <row r="3483" spans="1:6" ht="56.25" x14ac:dyDescent="0.2">
      <c r="A3483" s="65" t="s">
        <v>10161</v>
      </c>
      <c r="B3483" s="66" t="s">
        <v>10162</v>
      </c>
      <c r="C3483" s="74" t="s">
        <v>203</v>
      </c>
      <c r="D3483" s="69" t="s">
        <v>10163</v>
      </c>
      <c r="E3483" s="69" t="s">
        <v>331</v>
      </c>
      <c r="F3483" s="69" t="s">
        <v>10164</v>
      </c>
    </row>
    <row r="3484" spans="1:6" ht="56.25" x14ac:dyDescent="0.2">
      <c r="A3484" s="65" t="s">
        <v>10165</v>
      </c>
      <c r="B3484" s="66" t="s">
        <v>10166</v>
      </c>
      <c r="C3484" s="74" t="s">
        <v>203</v>
      </c>
      <c r="D3484" s="69" t="s">
        <v>10167</v>
      </c>
      <c r="E3484" s="69" t="s">
        <v>333</v>
      </c>
      <c r="F3484" s="69" t="s">
        <v>10168</v>
      </c>
    </row>
    <row r="3485" spans="1:6" ht="56.25" x14ac:dyDescent="0.2">
      <c r="A3485" s="65" t="s">
        <v>10169</v>
      </c>
      <c r="B3485" s="66" t="s">
        <v>10170</v>
      </c>
      <c r="C3485" s="74" t="s">
        <v>203</v>
      </c>
      <c r="D3485" s="69" t="s">
        <v>10171</v>
      </c>
      <c r="E3485" s="69" t="s">
        <v>321</v>
      </c>
      <c r="F3485" s="69" t="s">
        <v>10172</v>
      </c>
    </row>
    <row r="3486" spans="1:6" ht="56.25" x14ac:dyDescent="0.2">
      <c r="A3486" s="65" t="s">
        <v>10173</v>
      </c>
      <c r="B3486" s="66" t="s">
        <v>10174</v>
      </c>
      <c r="C3486" s="74" t="s">
        <v>203</v>
      </c>
      <c r="D3486" s="69" t="s">
        <v>10175</v>
      </c>
      <c r="E3486" s="69" t="s">
        <v>9775</v>
      </c>
      <c r="F3486" s="69" t="s">
        <v>10176</v>
      </c>
    </row>
    <row r="3487" spans="1:6" ht="22.5" x14ac:dyDescent="0.2">
      <c r="A3487" s="50">
        <v>47.1</v>
      </c>
      <c r="B3487" s="64" t="s">
        <v>10177</v>
      </c>
      <c r="C3487" s="47"/>
      <c r="D3487" s="47"/>
      <c r="E3487" s="47"/>
      <c r="F3487" s="47"/>
    </row>
    <row r="3488" spans="1:6" ht="56.25" x14ac:dyDescent="0.2">
      <c r="A3488" s="70" t="s">
        <v>10178</v>
      </c>
      <c r="B3488" s="65" t="s">
        <v>10179</v>
      </c>
      <c r="C3488" s="75" t="s">
        <v>203</v>
      </c>
      <c r="D3488" s="72" t="s">
        <v>10180</v>
      </c>
      <c r="E3488" s="72" t="s">
        <v>322</v>
      </c>
      <c r="F3488" s="72" t="s">
        <v>10181</v>
      </c>
    </row>
    <row r="3489" spans="1:6" x14ac:dyDescent="0.2">
      <c r="A3489" s="50">
        <v>47.11</v>
      </c>
      <c r="B3489" s="64" t="s">
        <v>10182</v>
      </c>
      <c r="C3489" s="47"/>
      <c r="D3489" s="47"/>
      <c r="E3489" s="47"/>
      <c r="F3489" s="47"/>
    </row>
    <row r="3490" spans="1:6" ht="56.25" x14ac:dyDescent="0.2">
      <c r="A3490" s="65" t="s">
        <v>10183</v>
      </c>
      <c r="B3490" s="66" t="s">
        <v>10184</v>
      </c>
      <c r="C3490" s="74" t="s">
        <v>203</v>
      </c>
      <c r="D3490" s="69" t="s">
        <v>10185</v>
      </c>
      <c r="E3490" s="69" t="s">
        <v>10186</v>
      </c>
      <c r="F3490" s="69" t="s">
        <v>10187</v>
      </c>
    </row>
    <row r="3491" spans="1:6" ht="33.75" x14ac:dyDescent="0.2">
      <c r="A3491" s="65" t="s">
        <v>10188</v>
      </c>
      <c r="B3491" s="65" t="s">
        <v>10189</v>
      </c>
      <c r="C3491" s="74" t="s">
        <v>203</v>
      </c>
      <c r="D3491" s="69" t="s">
        <v>10190</v>
      </c>
      <c r="E3491" s="69" t="s">
        <v>336</v>
      </c>
      <c r="F3491" s="69" t="s">
        <v>10191</v>
      </c>
    </row>
    <row r="3492" spans="1:6" ht="45" x14ac:dyDescent="0.2">
      <c r="A3492" s="65" t="s">
        <v>10192</v>
      </c>
      <c r="B3492" s="66" t="s">
        <v>10193</v>
      </c>
      <c r="C3492" s="74" t="s">
        <v>203</v>
      </c>
      <c r="D3492" s="69" t="s">
        <v>10194</v>
      </c>
      <c r="E3492" s="69" t="s">
        <v>319</v>
      </c>
      <c r="F3492" s="69" t="s">
        <v>10195</v>
      </c>
    </row>
    <row r="3493" spans="1:6" ht="78.75" x14ac:dyDescent="0.2">
      <c r="A3493" s="70" t="s">
        <v>10196</v>
      </c>
      <c r="B3493" s="66" t="s">
        <v>10197</v>
      </c>
      <c r="C3493" s="75" t="s">
        <v>203</v>
      </c>
      <c r="D3493" s="72" t="s">
        <v>10198</v>
      </c>
      <c r="E3493" s="72" t="s">
        <v>10186</v>
      </c>
      <c r="F3493" s="72" t="s">
        <v>10199</v>
      </c>
    </row>
    <row r="3494" spans="1:6" ht="22.5" x14ac:dyDescent="0.2">
      <c r="A3494" s="50">
        <v>47.12</v>
      </c>
      <c r="B3494" s="64" t="s">
        <v>10200</v>
      </c>
      <c r="C3494" s="47"/>
      <c r="D3494" s="47"/>
      <c r="E3494" s="47"/>
      <c r="F3494" s="47"/>
    </row>
    <row r="3495" spans="1:6" ht="33.75" x14ac:dyDescent="0.2">
      <c r="A3495" s="65" t="s">
        <v>10201</v>
      </c>
      <c r="B3495" s="65" t="s">
        <v>10202</v>
      </c>
      <c r="C3495" s="74" t="s">
        <v>203</v>
      </c>
      <c r="D3495" s="69" t="s">
        <v>10203</v>
      </c>
      <c r="E3495" s="69" t="s">
        <v>10204</v>
      </c>
      <c r="F3495" s="69" t="s">
        <v>10205</v>
      </c>
    </row>
    <row r="3496" spans="1:6" ht="33.75" x14ac:dyDescent="0.2">
      <c r="A3496" s="65" t="s">
        <v>10206</v>
      </c>
      <c r="B3496" s="65" t="s">
        <v>10207</v>
      </c>
      <c r="C3496" s="74" t="s">
        <v>203</v>
      </c>
      <c r="D3496" s="69" t="s">
        <v>10208</v>
      </c>
      <c r="E3496" s="69" t="s">
        <v>10204</v>
      </c>
      <c r="F3496" s="69" t="s">
        <v>10209</v>
      </c>
    </row>
    <row r="3497" spans="1:6" ht="45" x14ac:dyDescent="0.2">
      <c r="A3497" s="65" t="s">
        <v>10210</v>
      </c>
      <c r="B3497" s="66" t="s">
        <v>10211</v>
      </c>
      <c r="C3497" s="74" t="s">
        <v>203</v>
      </c>
      <c r="D3497" s="69" t="s">
        <v>10212</v>
      </c>
      <c r="E3497" s="69" t="s">
        <v>9775</v>
      </c>
      <c r="F3497" s="69" t="s">
        <v>10213</v>
      </c>
    </row>
    <row r="3498" spans="1:6" ht="56.25" x14ac:dyDescent="0.2">
      <c r="A3498" s="65" t="s">
        <v>10214</v>
      </c>
      <c r="B3498" s="66" t="s">
        <v>10215</v>
      </c>
      <c r="C3498" s="74" t="s">
        <v>203</v>
      </c>
      <c r="D3498" s="69" t="s">
        <v>10216</v>
      </c>
      <c r="E3498" s="69" t="s">
        <v>4003</v>
      </c>
      <c r="F3498" s="69" t="s">
        <v>10217</v>
      </c>
    </row>
    <row r="3499" spans="1:6" ht="56.25" x14ac:dyDescent="0.2">
      <c r="A3499" s="65" t="s">
        <v>10218</v>
      </c>
      <c r="B3499" s="66" t="s">
        <v>10219</v>
      </c>
      <c r="C3499" s="74" t="s">
        <v>203</v>
      </c>
      <c r="D3499" s="69" t="s">
        <v>10220</v>
      </c>
      <c r="E3499" s="69" t="s">
        <v>4003</v>
      </c>
      <c r="F3499" s="69" t="s">
        <v>10221</v>
      </c>
    </row>
    <row r="3500" spans="1:6" ht="33.75" x14ac:dyDescent="0.2">
      <c r="A3500" s="65" t="s">
        <v>10222</v>
      </c>
      <c r="B3500" s="65" t="s">
        <v>10223</v>
      </c>
      <c r="C3500" s="74" t="s">
        <v>203</v>
      </c>
      <c r="D3500" s="69" t="s">
        <v>10224</v>
      </c>
      <c r="E3500" s="69" t="s">
        <v>10204</v>
      </c>
      <c r="F3500" s="69" t="s">
        <v>10225</v>
      </c>
    </row>
    <row r="3501" spans="1:6" ht="33.75" x14ac:dyDescent="0.2">
      <c r="A3501" s="65" t="s">
        <v>10226</v>
      </c>
      <c r="B3501" s="65" t="s">
        <v>10227</v>
      </c>
      <c r="C3501" s="74" t="s">
        <v>203</v>
      </c>
      <c r="D3501" s="69" t="s">
        <v>10228</v>
      </c>
      <c r="E3501" s="69" t="s">
        <v>10204</v>
      </c>
      <c r="F3501" s="69" t="s">
        <v>10229</v>
      </c>
    </row>
    <row r="3502" spans="1:6" ht="33.75" x14ac:dyDescent="0.2">
      <c r="A3502" s="65" t="s">
        <v>10230</v>
      </c>
      <c r="B3502" s="65" t="s">
        <v>10231</v>
      </c>
      <c r="C3502" s="74" t="s">
        <v>203</v>
      </c>
      <c r="D3502" s="69" t="s">
        <v>10232</v>
      </c>
      <c r="E3502" s="69" t="s">
        <v>10204</v>
      </c>
      <c r="F3502" s="69" t="s">
        <v>10233</v>
      </c>
    </row>
    <row r="3503" spans="1:6" ht="33.75" x14ac:dyDescent="0.2">
      <c r="A3503" s="65" t="s">
        <v>10234</v>
      </c>
      <c r="B3503" s="65" t="s">
        <v>10235</v>
      </c>
      <c r="C3503" s="74" t="s">
        <v>203</v>
      </c>
      <c r="D3503" s="69" t="s">
        <v>10236</v>
      </c>
      <c r="E3503" s="69" t="s">
        <v>323</v>
      </c>
      <c r="F3503" s="69" t="s">
        <v>10237</v>
      </c>
    </row>
    <row r="3504" spans="1:6" ht="45" x14ac:dyDescent="0.2">
      <c r="A3504" s="65" t="s">
        <v>10238</v>
      </c>
      <c r="B3504" s="66" t="s">
        <v>10239</v>
      </c>
      <c r="C3504" s="74" t="s">
        <v>203</v>
      </c>
      <c r="D3504" s="69" t="s">
        <v>10240</v>
      </c>
      <c r="E3504" s="69" t="s">
        <v>9099</v>
      </c>
      <c r="F3504" s="69" t="s">
        <v>10241</v>
      </c>
    </row>
    <row r="3505" spans="1:6" ht="22.5" x14ac:dyDescent="0.2">
      <c r="A3505" s="50">
        <v>47.14</v>
      </c>
      <c r="B3505" s="64" t="s">
        <v>10242</v>
      </c>
      <c r="C3505" s="47"/>
      <c r="D3505" s="47"/>
      <c r="E3505" s="47"/>
      <c r="F3505" s="47"/>
    </row>
    <row r="3506" spans="1:6" ht="22.5" x14ac:dyDescent="0.2">
      <c r="A3506" s="65" t="s">
        <v>10243</v>
      </c>
      <c r="B3506" s="65" t="s">
        <v>10244</v>
      </c>
      <c r="C3506" s="74" t="s">
        <v>203</v>
      </c>
      <c r="D3506" s="69" t="s">
        <v>10245</v>
      </c>
      <c r="E3506" s="69" t="s">
        <v>322</v>
      </c>
      <c r="F3506" s="69" t="s">
        <v>10246</v>
      </c>
    </row>
    <row r="3507" spans="1:6" ht="45" x14ac:dyDescent="0.2">
      <c r="A3507" s="65" t="s">
        <v>10247</v>
      </c>
      <c r="B3507" s="66" t="s">
        <v>10248</v>
      </c>
      <c r="C3507" s="74" t="s">
        <v>203</v>
      </c>
      <c r="D3507" s="69" t="s">
        <v>5344</v>
      </c>
      <c r="E3507" s="69" t="s">
        <v>322</v>
      </c>
      <c r="F3507" s="69" t="s">
        <v>10249</v>
      </c>
    </row>
    <row r="3508" spans="1:6" ht="22.5" x14ac:dyDescent="0.2">
      <c r="A3508" s="50">
        <v>47.2</v>
      </c>
      <c r="B3508" s="64" t="s">
        <v>10250</v>
      </c>
      <c r="C3508" s="47"/>
      <c r="D3508" s="47"/>
      <c r="E3508" s="47"/>
      <c r="F3508" s="47"/>
    </row>
    <row r="3509" spans="1:6" ht="22.5" x14ac:dyDescent="0.2">
      <c r="A3509" s="65" t="s">
        <v>10251</v>
      </c>
      <c r="B3509" s="65" t="s">
        <v>10252</v>
      </c>
      <c r="C3509" s="74" t="s">
        <v>203</v>
      </c>
      <c r="D3509" s="69" t="s">
        <v>10253</v>
      </c>
      <c r="E3509" s="69" t="s">
        <v>320</v>
      </c>
      <c r="F3509" s="69" t="s">
        <v>10254</v>
      </c>
    </row>
    <row r="3510" spans="1:6" ht="22.5" x14ac:dyDescent="0.2">
      <c r="A3510" s="65" t="s">
        <v>10255</v>
      </c>
      <c r="B3510" s="65" t="s">
        <v>10256</v>
      </c>
      <c r="C3510" s="74" t="s">
        <v>203</v>
      </c>
      <c r="D3510" s="69" t="s">
        <v>10257</v>
      </c>
      <c r="E3510" s="69" t="s">
        <v>9775</v>
      </c>
      <c r="F3510" s="69" t="s">
        <v>10258</v>
      </c>
    </row>
    <row r="3511" spans="1:6" ht="56.25" x14ac:dyDescent="0.2">
      <c r="A3511" s="65" t="s">
        <v>10259</v>
      </c>
      <c r="B3511" s="66" t="s">
        <v>10260</v>
      </c>
      <c r="C3511" s="74" t="s">
        <v>203</v>
      </c>
      <c r="D3511" s="69" t="s">
        <v>10261</v>
      </c>
      <c r="E3511" s="69" t="s">
        <v>9775</v>
      </c>
      <c r="F3511" s="69" t="s">
        <v>10262</v>
      </c>
    </row>
    <row r="3512" spans="1:6" ht="45" x14ac:dyDescent="0.2">
      <c r="A3512" s="65" t="s">
        <v>10263</v>
      </c>
      <c r="B3512" s="66" t="s">
        <v>10264</v>
      </c>
      <c r="C3512" s="74" t="s">
        <v>203</v>
      </c>
      <c r="D3512" s="69" t="s">
        <v>10265</v>
      </c>
      <c r="E3512" s="69" t="s">
        <v>408</v>
      </c>
      <c r="F3512" s="69" t="s">
        <v>10266</v>
      </c>
    </row>
    <row r="3513" spans="1:6" ht="45" x14ac:dyDescent="0.2">
      <c r="A3513" s="65" t="s">
        <v>10267</v>
      </c>
      <c r="B3513" s="66" t="s">
        <v>10268</v>
      </c>
      <c r="C3513" s="74" t="s">
        <v>203</v>
      </c>
      <c r="D3513" s="69" t="s">
        <v>10269</v>
      </c>
      <c r="E3513" s="69" t="s">
        <v>335</v>
      </c>
      <c r="F3513" s="69" t="s">
        <v>10270</v>
      </c>
    </row>
    <row r="3514" spans="1:6" ht="45" x14ac:dyDescent="0.2">
      <c r="A3514" s="65" t="s">
        <v>10271</v>
      </c>
      <c r="B3514" s="66" t="s">
        <v>10272</v>
      </c>
      <c r="C3514" s="74" t="s">
        <v>203</v>
      </c>
      <c r="D3514" s="69" t="s">
        <v>10273</v>
      </c>
      <c r="E3514" s="69" t="s">
        <v>335</v>
      </c>
      <c r="F3514" s="69" t="s">
        <v>10274</v>
      </c>
    </row>
    <row r="3515" spans="1:6" ht="45" x14ac:dyDescent="0.2">
      <c r="A3515" s="65" t="s">
        <v>10275</v>
      </c>
      <c r="B3515" s="66" t="s">
        <v>10276</v>
      </c>
      <c r="C3515" s="74" t="s">
        <v>203</v>
      </c>
      <c r="D3515" s="69" t="s">
        <v>10277</v>
      </c>
      <c r="E3515" s="69" t="s">
        <v>319</v>
      </c>
      <c r="F3515" s="69" t="s">
        <v>10278</v>
      </c>
    </row>
    <row r="3516" spans="1:6" ht="33.75" x14ac:dyDescent="0.2">
      <c r="A3516" s="65" t="s">
        <v>10279</v>
      </c>
      <c r="B3516" s="65" t="s">
        <v>10280</v>
      </c>
      <c r="C3516" s="74" t="s">
        <v>203</v>
      </c>
      <c r="D3516" s="69" t="s">
        <v>10281</v>
      </c>
      <c r="E3516" s="69" t="s">
        <v>345</v>
      </c>
      <c r="F3516" s="69" t="s">
        <v>10282</v>
      </c>
    </row>
    <row r="3517" spans="1:6" ht="22.5" x14ac:dyDescent="0.2">
      <c r="A3517" s="65" t="s">
        <v>10283</v>
      </c>
      <c r="B3517" s="65" t="s">
        <v>10284</v>
      </c>
      <c r="C3517" s="74" t="s">
        <v>203</v>
      </c>
      <c r="D3517" s="69" t="s">
        <v>2242</v>
      </c>
      <c r="E3517" s="69" t="s">
        <v>318</v>
      </c>
      <c r="F3517" s="69" t="s">
        <v>10285</v>
      </c>
    </row>
    <row r="3518" spans="1:6" ht="45" x14ac:dyDescent="0.2">
      <c r="A3518" s="65" t="s">
        <v>10286</v>
      </c>
      <c r="B3518" s="66" t="s">
        <v>10287</v>
      </c>
      <c r="C3518" s="74" t="s">
        <v>203</v>
      </c>
      <c r="D3518" s="69" t="s">
        <v>10288</v>
      </c>
      <c r="E3518" s="69" t="s">
        <v>3045</v>
      </c>
      <c r="F3518" s="69" t="s">
        <v>10289</v>
      </c>
    </row>
    <row r="3519" spans="1:6" ht="45" x14ac:dyDescent="0.2">
      <c r="A3519" s="65" t="s">
        <v>10290</v>
      </c>
      <c r="B3519" s="66" t="s">
        <v>10291</v>
      </c>
      <c r="C3519" s="74" t="s">
        <v>203</v>
      </c>
      <c r="D3519" s="69" t="s">
        <v>10292</v>
      </c>
      <c r="E3519" s="69" t="s">
        <v>9775</v>
      </c>
      <c r="F3519" s="69" t="s">
        <v>10293</v>
      </c>
    </row>
    <row r="3520" spans="1:6" ht="45" x14ac:dyDescent="0.2">
      <c r="A3520" s="65" t="s">
        <v>10294</v>
      </c>
      <c r="B3520" s="66" t="s">
        <v>10295</v>
      </c>
      <c r="C3520" s="74" t="s">
        <v>203</v>
      </c>
      <c r="D3520" s="69" t="s">
        <v>10296</v>
      </c>
      <c r="E3520" s="69" t="s">
        <v>9775</v>
      </c>
      <c r="F3520" s="69" t="s">
        <v>10297</v>
      </c>
    </row>
    <row r="3521" spans="1:6" ht="22.5" x14ac:dyDescent="0.2">
      <c r="A3521" s="49">
        <v>48</v>
      </c>
      <c r="B3521" s="64" t="s">
        <v>10298</v>
      </c>
      <c r="C3521" s="47"/>
      <c r="D3521" s="47"/>
      <c r="E3521" s="47"/>
      <c r="F3521" s="47"/>
    </row>
    <row r="3522" spans="1:6" ht="22.5" x14ac:dyDescent="0.2">
      <c r="A3522" s="50">
        <v>48.02</v>
      </c>
      <c r="B3522" s="64" t="s">
        <v>10299</v>
      </c>
      <c r="C3522" s="47"/>
      <c r="D3522" s="47"/>
      <c r="E3522" s="47"/>
      <c r="F3522" s="47"/>
    </row>
    <row r="3523" spans="1:6" ht="22.5" x14ac:dyDescent="0.2">
      <c r="A3523" s="65" t="s">
        <v>10300</v>
      </c>
      <c r="B3523" s="65" t="s">
        <v>10301</v>
      </c>
      <c r="C3523" s="74" t="s">
        <v>203</v>
      </c>
      <c r="D3523" s="69" t="s">
        <v>10302</v>
      </c>
      <c r="E3523" s="69" t="s">
        <v>10303</v>
      </c>
      <c r="F3523" s="69" t="s">
        <v>10304</v>
      </c>
    </row>
    <row r="3524" spans="1:6" ht="22.5" x14ac:dyDescent="0.2">
      <c r="A3524" s="65" t="s">
        <v>10305</v>
      </c>
      <c r="B3524" s="65" t="s">
        <v>10306</v>
      </c>
      <c r="C3524" s="74" t="s">
        <v>203</v>
      </c>
      <c r="D3524" s="69" t="s">
        <v>10307</v>
      </c>
      <c r="E3524" s="69" t="s">
        <v>10308</v>
      </c>
      <c r="F3524" s="69" t="s">
        <v>10309</v>
      </c>
    </row>
    <row r="3525" spans="1:6" ht="45" x14ac:dyDescent="0.2">
      <c r="A3525" s="65" t="s">
        <v>10310</v>
      </c>
      <c r="B3525" s="66" t="s">
        <v>10311</v>
      </c>
      <c r="C3525" s="74" t="s">
        <v>203</v>
      </c>
      <c r="D3525" s="69" t="s">
        <v>10312</v>
      </c>
      <c r="E3525" s="69" t="s">
        <v>3517</v>
      </c>
      <c r="F3525" s="69" t="s">
        <v>10313</v>
      </c>
    </row>
    <row r="3526" spans="1:6" ht="45" x14ac:dyDescent="0.2">
      <c r="A3526" s="65" t="s">
        <v>10314</v>
      </c>
      <c r="B3526" s="66" t="s">
        <v>10315</v>
      </c>
      <c r="C3526" s="74" t="s">
        <v>203</v>
      </c>
      <c r="D3526" s="69" t="s">
        <v>10316</v>
      </c>
      <c r="E3526" s="69" t="s">
        <v>3517</v>
      </c>
      <c r="F3526" s="69" t="s">
        <v>10317</v>
      </c>
    </row>
    <row r="3527" spans="1:6" ht="45" x14ac:dyDescent="0.2">
      <c r="A3527" s="65" t="s">
        <v>10318</v>
      </c>
      <c r="B3527" s="66" t="s">
        <v>10319</v>
      </c>
      <c r="C3527" s="67" t="s">
        <v>203</v>
      </c>
      <c r="D3527" s="69" t="s">
        <v>10320</v>
      </c>
      <c r="E3527" s="69" t="s">
        <v>337</v>
      </c>
      <c r="F3527" s="69" t="s">
        <v>10321</v>
      </c>
    </row>
    <row r="3528" spans="1:6" ht="45" x14ac:dyDescent="0.2">
      <c r="A3528" s="65" t="s">
        <v>10322</v>
      </c>
      <c r="B3528" s="66" t="s">
        <v>10323</v>
      </c>
      <c r="C3528" s="67" t="s">
        <v>203</v>
      </c>
      <c r="D3528" s="69" t="s">
        <v>10324</v>
      </c>
      <c r="E3528" s="69" t="s">
        <v>10325</v>
      </c>
      <c r="F3528" s="69" t="s">
        <v>10326</v>
      </c>
    </row>
    <row r="3529" spans="1:6" ht="67.5" x14ac:dyDescent="0.2">
      <c r="A3529" s="70" t="s">
        <v>10327</v>
      </c>
      <c r="B3529" s="66" t="s">
        <v>10328</v>
      </c>
      <c r="C3529" s="71" t="s">
        <v>203</v>
      </c>
      <c r="D3529" s="72" t="s">
        <v>10329</v>
      </c>
      <c r="E3529" s="72" t="s">
        <v>10330</v>
      </c>
      <c r="F3529" s="72" t="s">
        <v>10331</v>
      </c>
    </row>
    <row r="3530" spans="1:6" ht="67.5" x14ac:dyDescent="0.2">
      <c r="A3530" s="70" t="s">
        <v>10332</v>
      </c>
      <c r="B3530" s="66" t="s">
        <v>10333</v>
      </c>
      <c r="C3530" s="71" t="s">
        <v>203</v>
      </c>
      <c r="D3530" s="72" t="s">
        <v>10334</v>
      </c>
      <c r="E3530" s="72" t="s">
        <v>10303</v>
      </c>
      <c r="F3530" s="72" t="s">
        <v>10335</v>
      </c>
    </row>
    <row r="3531" spans="1:6" ht="45" x14ac:dyDescent="0.2">
      <c r="A3531" s="65" t="s">
        <v>10336</v>
      </c>
      <c r="B3531" s="66" t="s">
        <v>10337</v>
      </c>
      <c r="C3531" s="67" t="s">
        <v>203</v>
      </c>
      <c r="D3531" s="69" t="s">
        <v>10338</v>
      </c>
      <c r="E3531" s="69" t="s">
        <v>337</v>
      </c>
      <c r="F3531" s="69" t="s">
        <v>10339</v>
      </c>
    </row>
    <row r="3532" spans="1:6" ht="45" x14ac:dyDescent="0.2">
      <c r="A3532" s="65" t="s">
        <v>10340</v>
      </c>
      <c r="B3532" s="66" t="s">
        <v>10341</v>
      </c>
      <c r="C3532" s="67" t="s">
        <v>203</v>
      </c>
      <c r="D3532" s="69" t="s">
        <v>10342</v>
      </c>
      <c r="E3532" s="69" t="s">
        <v>337</v>
      </c>
      <c r="F3532" s="69" t="s">
        <v>10343</v>
      </c>
    </row>
    <row r="3533" spans="1:6" x14ac:dyDescent="0.2">
      <c r="A3533" s="50">
        <v>48.03</v>
      </c>
      <c r="B3533" s="64" t="s">
        <v>10344</v>
      </c>
      <c r="C3533" s="47"/>
      <c r="D3533" s="47"/>
      <c r="E3533" s="47"/>
      <c r="F3533" s="47"/>
    </row>
    <row r="3534" spans="1:6" ht="33.75" x14ac:dyDescent="0.2">
      <c r="A3534" s="65" t="s">
        <v>10345</v>
      </c>
      <c r="B3534" s="65" t="s">
        <v>10346</v>
      </c>
      <c r="C3534" s="67" t="s">
        <v>240</v>
      </c>
      <c r="D3534" s="69" t="s">
        <v>10347</v>
      </c>
      <c r="E3534" s="69" t="s">
        <v>337</v>
      </c>
      <c r="F3534" s="69" t="s">
        <v>10348</v>
      </c>
    </row>
    <row r="3535" spans="1:6" ht="33.75" x14ac:dyDescent="0.2">
      <c r="A3535" s="65" t="s">
        <v>10349</v>
      </c>
      <c r="B3535" s="65" t="s">
        <v>10350</v>
      </c>
      <c r="C3535" s="67" t="s">
        <v>240</v>
      </c>
      <c r="D3535" s="69" t="s">
        <v>10351</v>
      </c>
      <c r="E3535" s="69" t="s">
        <v>337</v>
      </c>
      <c r="F3535" s="69" t="s">
        <v>10352</v>
      </c>
    </row>
    <row r="3536" spans="1:6" ht="33.75" x14ac:dyDescent="0.2">
      <c r="A3536" s="65" t="s">
        <v>10353</v>
      </c>
      <c r="B3536" s="65" t="s">
        <v>10354</v>
      </c>
      <c r="C3536" s="67" t="s">
        <v>240</v>
      </c>
      <c r="D3536" s="69" t="s">
        <v>10355</v>
      </c>
      <c r="E3536" s="69" t="s">
        <v>337</v>
      </c>
      <c r="F3536" s="69" t="s">
        <v>10356</v>
      </c>
    </row>
    <row r="3537" spans="1:6" ht="33.75" x14ac:dyDescent="0.2">
      <c r="A3537" s="65" t="s">
        <v>10357</v>
      </c>
      <c r="B3537" s="65" t="s">
        <v>10358</v>
      </c>
      <c r="C3537" s="67" t="s">
        <v>240</v>
      </c>
      <c r="D3537" s="69" t="s">
        <v>10359</v>
      </c>
      <c r="E3537" s="69" t="s">
        <v>337</v>
      </c>
      <c r="F3537" s="69" t="s">
        <v>10360</v>
      </c>
    </row>
    <row r="3538" spans="1:6" x14ac:dyDescent="0.2">
      <c r="A3538" s="50">
        <v>48.04</v>
      </c>
      <c r="B3538" s="64" t="s">
        <v>10361</v>
      </c>
      <c r="C3538" s="47"/>
      <c r="D3538" s="47"/>
      <c r="E3538" s="47"/>
      <c r="F3538" s="47"/>
    </row>
    <row r="3539" spans="1:6" ht="67.5" x14ac:dyDescent="0.2">
      <c r="A3539" s="70" t="s">
        <v>10362</v>
      </c>
      <c r="B3539" s="66" t="s">
        <v>10363</v>
      </c>
      <c r="C3539" s="71" t="s">
        <v>221</v>
      </c>
      <c r="D3539" s="72" t="s">
        <v>10364</v>
      </c>
      <c r="E3539" s="72" t="s">
        <v>10365</v>
      </c>
      <c r="F3539" s="72" t="s">
        <v>10366</v>
      </c>
    </row>
    <row r="3540" spans="1:6" ht="67.5" x14ac:dyDescent="0.2">
      <c r="A3540" s="70" t="s">
        <v>10367</v>
      </c>
      <c r="B3540" s="66" t="s">
        <v>10368</v>
      </c>
      <c r="C3540" s="71" t="s">
        <v>221</v>
      </c>
      <c r="D3540" s="72" t="s">
        <v>10369</v>
      </c>
      <c r="E3540" s="72" t="s">
        <v>10370</v>
      </c>
      <c r="F3540" s="72" t="s">
        <v>10371</v>
      </c>
    </row>
    <row r="3541" spans="1:6" x14ac:dyDescent="0.2">
      <c r="A3541" s="50">
        <v>48.05</v>
      </c>
      <c r="B3541" s="64" t="s">
        <v>10372</v>
      </c>
      <c r="C3541" s="47"/>
      <c r="D3541" s="47"/>
      <c r="E3541" s="47"/>
      <c r="F3541" s="47"/>
    </row>
    <row r="3542" spans="1:6" x14ac:dyDescent="0.2">
      <c r="A3542" s="65" t="s">
        <v>10373</v>
      </c>
      <c r="B3542" s="65" t="s">
        <v>10374</v>
      </c>
      <c r="C3542" s="67" t="s">
        <v>203</v>
      </c>
      <c r="D3542" s="69" t="s">
        <v>8948</v>
      </c>
      <c r="E3542" s="69" t="s">
        <v>323</v>
      </c>
      <c r="F3542" s="69" t="s">
        <v>10375</v>
      </c>
    </row>
    <row r="3543" spans="1:6" x14ac:dyDescent="0.2">
      <c r="A3543" s="65" t="s">
        <v>10376</v>
      </c>
      <c r="B3543" s="65" t="s">
        <v>10377</v>
      </c>
      <c r="C3543" s="67" t="s">
        <v>203</v>
      </c>
      <c r="D3543" s="69" t="s">
        <v>10378</v>
      </c>
      <c r="E3543" s="69" t="s">
        <v>318</v>
      </c>
      <c r="F3543" s="69" t="s">
        <v>10379</v>
      </c>
    </row>
    <row r="3544" spans="1:6" x14ac:dyDescent="0.2">
      <c r="A3544" s="65" t="s">
        <v>10380</v>
      </c>
      <c r="B3544" s="65" t="s">
        <v>10381</v>
      </c>
      <c r="C3544" s="67" t="s">
        <v>203</v>
      </c>
      <c r="D3544" s="69" t="s">
        <v>8539</v>
      </c>
      <c r="E3544" s="69" t="s">
        <v>322</v>
      </c>
      <c r="F3544" s="69" t="s">
        <v>10382</v>
      </c>
    </row>
    <row r="3545" spans="1:6" x14ac:dyDescent="0.2">
      <c r="A3545" s="65" t="s">
        <v>10383</v>
      </c>
      <c r="B3545" s="65" t="s">
        <v>10384</v>
      </c>
      <c r="C3545" s="67" t="s">
        <v>203</v>
      </c>
      <c r="D3545" s="69" t="s">
        <v>10385</v>
      </c>
      <c r="E3545" s="69" t="s">
        <v>322</v>
      </c>
      <c r="F3545" s="69" t="s">
        <v>10386</v>
      </c>
    </row>
    <row r="3546" spans="1:6" x14ac:dyDescent="0.2">
      <c r="A3546" s="65" t="s">
        <v>10387</v>
      </c>
      <c r="B3546" s="65" t="s">
        <v>10388</v>
      </c>
      <c r="C3546" s="67" t="s">
        <v>203</v>
      </c>
      <c r="D3546" s="69" t="s">
        <v>10389</v>
      </c>
      <c r="E3546" s="69" t="s">
        <v>331</v>
      </c>
      <c r="F3546" s="69" t="s">
        <v>10390</v>
      </c>
    </row>
    <row r="3547" spans="1:6" x14ac:dyDescent="0.2">
      <c r="A3547" s="65" t="s">
        <v>10391</v>
      </c>
      <c r="B3547" s="65" t="s">
        <v>10392</v>
      </c>
      <c r="C3547" s="67" t="s">
        <v>203</v>
      </c>
      <c r="D3547" s="69" t="s">
        <v>10393</v>
      </c>
      <c r="E3547" s="69" t="s">
        <v>322</v>
      </c>
      <c r="F3547" s="69" t="s">
        <v>10394</v>
      </c>
    </row>
    <row r="3548" spans="1:6" ht="22.5" x14ac:dyDescent="0.2">
      <c r="A3548" s="65" t="s">
        <v>10395</v>
      </c>
      <c r="B3548" s="65" t="s">
        <v>10396</v>
      </c>
      <c r="C3548" s="67" t="s">
        <v>203</v>
      </c>
      <c r="D3548" s="69" t="s">
        <v>10397</v>
      </c>
      <c r="E3548" s="69" t="s">
        <v>328</v>
      </c>
      <c r="F3548" s="69" t="s">
        <v>10398</v>
      </c>
    </row>
    <row r="3549" spans="1:6" ht="22.5" x14ac:dyDescent="0.2">
      <c r="A3549" s="50">
        <v>48.2</v>
      </c>
      <c r="B3549" s="64" t="s">
        <v>10399</v>
      </c>
      <c r="C3549" s="47"/>
      <c r="D3549" s="47"/>
      <c r="E3549" s="47"/>
      <c r="F3549" s="47"/>
    </row>
    <row r="3550" spans="1:6" ht="22.5" x14ac:dyDescent="0.2">
      <c r="A3550" s="65" t="s">
        <v>10400</v>
      </c>
      <c r="B3550" s="65" t="s">
        <v>10401</v>
      </c>
      <c r="C3550" s="67" t="s">
        <v>203</v>
      </c>
      <c r="D3550" s="73"/>
      <c r="E3550" s="69" t="s">
        <v>363</v>
      </c>
      <c r="F3550" s="69" t="s">
        <v>363</v>
      </c>
    </row>
    <row r="3551" spans="1:6" ht="22.5" x14ac:dyDescent="0.2">
      <c r="A3551" s="65" t="s">
        <v>10402</v>
      </c>
      <c r="B3551" s="65" t="s">
        <v>10403</v>
      </c>
      <c r="C3551" s="67" t="s">
        <v>203</v>
      </c>
      <c r="D3551" s="73"/>
      <c r="E3551" s="69" t="s">
        <v>10404</v>
      </c>
      <c r="F3551" s="69" t="s">
        <v>10404</v>
      </c>
    </row>
    <row r="3552" spans="1:6" ht="22.5" x14ac:dyDescent="0.2">
      <c r="A3552" s="65" t="s">
        <v>10405</v>
      </c>
      <c r="B3552" s="65" t="s">
        <v>10406</v>
      </c>
      <c r="C3552" s="67" t="s">
        <v>203</v>
      </c>
      <c r="D3552" s="73"/>
      <c r="E3552" s="69" t="s">
        <v>10407</v>
      </c>
      <c r="F3552" s="69" t="s">
        <v>10407</v>
      </c>
    </row>
    <row r="3553" spans="1:6" ht="22.5" x14ac:dyDescent="0.2">
      <c r="A3553" s="49">
        <v>49</v>
      </c>
      <c r="B3553" s="64" t="s">
        <v>10408</v>
      </c>
      <c r="C3553" s="47"/>
      <c r="D3553" s="47"/>
      <c r="E3553" s="47"/>
      <c r="F3553" s="47"/>
    </row>
    <row r="3554" spans="1:6" x14ac:dyDescent="0.2">
      <c r="A3554" s="50">
        <v>49.01</v>
      </c>
      <c r="B3554" s="64" t="s">
        <v>10409</v>
      </c>
      <c r="C3554" s="47"/>
      <c r="D3554" s="47"/>
      <c r="E3554" s="47"/>
      <c r="F3554" s="47"/>
    </row>
    <row r="3555" spans="1:6" ht="22.5" x14ac:dyDescent="0.2">
      <c r="A3555" s="65" t="s">
        <v>10410</v>
      </c>
      <c r="B3555" s="65" t="s">
        <v>10411</v>
      </c>
      <c r="C3555" s="67" t="s">
        <v>203</v>
      </c>
      <c r="D3555" s="69" t="s">
        <v>533</v>
      </c>
      <c r="E3555" s="69" t="s">
        <v>321</v>
      </c>
      <c r="F3555" s="69" t="s">
        <v>10412</v>
      </c>
    </row>
    <row r="3556" spans="1:6" ht="22.5" x14ac:dyDescent="0.2">
      <c r="A3556" s="65" t="s">
        <v>10413</v>
      </c>
      <c r="B3556" s="65" t="s">
        <v>10414</v>
      </c>
      <c r="C3556" s="67" t="s">
        <v>203</v>
      </c>
      <c r="D3556" s="69" t="s">
        <v>10415</v>
      </c>
      <c r="E3556" s="69" t="s">
        <v>321</v>
      </c>
      <c r="F3556" s="69" t="s">
        <v>10416</v>
      </c>
    </row>
    <row r="3557" spans="1:6" ht="22.5" x14ac:dyDescent="0.2">
      <c r="A3557" s="65" t="s">
        <v>10417</v>
      </c>
      <c r="B3557" s="65" t="s">
        <v>10418</v>
      </c>
      <c r="C3557" s="67" t="s">
        <v>203</v>
      </c>
      <c r="D3557" s="69" t="s">
        <v>10419</v>
      </c>
      <c r="E3557" s="69" t="s">
        <v>321</v>
      </c>
      <c r="F3557" s="69" t="s">
        <v>10420</v>
      </c>
    </row>
    <row r="3558" spans="1:6" ht="22.5" x14ac:dyDescent="0.2">
      <c r="A3558" s="65" t="s">
        <v>10421</v>
      </c>
      <c r="B3558" s="65" t="s">
        <v>10422</v>
      </c>
      <c r="C3558" s="67" t="s">
        <v>203</v>
      </c>
      <c r="D3558" s="69" t="s">
        <v>10423</v>
      </c>
      <c r="E3558" s="69" t="s">
        <v>321</v>
      </c>
      <c r="F3558" s="69" t="s">
        <v>10424</v>
      </c>
    </row>
    <row r="3559" spans="1:6" ht="33.75" x14ac:dyDescent="0.2">
      <c r="A3559" s="65" t="s">
        <v>10425</v>
      </c>
      <c r="B3559" s="65" t="s">
        <v>10426</v>
      </c>
      <c r="C3559" s="67" t="s">
        <v>203</v>
      </c>
      <c r="D3559" s="69" t="s">
        <v>10427</v>
      </c>
      <c r="E3559" s="69" t="s">
        <v>321</v>
      </c>
      <c r="F3559" s="69" t="s">
        <v>10428</v>
      </c>
    </row>
    <row r="3560" spans="1:6" ht="33.75" x14ac:dyDescent="0.2">
      <c r="A3560" s="65" t="s">
        <v>10429</v>
      </c>
      <c r="B3560" s="65" t="s">
        <v>10430</v>
      </c>
      <c r="C3560" s="67" t="s">
        <v>203</v>
      </c>
      <c r="D3560" s="69" t="s">
        <v>10431</v>
      </c>
      <c r="E3560" s="69" t="s">
        <v>321</v>
      </c>
      <c r="F3560" s="69" t="s">
        <v>10432</v>
      </c>
    </row>
    <row r="3561" spans="1:6" x14ac:dyDescent="0.2">
      <c r="A3561" s="50">
        <v>49.03</v>
      </c>
      <c r="B3561" s="64" t="s">
        <v>10433</v>
      </c>
      <c r="C3561" s="47"/>
      <c r="D3561" s="47"/>
      <c r="E3561" s="47"/>
      <c r="F3561" s="47"/>
    </row>
    <row r="3562" spans="1:6" ht="22.5" x14ac:dyDescent="0.2">
      <c r="A3562" s="65" t="s">
        <v>10434</v>
      </c>
      <c r="B3562" s="65" t="s">
        <v>10435</v>
      </c>
      <c r="C3562" s="67" t="s">
        <v>203</v>
      </c>
      <c r="D3562" s="69" t="s">
        <v>10436</v>
      </c>
      <c r="E3562" s="69" t="s">
        <v>10437</v>
      </c>
      <c r="F3562" s="69" t="s">
        <v>10438</v>
      </c>
    </row>
    <row r="3563" spans="1:6" ht="45" x14ac:dyDescent="0.2">
      <c r="A3563" s="65" t="s">
        <v>10439</v>
      </c>
      <c r="B3563" s="66" t="s">
        <v>10440</v>
      </c>
      <c r="C3563" s="67" t="s">
        <v>203</v>
      </c>
      <c r="D3563" s="69" t="s">
        <v>267</v>
      </c>
      <c r="E3563" s="69" t="s">
        <v>10441</v>
      </c>
      <c r="F3563" s="69" t="s">
        <v>10442</v>
      </c>
    </row>
    <row r="3564" spans="1:6" ht="33.75" x14ac:dyDescent="0.2">
      <c r="A3564" s="65" t="s">
        <v>10443</v>
      </c>
      <c r="B3564" s="65" t="s">
        <v>10444</v>
      </c>
      <c r="C3564" s="67" t="s">
        <v>203</v>
      </c>
      <c r="D3564" s="69" t="s">
        <v>10445</v>
      </c>
      <c r="E3564" s="69" t="s">
        <v>321</v>
      </c>
      <c r="F3564" s="69" t="s">
        <v>10446</v>
      </c>
    </row>
    <row r="3565" spans="1:6" x14ac:dyDescent="0.2">
      <c r="A3565" s="50">
        <v>49.04</v>
      </c>
      <c r="B3565" s="64" t="s">
        <v>10447</v>
      </c>
      <c r="C3565" s="47"/>
      <c r="D3565" s="47"/>
      <c r="E3565" s="47"/>
      <c r="F3565" s="47"/>
    </row>
    <row r="3566" spans="1:6" ht="22.5" x14ac:dyDescent="0.2">
      <c r="A3566" s="65" t="s">
        <v>10448</v>
      </c>
      <c r="B3566" s="65" t="s">
        <v>10449</v>
      </c>
      <c r="C3566" s="67" t="s">
        <v>203</v>
      </c>
      <c r="D3566" s="69" t="s">
        <v>10450</v>
      </c>
      <c r="E3566" s="69" t="s">
        <v>321</v>
      </c>
      <c r="F3566" s="69" t="s">
        <v>10451</v>
      </c>
    </row>
    <row r="3567" spans="1:6" x14ac:dyDescent="0.2">
      <c r="A3567" s="50">
        <v>49.05</v>
      </c>
      <c r="B3567" s="64" t="s">
        <v>10452</v>
      </c>
      <c r="C3567" s="47"/>
      <c r="D3567" s="47"/>
      <c r="E3567" s="47"/>
      <c r="F3567" s="47"/>
    </row>
    <row r="3568" spans="1:6" ht="45" x14ac:dyDescent="0.2">
      <c r="A3568" s="65" t="s">
        <v>10453</v>
      </c>
      <c r="B3568" s="66" t="s">
        <v>10454</v>
      </c>
      <c r="C3568" s="67" t="s">
        <v>203</v>
      </c>
      <c r="D3568" s="69" t="s">
        <v>10455</v>
      </c>
      <c r="E3568" s="69" t="s">
        <v>4839</v>
      </c>
      <c r="F3568" s="69" t="s">
        <v>10456</v>
      </c>
    </row>
    <row r="3569" spans="1:6" ht="33.75" x14ac:dyDescent="0.2">
      <c r="A3569" s="65" t="s">
        <v>10457</v>
      </c>
      <c r="B3569" s="65" t="s">
        <v>10458</v>
      </c>
      <c r="C3569" s="67" t="s">
        <v>203</v>
      </c>
      <c r="D3569" s="69" t="s">
        <v>10459</v>
      </c>
      <c r="E3569" s="69" t="s">
        <v>317</v>
      </c>
      <c r="F3569" s="69" t="s">
        <v>10460</v>
      </c>
    </row>
    <row r="3570" spans="1:6" x14ac:dyDescent="0.2">
      <c r="A3570" s="50">
        <v>49.06</v>
      </c>
      <c r="B3570" s="64" t="s">
        <v>10461</v>
      </c>
      <c r="C3570" s="47"/>
      <c r="D3570" s="47"/>
      <c r="E3570" s="47"/>
      <c r="F3570" s="47"/>
    </row>
    <row r="3571" spans="1:6" ht="22.5" x14ac:dyDescent="0.2">
      <c r="A3571" s="65" t="s">
        <v>10462</v>
      </c>
      <c r="B3571" s="65" t="s">
        <v>10463</v>
      </c>
      <c r="C3571" s="67" t="s">
        <v>203</v>
      </c>
      <c r="D3571" s="69" t="s">
        <v>8961</v>
      </c>
      <c r="E3571" s="69" t="s">
        <v>274</v>
      </c>
      <c r="F3571" s="69" t="s">
        <v>10464</v>
      </c>
    </row>
    <row r="3572" spans="1:6" ht="22.5" x14ac:dyDescent="0.2">
      <c r="A3572" s="65" t="s">
        <v>10465</v>
      </c>
      <c r="B3572" s="65" t="s">
        <v>10466</v>
      </c>
      <c r="C3572" s="67" t="s">
        <v>204</v>
      </c>
      <c r="D3572" s="69" t="s">
        <v>10467</v>
      </c>
      <c r="E3572" s="69" t="s">
        <v>387</v>
      </c>
      <c r="F3572" s="69" t="s">
        <v>10468</v>
      </c>
    </row>
    <row r="3573" spans="1:6" ht="22.5" x14ac:dyDescent="0.2">
      <c r="A3573" s="65" t="s">
        <v>10469</v>
      </c>
      <c r="B3573" s="65" t="s">
        <v>10470</v>
      </c>
      <c r="C3573" s="67" t="s">
        <v>203</v>
      </c>
      <c r="D3573" s="69" t="s">
        <v>10471</v>
      </c>
      <c r="E3573" s="69" t="s">
        <v>274</v>
      </c>
      <c r="F3573" s="69" t="s">
        <v>10472</v>
      </c>
    </row>
    <row r="3574" spans="1:6" ht="22.5" x14ac:dyDescent="0.2">
      <c r="A3574" s="65" t="s">
        <v>10473</v>
      </c>
      <c r="B3574" s="65" t="s">
        <v>10474</v>
      </c>
      <c r="C3574" s="67" t="s">
        <v>203</v>
      </c>
      <c r="D3574" s="69" t="s">
        <v>10475</v>
      </c>
      <c r="E3574" s="69" t="s">
        <v>1687</v>
      </c>
      <c r="F3574" s="69" t="s">
        <v>10476</v>
      </c>
    </row>
    <row r="3575" spans="1:6" ht="22.5" x14ac:dyDescent="0.2">
      <c r="A3575" s="65" t="s">
        <v>10477</v>
      </c>
      <c r="B3575" s="65" t="s">
        <v>10478</v>
      </c>
      <c r="C3575" s="67" t="s">
        <v>203</v>
      </c>
      <c r="D3575" s="69" t="s">
        <v>10479</v>
      </c>
      <c r="E3575" s="69" t="s">
        <v>274</v>
      </c>
      <c r="F3575" s="69" t="s">
        <v>10480</v>
      </c>
    </row>
    <row r="3576" spans="1:6" ht="22.5" x14ac:dyDescent="0.2">
      <c r="A3576" s="65" t="s">
        <v>10481</v>
      </c>
      <c r="B3576" s="65" t="s">
        <v>10482</v>
      </c>
      <c r="C3576" s="67" t="s">
        <v>203</v>
      </c>
      <c r="D3576" s="69" t="s">
        <v>1411</v>
      </c>
      <c r="E3576" s="69" t="s">
        <v>274</v>
      </c>
      <c r="F3576" s="69" t="s">
        <v>10483</v>
      </c>
    </row>
    <row r="3577" spans="1:6" ht="22.5" x14ac:dyDescent="0.2">
      <c r="A3577" s="65" t="s">
        <v>10484</v>
      </c>
      <c r="B3577" s="65" t="s">
        <v>10485</v>
      </c>
      <c r="C3577" s="67" t="s">
        <v>204</v>
      </c>
      <c r="D3577" s="69" t="s">
        <v>10486</v>
      </c>
      <c r="E3577" s="69" t="s">
        <v>387</v>
      </c>
      <c r="F3577" s="69" t="s">
        <v>10487</v>
      </c>
    </row>
    <row r="3578" spans="1:6" ht="33.75" x14ac:dyDescent="0.2">
      <c r="A3578" s="65" t="s">
        <v>10488</v>
      </c>
      <c r="B3578" s="65" t="s">
        <v>10489</v>
      </c>
      <c r="C3578" s="67" t="s">
        <v>204</v>
      </c>
      <c r="D3578" s="69" t="s">
        <v>10490</v>
      </c>
      <c r="E3578" s="69" t="s">
        <v>387</v>
      </c>
      <c r="F3578" s="69" t="s">
        <v>10491</v>
      </c>
    </row>
    <row r="3579" spans="1:6" ht="33.75" x14ac:dyDescent="0.2">
      <c r="A3579" s="65" t="s">
        <v>10492</v>
      </c>
      <c r="B3579" s="65" t="s">
        <v>10493</v>
      </c>
      <c r="C3579" s="67" t="s">
        <v>203</v>
      </c>
      <c r="D3579" s="69" t="s">
        <v>8817</v>
      </c>
      <c r="E3579" s="69" t="s">
        <v>283</v>
      </c>
      <c r="F3579" s="69" t="s">
        <v>10494</v>
      </c>
    </row>
    <row r="3580" spans="1:6" ht="56.25" x14ac:dyDescent="0.2">
      <c r="A3580" s="65" t="s">
        <v>10495</v>
      </c>
      <c r="B3580" s="66" t="s">
        <v>10496</v>
      </c>
      <c r="C3580" s="67" t="s">
        <v>203</v>
      </c>
      <c r="D3580" s="69" t="s">
        <v>10497</v>
      </c>
      <c r="E3580" s="69" t="s">
        <v>4839</v>
      </c>
      <c r="F3580" s="69" t="s">
        <v>10498</v>
      </c>
    </row>
    <row r="3581" spans="1:6" ht="56.25" x14ac:dyDescent="0.2">
      <c r="A3581" s="65" t="s">
        <v>10499</v>
      </c>
      <c r="B3581" s="66" t="s">
        <v>10500</v>
      </c>
      <c r="C3581" s="67" t="s">
        <v>203</v>
      </c>
      <c r="D3581" s="69" t="s">
        <v>10501</v>
      </c>
      <c r="E3581" s="69" t="s">
        <v>4839</v>
      </c>
      <c r="F3581" s="69" t="s">
        <v>10502</v>
      </c>
    </row>
    <row r="3582" spans="1:6" ht="45" x14ac:dyDescent="0.2">
      <c r="A3582" s="65" t="s">
        <v>10503</v>
      </c>
      <c r="B3582" s="66" t="s">
        <v>10504</v>
      </c>
      <c r="C3582" s="67" t="s">
        <v>203</v>
      </c>
      <c r="D3582" s="69" t="s">
        <v>10505</v>
      </c>
      <c r="E3582" s="69" t="s">
        <v>402</v>
      </c>
      <c r="F3582" s="69" t="s">
        <v>10506</v>
      </c>
    </row>
    <row r="3583" spans="1:6" ht="45" x14ac:dyDescent="0.2">
      <c r="A3583" s="65" t="s">
        <v>10507</v>
      </c>
      <c r="B3583" s="66" t="s">
        <v>10508</v>
      </c>
      <c r="C3583" s="67" t="s">
        <v>203</v>
      </c>
      <c r="D3583" s="69" t="s">
        <v>10509</v>
      </c>
      <c r="E3583" s="69" t="s">
        <v>402</v>
      </c>
      <c r="F3583" s="69" t="s">
        <v>10510</v>
      </c>
    </row>
    <row r="3584" spans="1:6" ht="45" x14ac:dyDescent="0.2">
      <c r="A3584" s="65" t="s">
        <v>10511</v>
      </c>
      <c r="B3584" s="66" t="s">
        <v>10512</v>
      </c>
      <c r="C3584" s="67" t="s">
        <v>203</v>
      </c>
      <c r="D3584" s="69" t="s">
        <v>10513</v>
      </c>
      <c r="E3584" s="69" t="s">
        <v>402</v>
      </c>
      <c r="F3584" s="69" t="s">
        <v>10514</v>
      </c>
    </row>
    <row r="3585" spans="1:6" ht="45" x14ac:dyDescent="0.2">
      <c r="A3585" s="65" t="s">
        <v>10515</v>
      </c>
      <c r="B3585" s="66" t="s">
        <v>10516</v>
      </c>
      <c r="C3585" s="67" t="s">
        <v>203</v>
      </c>
      <c r="D3585" s="69" t="s">
        <v>10517</v>
      </c>
      <c r="E3585" s="69" t="s">
        <v>402</v>
      </c>
      <c r="F3585" s="69" t="s">
        <v>10518</v>
      </c>
    </row>
    <row r="3586" spans="1:6" ht="45" x14ac:dyDescent="0.2">
      <c r="A3586" s="65" t="s">
        <v>10519</v>
      </c>
      <c r="B3586" s="66" t="s">
        <v>10520</v>
      </c>
      <c r="C3586" s="67" t="s">
        <v>203</v>
      </c>
      <c r="D3586" s="69" t="s">
        <v>10521</v>
      </c>
      <c r="E3586" s="69" t="s">
        <v>402</v>
      </c>
      <c r="F3586" s="69" t="s">
        <v>429</v>
      </c>
    </row>
    <row r="3587" spans="1:6" ht="45" x14ac:dyDescent="0.2">
      <c r="A3587" s="65" t="s">
        <v>10522</v>
      </c>
      <c r="B3587" s="66" t="s">
        <v>10523</v>
      </c>
      <c r="C3587" s="67" t="s">
        <v>203</v>
      </c>
      <c r="D3587" s="69" t="s">
        <v>10524</v>
      </c>
      <c r="E3587" s="69" t="s">
        <v>402</v>
      </c>
      <c r="F3587" s="69" t="s">
        <v>10525</v>
      </c>
    </row>
    <row r="3588" spans="1:6" ht="45" x14ac:dyDescent="0.2">
      <c r="A3588" s="65" t="s">
        <v>10526</v>
      </c>
      <c r="B3588" s="66" t="s">
        <v>10527</v>
      </c>
      <c r="C3588" s="67" t="s">
        <v>203</v>
      </c>
      <c r="D3588" s="69" t="s">
        <v>10528</v>
      </c>
      <c r="E3588" s="69" t="s">
        <v>402</v>
      </c>
      <c r="F3588" s="69" t="s">
        <v>10529</v>
      </c>
    </row>
    <row r="3589" spans="1:6" ht="45" x14ac:dyDescent="0.2">
      <c r="A3589" s="65" t="s">
        <v>10530</v>
      </c>
      <c r="B3589" s="66" t="s">
        <v>10531</v>
      </c>
      <c r="C3589" s="67" t="s">
        <v>203</v>
      </c>
      <c r="D3589" s="69" t="s">
        <v>10532</v>
      </c>
      <c r="E3589" s="69" t="s">
        <v>402</v>
      </c>
      <c r="F3589" s="69" t="s">
        <v>10533</v>
      </c>
    </row>
    <row r="3590" spans="1:6" ht="45" x14ac:dyDescent="0.2">
      <c r="A3590" s="65" t="s">
        <v>10534</v>
      </c>
      <c r="B3590" s="66" t="s">
        <v>10535</v>
      </c>
      <c r="C3590" s="67" t="s">
        <v>221</v>
      </c>
      <c r="D3590" s="69" t="s">
        <v>10536</v>
      </c>
      <c r="E3590" s="69" t="s">
        <v>10537</v>
      </c>
      <c r="F3590" s="69" t="s">
        <v>10538</v>
      </c>
    </row>
    <row r="3591" spans="1:6" ht="45" x14ac:dyDescent="0.2">
      <c r="A3591" s="65" t="s">
        <v>10539</v>
      </c>
      <c r="B3591" s="66" t="s">
        <v>10540</v>
      </c>
      <c r="C3591" s="67" t="s">
        <v>221</v>
      </c>
      <c r="D3591" s="69" t="s">
        <v>10541</v>
      </c>
      <c r="E3591" s="69" t="s">
        <v>3735</v>
      </c>
      <c r="F3591" s="69" t="s">
        <v>10542</v>
      </c>
    </row>
    <row r="3592" spans="1:6" x14ac:dyDescent="0.2">
      <c r="A3592" s="50">
        <v>49.08</v>
      </c>
      <c r="B3592" s="64" t="s">
        <v>10543</v>
      </c>
      <c r="C3592" s="47"/>
      <c r="D3592" s="47"/>
      <c r="E3592" s="47"/>
      <c r="F3592" s="47"/>
    </row>
    <row r="3593" spans="1:6" ht="22.5" x14ac:dyDescent="0.2">
      <c r="A3593" s="65" t="s">
        <v>10544</v>
      </c>
      <c r="B3593" s="65" t="s">
        <v>10545</v>
      </c>
      <c r="C3593" s="67" t="s">
        <v>203</v>
      </c>
      <c r="D3593" s="69" t="s">
        <v>10546</v>
      </c>
      <c r="E3593" s="69" t="s">
        <v>321</v>
      </c>
      <c r="F3593" s="69" t="s">
        <v>10547</v>
      </c>
    </row>
    <row r="3594" spans="1:6" x14ac:dyDescent="0.2">
      <c r="A3594" s="50">
        <v>49.11</v>
      </c>
      <c r="B3594" s="64" t="s">
        <v>10548</v>
      </c>
      <c r="C3594" s="47"/>
      <c r="D3594" s="47"/>
      <c r="E3594" s="47"/>
      <c r="F3594" s="47"/>
    </row>
    <row r="3595" spans="1:6" ht="22.5" x14ac:dyDescent="0.2">
      <c r="A3595" s="65" t="s">
        <v>10549</v>
      </c>
      <c r="B3595" s="65" t="s">
        <v>10550</v>
      </c>
      <c r="C3595" s="67" t="s">
        <v>221</v>
      </c>
      <c r="D3595" s="69" t="s">
        <v>10551</v>
      </c>
      <c r="E3595" s="69" t="s">
        <v>1189</v>
      </c>
      <c r="F3595" s="69" t="s">
        <v>10552</v>
      </c>
    </row>
    <row r="3596" spans="1:6" ht="45" x14ac:dyDescent="0.2">
      <c r="A3596" s="65" t="s">
        <v>10553</v>
      </c>
      <c r="B3596" s="66" t="s">
        <v>10554</v>
      </c>
      <c r="C3596" s="67" t="s">
        <v>221</v>
      </c>
      <c r="D3596" s="69" t="s">
        <v>10555</v>
      </c>
      <c r="E3596" s="69" t="s">
        <v>1189</v>
      </c>
      <c r="F3596" s="69" t="s">
        <v>10556</v>
      </c>
    </row>
    <row r="3597" spans="1:6" ht="45" x14ac:dyDescent="0.2">
      <c r="A3597" s="65" t="s">
        <v>10557</v>
      </c>
      <c r="B3597" s="66" t="s">
        <v>10558</v>
      </c>
      <c r="C3597" s="67" t="s">
        <v>221</v>
      </c>
      <c r="D3597" s="69" t="s">
        <v>10559</v>
      </c>
      <c r="E3597" s="69" t="s">
        <v>1189</v>
      </c>
      <c r="F3597" s="69" t="s">
        <v>10560</v>
      </c>
    </row>
    <row r="3598" spans="1:6" ht="22.5" x14ac:dyDescent="0.2">
      <c r="A3598" s="50">
        <v>49.12</v>
      </c>
      <c r="B3598" s="64" t="s">
        <v>10561</v>
      </c>
      <c r="C3598" s="47"/>
      <c r="D3598" s="47"/>
      <c r="E3598" s="47"/>
      <c r="F3598" s="47"/>
    </row>
    <row r="3599" spans="1:6" ht="22.5" x14ac:dyDescent="0.2">
      <c r="A3599" s="65" t="s">
        <v>10562</v>
      </c>
      <c r="B3599" s="65" t="s">
        <v>10563</v>
      </c>
      <c r="C3599" s="67" t="s">
        <v>203</v>
      </c>
      <c r="D3599" s="69" t="s">
        <v>10564</v>
      </c>
      <c r="E3599" s="69" t="s">
        <v>10565</v>
      </c>
      <c r="F3599" s="69" t="s">
        <v>10566</v>
      </c>
    </row>
    <row r="3600" spans="1:6" ht="22.5" x14ac:dyDescent="0.2">
      <c r="A3600" s="65" t="s">
        <v>10567</v>
      </c>
      <c r="B3600" s="65" t="s">
        <v>10568</v>
      </c>
      <c r="C3600" s="67" t="s">
        <v>203</v>
      </c>
      <c r="D3600" s="69" t="s">
        <v>10569</v>
      </c>
      <c r="E3600" s="69" t="s">
        <v>10570</v>
      </c>
      <c r="F3600" s="69" t="s">
        <v>10571</v>
      </c>
    </row>
    <row r="3601" spans="1:6" ht="22.5" x14ac:dyDescent="0.2">
      <c r="A3601" s="65" t="s">
        <v>10572</v>
      </c>
      <c r="B3601" s="65" t="s">
        <v>10573</v>
      </c>
      <c r="C3601" s="67" t="s">
        <v>203</v>
      </c>
      <c r="D3601" s="69" t="s">
        <v>10574</v>
      </c>
      <c r="E3601" s="69" t="s">
        <v>10575</v>
      </c>
      <c r="F3601" s="69" t="s">
        <v>10576</v>
      </c>
    </row>
    <row r="3602" spans="1:6" ht="22.5" x14ac:dyDescent="0.2">
      <c r="A3602" s="65" t="s">
        <v>10577</v>
      </c>
      <c r="B3602" s="65" t="s">
        <v>10578</v>
      </c>
      <c r="C3602" s="67" t="s">
        <v>203</v>
      </c>
      <c r="D3602" s="69" t="s">
        <v>10579</v>
      </c>
      <c r="E3602" s="69" t="s">
        <v>10580</v>
      </c>
      <c r="F3602" s="69" t="s">
        <v>10581</v>
      </c>
    </row>
    <row r="3603" spans="1:6" ht="22.5" x14ac:dyDescent="0.2">
      <c r="A3603" s="65" t="s">
        <v>10582</v>
      </c>
      <c r="B3603" s="65" t="s">
        <v>10583</v>
      </c>
      <c r="C3603" s="67" t="s">
        <v>203</v>
      </c>
      <c r="D3603" s="69" t="s">
        <v>10584</v>
      </c>
      <c r="E3603" s="69" t="s">
        <v>10585</v>
      </c>
      <c r="F3603" s="69" t="s">
        <v>10586</v>
      </c>
    </row>
    <row r="3604" spans="1:6" ht="45" x14ac:dyDescent="0.2">
      <c r="A3604" s="65" t="s">
        <v>10587</v>
      </c>
      <c r="B3604" s="66" t="s">
        <v>10588</v>
      </c>
      <c r="C3604" s="67" t="s">
        <v>221</v>
      </c>
      <c r="D3604" s="69" t="s">
        <v>10589</v>
      </c>
      <c r="E3604" s="69" t="s">
        <v>10590</v>
      </c>
      <c r="F3604" s="69" t="s">
        <v>10591</v>
      </c>
    </row>
    <row r="3605" spans="1:6" ht="22.5" x14ac:dyDescent="0.2">
      <c r="A3605" s="65" t="s">
        <v>10592</v>
      </c>
      <c r="B3605" s="65" t="s">
        <v>10593</v>
      </c>
      <c r="C3605" s="67" t="s">
        <v>203</v>
      </c>
      <c r="D3605" s="69" t="s">
        <v>10594</v>
      </c>
      <c r="E3605" s="69" t="s">
        <v>10595</v>
      </c>
      <c r="F3605" s="69" t="s">
        <v>10596</v>
      </c>
    </row>
    <row r="3606" spans="1:6" x14ac:dyDescent="0.2">
      <c r="A3606" s="50">
        <v>49.13</v>
      </c>
      <c r="B3606" s="64" t="s">
        <v>10597</v>
      </c>
      <c r="C3606" s="47"/>
      <c r="D3606" s="47"/>
      <c r="E3606" s="47"/>
      <c r="F3606" s="47"/>
    </row>
    <row r="3607" spans="1:6" ht="45" x14ac:dyDescent="0.2">
      <c r="A3607" s="65" t="s">
        <v>10598</v>
      </c>
      <c r="B3607" s="66" t="s">
        <v>10599</v>
      </c>
      <c r="C3607" s="67" t="s">
        <v>203</v>
      </c>
      <c r="D3607" s="69" t="s">
        <v>10600</v>
      </c>
      <c r="E3607" s="69" t="s">
        <v>10601</v>
      </c>
      <c r="F3607" s="69" t="s">
        <v>10602</v>
      </c>
    </row>
    <row r="3608" spans="1:6" ht="45" x14ac:dyDescent="0.2">
      <c r="A3608" s="65" t="s">
        <v>10603</v>
      </c>
      <c r="B3608" s="66" t="s">
        <v>10604</v>
      </c>
      <c r="C3608" s="67" t="s">
        <v>203</v>
      </c>
      <c r="D3608" s="69" t="s">
        <v>10605</v>
      </c>
      <c r="E3608" s="69" t="s">
        <v>10606</v>
      </c>
      <c r="F3608" s="69" t="s">
        <v>10607</v>
      </c>
    </row>
    <row r="3609" spans="1:6" ht="45" x14ac:dyDescent="0.2">
      <c r="A3609" s="65" t="s">
        <v>10608</v>
      </c>
      <c r="B3609" s="66" t="s">
        <v>10609</v>
      </c>
      <c r="C3609" s="67" t="s">
        <v>203</v>
      </c>
      <c r="D3609" s="69" t="s">
        <v>10610</v>
      </c>
      <c r="E3609" s="69" t="s">
        <v>10611</v>
      </c>
      <c r="F3609" s="69" t="s">
        <v>10612</v>
      </c>
    </row>
    <row r="3610" spans="1:6" ht="45" x14ac:dyDescent="0.2">
      <c r="A3610" s="65" t="s">
        <v>10613</v>
      </c>
      <c r="B3610" s="66" t="s">
        <v>10614</v>
      </c>
      <c r="C3610" s="67" t="s">
        <v>203</v>
      </c>
      <c r="D3610" s="69" t="s">
        <v>10615</v>
      </c>
      <c r="E3610" s="69" t="s">
        <v>10616</v>
      </c>
      <c r="F3610" s="69" t="s">
        <v>10617</v>
      </c>
    </row>
    <row r="3611" spans="1:6" x14ac:dyDescent="0.2">
      <c r="A3611" s="50">
        <v>49.14</v>
      </c>
      <c r="B3611" s="64" t="s">
        <v>10618</v>
      </c>
      <c r="C3611" s="47"/>
      <c r="D3611" s="47"/>
      <c r="E3611" s="47"/>
      <c r="F3611" s="47"/>
    </row>
    <row r="3612" spans="1:6" ht="56.25" x14ac:dyDescent="0.2">
      <c r="A3612" s="65" t="s">
        <v>10619</v>
      </c>
      <c r="B3612" s="66" t="s">
        <v>10620</v>
      </c>
      <c r="C3612" s="67" t="s">
        <v>203</v>
      </c>
      <c r="D3612" s="69" t="s">
        <v>10621</v>
      </c>
      <c r="E3612" s="69" t="s">
        <v>10622</v>
      </c>
      <c r="F3612" s="69" t="s">
        <v>10623</v>
      </c>
    </row>
    <row r="3613" spans="1:6" ht="56.25" x14ac:dyDescent="0.2">
      <c r="A3613" s="65" t="s">
        <v>10624</v>
      </c>
      <c r="B3613" s="66" t="s">
        <v>10625</v>
      </c>
      <c r="C3613" s="67" t="s">
        <v>203</v>
      </c>
      <c r="D3613" s="69" t="s">
        <v>10626</v>
      </c>
      <c r="E3613" s="69" t="s">
        <v>10627</v>
      </c>
      <c r="F3613" s="69" t="s">
        <v>10628</v>
      </c>
    </row>
    <row r="3614" spans="1:6" ht="56.25" x14ac:dyDescent="0.2">
      <c r="A3614" s="65" t="s">
        <v>10629</v>
      </c>
      <c r="B3614" s="66" t="s">
        <v>10630</v>
      </c>
      <c r="C3614" s="67" t="s">
        <v>203</v>
      </c>
      <c r="D3614" s="69" t="s">
        <v>10631</v>
      </c>
      <c r="E3614" s="69" t="s">
        <v>10632</v>
      </c>
      <c r="F3614" s="69" t="s">
        <v>10633</v>
      </c>
    </row>
    <row r="3615" spans="1:6" ht="22.5" x14ac:dyDescent="0.2">
      <c r="A3615" s="65" t="s">
        <v>10634</v>
      </c>
      <c r="B3615" s="65" t="s">
        <v>10635</v>
      </c>
      <c r="C3615" s="67" t="s">
        <v>221</v>
      </c>
      <c r="D3615" s="69" t="s">
        <v>10636</v>
      </c>
      <c r="E3615" s="69" t="s">
        <v>10637</v>
      </c>
      <c r="F3615" s="69" t="s">
        <v>10638</v>
      </c>
    </row>
    <row r="3616" spans="1:6" ht="45" x14ac:dyDescent="0.2">
      <c r="A3616" s="65" t="s">
        <v>10639</v>
      </c>
      <c r="B3616" s="66" t="s">
        <v>10640</v>
      </c>
      <c r="C3616" s="67" t="s">
        <v>203</v>
      </c>
      <c r="D3616" s="69" t="s">
        <v>10641</v>
      </c>
      <c r="E3616" s="69" t="s">
        <v>224</v>
      </c>
      <c r="F3616" s="69" t="s">
        <v>10642</v>
      </c>
    </row>
    <row r="3617" spans="1:6" x14ac:dyDescent="0.2">
      <c r="A3617" s="50">
        <v>49.15</v>
      </c>
      <c r="B3617" s="64" t="s">
        <v>10643</v>
      </c>
      <c r="C3617" s="47"/>
      <c r="D3617" s="47"/>
      <c r="E3617" s="47"/>
      <c r="F3617" s="47"/>
    </row>
    <row r="3618" spans="1:6" ht="22.5" x14ac:dyDescent="0.2">
      <c r="A3618" s="65" t="s">
        <v>10644</v>
      </c>
      <c r="B3618" s="65" t="s">
        <v>10645</v>
      </c>
      <c r="C3618" s="67" t="s">
        <v>221</v>
      </c>
      <c r="D3618" s="69" t="s">
        <v>10646</v>
      </c>
      <c r="E3618" s="69" t="s">
        <v>387</v>
      </c>
      <c r="F3618" s="69" t="s">
        <v>10647</v>
      </c>
    </row>
    <row r="3619" spans="1:6" ht="22.5" x14ac:dyDescent="0.2">
      <c r="A3619" s="65" t="s">
        <v>10648</v>
      </c>
      <c r="B3619" s="65" t="s">
        <v>10649</v>
      </c>
      <c r="C3619" s="67" t="s">
        <v>221</v>
      </c>
      <c r="D3619" s="69" t="s">
        <v>10650</v>
      </c>
      <c r="E3619" s="69" t="s">
        <v>925</v>
      </c>
      <c r="F3619" s="69" t="s">
        <v>10651</v>
      </c>
    </row>
    <row r="3620" spans="1:6" ht="22.5" x14ac:dyDescent="0.2">
      <c r="A3620" s="65" t="s">
        <v>10652</v>
      </c>
      <c r="B3620" s="65" t="s">
        <v>10653</v>
      </c>
      <c r="C3620" s="67" t="s">
        <v>221</v>
      </c>
      <c r="D3620" s="69" t="s">
        <v>10654</v>
      </c>
      <c r="E3620" s="69" t="s">
        <v>2437</v>
      </c>
      <c r="F3620" s="69" t="s">
        <v>10655</v>
      </c>
    </row>
    <row r="3621" spans="1:6" ht="22.5" x14ac:dyDescent="0.2">
      <c r="A3621" s="65" t="s">
        <v>10656</v>
      </c>
      <c r="B3621" s="65" t="s">
        <v>10657</v>
      </c>
      <c r="C3621" s="67" t="s">
        <v>221</v>
      </c>
      <c r="D3621" s="69" t="s">
        <v>10658</v>
      </c>
      <c r="E3621" s="69" t="s">
        <v>10659</v>
      </c>
      <c r="F3621" s="69" t="s">
        <v>10660</v>
      </c>
    </row>
    <row r="3622" spans="1:6" ht="22.5" x14ac:dyDescent="0.2">
      <c r="A3622" s="65" t="s">
        <v>10661</v>
      </c>
      <c r="B3622" s="65" t="s">
        <v>10662</v>
      </c>
      <c r="C3622" s="67" t="s">
        <v>221</v>
      </c>
      <c r="D3622" s="69" t="s">
        <v>10663</v>
      </c>
      <c r="E3622" s="69" t="s">
        <v>1819</v>
      </c>
      <c r="F3622" s="69" t="s">
        <v>10664</v>
      </c>
    </row>
    <row r="3623" spans="1:6" ht="22.5" x14ac:dyDescent="0.2">
      <c r="A3623" s="65" t="s">
        <v>10665</v>
      </c>
      <c r="B3623" s="65" t="s">
        <v>10666</v>
      </c>
      <c r="C3623" s="67" t="s">
        <v>221</v>
      </c>
      <c r="D3623" s="69" t="s">
        <v>10667</v>
      </c>
      <c r="E3623" s="69" t="s">
        <v>10668</v>
      </c>
      <c r="F3623" s="69" t="s">
        <v>10669</v>
      </c>
    </row>
    <row r="3624" spans="1:6" ht="22.5" x14ac:dyDescent="0.2">
      <c r="A3624" s="50">
        <v>49.16</v>
      </c>
      <c r="B3624" s="64" t="s">
        <v>10670</v>
      </c>
      <c r="C3624" s="47"/>
      <c r="D3624" s="47"/>
      <c r="E3624" s="47"/>
      <c r="F3624" s="47"/>
    </row>
    <row r="3625" spans="1:6" ht="22.5" x14ac:dyDescent="0.2">
      <c r="A3625" s="65" t="s">
        <v>10671</v>
      </c>
      <c r="B3625" s="65" t="s">
        <v>10672</v>
      </c>
      <c r="C3625" s="67" t="s">
        <v>203</v>
      </c>
      <c r="D3625" s="69" t="s">
        <v>10673</v>
      </c>
      <c r="E3625" s="69" t="s">
        <v>318</v>
      </c>
      <c r="F3625" s="69" t="s">
        <v>10674</v>
      </c>
    </row>
    <row r="3626" spans="1:6" ht="22.5" x14ac:dyDescent="0.2">
      <c r="A3626" s="65" t="s">
        <v>10675</v>
      </c>
      <c r="B3626" s="65" t="s">
        <v>10676</v>
      </c>
      <c r="C3626" s="67" t="s">
        <v>203</v>
      </c>
      <c r="D3626" s="69" t="s">
        <v>10677</v>
      </c>
      <c r="E3626" s="69" t="s">
        <v>319</v>
      </c>
      <c r="F3626" s="69" t="s">
        <v>10678</v>
      </c>
    </row>
    <row r="3627" spans="1:6" ht="22.5" x14ac:dyDescent="0.2">
      <c r="A3627" s="49">
        <v>50</v>
      </c>
      <c r="B3627" s="64" t="s">
        <v>10679</v>
      </c>
      <c r="C3627" s="47"/>
      <c r="D3627" s="47"/>
      <c r="E3627" s="47"/>
      <c r="F3627" s="47"/>
    </row>
    <row r="3628" spans="1:6" x14ac:dyDescent="0.2">
      <c r="A3628" s="50">
        <v>50.01</v>
      </c>
      <c r="B3628" s="64" t="s">
        <v>10680</v>
      </c>
      <c r="C3628" s="47"/>
      <c r="D3628" s="47"/>
      <c r="E3628" s="47"/>
      <c r="F3628" s="47"/>
    </row>
    <row r="3629" spans="1:6" ht="45" x14ac:dyDescent="0.2">
      <c r="A3629" s="65" t="s">
        <v>10681</v>
      </c>
      <c r="B3629" s="66" t="s">
        <v>10682</v>
      </c>
      <c r="C3629" s="67" t="s">
        <v>203</v>
      </c>
      <c r="D3629" s="69" t="s">
        <v>10683</v>
      </c>
      <c r="E3629" s="69" t="s">
        <v>9263</v>
      </c>
      <c r="F3629" s="69" t="s">
        <v>10684</v>
      </c>
    </row>
    <row r="3630" spans="1:6" ht="22.5" x14ac:dyDescent="0.2">
      <c r="A3630" s="65" t="s">
        <v>10685</v>
      </c>
      <c r="B3630" s="65" t="s">
        <v>10686</v>
      </c>
      <c r="C3630" s="67" t="s">
        <v>203</v>
      </c>
      <c r="D3630" s="69" t="s">
        <v>10687</v>
      </c>
      <c r="E3630" s="69" t="s">
        <v>9263</v>
      </c>
      <c r="F3630" s="69" t="s">
        <v>10688</v>
      </c>
    </row>
    <row r="3631" spans="1:6" ht="22.5" x14ac:dyDescent="0.2">
      <c r="A3631" s="65" t="s">
        <v>10689</v>
      </c>
      <c r="B3631" s="65" t="s">
        <v>10690</v>
      </c>
      <c r="C3631" s="67" t="s">
        <v>221</v>
      </c>
      <c r="D3631" s="69" t="s">
        <v>10691</v>
      </c>
      <c r="E3631" s="69" t="s">
        <v>334</v>
      </c>
      <c r="F3631" s="69" t="s">
        <v>10692</v>
      </c>
    </row>
    <row r="3632" spans="1:6" ht="33.75" x14ac:dyDescent="0.2">
      <c r="A3632" s="65" t="s">
        <v>10693</v>
      </c>
      <c r="B3632" s="65" t="s">
        <v>10694</v>
      </c>
      <c r="C3632" s="67" t="s">
        <v>203</v>
      </c>
      <c r="D3632" s="69" t="s">
        <v>10695</v>
      </c>
      <c r="E3632" s="69" t="s">
        <v>323</v>
      </c>
      <c r="F3632" s="69" t="s">
        <v>10696</v>
      </c>
    </row>
    <row r="3633" spans="1:6" ht="22.5" x14ac:dyDescent="0.2">
      <c r="A3633" s="65" t="s">
        <v>10697</v>
      </c>
      <c r="B3633" s="65" t="s">
        <v>10698</v>
      </c>
      <c r="C3633" s="67" t="s">
        <v>221</v>
      </c>
      <c r="D3633" s="69" t="s">
        <v>4163</v>
      </c>
      <c r="E3633" s="69" t="s">
        <v>334</v>
      </c>
      <c r="F3633" s="69" t="s">
        <v>10699</v>
      </c>
    </row>
    <row r="3634" spans="1:6" ht="22.5" x14ac:dyDescent="0.2">
      <c r="A3634" s="65" t="s">
        <v>10700</v>
      </c>
      <c r="B3634" s="65" t="s">
        <v>10701</v>
      </c>
      <c r="C3634" s="67" t="s">
        <v>203</v>
      </c>
      <c r="D3634" s="69" t="s">
        <v>10702</v>
      </c>
      <c r="E3634" s="69" t="s">
        <v>334</v>
      </c>
      <c r="F3634" s="69" t="s">
        <v>10703</v>
      </c>
    </row>
    <row r="3635" spans="1:6" ht="67.5" x14ac:dyDescent="0.2">
      <c r="A3635" s="70" t="s">
        <v>10704</v>
      </c>
      <c r="B3635" s="66" t="s">
        <v>10705</v>
      </c>
      <c r="C3635" s="71" t="s">
        <v>203</v>
      </c>
      <c r="D3635" s="72" t="s">
        <v>10706</v>
      </c>
      <c r="E3635" s="72" t="s">
        <v>10707</v>
      </c>
      <c r="F3635" s="72" t="s">
        <v>10708</v>
      </c>
    </row>
    <row r="3636" spans="1:6" ht="22.5" x14ac:dyDescent="0.2">
      <c r="A3636" s="65" t="s">
        <v>10709</v>
      </c>
      <c r="B3636" s="65" t="s">
        <v>10710</v>
      </c>
      <c r="C3636" s="67" t="s">
        <v>203</v>
      </c>
      <c r="D3636" s="69" t="s">
        <v>10711</v>
      </c>
      <c r="E3636" s="69" t="s">
        <v>334</v>
      </c>
      <c r="F3636" s="69" t="s">
        <v>10712</v>
      </c>
    </row>
    <row r="3637" spans="1:6" ht="22.5" x14ac:dyDescent="0.2">
      <c r="A3637" s="65" t="s">
        <v>10713</v>
      </c>
      <c r="B3637" s="65" t="s">
        <v>10714</v>
      </c>
      <c r="C3637" s="67" t="s">
        <v>203</v>
      </c>
      <c r="D3637" s="69" t="s">
        <v>10715</v>
      </c>
      <c r="E3637" s="69" t="s">
        <v>334</v>
      </c>
      <c r="F3637" s="69" t="s">
        <v>6562</v>
      </c>
    </row>
    <row r="3638" spans="1:6" ht="22.5" x14ac:dyDescent="0.2">
      <c r="A3638" s="65" t="s">
        <v>10716</v>
      </c>
      <c r="B3638" s="65" t="s">
        <v>10717</v>
      </c>
      <c r="C3638" s="67" t="s">
        <v>203</v>
      </c>
      <c r="D3638" s="69" t="s">
        <v>10718</v>
      </c>
      <c r="E3638" s="69" t="s">
        <v>1474</v>
      </c>
      <c r="F3638" s="69" t="s">
        <v>10719</v>
      </c>
    </row>
    <row r="3639" spans="1:6" ht="22.5" x14ac:dyDescent="0.2">
      <c r="A3639" s="65" t="s">
        <v>10720</v>
      </c>
      <c r="B3639" s="65" t="s">
        <v>10721</v>
      </c>
      <c r="C3639" s="67" t="s">
        <v>203</v>
      </c>
      <c r="D3639" s="69" t="s">
        <v>10722</v>
      </c>
      <c r="E3639" s="69" t="s">
        <v>334</v>
      </c>
      <c r="F3639" s="69" t="s">
        <v>10723</v>
      </c>
    </row>
    <row r="3640" spans="1:6" ht="22.5" x14ac:dyDescent="0.2">
      <c r="A3640" s="65" t="s">
        <v>10724</v>
      </c>
      <c r="B3640" s="65" t="s">
        <v>10725</v>
      </c>
      <c r="C3640" s="67" t="s">
        <v>203</v>
      </c>
      <c r="D3640" s="69" t="s">
        <v>10726</v>
      </c>
      <c r="E3640" s="69" t="s">
        <v>334</v>
      </c>
      <c r="F3640" s="69" t="s">
        <v>10727</v>
      </c>
    </row>
    <row r="3641" spans="1:6" ht="22.5" x14ac:dyDescent="0.2">
      <c r="A3641" s="65" t="s">
        <v>10728</v>
      </c>
      <c r="B3641" s="65" t="s">
        <v>10729</v>
      </c>
      <c r="C3641" s="67" t="s">
        <v>203</v>
      </c>
      <c r="D3641" s="69" t="s">
        <v>5637</v>
      </c>
      <c r="E3641" s="69" t="s">
        <v>214</v>
      </c>
      <c r="F3641" s="69" t="s">
        <v>3925</v>
      </c>
    </row>
    <row r="3642" spans="1:6" ht="22.5" x14ac:dyDescent="0.2">
      <c r="A3642" s="65" t="s">
        <v>10730</v>
      </c>
      <c r="B3642" s="65" t="s">
        <v>10731</v>
      </c>
      <c r="C3642" s="67" t="s">
        <v>203</v>
      </c>
      <c r="D3642" s="69" t="s">
        <v>10732</v>
      </c>
      <c r="E3642" s="69" t="s">
        <v>334</v>
      </c>
      <c r="F3642" s="69" t="s">
        <v>6590</v>
      </c>
    </row>
    <row r="3643" spans="1:6" ht="45" x14ac:dyDescent="0.2">
      <c r="A3643" s="65" t="s">
        <v>10733</v>
      </c>
      <c r="B3643" s="66" t="s">
        <v>10734</v>
      </c>
      <c r="C3643" s="74" t="s">
        <v>203</v>
      </c>
      <c r="D3643" s="69" t="s">
        <v>10735</v>
      </c>
      <c r="E3643" s="69" t="s">
        <v>10736</v>
      </c>
      <c r="F3643" s="69" t="s">
        <v>10737</v>
      </c>
    </row>
    <row r="3644" spans="1:6" ht="45" x14ac:dyDescent="0.2">
      <c r="A3644" s="65" t="s">
        <v>10738</v>
      </c>
      <c r="B3644" s="66" t="s">
        <v>10739</v>
      </c>
      <c r="C3644" s="74" t="s">
        <v>203</v>
      </c>
      <c r="D3644" s="69" t="s">
        <v>10740</v>
      </c>
      <c r="E3644" s="69" t="s">
        <v>10736</v>
      </c>
      <c r="F3644" s="69" t="s">
        <v>10741</v>
      </c>
    </row>
    <row r="3645" spans="1:6" ht="33.75" x14ac:dyDescent="0.2">
      <c r="A3645" s="65" t="s">
        <v>10742</v>
      </c>
      <c r="B3645" s="66" t="s">
        <v>10743</v>
      </c>
      <c r="C3645" s="74" t="s">
        <v>203</v>
      </c>
      <c r="D3645" s="69" t="s">
        <v>10744</v>
      </c>
      <c r="E3645" s="69" t="s">
        <v>10745</v>
      </c>
      <c r="F3645" s="69" t="s">
        <v>10746</v>
      </c>
    </row>
    <row r="3646" spans="1:6" x14ac:dyDescent="0.2">
      <c r="A3646" s="50">
        <v>50.02</v>
      </c>
      <c r="B3646" s="64" t="s">
        <v>10747</v>
      </c>
      <c r="C3646" s="47"/>
      <c r="D3646" s="47"/>
      <c r="E3646" s="47"/>
      <c r="F3646" s="47"/>
    </row>
    <row r="3647" spans="1:6" ht="33.75" x14ac:dyDescent="0.2">
      <c r="A3647" s="65" t="s">
        <v>10748</v>
      </c>
      <c r="B3647" s="65" t="s">
        <v>10749</v>
      </c>
      <c r="C3647" s="74" t="s">
        <v>203</v>
      </c>
      <c r="D3647" s="69" t="s">
        <v>10750</v>
      </c>
      <c r="E3647" s="69" t="s">
        <v>325</v>
      </c>
      <c r="F3647" s="69" t="s">
        <v>10751</v>
      </c>
    </row>
    <row r="3648" spans="1:6" x14ac:dyDescent="0.2">
      <c r="A3648" s="65" t="s">
        <v>10752</v>
      </c>
      <c r="B3648" s="65" t="s">
        <v>10753</v>
      </c>
      <c r="C3648" s="74" t="s">
        <v>203</v>
      </c>
      <c r="D3648" s="69" t="s">
        <v>10754</v>
      </c>
      <c r="E3648" s="69" t="s">
        <v>319</v>
      </c>
      <c r="F3648" s="69" t="s">
        <v>10755</v>
      </c>
    </row>
    <row r="3649" spans="1:6" ht="33.75" x14ac:dyDescent="0.2">
      <c r="A3649" s="65" t="s">
        <v>10756</v>
      </c>
      <c r="B3649" s="65" t="s">
        <v>10757</v>
      </c>
      <c r="C3649" s="74" t="s">
        <v>203</v>
      </c>
      <c r="D3649" s="69" t="s">
        <v>356</v>
      </c>
      <c r="E3649" s="69" t="s">
        <v>325</v>
      </c>
      <c r="F3649" s="69" t="s">
        <v>10758</v>
      </c>
    </row>
    <row r="3650" spans="1:6" ht="56.25" x14ac:dyDescent="0.2">
      <c r="A3650" s="65" t="s">
        <v>10759</v>
      </c>
      <c r="B3650" s="66" t="s">
        <v>10760</v>
      </c>
      <c r="C3650" s="74" t="s">
        <v>203</v>
      </c>
      <c r="D3650" s="69" t="s">
        <v>10761</v>
      </c>
      <c r="E3650" s="69" t="s">
        <v>345</v>
      </c>
      <c r="F3650" s="69" t="s">
        <v>10762</v>
      </c>
    </row>
    <row r="3651" spans="1:6" ht="22.5" x14ac:dyDescent="0.2">
      <c r="A3651" s="50">
        <v>50.05</v>
      </c>
      <c r="B3651" s="64" t="s">
        <v>10763</v>
      </c>
      <c r="C3651" s="47"/>
      <c r="D3651" s="47"/>
      <c r="E3651" s="47"/>
      <c r="F3651" s="47"/>
    </row>
    <row r="3652" spans="1:6" ht="33.75" x14ac:dyDescent="0.2">
      <c r="A3652" s="65" t="s">
        <v>10764</v>
      </c>
      <c r="B3652" s="65" t="s">
        <v>10765</v>
      </c>
      <c r="C3652" s="74" t="s">
        <v>203</v>
      </c>
      <c r="D3652" s="69" t="s">
        <v>10766</v>
      </c>
      <c r="E3652" s="69" t="s">
        <v>5023</v>
      </c>
      <c r="F3652" s="69" t="s">
        <v>10767</v>
      </c>
    </row>
    <row r="3653" spans="1:6" ht="33.75" x14ac:dyDescent="0.2">
      <c r="A3653" s="65" t="s">
        <v>10768</v>
      </c>
      <c r="B3653" s="65" t="s">
        <v>10769</v>
      </c>
      <c r="C3653" s="74" t="s">
        <v>203</v>
      </c>
      <c r="D3653" s="69" t="s">
        <v>10770</v>
      </c>
      <c r="E3653" s="69" t="s">
        <v>10771</v>
      </c>
      <c r="F3653" s="69" t="s">
        <v>10772</v>
      </c>
    </row>
    <row r="3654" spans="1:6" ht="45" x14ac:dyDescent="0.2">
      <c r="A3654" s="65" t="s">
        <v>10773</v>
      </c>
      <c r="B3654" s="66" t="s">
        <v>10774</v>
      </c>
      <c r="C3654" s="74" t="s">
        <v>203</v>
      </c>
      <c r="D3654" s="69" t="s">
        <v>10775</v>
      </c>
      <c r="E3654" s="69" t="s">
        <v>319</v>
      </c>
      <c r="F3654" s="69" t="s">
        <v>10776</v>
      </c>
    </row>
    <row r="3655" spans="1:6" ht="45" x14ac:dyDescent="0.2">
      <c r="A3655" s="65" t="s">
        <v>10777</v>
      </c>
      <c r="B3655" s="66" t="s">
        <v>10778</v>
      </c>
      <c r="C3655" s="74" t="s">
        <v>203</v>
      </c>
      <c r="D3655" s="69" t="s">
        <v>10779</v>
      </c>
      <c r="E3655" s="69" t="s">
        <v>319</v>
      </c>
      <c r="F3655" s="69" t="s">
        <v>10780</v>
      </c>
    </row>
    <row r="3656" spans="1:6" ht="56.25" x14ac:dyDescent="0.2">
      <c r="A3656" s="65" t="s">
        <v>10781</v>
      </c>
      <c r="B3656" s="66" t="s">
        <v>10782</v>
      </c>
      <c r="C3656" s="74" t="s">
        <v>203</v>
      </c>
      <c r="D3656" s="69" t="s">
        <v>10783</v>
      </c>
      <c r="E3656" s="69" t="s">
        <v>323</v>
      </c>
      <c r="F3656" s="69" t="s">
        <v>10784</v>
      </c>
    </row>
    <row r="3657" spans="1:6" ht="22.5" x14ac:dyDescent="0.2">
      <c r="A3657" s="65" t="s">
        <v>10785</v>
      </c>
      <c r="B3657" s="65" t="s">
        <v>10786</v>
      </c>
      <c r="C3657" s="74" t="s">
        <v>203</v>
      </c>
      <c r="D3657" s="69" t="s">
        <v>10787</v>
      </c>
      <c r="E3657" s="69" t="s">
        <v>323</v>
      </c>
      <c r="F3657" s="69" t="s">
        <v>10788</v>
      </c>
    </row>
    <row r="3658" spans="1:6" ht="33.75" x14ac:dyDescent="0.2">
      <c r="A3658" s="65" t="s">
        <v>10789</v>
      </c>
      <c r="B3658" s="65" t="s">
        <v>10790</v>
      </c>
      <c r="C3658" s="74" t="s">
        <v>203</v>
      </c>
      <c r="D3658" s="69" t="s">
        <v>10791</v>
      </c>
      <c r="E3658" s="69" t="s">
        <v>323</v>
      </c>
      <c r="F3658" s="69" t="s">
        <v>10792</v>
      </c>
    </row>
    <row r="3659" spans="1:6" ht="33.75" x14ac:dyDescent="0.2">
      <c r="A3659" s="65" t="s">
        <v>10793</v>
      </c>
      <c r="B3659" s="66" t="s">
        <v>10794</v>
      </c>
      <c r="C3659" s="74" t="s">
        <v>203</v>
      </c>
      <c r="D3659" s="69" t="s">
        <v>10795</v>
      </c>
      <c r="E3659" s="69" t="s">
        <v>323</v>
      </c>
      <c r="F3659" s="69" t="s">
        <v>10796</v>
      </c>
    </row>
    <row r="3660" spans="1:6" ht="22.5" x14ac:dyDescent="0.2">
      <c r="A3660" s="65" t="s">
        <v>10797</v>
      </c>
      <c r="B3660" s="65" t="s">
        <v>10798</v>
      </c>
      <c r="C3660" s="74" t="s">
        <v>203</v>
      </c>
      <c r="D3660" s="69" t="s">
        <v>10799</v>
      </c>
      <c r="E3660" s="69" t="s">
        <v>323</v>
      </c>
      <c r="F3660" s="69" t="s">
        <v>10800</v>
      </c>
    </row>
    <row r="3661" spans="1:6" ht="45" x14ac:dyDescent="0.2">
      <c r="A3661" s="65" t="s">
        <v>10801</v>
      </c>
      <c r="B3661" s="66" t="s">
        <v>10802</v>
      </c>
      <c r="C3661" s="74" t="s">
        <v>203</v>
      </c>
      <c r="D3661" s="69" t="s">
        <v>10803</v>
      </c>
      <c r="E3661" s="69" t="s">
        <v>10771</v>
      </c>
      <c r="F3661" s="69" t="s">
        <v>10804</v>
      </c>
    </row>
    <row r="3662" spans="1:6" ht="56.25" x14ac:dyDescent="0.2">
      <c r="A3662" s="65" t="s">
        <v>10805</v>
      </c>
      <c r="B3662" s="66" t="s">
        <v>10806</v>
      </c>
      <c r="C3662" s="74" t="s">
        <v>203</v>
      </c>
      <c r="D3662" s="69" t="s">
        <v>10807</v>
      </c>
      <c r="E3662" s="69" t="s">
        <v>10771</v>
      </c>
      <c r="F3662" s="69" t="s">
        <v>10808</v>
      </c>
    </row>
    <row r="3663" spans="1:6" ht="45" x14ac:dyDescent="0.2">
      <c r="A3663" s="65" t="s">
        <v>10809</v>
      </c>
      <c r="B3663" s="66" t="s">
        <v>10810</v>
      </c>
      <c r="C3663" s="74" t="s">
        <v>203</v>
      </c>
      <c r="D3663" s="69" t="s">
        <v>10811</v>
      </c>
      <c r="E3663" s="69" t="s">
        <v>10771</v>
      </c>
      <c r="F3663" s="69" t="s">
        <v>10812</v>
      </c>
    </row>
    <row r="3664" spans="1:6" x14ac:dyDescent="0.2">
      <c r="A3664" s="65" t="s">
        <v>10813</v>
      </c>
      <c r="B3664" s="65" t="s">
        <v>10814</v>
      </c>
      <c r="C3664" s="74" t="s">
        <v>203</v>
      </c>
      <c r="D3664" s="69" t="s">
        <v>10815</v>
      </c>
      <c r="E3664" s="69" t="s">
        <v>323</v>
      </c>
      <c r="F3664" s="69" t="s">
        <v>10816</v>
      </c>
    </row>
    <row r="3665" spans="1:6" ht="67.5" x14ac:dyDescent="0.2">
      <c r="A3665" s="70" t="s">
        <v>10817</v>
      </c>
      <c r="B3665" s="66" t="s">
        <v>10818</v>
      </c>
      <c r="C3665" s="75" t="s">
        <v>203</v>
      </c>
      <c r="D3665" s="72" t="s">
        <v>10819</v>
      </c>
      <c r="E3665" s="72" t="s">
        <v>10771</v>
      </c>
      <c r="F3665" s="72" t="s">
        <v>10820</v>
      </c>
    </row>
    <row r="3666" spans="1:6" ht="22.5" x14ac:dyDescent="0.2">
      <c r="A3666" s="65" t="s">
        <v>10821</v>
      </c>
      <c r="B3666" s="65" t="s">
        <v>10822</v>
      </c>
      <c r="C3666" s="74" t="s">
        <v>203</v>
      </c>
      <c r="D3666" s="69" t="s">
        <v>10823</v>
      </c>
      <c r="E3666" s="69" t="s">
        <v>1080</v>
      </c>
      <c r="F3666" s="69" t="s">
        <v>421</v>
      </c>
    </row>
    <row r="3667" spans="1:6" ht="22.5" x14ac:dyDescent="0.2">
      <c r="A3667" s="65" t="s">
        <v>10824</v>
      </c>
      <c r="B3667" s="65" t="s">
        <v>10825</v>
      </c>
      <c r="C3667" s="74" t="s">
        <v>203</v>
      </c>
      <c r="D3667" s="69" t="s">
        <v>10826</v>
      </c>
      <c r="E3667" s="69" t="s">
        <v>321</v>
      </c>
      <c r="F3667" s="69" t="s">
        <v>10827</v>
      </c>
    </row>
    <row r="3668" spans="1:6" ht="33.75" x14ac:dyDescent="0.2">
      <c r="A3668" s="65" t="s">
        <v>10828</v>
      </c>
      <c r="B3668" s="65" t="s">
        <v>10829</v>
      </c>
      <c r="C3668" s="74" t="s">
        <v>203</v>
      </c>
      <c r="D3668" s="69" t="s">
        <v>10830</v>
      </c>
      <c r="E3668" s="69" t="s">
        <v>323</v>
      </c>
      <c r="F3668" s="69" t="s">
        <v>10831</v>
      </c>
    </row>
    <row r="3669" spans="1:6" ht="22.5" x14ac:dyDescent="0.2">
      <c r="A3669" s="65" t="s">
        <v>10832</v>
      </c>
      <c r="B3669" s="65" t="s">
        <v>10833</v>
      </c>
      <c r="C3669" s="74" t="s">
        <v>203</v>
      </c>
      <c r="D3669" s="69" t="s">
        <v>10834</v>
      </c>
      <c r="E3669" s="69" t="s">
        <v>323</v>
      </c>
      <c r="F3669" s="69" t="s">
        <v>10835</v>
      </c>
    </row>
    <row r="3670" spans="1:6" ht="22.5" x14ac:dyDescent="0.2">
      <c r="A3670" s="65" t="s">
        <v>10836</v>
      </c>
      <c r="B3670" s="65" t="s">
        <v>10837</v>
      </c>
      <c r="C3670" s="74" t="s">
        <v>203</v>
      </c>
      <c r="D3670" s="69" t="s">
        <v>10838</v>
      </c>
      <c r="E3670" s="69" t="s">
        <v>319</v>
      </c>
      <c r="F3670" s="69" t="s">
        <v>10839</v>
      </c>
    </row>
    <row r="3671" spans="1:6" ht="22.5" x14ac:dyDescent="0.2">
      <c r="A3671" s="65" t="s">
        <v>10840</v>
      </c>
      <c r="B3671" s="65" t="s">
        <v>10841</v>
      </c>
      <c r="C3671" s="74" t="s">
        <v>203</v>
      </c>
      <c r="D3671" s="69" t="s">
        <v>10842</v>
      </c>
      <c r="E3671" s="69" t="s">
        <v>323</v>
      </c>
      <c r="F3671" s="69" t="s">
        <v>10843</v>
      </c>
    </row>
    <row r="3672" spans="1:6" x14ac:dyDescent="0.2">
      <c r="A3672" s="65" t="s">
        <v>10844</v>
      </c>
      <c r="B3672" s="65" t="s">
        <v>10845</v>
      </c>
      <c r="C3672" s="74" t="s">
        <v>203</v>
      </c>
      <c r="D3672" s="69" t="s">
        <v>10846</v>
      </c>
      <c r="E3672" s="69" t="s">
        <v>324</v>
      </c>
      <c r="F3672" s="69" t="s">
        <v>10847</v>
      </c>
    </row>
    <row r="3673" spans="1:6" ht="22.5" x14ac:dyDescent="0.2">
      <c r="A3673" s="65" t="s">
        <v>10848</v>
      </c>
      <c r="B3673" s="65" t="s">
        <v>10849</v>
      </c>
      <c r="C3673" s="74" t="s">
        <v>203</v>
      </c>
      <c r="D3673" s="69" t="s">
        <v>10850</v>
      </c>
      <c r="E3673" s="69" t="s">
        <v>324</v>
      </c>
      <c r="F3673" s="69" t="s">
        <v>10851</v>
      </c>
    </row>
    <row r="3674" spans="1:6" x14ac:dyDescent="0.2">
      <c r="A3674" s="50">
        <v>50.1</v>
      </c>
      <c r="B3674" s="64" t="s">
        <v>10852</v>
      </c>
      <c r="C3674" s="47"/>
      <c r="D3674" s="47"/>
      <c r="E3674" s="47"/>
      <c r="F3674" s="47"/>
    </row>
    <row r="3675" spans="1:6" ht="22.5" x14ac:dyDescent="0.2">
      <c r="A3675" s="65" t="s">
        <v>10853</v>
      </c>
      <c r="B3675" s="65" t="s">
        <v>10854</v>
      </c>
      <c r="C3675" s="74" t="s">
        <v>203</v>
      </c>
      <c r="D3675" s="69" t="s">
        <v>10855</v>
      </c>
      <c r="E3675" s="69" t="s">
        <v>3616</v>
      </c>
      <c r="F3675" s="69" t="s">
        <v>10856</v>
      </c>
    </row>
    <row r="3676" spans="1:6" ht="22.5" x14ac:dyDescent="0.2">
      <c r="A3676" s="65" t="s">
        <v>10857</v>
      </c>
      <c r="B3676" s="65" t="s">
        <v>10858</v>
      </c>
      <c r="C3676" s="74" t="s">
        <v>203</v>
      </c>
      <c r="D3676" s="69" t="s">
        <v>10859</v>
      </c>
      <c r="E3676" s="69" t="s">
        <v>3616</v>
      </c>
      <c r="F3676" s="69" t="s">
        <v>10860</v>
      </c>
    </row>
    <row r="3677" spans="1:6" ht="22.5" x14ac:dyDescent="0.2">
      <c r="A3677" s="65" t="s">
        <v>10861</v>
      </c>
      <c r="B3677" s="65" t="s">
        <v>10862</v>
      </c>
      <c r="C3677" s="74" t="s">
        <v>203</v>
      </c>
      <c r="D3677" s="69" t="s">
        <v>1389</v>
      </c>
      <c r="E3677" s="69" t="s">
        <v>3616</v>
      </c>
      <c r="F3677" s="69" t="s">
        <v>10863</v>
      </c>
    </row>
    <row r="3678" spans="1:6" ht="22.5" x14ac:dyDescent="0.2">
      <c r="A3678" s="65" t="s">
        <v>10864</v>
      </c>
      <c r="B3678" s="65" t="s">
        <v>10865</v>
      </c>
      <c r="C3678" s="74" t="s">
        <v>203</v>
      </c>
      <c r="D3678" s="69" t="s">
        <v>10866</v>
      </c>
      <c r="E3678" s="69" t="s">
        <v>3616</v>
      </c>
      <c r="F3678" s="69" t="s">
        <v>10867</v>
      </c>
    </row>
    <row r="3679" spans="1:6" ht="22.5" x14ac:dyDescent="0.2">
      <c r="A3679" s="65" t="s">
        <v>10868</v>
      </c>
      <c r="B3679" s="65" t="s">
        <v>10869</v>
      </c>
      <c r="C3679" s="74" t="s">
        <v>203</v>
      </c>
      <c r="D3679" s="69" t="s">
        <v>10870</v>
      </c>
      <c r="E3679" s="69" t="s">
        <v>3616</v>
      </c>
      <c r="F3679" s="69" t="s">
        <v>10871</v>
      </c>
    </row>
    <row r="3680" spans="1:6" ht="33.75" x14ac:dyDescent="0.2">
      <c r="A3680" s="65" t="s">
        <v>10872</v>
      </c>
      <c r="B3680" s="65" t="s">
        <v>10873</v>
      </c>
      <c r="C3680" s="76" t="s">
        <v>203</v>
      </c>
      <c r="D3680" s="69" t="s">
        <v>10874</v>
      </c>
      <c r="E3680" s="68"/>
      <c r="F3680" s="69" t="s">
        <v>10874</v>
      </c>
    </row>
    <row r="3681" spans="1:6" ht="33.75" x14ac:dyDescent="0.2">
      <c r="A3681" s="65" t="s">
        <v>10875</v>
      </c>
      <c r="B3681" s="65" t="s">
        <v>10876</v>
      </c>
      <c r="C3681" s="76" t="s">
        <v>203</v>
      </c>
      <c r="D3681" s="69" t="s">
        <v>10877</v>
      </c>
      <c r="E3681" s="69" t="s">
        <v>3616</v>
      </c>
      <c r="F3681" s="69" t="s">
        <v>10878</v>
      </c>
    </row>
    <row r="3682" spans="1:6" ht="22.5" x14ac:dyDescent="0.2">
      <c r="A3682" s="65" t="s">
        <v>10879</v>
      </c>
      <c r="B3682" s="65" t="s">
        <v>10880</v>
      </c>
      <c r="C3682" s="76" t="s">
        <v>203</v>
      </c>
      <c r="D3682" s="69" t="s">
        <v>10881</v>
      </c>
      <c r="E3682" s="69" t="s">
        <v>3616</v>
      </c>
      <c r="F3682" s="69" t="s">
        <v>10882</v>
      </c>
    </row>
    <row r="3683" spans="1:6" ht="22.5" x14ac:dyDescent="0.2">
      <c r="A3683" s="65" t="s">
        <v>10883</v>
      </c>
      <c r="B3683" s="65" t="s">
        <v>10884</v>
      </c>
      <c r="C3683" s="76" t="s">
        <v>203</v>
      </c>
      <c r="D3683" s="69" t="s">
        <v>10885</v>
      </c>
      <c r="E3683" s="69" t="s">
        <v>3616</v>
      </c>
      <c r="F3683" s="69" t="s">
        <v>10886</v>
      </c>
    </row>
    <row r="3684" spans="1:6" ht="33.75" x14ac:dyDescent="0.2">
      <c r="A3684" s="65" t="s">
        <v>10887</v>
      </c>
      <c r="B3684" s="65" t="s">
        <v>10888</v>
      </c>
      <c r="C3684" s="76" t="s">
        <v>203</v>
      </c>
      <c r="D3684" s="69" t="s">
        <v>10889</v>
      </c>
      <c r="E3684" s="69" t="s">
        <v>3616</v>
      </c>
      <c r="F3684" s="69" t="s">
        <v>10890</v>
      </c>
    </row>
    <row r="3685" spans="1:6" ht="22.5" x14ac:dyDescent="0.2">
      <c r="A3685" s="65" t="s">
        <v>10891</v>
      </c>
      <c r="B3685" s="65" t="s">
        <v>10892</v>
      </c>
      <c r="C3685" s="76" t="s">
        <v>203</v>
      </c>
      <c r="D3685" s="69" t="s">
        <v>10893</v>
      </c>
      <c r="E3685" s="69" t="s">
        <v>243</v>
      </c>
      <c r="F3685" s="69" t="s">
        <v>9157</v>
      </c>
    </row>
    <row r="3686" spans="1:6" ht="22.5" x14ac:dyDescent="0.2">
      <c r="A3686" s="65" t="s">
        <v>10894</v>
      </c>
      <c r="B3686" s="65" t="s">
        <v>10895</v>
      </c>
      <c r="C3686" s="76" t="s">
        <v>203</v>
      </c>
      <c r="D3686" s="69" t="s">
        <v>10896</v>
      </c>
      <c r="E3686" s="69" t="s">
        <v>243</v>
      </c>
      <c r="F3686" s="69" t="s">
        <v>10897</v>
      </c>
    </row>
    <row r="3687" spans="1:6" ht="22.5" x14ac:dyDescent="0.2">
      <c r="A3687" s="50">
        <v>50.2</v>
      </c>
      <c r="B3687" s="64" t="s">
        <v>10898</v>
      </c>
      <c r="C3687" s="47"/>
      <c r="D3687" s="47"/>
      <c r="E3687" s="47"/>
      <c r="F3687" s="47"/>
    </row>
    <row r="3688" spans="1:6" ht="22.5" x14ac:dyDescent="0.2">
      <c r="A3688" s="65" t="s">
        <v>10899</v>
      </c>
      <c r="B3688" s="65" t="s">
        <v>10900</v>
      </c>
      <c r="C3688" s="76" t="s">
        <v>338</v>
      </c>
      <c r="D3688" s="69" t="s">
        <v>10901</v>
      </c>
      <c r="E3688" s="73"/>
      <c r="F3688" s="69" t="s">
        <v>10901</v>
      </c>
    </row>
    <row r="3689" spans="1:6" ht="22.5" x14ac:dyDescent="0.2">
      <c r="A3689" s="65" t="s">
        <v>10902</v>
      </c>
      <c r="B3689" s="65" t="s">
        <v>10903</v>
      </c>
      <c r="C3689" s="76" t="s">
        <v>300</v>
      </c>
      <c r="D3689" s="69" t="s">
        <v>10904</v>
      </c>
      <c r="E3689" s="73"/>
      <c r="F3689" s="69" t="s">
        <v>10904</v>
      </c>
    </row>
    <row r="3690" spans="1:6" ht="22.5" x14ac:dyDescent="0.2">
      <c r="A3690" s="65" t="s">
        <v>10905</v>
      </c>
      <c r="B3690" s="65" t="s">
        <v>10906</v>
      </c>
      <c r="C3690" s="76" t="s">
        <v>300</v>
      </c>
      <c r="D3690" s="69" t="s">
        <v>10907</v>
      </c>
      <c r="E3690" s="73"/>
      <c r="F3690" s="69" t="s">
        <v>10907</v>
      </c>
    </row>
    <row r="3691" spans="1:6" ht="56.25" x14ac:dyDescent="0.2">
      <c r="A3691" s="65" t="s">
        <v>10908</v>
      </c>
      <c r="B3691" s="66" t="s">
        <v>10909</v>
      </c>
      <c r="C3691" s="76" t="s">
        <v>203</v>
      </c>
      <c r="D3691" s="69" t="s">
        <v>10910</v>
      </c>
      <c r="E3691" s="68"/>
      <c r="F3691" s="69" t="s">
        <v>10910</v>
      </c>
    </row>
    <row r="3692" spans="1:6" ht="56.25" x14ac:dyDescent="0.2">
      <c r="A3692" s="65" t="s">
        <v>10911</v>
      </c>
      <c r="B3692" s="66" t="s">
        <v>10912</v>
      </c>
      <c r="C3692" s="76" t="s">
        <v>203</v>
      </c>
      <c r="D3692" s="69" t="s">
        <v>10913</v>
      </c>
      <c r="E3692" s="68"/>
      <c r="F3692" s="69" t="s">
        <v>10913</v>
      </c>
    </row>
    <row r="3693" spans="1:6" x14ac:dyDescent="0.2">
      <c r="A3693" s="65" t="s">
        <v>10914</v>
      </c>
      <c r="B3693" s="65" t="s">
        <v>10915</v>
      </c>
      <c r="C3693" s="76" t="s">
        <v>203</v>
      </c>
      <c r="D3693" s="69" t="s">
        <v>8290</v>
      </c>
      <c r="E3693" s="69" t="s">
        <v>325</v>
      </c>
      <c r="F3693" s="69" t="s">
        <v>10916</v>
      </c>
    </row>
    <row r="3694" spans="1:6" x14ac:dyDescent="0.2">
      <c r="A3694" s="49">
        <v>54</v>
      </c>
      <c r="B3694" s="64" t="s">
        <v>10917</v>
      </c>
      <c r="C3694" s="47"/>
      <c r="D3694" s="47"/>
      <c r="E3694" s="47"/>
      <c r="F3694" s="47"/>
    </row>
    <row r="3695" spans="1:6" x14ac:dyDescent="0.2">
      <c r="A3695" s="50">
        <v>54.01</v>
      </c>
      <c r="B3695" s="64" t="s">
        <v>10918</v>
      </c>
      <c r="C3695" s="47"/>
      <c r="D3695" s="47"/>
      <c r="E3695" s="47"/>
      <c r="F3695" s="47"/>
    </row>
    <row r="3696" spans="1:6" ht="45" x14ac:dyDescent="0.2">
      <c r="A3696" s="65" t="s">
        <v>10919</v>
      </c>
      <c r="B3696" s="66" t="s">
        <v>10920</v>
      </c>
      <c r="C3696" s="76" t="s">
        <v>204</v>
      </c>
      <c r="D3696" s="69" t="s">
        <v>6307</v>
      </c>
      <c r="E3696" s="69" t="s">
        <v>264</v>
      </c>
      <c r="F3696" s="69" t="s">
        <v>10921</v>
      </c>
    </row>
    <row r="3697" spans="1:6" ht="56.25" x14ac:dyDescent="0.2">
      <c r="A3697" s="65" t="s">
        <v>10922</v>
      </c>
      <c r="B3697" s="66" t="s">
        <v>10923</v>
      </c>
      <c r="C3697" s="76" t="s">
        <v>204</v>
      </c>
      <c r="D3697" s="69" t="s">
        <v>1840</v>
      </c>
      <c r="E3697" s="69" t="s">
        <v>213</v>
      </c>
      <c r="F3697" s="69" t="s">
        <v>10924</v>
      </c>
    </row>
    <row r="3698" spans="1:6" ht="22.5" x14ac:dyDescent="0.2">
      <c r="A3698" s="65" t="s">
        <v>10925</v>
      </c>
      <c r="B3698" s="65" t="s">
        <v>10926</v>
      </c>
      <c r="C3698" s="76" t="s">
        <v>228</v>
      </c>
      <c r="D3698" s="69" t="s">
        <v>9657</v>
      </c>
      <c r="E3698" s="69" t="s">
        <v>10927</v>
      </c>
      <c r="F3698" s="69" t="s">
        <v>10928</v>
      </c>
    </row>
    <row r="3699" spans="1:6" x14ac:dyDescent="0.2">
      <c r="A3699" s="65" t="s">
        <v>10929</v>
      </c>
      <c r="B3699" s="65" t="s">
        <v>10930</v>
      </c>
      <c r="C3699" s="76" t="s">
        <v>228</v>
      </c>
      <c r="D3699" s="69" t="s">
        <v>10931</v>
      </c>
      <c r="E3699" s="69" t="s">
        <v>225</v>
      </c>
      <c r="F3699" s="69" t="s">
        <v>10932</v>
      </c>
    </row>
    <row r="3700" spans="1:6" x14ac:dyDescent="0.2">
      <c r="A3700" s="65" t="s">
        <v>10933</v>
      </c>
      <c r="B3700" s="65" t="s">
        <v>10934</v>
      </c>
      <c r="C3700" s="76" t="s">
        <v>228</v>
      </c>
      <c r="D3700" s="69" t="s">
        <v>10935</v>
      </c>
      <c r="E3700" s="69" t="s">
        <v>303</v>
      </c>
      <c r="F3700" s="69" t="s">
        <v>10936</v>
      </c>
    </row>
    <row r="3701" spans="1:6" x14ac:dyDescent="0.2">
      <c r="A3701" s="65" t="s">
        <v>10937</v>
      </c>
      <c r="B3701" s="65" t="s">
        <v>10938</v>
      </c>
      <c r="C3701" s="76" t="s">
        <v>228</v>
      </c>
      <c r="D3701" s="69" t="s">
        <v>10939</v>
      </c>
      <c r="E3701" s="69" t="s">
        <v>4234</v>
      </c>
      <c r="F3701" s="69" t="s">
        <v>10940</v>
      </c>
    </row>
    <row r="3702" spans="1:6" x14ac:dyDescent="0.2">
      <c r="A3702" s="65" t="s">
        <v>10941</v>
      </c>
      <c r="B3702" s="65" t="s">
        <v>10942</v>
      </c>
      <c r="C3702" s="76" t="s">
        <v>228</v>
      </c>
      <c r="D3702" s="69" t="s">
        <v>10943</v>
      </c>
      <c r="E3702" s="69" t="s">
        <v>5526</v>
      </c>
      <c r="F3702" s="69" t="s">
        <v>10944</v>
      </c>
    </row>
    <row r="3703" spans="1:6" ht="45" x14ac:dyDescent="0.2">
      <c r="A3703" s="65" t="s">
        <v>10945</v>
      </c>
      <c r="B3703" s="66" t="s">
        <v>10946</v>
      </c>
      <c r="C3703" s="76" t="s">
        <v>228</v>
      </c>
      <c r="D3703" s="69" t="s">
        <v>10947</v>
      </c>
      <c r="E3703" s="68"/>
      <c r="F3703" s="69" t="s">
        <v>10947</v>
      </c>
    </row>
    <row r="3704" spans="1:6" ht="45" x14ac:dyDescent="0.2">
      <c r="A3704" s="65" t="s">
        <v>10948</v>
      </c>
      <c r="B3704" s="66" t="s">
        <v>10949</v>
      </c>
      <c r="C3704" s="76" t="s">
        <v>204</v>
      </c>
      <c r="D3704" s="69" t="s">
        <v>10950</v>
      </c>
      <c r="E3704" s="69" t="s">
        <v>209</v>
      </c>
      <c r="F3704" s="69" t="s">
        <v>430</v>
      </c>
    </row>
    <row r="3705" spans="1:6" ht="22.5" x14ac:dyDescent="0.2">
      <c r="A3705" s="65" t="s">
        <v>10951</v>
      </c>
      <c r="B3705" s="65" t="s">
        <v>10952</v>
      </c>
      <c r="C3705" s="76" t="s">
        <v>204</v>
      </c>
      <c r="D3705" s="73"/>
      <c r="E3705" s="69" t="s">
        <v>212</v>
      </c>
      <c r="F3705" s="69" t="s">
        <v>212</v>
      </c>
    </row>
    <row r="3706" spans="1:6" ht="22.5" x14ac:dyDescent="0.2">
      <c r="A3706" s="50">
        <v>54.02</v>
      </c>
      <c r="B3706" s="64" t="s">
        <v>10953</v>
      </c>
      <c r="C3706" s="47"/>
      <c r="D3706" s="47"/>
      <c r="E3706" s="47"/>
      <c r="F3706" s="47"/>
    </row>
    <row r="3707" spans="1:6" ht="45" x14ac:dyDescent="0.2">
      <c r="A3707" s="65" t="s">
        <v>10954</v>
      </c>
      <c r="B3707" s="66" t="s">
        <v>10955</v>
      </c>
      <c r="C3707" s="76" t="s">
        <v>228</v>
      </c>
      <c r="D3707" s="69" t="s">
        <v>10956</v>
      </c>
      <c r="E3707" s="69" t="s">
        <v>388</v>
      </c>
      <c r="F3707" s="69" t="s">
        <v>10957</v>
      </c>
    </row>
    <row r="3708" spans="1:6" x14ac:dyDescent="0.2">
      <c r="A3708" s="50">
        <v>54.03</v>
      </c>
      <c r="B3708" s="64" t="s">
        <v>10958</v>
      </c>
      <c r="C3708" s="47"/>
      <c r="D3708" s="47"/>
      <c r="E3708" s="47"/>
      <c r="F3708" s="47"/>
    </row>
    <row r="3709" spans="1:6" ht="22.5" x14ac:dyDescent="0.2">
      <c r="A3709" s="65" t="s">
        <v>10959</v>
      </c>
      <c r="B3709" s="65" t="s">
        <v>10960</v>
      </c>
      <c r="C3709" s="76" t="s">
        <v>228</v>
      </c>
      <c r="D3709" s="69" t="s">
        <v>10961</v>
      </c>
      <c r="E3709" s="69" t="s">
        <v>10962</v>
      </c>
      <c r="F3709" s="69" t="s">
        <v>10963</v>
      </c>
    </row>
    <row r="3710" spans="1:6" ht="33.75" x14ac:dyDescent="0.2">
      <c r="A3710" s="65" t="s">
        <v>10964</v>
      </c>
      <c r="B3710" s="65" t="s">
        <v>10965</v>
      </c>
      <c r="C3710" s="76" t="s">
        <v>228</v>
      </c>
      <c r="D3710" s="69" t="s">
        <v>10966</v>
      </c>
      <c r="E3710" s="69" t="s">
        <v>10962</v>
      </c>
      <c r="F3710" s="69" t="s">
        <v>10967</v>
      </c>
    </row>
    <row r="3711" spans="1:6" ht="45" x14ac:dyDescent="0.2">
      <c r="A3711" s="65" t="s">
        <v>10968</v>
      </c>
      <c r="B3711" s="66" t="s">
        <v>10969</v>
      </c>
      <c r="C3711" s="76" t="s">
        <v>228</v>
      </c>
      <c r="D3711" s="69" t="s">
        <v>10970</v>
      </c>
      <c r="E3711" s="69" t="s">
        <v>10962</v>
      </c>
      <c r="F3711" s="69" t="s">
        <v>10971</v>
      </c>
    </row>
    <row r="3712" spans="1:6" x14ac:dyDescent="0.2">
      <c r="A3712" s="65" t="s">
        <v>10972</v>
      </c>
      <c r="B3712" s="65" t="s">
        <v>10973</v>
      </c>
      <c r="C3712" s="76" t="s">
        <v>204</v>
      </c>
      <c r="D3712" s="69" t="s">
        <v>10974</v>
      </c>
      <c r="E3712" s="69" t="s">
        <v>220</v>
      </c>
      <c r="F3712" s="69" t="s">
        <v>1729</v>
      </c>
    </row>
    <row r="3713" spans="1:6" ht="22.5" x14ac:dyDescent="0.2">
      <c r="A3713" s="65" t="s">
        <v>10975</v>
      </c>
      <c r="B3713" s="65" t="s">
        <v>10976</v>
      </c>
      <c r="C3713" s="76" t="s">
        <v>204</v>
      </c>
      <c r="D3713" s="69" t="s">
        <v>5707</v>
      </c>
      <c r="E3713" s="69" t="s">
        <v>219</v>
      </c>
      <c r="F3713" s="69" t="s">
        <v>10977</v>
      </c>
    </row>
    <row r="3714" spans="1:6" ht="22.5" x14ac:dyDescent="0.2">
      <c r="A3714" s="65" t="s">
        <v>10978</v>
      </c>
      <c r="B3714" s="65" t="s">
        <v>10979</v>
      </c>
      <c r="C3714" s="76" t="s">
        <v>228</v>
      </c>
      <c r="D3714" s="69" t="s">
        <v>10980</v>
      </c>
      <c r="E3714" s="69" t="s">
        <v>10962</v>
      </c>
      <c r="F3714" s="69" t="s">
        <v>10981</v>
      </c>
    </row>
    <row r="3715" spans="1:6" ht="22.5" x14ac:dyDescent="0.2">
      <c r="A3715" s="65" t="s">
        <v>10982</v>
      </c>
      <c r="B3715" s="65" t="s">
        <v>10983</v>
      </c>
      <c r="C3715" s="76" t="s">
        <v>228</v>
      </c>
      <c r="D3715" s="69" t="s">
        <v>10984</v>
      </c>
      <c r="E3715" s="69" t="s">
        <v>414</v>
      </c>
      <c r="F3715" s="69" t="s">
        <v>10985</v>
      </c>
    </row>
    <row r="3716" spans="1:6" ht="33.75" x14ac:dyDescent="0.2">
      <c r="A3716" s="50">
        <v>54.04</v>
      </c>
      <c r="B3716" s="64" t="s">
        <v>10986</v>
      </c>
      <c r="C3716" s="47"/>
      <c r="D3716" s="47"/>
      <c r="E3716" s="47"/>
      <c r="F3716" s="47"/>
    </row>
    <row r="3717" spans="1:6" ht="22.5" x14ac:dyDescent="0.2">
      <c r="A3717" s="65" t="s">
        <v>10987</v>
      </c>
      <c r="B3717" s="65" t="s">
        <v>10988</v>
      </c>
      <c r="C3717" s="76" t="s">
        <v>204</v>
      </c>
      <c r="D3717" s="69" t="s">
        <v>10989</v>
      </c>
      <c r="E3717" s="69" t="s">
        <v>6102</v>
      </c>
      <c r="F3717" s="69" t="s">
        <v>10990</v>
      </c>
    </row>
    <row r="3718" spans="1:6" ht="22.5" x14ac:dyDescent="0.2">
      <c r="A3718" s="65" t="s">
        <v>10991</v>
      </c>
      <c r="B3718" s="65" t="s">
        <v>10992</v>
      </c>
      <c r="C3718" s="76" t="s">
        <v>204</v>
      </c>
      <c r="D3718" s="69" t="s">
        <v>10993</v>
      </c>
      <c r="E3718" s="69" t="s">
        <v>243</v>
      </c>
      <c r="F3718" s="69" t="s">
        <v>10994</v>
      </c>
    </row>
    <row r="3719" spans="1:6" ht="33.75" x14ac:dyDescent="0.2">
      <c r="A3719" s="65" t="s">
        <v>10995</v>
      </c>
      <c r="B3719" s="65" t="s">
        <v>10996</v>
      </c>
      <c r="C3719" s="76" t="s">
        <v>204</v>
      </c>
      <c r="D3719" s="69" t="s">
        <v>10997</v>
      </c>
      <c r="E3719" s="69" t="s">
        <v>903</v>
      </c>
      <c r="F3719" s="69" t="s">
        <v>10998</v>
      </c>
    </row>
    <row r="3720" spans="1:6" ht="33.75" x14ac:dyDescent="0.2">
      <c r="A3720" s="65" t="s">
        <v>10999</v>
      </c>
      <c r="B3720" s="65" t="s">
        <v>11000</v>
      </c>
      <c r="C3720" s="76" t="s">
        <v>204</v>
      </c>
      <c r="D3720" s="69" t="s">
        <v>11001</v>
      </c>
      <c r="E3720" s="69" t="s">
        <v>261</v>
      </c>
      <c r="F3720" s="69" t="s">
        <v>11002</v>
      </c>
    </row>
    <row r="3721" spans="1:6" ht="67.5" x14ac:dyDescent="0.2">
      <c r="A3721" s="70" t="s">
        <v>11003</v>
      </c>
      <c r="B3721" s="66" t="s">
        <v>11004</v>
      </c>
      <c r="C3721" s="79" t="s">
        <v>204</v>
      </c>
      <c r="D3721" s="72" t="s">
        <v>11005</v>
      </c>
      <c r="E3721" s="72" t="s">
        <v>284</v>
      </c>
      <c r="F3721" s="72" t="s">
        <v>11006</v>
      </c>
    </row>
    <row r="3722" spans="1:6" ht="56.25" x14ac:dyDescent="0.2">
      <c r="A3722" s="70" t="s">
        <v>11007</v>
      </c>
      <c r="B3722" s="65" t="s">
        <v>11008</v>
      </c>
      <c r="C3722" s="71" t="s">
        <v>204</v>
      </c>
      <c r="D3722" s="72" t="s">
        <v>11009</v>
      </c>
      <c r="E3722" s="72" t="s">
        <v>284</v>
      </c>
      <c r="F3722" s="72" t="s">
        <v>11010</v>
      </c>
    </row>
    <row r="3723" spans="1:6" ht="56.25" x14ac:dyDescent="0.2">
      <c r="A3723" s="70" t="s">
        <v>11011</v>
      </c>
      <c r="B3723" s="65" t="s">
        <v>11012</v>
      </c>
      <c r="C3723" s="71" t="s">
        <v>204</v>
      </c>
      <c r="D3723" s="72" t="s">
        <v>11013</v>
      </c>
      <c r="E3723" s="72" t="s">
        <v>1687</v>
      </c>
      <c r="F3723" s="72" t="s">
        <v>11014</v>
      </c>
    </row>
    <row r="3724" spans="1:6" ht="45" x14ac:dyDescent="0.2">
      <c r="A3724" s="65" t="s">
        <v>11015</v>
      </c>
      <c r="B3724" s="66" t="s">
        <v>11016</v>
      </c>
      <c r="C3724" s="67" t="s">
        <v>204</v>
      </c>
      <c r="D3724" s="69" t="s">
        <v>11017</v>
      </c>
      <c r="E3724" s="69" t="s">
        <v>257</v>
      </c>
      <c r="F3724" s="69" t="s">
        <v>11018</v>
      </c>
    </row>
    <row r="3725" spans="1:6" ht="45" x14ac:dyDescent="0.2">
      <c r="A3725" s="65" t="s">
        <v>11019</v>
      </c>
      <c r="B3725" s="66" t="s">
        <v>11020</v>
      </c>
      <c r="C3725" s="67" t="s">
        <v>204</v>
      </c>
      <c r="D3725" s="69" t="s">
        <v>11021</v>
      </c>
      <c r="E3725" s="69" t="s">
        <v>303</v>
      </c>
      <c r="F3725" s="69" t="s">
        <v>11022</v>
      </c>
    </row>
    <row r="3726" spans="1:6" x14ac:dyDescent="0.2">
      <c r="A3726" s="50">
        <v>54.06</v>
      </c>
      <c r="B3726" s="64" t="s">
        <v>11023</v>
      </c>
      <c r="C3726" s="47"/>
      <c r="D3726" s="47"/>
      <c r="E3726" s="47"/>
      <c r="F3726" s="47"/>
    </row>
    <row r="3727" spans="1:6" ht="22.5" x14ac:dyDescent="0.2">
      <c r="A3727" s="65" t="s">
        <v>11024</v>
      </c>
      <c r="B3727" s="65" t="s">
        <v>11025</v>
      </c>
      <c r="C3727" s="67" t="s">
        <v>221</v>
      </c>
      <c r="D3727" s="69" t="s">
        <v>11026</v>
      </c>
      <c r="E3727" s="69" t="s">
        <v>11027</v>
      </c>
      <c r="F3727" s="69" t="s">
        <v>11028</v>
      </c>
    </row>
    <row r="3728" spans="1:6" ht="22.5" x14ac:dyDescent="0.2">
      <c r="A3728" s="65" t="s">
        <v>11029</v>
      </c>
      <c r="B3728" s="65" t="s">
        <v>11030</v>
      </c>
      <c r="C3728" s="67" t="s">
        <v>221</v>
      </c>
      <c r="D3728" s="69" t="s">
        <v>11031</v>
      </c>
      <c r="E3728" s="69" t="s">
        <v>11027</v>
      </c>
      <c r="F3728" s="69" t="s">
        <v>5818</v>
      </c>
    </row>
    <row r="3729" spans="1:6" ht="33.75" x14ac:dyDescent="0.2">
      <c r="A3729" s="65" t="s">
        <v>11032</v>
      </c>
      <c r="B3729" s="65" t="s">
        <v>11033</v>
      </c>
      <c r="C3729" s="67" t="s">
        <v>228</v>
      </c>
      <c r="D3729" s="69" t="s">
        <v>11034</v>
      </c>
      <c r="E3729" s="69" t="s">
        <v>11035</v>
      </c>
      <c r="F3729" s="69" t="s">
        <v>11036</v>
      </c>
    </row>
    <row r="3730" spans="1:6" ht="33.75" x14ac:dyDescent="0.2">
      <c r="A3730" s="65" t="s">
        <v>11037</v>
      </c>
      <c r="B3730" s="65" t="s">
        <v>11038</v>
      </c>
      <c r="C3730" s="67" t="s">
        <v>228</v>
      </c>
      <c r="D3730" s="69" t="s">
        <v>11039</v>
      </c>
      <c r="E3730" s="69" t="s">
        <v>11035</v>
      </c>
      <c r="F3730" s="69" t="s">
        <v>11040</v>
      </c>
    </row>
    <row r="3731" spans="1:6" ht="22.5" x14ac:dyDescent="0.2">
      <c r="A3731" s="65" t="s">
        <v>11041</v>
      </c>
      <c r="B3731" s="65" t="s">
        <v>11042</v>
      </c>
      <c r="C3731" s="67" t="s">
        <v>228</v>
      </c>
      <c r="D3731" s="69" t="s">
        <v>11043</v>
      </c>
      <c r="E3731" s="73"/>
      <c r="F3731" s="69" t="s">
        <v>11043</v>
      </c>
    </row>
    <row r="3732" spans="1:6" ht="45" x14ac:dyDescent="0.2">
      <c r="A3732" s="65" t="s">
        <v>11044</v>
      </c>
      <c r="B3732" s="66" t="s">
        <v>11045</v>
      </c>
      <c r="C3732" s="67" t="s">
        <v>228</v>
      </c>
      <c r="D3732" s="69" t="s">
        <v>11046</v>
      </c>
      <c r="E3732" s="69" t="s">
        <v>2109</v>
      </c>
      <c r="F3732" s="69" t="s">
        <v>11047</v>
      </c>
    </row>
    <row r="3733" spans="1:6" ht="45" x14ac:dyDescent="0.2">
      <c r="A3733" s="65" t="s">
        <v>11048</v>
      </c>
      <c r="B3733" s="66" t="s">
        <v>11049</v>
      </c>
      <c r="C3733" s="67" t="s">
        <v>228</v>
      </c>
      <c r="D3733" s="69" t="s">
        <v>11050</v>
      </c>
      <c r="E3733" s="69" t="s">
        <v>2109</v>
      </c>
      <c r="F3733" s="69" t="s">
        <v>11051</v>
      </c>
    </row>
    <row r="3734" spans="1:6" x14ac:dyDescent="0.2">
      <c r="A3734" s="50">
        <v>54.07</v>
      </c>
      <c r="B3734" s="64" t="s">
        <v>11052</v>
      </c>
      <c r="C3734" s="47"/>
      <c r="D3734" s="47"/>
      <c r="E3734" s="47"/>
      <c r="F3734" s="47"/>
    </row>
    <row r="3735" spans="1:6" x14ac:dyDescent="0.2">
      <c r="A3735" s="65" t="s">
        <v>11053</v>
      </c>
      <c r="B3735" s="65" t="s">
        <v>11054</v>
      </c>
      <c r="C3735" s="67" t="s">
        <v>204</v>
      </c>
      <c r="D3735" s="69" t="s">
        <v>11055</v>
      </c>
      <c r="E3735" s="73"/>
      <c r="F3735" s="69" t="s">
        <v>11055</v>
      </c>
    </row>
    <row r="3736" spans="1:6" ht="56.25" x14ac:dyDescent="0.2">
      <c r="A3736" s="65" t="s">
        <v>11056</v>
      </c>
      <c r="B3736" s="66" t="s">
        <v>11057</v>
      </c>
      <c r="C3736" s="67" t="s">
        <v>204</v>
      </c>
      <c r="D3736" s="69" t="s">
        <v>11058</v>
      </c>
      <c r="E3736" s="69" t="s">
        <v>1740</v>
      </c>
      <c r="F3736" s="69" t="s">
        <v>11059</v>
      </c>
    </row>
    <row r="3737" spans="1:6" ht="56.25" x14ac:dyDescent="0.2">
      <c r="A3737" s="65" t="s">
        <v>11060</v>
      </c>
      <c r="B3737" s="66" t="s">
        <v>11061</v>
      </c>
      <c r="C3737" s="67" t="s">
        <v>204</v>
      </c>
      <c r="D3737" s="69" t="s">
        <v>11062</v>
      </c>
      <c r="E3737" s="69" t="s">
        <v>1740</v>
      </c>
      <c r="F3737" s="69" t="s">
        <v>11063</v>
      </c>
    </row>
    <row r="3738" spans="1:6" ht="56.25" x14ac:dyDescent="0.2">
      <c r="A3738" s="65" t="s">
        <v>11064</v>
      </c>
      <c r="B3738" s="66" t="s">
        <v>11065</v>
      </c>
      <c r="C3738" s="67" t="s">
        <v>204</v>
      </c>
      <c r="D3738" s="69" t="s">
        <v>11066</v>
      </c>
      <c r="E3738" s="69" t="s">
        <v>1410</v>
      </c>
      <c r="F3738" s="69" t="s">
        <v>11067</v>
      </c>
    </row>
    <row r="3739" spans="1:6" ht="45" x14ac:dyDescent="0.2">
      <c r="A3739" s="65" t="s">
        <v>11068</v>
      </c>
      <c r="B3739" s="66" t="s">
        <v>11069</v>
      </c>
      <c r="C3739" s="67" t="s">
        <v>204</v>
      </c>
      <c r="D3739" s="69" t="s">
        <v>416</v>
      </c>
      <c r="E3739" s="69" t="s">
        <v>1410</v>
      </c>
      <c r="F3739" s="69" t="s">
        <v>11070</v>
      </c>
    </row>
    <row r="3740" spans="1:6" ht="45" x14ac:dyDescent="0.2">
      <c r="A3740" s="65" t="s">
        <v>11071</v>
      </c>
      <c r="B3740" s="66" t="s">
        <v>11072</v>
      </c>
      <c r="C3740" s="67" t="s">
        <v>204</v>
      </c>
      <c r="D3740" s="69" t="s">
        <v>11073</v>
      </c>
      <c r="E3740" s="69" t="s">
        <v>1556</v>
      </c>
      <c r="F3740" s="69" t="s">
        <v>11074</v>
      </c>
    </row>
    <row r="3741" spans="1:6" ht="22.5" x14ac:dyDescent="0.2">
      <c r="A3741" s="50">
        <v>54.2</v>
      </c>
      <c r="B3741" s="64" t="s">
        <v>11075</v>
      </c>
      <c r="C3741" s="47"/>
      <c r="D3741" s="47"/>
      <c r="E3741" s="47"/>
      <c r="F3741" s="47"/>
    </row>
    <row r="3742" spans="1:6" ht="22.5" x14ac:dyDescent="0.2">
      <c r="A3742" s="65" t="s">
        <v>11076</v>
      </c>
      <c r="B3742" s="65" t="s">
        <v>11077</v>
      </c>
      <c r="C3742" s="67" t="s">
        <v>221</v>
      </c>
      <c r="D3742" s="69" t="s">
        <v>11078</v>
      </c>
      <c r="E3742" s="69" t="s">
        <v>11079</v>
      </c>
      <c r="F3742" s="69" t="s">
        <v>11080</v>
      </c>
    </row>
    <row r="3743" spans="1:6" ht="22.5" x14ac:dyDescent="0.2">
      <c r="A3743" s="65" t="s">
        <v>11081</v>
      </c>
      <c r="B3743" s="65" t="s">
        <v>11082</v>
      </c>
      <c r="C3743" s="67" t="s">
        <v>221</v>
      </c>
      <c r="D3743" s="69" t="s">
        <v>783</v>
      </c>
      <c r="E3743" s="69" t="s">
        <v>11027</v>
      </c>
      <c r="F3743" s="69" t="s">
        <v>11083</v>
      </c>
    </row>
    <row r="3744" spans="1:6" ht="22.5" x14ac:dyDescent="0.2">
      <c r="A3744" s="65" t="s">
        <v>11084</v>
      </c>
      <c r="B3744" s="65" t="s">
        <v>11085</v>
      </c>
      <c r="C3744" s="67" t="s">
        <v>204</v>
      </c>
      <c r="D3744" s="69" t="s">
        <v>11086</v>
      </c>
      <c r="E3744" s="69" t="s">
        <v>6102</v>
      </c>
      <c r="F3744" s="69" t="s">
        <v>1397</v>
      </c>
    </row>
    <row r="3745" spans="1:6" ht="45" x14ac:dyDescent="0.2">
      <c r="A3745" s="65" t="s">
        <v>11087</v>
      </c>
      <c r="B3745" s="66" t="s">
        <v>11088</v>
      </c>
      <c r="C3745" s="67" t="s">
        <v>204</v>
      </c>
      <c r="D3745" s="69" t="s">
        <v>6042</v>
      </c>
      <c r="E3745" s="69" t="s">
        <v>641</v>
      </c>
      <c r="F3745" s="69" t="s">
        <v>11089</v>
      </c>
    </row>
    <row r="3746" spans="1:6" ht="45" x14ac:dyDescent="0.2">
      <c r="A3746" s="65" t="s">
        <v>11090</v>
      </c>
      <c r="B3746" s="66" t="s">
        <v>11091</v>
      </c>
      <c r="C3746" s="67" t="s">
        <v>204</v>
      </c>
      <c r="D3746" s="69" t="s">
        <v>11092</v>
      </c>
      <c r="E3746" s="69" t="s">
        <v>250</v>
      </c>
      <c r="F3746" s="69" t="s">
        <v>11093</v>
      </c>
    </row>
    <row r="3747" spans="1:6" ht="45" x14ac:dyDescent="0.2">
      <c r="A3747" s="65" t="s">
        <v>11094</v>
      </c>
      <c r="B3747" s="66" t="s">
        <v>11095</v>
      </c>
      <c r="C3747" s="67" t="s">
        <v>204</v>
      </c>
      <c r="D3747" s="69" t="s">
        <v>11096</v>
      </c>
      <c r="E3747" s="69" t="s">
        <v>11097</v>
      </c>
      <c r="F3747" s="69" t="s">
        <v>11098</v>
      </c>
    </row>
    <row r="3748" spans="1:6" x14ac:dyDescent="0.2">
      <c r="A3748" s="49">
        <v>55</v>
      </c>
      <c r="B3748" s="64" t="s">
        <v>11099</v>
      </c>
      <c r="C3748" s="47"/>
      <c r="D3748" s="47"/>
      <c r="E3748" s="47"/>
      <c r="F3748" s="47"/>
    </row>
    <row r="3749" spans="1:6" x14ac:dyDescent="0.2">
      <c r="A3749" s="50">
        <v>55.01</v>
      </c>
      <c r="B3749" s="64" t="s">
        <v>11100</v>
      </c>
      <c r="C3749" s="47"/>
      <c r="D3749" s="47"/>
      <c r="E3749" s="47"/>
      <c r="F3749" s="47"/>
    </row>
    <row r="3750" spans="1:6" x14ac:dyDescent="0.2">
      <c r="A3750" s="65" t="s">
        <v>11101</v>
      </c>
      <c r="B3750" s="65" t="s">
        <v>11102</v>
      </c>
      <c r="C3750" s="67" t="s">
        <v>204</v>
      </c>
      <c r="D3750" s="73"/>
      <c r="E3750" s="69" t="s">
        <v>1637</v>
      </c>
      <c r="F3750" s="69" t="s">
        <v>1637</v>
      </c>
    </row>
    <row r="3751" spans="1:6" ht="22.5" x14ac:dyDescent="0.2">
      <c r="A3751" s="65" t="s">
        <v>11103</v>
      </c>
      <c r="B3751" s="65" t="s">
        <v>11104</v>
      </c>
      <c r="C3751" s="67" t="s">
        <v>204</v>
      </c>
      <c r="D3751" s="69" t="s">
        <v>4234</v>
      </c>
      <c r="E3751" s="69" t="s">
        <v>11105</v>
      </c>
      <c r="F3751" s="69" t="s">
        <v>11106</v>
      </c>
    </row>
    <row r="3752" spans="1:6" ht="33.75" x14ac:dyDescent="0.2">
      <c r="A3752" s="65" t="s">
        <v>11107</v>
      </c>
      <c r="B3752" s="65" t="s">
        <v>11108</v>
      </c>
      <c r="C3752" s="67" t="s">
        <v>204</v>
      </c>
      <c r="D3752" s="69" t="s">
        <v>243</v>
      </c>
      <c r="E3752" s="69" t="s">
        <v>249</v>
      </c>
      <c r="F3752" s="69" t="s">
        <v>11109</v>
      </c>
    </row>
    <row r="3753" spans="1:6" ht="33.75" x14ac:dyDescent="0.2">
      <c r="A3753" s="65" t="s">
        <v>11110</v>
      </c>
      <c r="B3753" s="65" t="s">
        <v>11111</v>
      </c>
      <c r="C3753" s="67" t="s">
        <v>203</v>
      </c>
      <c r="D3753" s="68"/>
      <c r="E3753" s="69" t="s">
        <v>301</v>
      </c>
      <c r="F3753" s="69" t="s">
        <v>301</v>
      </c>
    </row>
    <row r="3754" spans="1:6" ht="22.5" x14ac:dyDescent="0.2">
      <c r="A3754" s="65" t="s">
        <v>11112</v>
      </c>
      <c r="B3754" s="65" t="s">
        <v>11113</v>
      </c>
      <c r="C3754" s="67" t="s">
        <v>204</v>
      </c>
      <c r="D3754" s="73"/>
      <c r="E3754" s="69" t="s">
        <v>5526</v>
      </c>
      <c r="F3754" s="69" t="s">
        <v>5526</v>
      </c>
    </row>
    <row r="3755" spans="1:6" ht="56.25" x14ac:dyDescent="0.2">
      <c r="A3755" s="65" t="s">
        <v>11114</v>
      </c>
      <c r="B3755" s="66" t="s">
        <v>11115</v>
      </c>
      <c r="C3755" s="67" t="s">
        <v>204</v>
      </c>
      <c r="D3755" s="69" t="s">
        <v>5335</v>
      </c>
      <c r="E3755" s="69" t="s">
        <v>11105</v>
      </c>
      <c r="F3755" s="69" t="s">
        <v>11116</v>
      </c>
    </row>
    <row r="3756" spans="1:6" ht="22.5" x14ac:dyDescent="0.2">
      <c r="A3756" s="65" t="s">
        <v>11117</v>
      </c>
      <c r="B3756" s="65" t="s">
        <v>11118</v>
      </c>
      <c r="C3756" s="67" t="s">
        <v>204</v>
      </c>
      <c r="D3756" s="69" t="s">
        <v>11119</v>
      </c>
      <c r="E3756" s="73"/>
      <c r="F3756" s="69" t="s">
        <v>11119</v>
      </c>
    </row>
    <row r="3757" spans="1:6" x14ac:dyDescent="0.2">
      <c r="A3757" s="50">
        <v>55.02</v>
      </c>
      <c r="B3757" s="64" t="s">
        <v>11120</v>
      </c>
      <c r="C3757" s="47"/>
      <c r="D3757" s="47"/>
      <c r="E3757" s="47"/>
      <c r="F3757" s="47"/>
    </row>
    <row r="3758" spans="1:6" x14ac:dyDescent="0.2">
      <c r="A3758" s="65" t="s">
        <v>11121</v>
      </c>
      <c r="B3758" s="65" t="s">
        <v>11122</v>
      </c>
      <c r="C3758" s="67" t="s">
        <v>203</v>
      </c>
      <c r="D3758" s="73"/>
      <c r="E3758" s="69" t="s">
        <v>223</v>
      </c>
      <c r="F3758" s="69" t="s">
        <v>223</v>
      </c>
    </row>
    <row r="3759" spans="1:6" ht="22.5" x14ac:dyDescent="0.2">
      <c r="A3759" s="65" t="s">
        <v>11123</v>
      </c>
      <c r="B3759" s="65" t="s">
        <v>11124</v>
      </c>
      <c r="C3759" s="67" t="s">
        <v>203</v>
      </c>
      <c r="D3759" s="69" t="s">
        <v>279</v>
      </c>
      <c r="E3759" s="69" t="s">
        <v>303</v>
      </c>
      <c r="F3759" s="69" t="s">
        <v>7479</v>
      </c>
    </row>
    <row r="3760" spans="1:6" x14ac:dyDescent="0.2">
      <c r="A3760" s="65" t="s">
        <v>11125</v>
      </c>
      <c r="B3760" s="65" t="s">
        <v>11126</v>
      </c>
      <c r="C3760" s="67" t="s">
        <v>228</v>
      </c>
      <c r="D3760" s="69" t="s">
        <v>11127</v>
      </c>
      <c r="E3760" s="73"/>
      <c r="F3760" s="69" t="s">
        <v>11127</v>
      </c>
    </row>
    <row r="3761" spans="1:6" ht="22.5" x14ac:dyDescent="0.2">
      <c r="A3761" s="65" t="s">
        <v>11128</v>
      </c>
      <c r="B3761" s="65" t="s">
        <v>11129</v>
      </c>
      <c r="C3761" s="67" t="s">
        <v>203</v>
      </c>
      <c r="D3761" s="73"/>
      <c r="E3761" s="69" t="s">
        <v>308</v>
      </c>
      <c r="F3761" s="69" t="s">
        <v>308</v>
      </c>
    </row>
    <row r="3762" spans="1:6" ht="33.75" x14ac:dyDescent="0.2">
      <c r="A3762" s="65" t="s">
        <v>11130</v>
      </c>
      <c r="B3762" s="65" t="s">
        <v>11131</v>
      </c>
      <c r="C3762" s="67" t="s">
        <v>221</v>
      </c>
      <c r="D3762" s="68"/>
      <c r="E3762" s="69" t="s">
        <v>1189</v>
      </c>
      <c r="F3762" s="69" t="s">
        <v>1189</v>
      </c>
    </row>
    <row r="3763" spans="1:6" ht="33.75" x14ac:dyDescent="0.2">
      <c r="A3763" s="65" t="s">
        <v>11132</v>
      </c>
      <c r="B3763" s="65" t="s">
        <v>11133</v>
      </c>
      <c r="C3763" s="67" t="s">
        <v>221</v>
      </c>
      <c r="D3763" s="68"/>
      <c r="E3763" s="69" t="s">
        <v>11070</v>
      </c>
      <c r="F3763" s="69" t="s">
        <v>11070</v>
      </c>
    </row>
    <row r="3764" spans="1:6" x14ac:dyDescent="0.2">
      <c r="A3764" s="50">
        <v>55.1</v>
      </c>
      <c r="B3764" s="64" t="s">
        <v>11134</v>
      </c>
      <c r="C3764" s="47"/>
      <c r="D3764" s="47"/>
      <c r="E3764" s="47"/>
      <c r="F3764" s="47"/>
    </row>
    <row r="3765" spans="1:6" ht="22.5" x14ac:dyDescent="0.2">
      <c r="A3765" s="65" t="s">
        <v>11135</v>
      </c>
      <c r="B3765" s="65" t="s">
        <v>11136</v>
      </c>
      <c r="C3765" s="67" t="s">
        <v>255</v>
      </c>
      <c r="D3765" s="69" t="s">
        <v>3621</v>
      </c>
      <c r="E3765" s="73"/>
      <c r="F3765" s="69" t="s">
        <v>3621</v>
      </c>
    </row>
    <row r="3766" spans="1:6" ht="22.5" x14ac:dyDescent="0.2">
      <c r="A3766" s="49">
        <v>61</v>
      </c>
      <c r="B3766" s="64" t="s">
        <v>11137</v>
      </c>
      <c r="C3766" s="47"/>
      <c r="D3766" s="47"/>
      <c r="E3766" s="47"/>
      <c r="F3766" s="47"/>
    </row>
    <row r="3767" spans="1:6" x14ac:dyDescent="0.2">
      <c r="A3767" s="50">
        <v>61.01</v>
      </c>
      <c r="B3767" s="64" t="s">
        <v>11138</v>
      </c>
      <c r="C3767" s="47"/>
      <c r="D3767" s="47"/>
      <c r="E3767" s="47"/>
      <c r="F3767" s="47"/>
    </row>
    <row r="3768" spans="1:6" ht="56.25" x14ac:dyDescent="0.2">
      <c r="A3768" s="65" t="s">
        <v>11139</v>
      </c>
      <c r="B3768" s="66" t="s">
        <v>11140</v>
      </c>
      <c r="C3768" s="67" t="s">
        <v>240</v>
      </c>
      <c r="D3768" s="69" t="s">
        <v>11141</v>
      </c>
      <c r="E3768" s="68"/>
      <c r="F3768" s="69" t="s">
        <v>11141</v>
      </c>
    </row>
    <row r="3769" spans="1:6" ht="56.25" x14ac:dyDescent="0.2">
      <c r="A3769" s="65" t="s">
        <v>11142</v>
      </c>
      <c r="B3769" s="66" t="s">
        <v>11143</v>
      </c>
      <c r="C3769" s="67" t="s">
        <v>240</v>
      </c>
      <c r="D3769" s="69" t="s">
        <v>11144</v>
      </c>
      <c r="E3769" s="68"/>
      <c r="F3769" s="69" t="s">
        <v>11144</v>
      </c>
    </row>
    <row r="3770" spans="1:6" ht="56.25" x14ac:dyDescent="0.2">
      <c r="A3770" s="65" t="s">
        <v>11145</v>
      </c>
      <c r="B3770" s="66" t="s">
        <v>11146</v>
      </c>
      <c r="C3770" s="67" t="s">
        <v>240</v>
      </c>
      <c r="D3770" s="69" t="s">
        <v>11147</v>
      </c>
      <c r="E3770" s="68"/>
      <c r="F3770" s="69" t="s">
        <v>11147</v>
      </c>
    </row>
    <row r="3771" spans="1:6" ht="56.25" x14ac:dyDescent="0.2">
      <c r="A3771" s="65" t="s">
        <v>11148</v>
      </c>
      <c r="B3771" s="66" t="s">
        <v>11149</v>
      </c>
      <c r="C3771" s="67" t="s">
        <v>240</v>
      </c>
      <c r="D3771" s="69" t="s">
        <v>11150</v>
      </c>
      <c r="E3771" s="68"/>
      <c r="F3771" s="69" t="s">
        <v>11150</v>
      </c>
    </row>
    <row r="3772" spans="1:6" ht="56.25" x14ac:dyDescent="0.2">
      <c r="A3772" s="65" t="s">
        <v>11151</v>
      </c>
      <c r="B3772" s="66" t="s">
        <v>11152</v>
      </c>
      <c r="C3772" s="67" t="s">
        <v>240</v>
      </c>
      <c r="D3772" s="69" t="s">
        <v>11153</v>
      </c>
      <c r="E3772" s="68"/>
      <c r="F3772" s="69" t="s">
        <v>11153</v>
      </c>
    </row>
    <row r="3773" spans="1:6" ht="22.5" x14ac:dyDescent="0.2">
      <c r="A3773" s="65" t="s">
        <v>11154</v>
      </c>
      <c r="B3773" s="65" t="s">
        <v>11155</v>
      </c>
      <c r="C3773" s="67" t="s">
        <v>204</v>
      </c>
      <c r="D3773" s="69" t="s">
        <v>11156</v>
      </c>
      <c r="E3773" s="73"/>
      <c r="F3773" s="69" t="s">
        <v>11156</v>
      </c>
    </row>
    <row r="3774" spans="1:6" x14ac:dyDescent="0.2">
      <c r="A3774" s="50">
        <v>61.1</v>
      </c>
      <c r="B3774" s="64" t="s">
        <v>11157</v>
      </c>
      <c r="C3774" s="47"/>
      <c r="D3774" s="47"/>
      <c r="E3774" s="47"/>
      <c r="F3774" s="47"/>
    </row>
    <row r="3775" spans="1:6" ht="45" x14ac:dyDescent="0.2">
      <c r="A3775" s="65" t="s">
        <v>11158</v>
      </c>
      <c r="B3775" s="66" t="s">
        <v>11159</v>
      </c>
      <c r="C3775" s="67" t="s">
        <v>203</v>
      </c>
      <c r="D3775" s="69" t="s">
        <v>11160</v>
      </c>
      <c r="E3775" s="69" t="s">
        <v>11161</v>
      </c>
      <c r="F3775" s="69" t="s">
        <v>11162</v>
      </c>
    </row>
    <row r="3776" spans="1:6" ht="45" x14ac:dyDescent="0.2">
      <c r="A3776" s="65" t="s">
        <v>11163</v>
      </c>
      <c r="B3776" s="66" t="s">
        <v>11164</v>
      </c>
      <c r="C3776" s="67" t="s">
        <v>203</v>
      </c>
      <c r="D3776" s="69" t="s">
        <v>11165</v>
      </c>
      <c r="E3776" s="69" t="s">
        <v>11166</v>
      </c>
      <c r="F3776" s="69" t="s">
        <v>11167</v>
      </c>
    </row>
    <row r="3777" spans="1:6" ht="45" x14ac:dyDescent="0.2">
      <c r="A3777" s="65" t="s">
        <v>11168</v>
      </c>
      <c r="B3777" s="66" t="s">
        <v>11169</v>
      </c>
      <c r="C3777" s="67" t="s">
        <v>203</v>
      </c>
      <c r="D3777" s="69" t="s">
        <v>11170</v>
      </c>
      <c r="E3777" s="69" t="s">
        <v>11171</v>
      </c>
      <c r="F3777" s="69" t="s">
        <v>11172</v>
      </c>
    </row>
    <row r="3778" spans="1:6" ht="45" x14ac:dyDescent="0.2">
      <c r="A3778" s="65" t="s">
        <v>11173</v>
      </c>
      <c r="B3778" s="66" t="s">
        <v>11174</v>
      </c>
      <c r="C3778" s="67" t="s">
        <v>203</v>
      </c>
      <c r="D3778" s="69" t="s">
        <v>11175</v>
      </c>
      <c r="E3778" s="69" t="s">
        <v>11176</v>
      </c>
      <c r="F3778" s="69" t="s">
        <v>11177</v>
      </c>
    </row>
    <row r="3779" spans="1:6" ht="45" x14ac:dyDescent="0.2">
      <c r="A3779" s="65" t="s">
        <v>11178</v>
      </c>
      <c r="B3779" s="66" t="s">
        <v>11179</v>
      </c>
      <c r="C3779" s="67" t="s">
        <v>203</v>
      </c>
      <c r="D3779" s="69" t="s">
        <v>11180</v>
      </c>
      <c r="E3779" s="69" t="s">
        <v>11181</v>
      </c>
      <c r="F3779" s="69" t="s">
        <v>11182</v>
      </c>
    </row>
    <row r="3780" spans="1:6" ht="45" x14ac:dyDescent="0.2">
      <c r="A3780" s="65" t="s">
        <v>11183</v>
      </c>
      <c r="B3780" s="66" t="s">
        <v>11184</v>
      </c>
      <c r="C3780" s="67" t="s">
        <v>203</v>
      </c>
      <c r="D3780" s="69" t="s">
        <v>11185</v>
      </c>
      <c r="E3780" s="69" t="s">
        <v>11186</v>
      </c>
      <c r="F3780" s="69" t="s">
        <v>11187</v>
      </c>
    </row>
    <row r="3781" spans="1:6" ht="33.75" x14ac:dyDescent="0.2">
      <c r="A3781" s="65" t="s">
        <v>11188</v>
      </c>
      <c r="B3781" s="66" t="s">
        <v>11189</v>
      </c>
      <c r="C3781" s="67" t="s">
        <v>203</v>
      </c>
      <c r="D3781" s="69" t="s">
        <v>11190</v>
      </c>
      <c r="E3781" s="69" t="s">
        <v>11186</v>
      </c>
      <c r="F3781" s="69" t="s">
        <v>11191</v>
      </c>
    </row>
    <row r="3782" spans="1:6" ht="45" x14ac:dyDescent="0.2">
      <c r="A3782" s="65" t="s">
        <v>11192</v>
      </c>
      <c r="B3782" s="66" t="s">
        <v>11193</v>
      </c>
      <c r="C3782" s="67" t="s">
        <v>203</v>
      </c>
      <c r="D3782" s="69" t="s">
        <v>11194</v>
      </c>
      <c r="E3782" s="69" t="s">
        <v>11195</v>
      </c>
      <c r="F3782" s="69" t="s">
        <v>11196</v>
      </c>
    </row>
    <row r="3783" spans="1:6" ht="45" x14ac:dyDescent="0.2">
      <c r="A3783" s="65" t="s">
        <v>11197</v>
      </c>
      <c r="B3783" s="66" t="s">
        <v>11198</v>
      </c>
      <c r="C3783" s="67" t="s">
        <v>203</v>
      </c>
      <c r="D3783" s="69" t="s">
        <v>11199</v>
      </c>
      <c r="E3783" s="69" t="s">
        <v>11200</v>
      </c>
      <c r="F3783" s="69" t="s">
        <v>11201</v>
      </c>
    </row>
    <row r="3784" spans="1:6" ht="67.5" x14ac:dyDescent="0.2">
      <c r="A3784" s="70" t="s">
        <v>11202</v>
      </c>
      <c r="B3784" s="65" t="s">
        <v>11203</v>
      </c>
      <c r="C3784" s="71" t="s">
        <v>203</v>
      </c>
      <c r="D3784" s="72" t="s">
        <v>11204</v>
      </c>
      <c r="E3784" s="72" t="s">
        <v>11205</v>
      </c>
      <c r="F3784" s="72" t="s">
        <v>11206</v>
      </c>
    </row>
    <row r="3785" spans="1:6" ht="67.5" x14ac:dyDescent="0.2">
      <c r="A3785" s="70" t="s">
        <v>11207</v>
      </c>
      <c r="B3785" s="65" t="s">
        <v>11208</v>
      </c>
      <c r="C3785" s="71" t="s">
        <v>203</v>
      </c>
      <c r="D3785" s="72" t="s">
        <v>11209</v>
      </c>
      <c r="E3785" s="72" t="s">
        <v>11210</v>
      </c>
      <c r="F3785" s="72" t="s">
        <v>11211</v>
      </c>
    </row>
    <row r="3786" spans="1:6" ht="67.5" x14ac:dyDescent="0.2">
      <c r="A3786" s="70" t="s">
        <v>11212</v>
      </c>
      <c r="B3786" s="65" t="s">
        <v>11213</v>
      </c>
      <c r="C3786" s="71" t="s">
        <v>203</v>
      </c>
      <c r="D3786" s="72" t="s">
        <v>11214</v>
      </c>
      <c r="E3786" s="72" t="s">
        <v>11215</v>
      </c>
      <c r="F3786" s="72" t="s">
        <v>11216</v>
      </c>
    </row>
    <row r="3787" spans="1:6" ht="67.5" x14ac:dyDescent="0.2">
      <c r="A3787" s="70" t="s">
        <v>11217</v>
      </c>
      <c r="B3787" s="65" t="s">
        <v>11218</v>
      </c>
      <c r="C3787" s="71" t="s">
        <v>203</v>
      </c>
      <c r="D3787" s="72" t="s">
        <v>11219</v>
      </c>
      <c r="E3787" s="72" t="s">
        <v>11220</v>
      </c>
      <c r="F3787" s="72" t="s">
        <v>11221</v>
      </c>
    </row>
    <row r="3788" spans="1:6" ht="56.25" x14ac:dyDescent="0.2">
      <c r="A3788" s="65" t="s">
        <v>11222</v>
      </c>
      <c r="B3788" s="66" t="s">
        <v>11223</v>
      </c>
      <c r="C3788" s="67" t="s">
        <v>203</v>
      </c>
      <c r="D3788" s="69" t="s">
        <v>11224</v>
      </c>
      <c r="E3788" s="69" t="s">
        <v>11225</v>
      </c>
      <c r="F3788" s="69" t="s">
        <v>11226</v>
      </c>
    </row>
    <row r="3789" spans="1:6" ht="56.25" x14ac:dyDescent="0.2">
      <c r="A3789" s="65" t="s">
        <v>11227</v>
      </c>
      <c r="B3789" s="66" t="s">
        <v>11228</v>
      </c>
      <c r="C3789" s="67" t="s">
        <v>203</v>
      </c>
      <c r="D3789" s="69" t="s">
        <v>11229</v>
      </c>
      <c r="E3789" s="69" t="s">
        <v>11225</v>
      </c>
      <c r="F3789" s="69" t="s">
        <v>11230</v>
      </c>
    </row>
    <row r="3790" spans="1:6" ht="56.25" x14ac:dyDescent="0.2">
      <c r="A3790" s="65" t="s">
        <v>11231</v>
      </c>
      <c r="B3790" s="66" t="s">
        <v>11232</v>
      </c>
      <c r="C3790" s="67" t="s">
        <v>203</v>
      </c>
      <c r="D3790" s="69" t="s">
        <v>11233</v>
      </c>
      <c r="E3790" s="69" t="s">
        <v>11225</v>
      </c>
      <c r="F3790" s="69" t="s">
        <v>11234</v>
      </c>
    </row>
    <row r="3791" spans="1:6" ht="22.5" x14ac:dyDescent="0.2">
      <c r="A3791" s="65" t="s">
        <v>11235</v>
      </c>
      <c r="B3791" s="65" t="s">
        <v>11236</v>
      </c>
      <c r="C3791" s="67" t="s">
        <v>221</v>
      </c>
      <c r="D3791" s="69" t="s">
        <v>11237</v>
      </c>
      <c r="E3791" s="69" t="s">
        <v>5588</v>
      </c>
      <c r="F3791" s="69" t="s">
        <v>11238</v>
      </c>
    </row>
    <row r="3792" spans="1:6" ht="22.5" x14ac:dyDescent="0.2">
      <c r="A3792" s="65" t="s">
        <v>11239</v>
      </c>
      <c r="B3792" s="65" t="s">
        <v>11240</v>
      </c>
      <c r="C3792" s="67" t="s">
        <v>221</v>
      </c>
      <c r="D3792" s="69" t="s">
        <v>11241</v>
      </c>
      <c r="E3792" s="69" t="s">
        <v>5588</v>
      </c>
      <c r="F3792" s="69" t="s">
        <v>11242</v>
      </c>
    </row>
    <row r="3793" spans="1:6" ht="22.5" x14ac:dyDescent="0.2">
      <c r="A3793" s="65" t="s">
        <v>11243</v>
      </c>
      <c r="B3793" s="65" t="s">
        <v>11244</v>
      </c>
      <c r="C3793" s="67" t="s">
        <v>221</v>
      </c>
      <c r="D3793" s="69" t="s">
        <v>1668</v>
      </c>
      <c r="E3793" s="69" t="s">
        <v>5588</v>
      </c>
      <c r="F3793" s="69" t="s">
        <v>11245</v>
      </c>
    </row>
    <row r="3794" spans="1:6" ht="22.5" x14ac:dyDescent="0.2">
      <c r="A3794" s="65" t="s">
        <v>11246</v>
      </c>
      <c r="B3794" s="65" t="s">
        <v>11247</v>
      </c>
      <c r="C3794" s="67" t="s">
        <v>204</v>
      </c>
      <c r="D3794" s="69" t="s">
        <v>11248</v>
      </c>
      <c r="E3794" s="69" t="s">
        <v>407</v>
      </c>
      <c r="F3794" s="69" t="s">
        <v>11249</v>
      </c>
    </row>
    <row r="3795" spans="1:6" ht="45" x14ac:dyDescent="0.2">
      <c r="A3795" s="65" t="s">
        <v>11250</v>
      </c>
      <c r="B3795" s="66" t="s">
        <v>11251</v>
      </c>
      <c r="C3795" s="67" t="s">
        <v>204</v>
      </c>
      <c r="D3795" s="69" t="s">
        <v>11252</v>
      </c>
      <c r="E3795" s="68"/>
      <c r="F3795" s="69" t="s">
        <v>11252</v>
      </c>
    </row>
    <row r="3796" spans="1:6" ht="22.5" x14ac:dyDescent="0.2">
      <c r="A3796" s="65" t="s">
        <v>11253</v>
      </c>
      <c r="B3796" s="65" t="s">
        <v>11254</v>
      </c>
      <c r="C3796" s="67" t="s">
        <v>204</v>
      </c>
      <c r="D3796" s="69" t="s">
        <v>11255</v>
      </c>
      <c r="E3796" s="69" t="s">
        <v>11256</v>
      </c>
      <c r="F3796" s="69" t="s">
        <v>11257</v>
      </c>
    </row>
    <row r="3797" spans="1:6" ht="22.5" x14ac:dyDescent="0.2">
      <c r="A3797" s="65" t="s">
        <v>11258</v>
      </c>
      <c r="B3797" s="65" t="s">
        <v>11259</v>
      </c>
      <c r="C3797" s="67" t="s">
        <v>204</v>
      </c>
      <c r="D3797" s="69" t="s">
        <v>11260</v>
      </c>
      <c r="E3797" s="69" t="s">
        <v>11261</v>
      </c>
      <c r="F3797" s="69" t="s">
        <v>11262</v>
      </c>
    </row>
    <row r="3798" spans="1:6" ht="22.5" x14ac:dyDescent="0.2">
      <c r="A3798" s="65" t="s">
        <v>11263</v>
      </c>
      <c r="B3798" s="65" t="s">
        <v>11264</v>
      </c>
      <c r="C3798" s="67" t="s">
        <v>204</v>
      </c>
      <c r="D3798" s="69" t="s">
        <v>11265</v>
      </c>
      <c r="E3798" s="69" t="s">
        <v>11266</v>
      </c>
      <c r="F3798" s="69" t="s">
        <v>11267</v>
      </c>
    </row>
    <row r="3799" spans="1:6" ht="22.5" x14ac:dyDescent="0.2">
      <c r="A3799" s="65" t="s">
        <v>11268</v>
      </c>
      <c r="B3799" s="65" t="s">
        <v>11269</v>
      </c>
      <c r="C3799" s="67" t="s">
        <v>203</v>
      </c>
      <c r="D3799" s="73"/>
      <c r="E3799" s="69" t="s">
        <v>11270</v>
      </c>
      <c r="F3799" s="69" t="s">
        <v>11270</v>
      </c>
    </row>
    <row r="3800" spans="1:6" ht="45" x14ac:dyDescent="0.2">
      <c r="A3800" s="65" t="s">
        <v>11271</v>
      </c>
      <c r="B3800" s="66" t="s">
        <v>11272</v>
      </c>
      <c r="C3800" s="67" t="s">
        <v>203</v>
      </c>
      <c r="D3800" s="69" t="s">
        <v>11273</v>
      </c>
      <c r="E3800" s="69" t="s">
        <v>11274</v>
      </c>
      <c r="F3800" s="69" t="s">
        <v>11275</v>
      </c>
    </row>
    <row r="3801" spans="1:6" ht="22.5" x14ac:dyDescent="0.2">
      <c r="A3801" s="65" t="s">
        <v>11276</v>
      </c>
      <c r="B3801" s="65" t="s">
        <v>11277</v>
      </c>
      <c r="C3801" s="67" t="s">
        <v>203</v>
      </c>
      <c r="D3801" s="69" t="s">
        <v>11278</v>
      </c>
      <c r="E3801" s="69" t="s">
        <v>248</v>
      </c>
      <c r="F3801" s="69" t="s">
        <v>11279</v>
      </c>
    </row>
    <row r="3802" spans="1:6" ht="33.75" x14ac:dyDescent="0.2">
      <c r="A3802" s="65" t="s">
        <v>11280</v>
      </c>
      <c r="B3802" s="65" t="s">
        <v>11281</v>
      </c>
      <c r="C3802" s="67" t="s">
        <v>203</v>
      </c>
      <c r="D3802" s="69" t="s">
        <v>11282</v>
      </c>
      <c r="E3802" s="69" t="s">
        <v>11283</v>
      </c>
      <c r="F3802" s="69" t="s">
        <v>11284</v>
      </c>
    </row>
    <row r="3803" spans="1:6" ht="33.75" x14ac:dyDescent="0.2">
      <c r="A3803" s="65" t="s">
        <v>11285</v>
      </c>
      <c r="B3803" s="65" t="s">
        <v>11286</v>
      </c>
      <c r="C3803" s="67" t="s">
        <v>204</v>
      </c>
      <c r="D3803" s="69" t="s">
        <v>11287</v>
      </c>
      <c r="E3803" s="69" t="s">
        <v>11288</v>
      </c>
      <c r="F3803" s="69" t="s">
        <v>11289</v>
      </c>
    </row>
    <row r="3804" spans="1:6" ht="22.5" x14ac:dyDescent="0.2">
      <c r="A3804" s="65" t="s">
        <v>11290</v>
      </c>
      <c r="B3804" s="65" t="s">
        <v>11291</v>
      </c>
      <c r="C3804" s="67" t="s">
        <v>221</v>
      </c>
      <c r="D3804" s="69" t="s">
        <v>11292</v>
      </c>
      <c r="E3804" s="69" t="s">
        <v>321</v>
      </c>
      <c r="F3804" s="69" t="s">
        <v>11293</v>
      </c>
    </row>
    <row r="3805" spans="1:6" ht="22.5" x14ac:dyDescent="0.2">
      <c r="A3805" s="65" t="s">
        <v>11294</v>
      </c>
      <c r="B3805" s="65" t="s">
        <v>11295</v>
      </c>
      <c r="C3805" s="67" t="s">
        <v>203</v>
      </c>
      <c r="D3805" s="69" t="s">
        <v>11296</v>
      </c>
      <c r="E3805" s="69" t="s">
        <v>248</v>
      </c>
      <c r="F3805" s="69" t="s">
        <v>11297</v>
      </c>
    </row>
    <row r="3806" spans="1:6" ht="22.5" x14ac:dyDescent="0.2">
      <c r="A3806" s="65" t="s">
        <v>11298</v>
      </c>
      <c r="B3806" s="65" t="s">
        <v>11299</v>
      </c>
      <c r="C3806" s="67" t="s">
        <v>203</v>
      </c>
      <c r="D3806" s="69" t="s">
        <v>11300</v>
      </c>
      <c r="E3806" s="69" t="s">
        <v>248</v>
      </c>
      <c r="F3806" s="69" t="s">
        <v>11301</v>
      </c>
    </row>
    <row r="3807" spans="1:6" ht="22.5" x14ac:dyDescent="0.2">
      <c r="A3807" s="65" t="s">
        <v>11302</v>
      </c>
      <c r="B3807" s="65" t="s">
        <v>11303</v>
      </c>
      <c r="C3807" s="67" t="s">
        <v>203</v>
      </c>
      <c r="D3807" s="69" t="s">
        <v>11304</v>
      </c>
      <c r="E3807" s="69" t="s">
        <v>248</v>
      </c>
      <c r="F3807" s="69" t="s">
        <v>11305</v>
      </c>
    </row>
    <row r="3808" spans="1:6" ht="22.5" x14ac:dyDescent="0.2">
      <c r="A3808" s="65" t="s">
        <v>11306</v>
      </c>
      <c r="B3808" s="65" t="s">
        <v>11307</v>
      </c>
      <c r="C3808" s="67" t="s">
        <v>203</v>
      </c>
      <c r="D3808" s="69" t="s">
        <v>11308</v>
      </c>
      <c r="E3808" s="69" t="s">
        <v>248</v>
      </c>
      <c r="F3808" s="69" t="s">
        <v>11309</v>
      </c>
    </row>
    <row r="3809" spans="1:6" ht="45" x14ac:dyDescent="0.2">
      <c r="A3809" s="65" t="s">
        <v>11310</v>
      </c>
      <c r="B3809" s="66" t="s">
        <v>11311</v>
      </c>
      <c r="C3809" s="67" t="s">
        <v>204</v>
      </c>
      <c r="D3809" s="69" t="s">
        <v>11312</v>
      </c>
      <c r="E3809" s="69" t="s">
        <v>11313</v>
      </c>
      <c r="F3809" s="69" t="s">
        <v>11314</v>
      </c>
    </row>
    <row r="3810" spans="1:6" ht="56.25" x14ac:dyDescent="0.2">
      <c r="A3810" s="65" t="s">
        <v>11315</v>
      </c>
      <c r="B3810" s="66" t="s">
        <v>11316</v>
      </c>
      <c r="C3810" s="67" t="s">
        <v>204</v>
      </c>
      <c r="D3810" s="69" t="s">
        <v>11317</v>
      </c>
      <c r="E3810" s="69" t="s">
        <v>11318</v>
      </c>
      <c r="F3810" s="69" t="s">
        <v>11319</v>
      </c>
    </row>
    <row r="3811" spans="1:6" ht="56.25" x14ac:dyDescent="0.2">
      <c r="A3811" s="65" t="s">
        <v>11320</v>
      </c>
      <c r="B3811" s="66" t="s">
        <v>11321</v>
      </c>
      <c r="C3811" s="67" t="s">
        <v>204</v>
      </c>
      <c r="D3811" s="69" t="s">
        <v>11322</v>
      </c>
      <c r="E3811" s="69" t="s">
        <v>5667</v>
      </c>
      <c r="F3811" s="69" t="s">
        <v>11323</v>
      </c>
    </row>
    <row r="3812" spans="1:6" ht="22.5" x14ac:dyDescent="0.2">
      <c r="A3812" s="65" t="s">
        <v>11324</v>
      </c>
      <c r="B3812" s="65" t="s">
        <v>11325</v>
      </c>
      <c r="C3812" s="67" t="s">
        <v>204</v>
      </c>
      <c r="D3812" s="69" t="s">
        <v>11326</v>
      </c>
      <c r="E3812" s="69" t="s">
        <v>11256</v>
      </c>
      <c r="F3812" s="69" t="s">
        <v>11327</v>
      </c>
    </row>
    <row r="3813" spans="1:6" ht="22.5" x14ac:dyDescent="0.2">
      <c r="A3813" s="65" t="s">
        <v>11328</v>
      </c>
      <c r="B3813" s="65" t="s">
        <v>11329</v>
      </c>
      <c r="C3813" s="67" t="s">
        <v>204</v>
      </c>
      <c r="D3813" s="69" t="s">
        <v>11330</v>
      </c>
      <c r="E3813" s="69" t="s">
        <v>11331</v>
      </c>
      <c r="F3813" s="69" t="s">
        <v>11332</v>
      </c>
    </row>
    <row r="3814" spans="1:6" ht="22.5" x14ac:dyDescent="0.2">
      <c r="A3814" s="65" t="s">
        <v>11333</v>
      </c>
      <c r="B3814" s="65" t="s">
        <v>11334</v>
      </c>
      <c r="C3814" s="67" t="s">
        <v>204</v>
      </c>
      <c r="D3814" s="69" t="s">
        <v>11335</v>
      </c>
      <c r="E3814" s="69" t="s">
        <v>9600</v>
      </c>
      <c r="F3814" s="69" t="s">
        <v>11336</v>
      </c>
    </row>
    <row r="3815" spans="1:6" ht="33.75" x14ac:dyDescent="0.2">
      <c r="A3815" s="65" t="s">
        <v>11337</v>
      </c>
      <c r="B3815" s="65" t="s">
        <v>11338</v>
      </c>
      <c r="C3815" s="67" t="s">
        <v>204</v>
      </c>
      <c r="D3815" s="69" t="s">
        <v>11339</v>
      </c>
      <c r="E3815" s="69" t="s">
        <v>11340</v>
      </c>
      <c r="F3815" s="69" t="s">
        <v>11341</v>
      </c>
    </row>
    <row r="3816" spans="1:6" ht="33.75" x14ac:dyDescent="0.2">
      <c r="A3816" s="65" t="s">
        <v>11342</v>
      </c>
      <c r="B3816" s="65" t="s">
        <v>11343</v>
      </c>
      <c r="C3816" s="67" t="s">
        <v>204</v>
      </c>
      <c r="D3816" s="69" t="s">
        <v>11344</v>
      </c>
      <c r="E3816" s="69" t="s">
        <v>11345</v>
      </c>
      <c r="F3816" s="69" t="s">
        <v>11346</v>
      </c>
    </row>
    <row r="3817" spans="1:6" ht="33.75" x14ac:dyDescent="0.2">
      <c r="A3817" s="65" t="s">
        <v>11347</v>
      </c>
      <c r="B3817" s="65" t="s">
        <v>11348</v>
      </c>
      <c r="C3817" s="67" t="s">
        <v>204</v>
      </c>
      <c r="D3817" s="69" t="s">
        <v>11349</v>
      </c>
      <c r="E3817" s="69" t="s">
        <v>11318</v>
      </c>
      <c r="F3817" s="69" t="s">
        <v>11350</v>
      </c>
    </row>
    <row r="3818" spans="1:6" ht="33.75" x14ac:dyDescent="0.2">
      <c r="A3818" s="65" t="s">
        <v>11351</v>
      </c>
      <c r="B3818" s="65" t="s">
        <v>11352</v>
      </c>
      <c r="C3818" s="67" t="s">
        <v>204</v>
      </c>
      <c r="D3818" s="69" t="s">
        <v>11353</v>
      </c>
      <c r="E3818" s="69" t="s">
        <v>11261</v>
      </c>
      <c r="F3818" s="69" t="s">
        <v>11354</v>
      </c>
    </row>
    <row r="3819" spans="1:6" ht="33.75" x14ac:dyDescent="0.2">
      <c r="A3819" s="65" t="s">
        <v>11355</v>
      </c>
      <c r="B3819" s="65" t="s">
        <v>11356</v>
      </c>
      <c r="C3819" s="67" t="s">
        <v>204</v>
      </c>
      <c r="D3819" s="69" t="s">
        <v>11357</v>
      </c>
      <c r="E3819" s="69" t="s">
        <v>11266</v>
      </c>
      <c r="F3819" s="69" t="s">
        <v>11358</v>
      </c>
    </row>
    <row r="3820" spans="1:6" x14ac:dyDescent="0.2">
      <c r="A3820" s="65" t="s">
        <v>11359</v>
      </c>
      <c r="B3820" s="65" t="s">
        <v>11360</v>
      </c>
      <c r="C3820" s="67" t="s">
        <v>204</v>
      </c>
      <c r="D3820" s="69" t="s">
        <v>11361</v>
      </c>
      <c r="E3820" s="69" t="s">
        <v>11318</v>
      </c>
      <c r="F3820" s="69" t="s">
        <v>11362</v>
      </c>
    </row>
    <row r="3821" spans="1:6" x14ac:dyDescent="0.2">
      <c r="A3821" s="65" t="s">
        <v>11363</v>
      </c>
      <c r="B3821" s="65" t="s">
        <v>11364</v>
      </c>
      <c r="C3821" s="67" t="s">
        <v>204</v>
      </c>
      <c r="D3821" s="69" t="s">
        <v>11365</v>
      </c>
      <c r="E3821" s="69" t="s">
        <v>11366</v>
      </c>
      <c r="F3821" s="69" t="s">
        <v>11367</v>
      </c>
    </row>
    <row r="3822" spans="1:6" ht="22.5" x14ac:dyDescent="0.2">
      <c r="A3822" s="65" t="s">
        <v>11368</v>
      </c>
      <c r="B3822" s="65" t="s">
        <v>11369</v>
      </c>
      <c r="C3822" s="67" t="s">
        <v>203</v>
      </c>
      <c r="D3822" s="69" t="s">
        <v>11370</v>
      </c>
      <c r="E3822" s="69" t="s">
        <v>8524</v>
      </c>
      <c r="F3822" s="69" t="s">
        <v>11371</v>
      </c>
    </row>
    <row r="3823" spans="1:6" ht="22.5" x14ac:dyDescent="0.2">
      <c r="A3823" s="65" t="s">
        <v>11372</v>
      </c>
      <c r="B3823" s="65" t="s">
        <v>11373</v>
      </c>
      <c r="C3823" s="67" t="s">
        <v>203</v>
      </c>
      <c r="D3823" s="69" t="s">
        <v>11374</v>
      </c>
      <c r="E3823" s="69" t="s">
        <v>11366</v>
      </c>
      <c r="F3823" s="69" t="s">
        <v>11375</v>
      </c>
    </row>
    <row r="3824" spans="1:6" x14ac:dyDescent="0.2">
      <c r="A3824" s="50">
        <v>61.14</v>
      </c>
      <c r="B3824" s="64" t="s">
        <v>11376</v>
      </c>
      <c r="C3824" s="47"/>
      <c r="D3824" s="47"/>
      <c r="E3824" s="47"/>
      <c r="F3824" s="47"/>
    </row>
    <row r="3825" spans="1:6" ht="45" x14ac:dyDescent="0.2">
      <c r="A3825" s="65" t="s">
        <v>11377</v>
      </c>
      <c r="B3825" s="66" t="s">
        <v>11378</v>
      </c>
      <c r="C3825" s="67" t="s">
        <v>203</v>
      </c>
      <c r="D3825" s="69" t="s">
        <v>11379</v>
      </c>
      <c r="E3825" s="69" t="s">
        <v>11380</v>
      </c>
      <c r="F3825" s="69" t="s">
        <v>11381</v>
      </c>
    </row>
    <row r="3826" spans="1:6" ht="45" x14ac:dyDescent="0.2">
      <c r="A3826" s="65" t="s">
        <v>11382</v>
      </c>
      <c r="B3826" s="66" t="s">
        <v>11383</v>
      </c>
      <c r="C3826" s="67" t="s">
        <v>203</v>
      </c>
      <c r="D3826" s="69" t="s">
        <v>11384</v>
      </c>
      <c r="E3826" s="69" t="s">
        <v>11385</v>
      </c>
      <c r="F3826" s="69" t="s">
        <v>11386</v>
      </c>
    </row>
    <row r="3827" spans="1:6" ht="45" x14ac:dyDescent="0.2">
      <c r="A3827" s="65" t="s">
        <v>11387</v>
      </c>
      <c r="B3827" s="66" t="s">
        <v>11388</v>
      </c>
      <c r="C3827" s="67" t="s">
        <v>203</v>
      </c>
      <c r="D3827" s="69" t="s">
        <v>11389</v>
      </c>
      <c r="E3827" s="69" t="s">
        <v>11390</v>
      </c>
      <c r="F3827" s="69" t="s">
        <v>11391</v>
      </c>
    </row>
    <row r="3828" spans="1:6" ht="45" x14ac:dyDescent="0.2">
      <c r="A3828" s="65" t="s">
        <v>11392</v>
      </c>
      <c r="B3828" s="66" t="s">
        <v>11393</v>
      </c>
      <c r="C3828" s="67" t="s">
        <v>203</v>
      </c>
      <c r="D3828" s="69" t="s">
        <v>11394</v>
      </c>
      <c r="E3828" s="69" t="s">
        <v>11390</v>
      </c>
      <c r="F3828" s="69" t="s">
        <v>11395</v>
      </c>
    </row>
    <row r="3829" spans="1:6" ht="45" x14ac:dyDescent="0.2">
      <c r="A3829" s="65" t="s">
        <v>11396</v>
      </c>
      <c r="B3829" s="66" t="s">
        <v>11397</v>
      </c>
      <c r="C3829" s="67" t="s">
        <v>203</v>
      </c>
      <c r="D3829" s="69" t="s">
        <v>11398</v>
      </c>
      <c r="E3829" s="69" t="s">
        <v>11390</v>
      </c>
      <c r="F3829" s="69" t="s">
        <v>11399</v>
      </c>
    </row>
    <row r="3830" spans="1:6" ht="45" x14ac:dyDescent="0.2">
      <c r="A3830" s="65" t="s">
        <v>11400</v>
      </c>
      <c r="B3830" s="66" t="s">
        <v>11401</v>
      </c>
      <c r="C3830" s="67" t="s">
        <v>203</v>
      </c>
      <c r="D3830" s="69" t="s">
        <v>11402</v>
      </c>
      <c r="E3830" s="69" t="s">
        <v>11390</v>
      </c>
      <c r="F3830" s="69" t="s">
        <v>11403</v>
      </c>
    </row>
    <row r="3831" spans="1:6" ht="56.25" x14ac:dyDescent="0.2">
      <c r="A3831" s="65" t="s">
        <v>11404</v>
      </c>
      <c r="B3831" s="66" t="s">
        <v>11405</v>
      </c>
      <c r="C3831" s="67" t="s">
        <v>203</v>
      </c>
      <c r="D3831" s="69" t="s">
        <v>11406</v>
      </c>
      <c r="E3831" s="69" t="s">
        <v>11407</v>
      </c>
      <c r="F3831" s="69" t="s">
        <v>11408</v>
      </c>
    </row>
    <row r="3832" spans="1:6" x14ac:dyDescent="0.2">
      <c r="A3832" s="50">
        <v>61.15</v>
      </c>
      <c r="B3832" s="64" t="s">
        <v>11409</v>
      </c>
      <c r="C3832" s="47"/>
      <c r="D3832" s="47"/>
      <c r="E3832" s="47"/>
      <c r="F3832" s="47"/>
    </row>
    <row r="3833" spans="1:6" ht="33.75" x14ac:dyDescent="0.2">
      <c r="A3833" s="65" t="s">
        <v>11410</v>
      </c>
      <c r="B3833" s="65" t="s">
        <v>11411</v>
      </c>
      <c r="C3833" s="67" t="s">
        <v>203</v>
      </c>
      <c r="D3833" s="69" t="s">
        <v>11412</v>
      </c>
      <c r="E3833" s="69" t="s">
        <v>260</v>
      </c>
      <c r="F3833" s="69" t="s">
        <v>11413</v>
      </c>
    </row>
    <row r="3834" spans="1:6" ht="22.5" x14ac:dyDescent="0.2">
      <c r="A3834" s="65" t="s">
        <v>11414</v>
      </c>
      <c r="B3834" s="65" t="s">
        <v>11415</v>
      </c>
      <c r="C3834" s="67" t="s">
        <v>203</v>
      </c>
      <c r="D3834" s="69" t="s">
        <v>11416</v>
      </c>
      <c r="E3834" s="69" t="s">
        <v>323</v>
      </c>
      <c r="F3834" s="69" t="s">
        <v>5278</v>
      </c>
    </row>
    <row r="3835" spans="1:6" ht="45" x14ac:dyDescent="0.2">
      <c r="A3835" s="65" t="s">
        <v>11417</v>
      </c>
      <c r="B3835" s="66" t="s">
        <v>11418</v>
      </c>
      <c r="C3835" s="67" t="s">
        <v>203</v>
      </c>
      <c r="D3835" s="69" t="s">
        <v>11419</v>
      </c>
      <c r="E3835" s="69" t="s">
        <v>260</v>
      </c>
      <c r="F3835" s="69" t="s">
        <v>11420</v>
      </c>
    </row>
    <row r="3836" spans="1:6" ht="45" x14ac:dyDescent="0.2">
      <c r="A3836" s="65" t="s">
        <v>11421</v>
      </c>
      <c r="B3836" s="66" t="s">
        <v>11422</v>
      </c>
      <c r="C3836" s="67" t="s">
        <v>203</v>
      </c>
      <c r="D3836" s="69" t="s">
        <v>11423</v>
      </c>
      <c r="E3836" s="69" t="s">
        <v>7386</v>
      </c>
      <c r="F3836" s="69" t="s">
        <v>11424</v>
      </c>
    </row>
    <row r="3837" spans="1:6" ht="45" x14ac:dyDescent="0.2">
      <c r="A3837" s="65" t="s">
        <v>11425</v>
      </c>
      <c r="B3837" s="66" t="s">
        <v>11426</v>
      </c>
      <c r="C3837" s="67" t="s">
        <v>203</v>
      </c>
      <c r="D3837" s="69" t="s">
        <v>11427</v>
      </c>
      <c r="E3837" s="69" t="s">
        <v>11428</v>
      </c>
      <c r="F3837" s="69" t="s">
        <v>11429</v>
      </c>
    </row>
    <row r="3838" spans="1:6" ht="22.5" x14ac:dyDescent="0.2">
      <c r="A3838" s="65" t="s">
        <v>11430</v>
      </c>
      <c r="B3838" s="65" t="s">
        <v>11431</v>
      </c>
      <c r="C3838" s="67" t="s">
        <v>203</v>
      </c>
      <c r="D3838" s="69" t="s">
        <v>11432</v>
      </c>
      <c r="E3838" s="69" t="s">
        <v>1872</v>
      </c>
      <c r="F3838" s="69" t="s">
        <v>11433</v>
      </c>
    </row>
    <row r="3839" spans="1:6" ht="45" x14ac:dyDescent="0.2">
      <c r="A3839" s="65" t="s">
        <v>11434</v>
      </c>
      <c r="B3839" s="66" t="s">
        <v>11435</v>
      </c>
      <c r="C3839" s="67" t="s">
        <v>203</v>
      </c>
      <c r="D3839" s="69" t="s">
        <v>11436</v>
      </c>
      <c r="E3839" s="69" t="s">
        <v>11428</v>
      </c>
      <c r="F3839" s="69" t="s">
        <v>11437</v>
      </c>
    </row>
    <row r="3840" spans="1:6" ht="22.5" x14ac:dyDescent="0.2">
      <c r="A3840" s="65" t="s">
        <v>11438</v>
      </c>
      <c r="B3840" s="65" t="s">
        <v>11439</v>
      </c>
      <c r="C3840" s="67" t="s">
        <v>203</v>
      </c>
      <c r="D3840" s="69" t="s">
        <v>11440</v>
      </c>
      <c r="E3840" s="69" t="s">
        <v>11428</v>
      </c>
      <c r="F3840" s="69" t="s">
        <v>11441</v>
      </c>
    </row>
    <row r="3841" spans="1:6" ht="45" x14ac:dyDescent="0.2">
      <c r="A3841" s="65" t="s">
        <v>11442</v>
      </c>
      <c r="B3841" s="66" t="s">
        <v>11443</v>
      </c>
      <c r="C3841" s="67" t="s">
        <v>203</v>
      </c>
      <c r="D3841" s="69" t="s">
        <v>11444</v>
      </c>
      <c r="E3841" s="69" t="s">
        <v>11428</v>
      </c>
      <c r="F3841" s="69" t="s">
        <v>11445</v>
      </c>
    </row>
    <row r="3842" spans="1:6" ht="33.75" x14ac:dyDescent="0.2">
      <c r="A3842" s="65" t="s">
        <v>11446</v>
      </c>
      <c r="B3842" s="65" t="s">
        <v>11447</v>
      </c>
      <c r="C3842" s="67" t="s">
        <v>203</v>
      </c>
      <c r="D3842" s="69" t="s">
        <v>11448</v>
      </c>
      <c r="E3842" s="69" t="s">
        <v>7386</v>
      </c>
      <c r="F3842" s="69" t="s">
        <v>11449</v>
      </c>
    </row>
    <row r="3843" spans="1:6" ht="22.5" x14ac:dyDescent="0.2">
      <c r="A3843" s="65" t="s">
        <v>11450</v>
      </c>
      <c r="B3843" s="65" t="s">
        <v>11451</v>
      </c>
      <c r="C3843" s="67" t="s">
        <v>203</v>
      </c>
      <c r="D3843" s="69" t="s">
        <v>11452</v>
      </c>
      <c r="E3843" s="69" t="s">
        <v>1872</v>
      </c>
      <c r="F3843" s="69" t="s">
        <v>11453</v>
      </c>
    </row>
    <row r="3844" spans="1:6" ht="22.5" x14ac:dyDescent="0.2">
      <c r="A3844" s="65" t="s">
        <v>11454</v>
      </c>
      <c r="B3844" s="65" t="s">
        <v>11455</v>
      </c>
      <c r="C3844" s="67" t="s">
        <v>203</v>
      </c>
      <c r="D3844" s="69" t="s">
        <v>11456</v>
      </c>
      <c r="E3844" s="69" t="s">
        <v>320</v>
      </c>
      <c r="F3844" s="69" t="s">
        <v>11457</v>
      </c>
    </row>
    <row r="3845" spans="1:6" x14ac:dyDescent="0.2">
      <c r="A3845" s="65" t="s">
        <v>11458</v>
      </c>
      <c r="B3845" s="65" t="s">
        <v>11459</v>
      </c>
      <c r="C3845" s="67" t="s">
        <v>203</v>
      </c>
      <c r="D3845" s="69" t="s">
        <v>11460</v>
      </c>
      <c r="E3845" s="69" t="s">
        <v>11461</v>
      </c>
      <c r="F3845" s="69" t="s">
        <v>11462</v>
      </c>
    </row>
    <row r="3846" spans="1:6" x14ac:dyDescent="0.2">
      <c r="A3846" s="65" t="s">
        <v>11463</v>
      </c>
      <c r="B3846" s="65" t="s">
        <v>11464</v>
      </c>
      <c r="C3846" s="67" t="s">
        <v>203</v>
      </c>
      <c r="D3846" s="69" t="s">
        <v>11465</v>
      </c>
      <c r="E3846" s="69" t="s">
        <v>6219</v>
      </c>
      <c r="F3846" s="69" t="s">
        <v>11466</v>
      </c>
    </row>
    <row r="3847" spans="1:6" ht="22.5" x14ac:dyDescent="0.2">
      <c r="A3847" s="65" t="s">
        <v>11467</v>
      </c>
      <c r="B3847" s="65" t="s">
        <v>11468</v>
      </c>
      <c r="C3847" s="67" t="s">
        <v>203</v>
      </c>
      <c r="D3847" s="69" t="s">
        <v>11469</v>
      </c>
      <c r="E3847" s="69" t="s">
        <v>333</v>
      </c>
      <c r="F3847" s="69" t="s">
        <v>11470</v>
      </c>
    </row>
    <row r="3848" spans="1:6" ht="22.5" x14ac:dyDescent="0.2">
      <c r="A3848" s="65" t="s">
        <v>11471</v>
      </c>
      <c r="B3848" s="65" t="s">
        <v>11472</v>
      </c>
      <c r="C3848" s="67" t="s">
        <v>203</v>
      </c>
      <c r="D3848" s="69" t="s">
        <v>463</v>
      </c>
      <c r="E3848" s="69" t="s">
        <v>11461</v>
      </c>
      <c r="F3848" s="69" t="s">
        <v>11473</v>
      </c>
    </row>
    <row r="3849" spans="1:6" ht="67.5" x14ac:dyDescent="0.2">
      <c r="A3849" s="65" t="s">
        <v>11474</v>
      </c>
      <c r="B3849" s="66" t="s">
        <v>11475</v>
      </c>
      <c r="C3849" s="67" t="s">
        <v>203</v>
      </c>
      <c r="D3849" s="69" t="s">
        <v>11476</v>
      </c>
      <c r="E3849" s="69" t="s">
        <v>10186</v>
      </c>
      <c r="F3849" s="69" t="s">
        <v>11477</v>
      </c>
    </row>
    <row r="3850" spans="1:6" ht="33.75" x14ac:dyDescent="0.2">
      <c r="A3850" s="65" t="s">
        <v>11478</v>
      </c>
      <c r="B3850" s="65" t="s">
        <v>11479</v>
      </c>
      <c r="C3850" s="67" t="s">
        <v>203</v>
      </c>
      <c r="D3850" s="69" t="s">
        <v>11480</v>
      </c>
      <c r="E3850" s="69" t="s">
        <v>5309</v>
      </c>
      <c r="F3850" s="69" t="s">
        <v>11481</v>
      </c>
    </row>
    <row r="3851" spans="1:6" ht="33.75" x14ac:dyDescent="0.2">
      <c r="A3851" s="65" t="s">
        <v>11482</v>
      </c>
      <c r="B3851" s="65" t="s">
        <v>11483</v>
      </c>
      <c r="C3851" s="67" t="s">
        <v>203</v>
      </c>
      <c r="D3851" s="69" t="s">
        <v>11484</v>
      </c>
      <c r="E3851" s="69" t="s">
        <v>11461</v>
      </c>
      <c r="F3851" s="69" t="s">
        <v>11485</v>
      </c>
    </row>
    <row r="3852" spans="1:6" ht="45" x14ac:dyDescent="0.2">
      <c r="A3852" s="65" t="s">
        <v>11486</v>
      </c>
      <c r="B3852" s="66" t="s">
        <v>11487</v>
      </c>
      <c r="C3852" s="67" t="s">
        <v>203</v>
      </c>
      <c r="D3852" s="69" t="s">
        <v>11488</v>
      </c>
      <c r="E3852" s="69" t="s">
        <v>11461</v>
      </c>
      <c r="F3852" s="69" t="s">
        <v>11489</v>
      </c>
    </row>
    <row r="3853" spans="1:6" ht="56.25" x14ac:dyDescent="0.2">
      <c r="A3853" s="65" t="s">
        <v>11490</v>
      </c>
      <c r="B3853" s="66" t="s">
        <v>11491</v>
      </c>
      <c r="C3853" s="67" t="s">
        <v>203</v>
      </c>
      <c r="D3853" s="69" t="s">
        <v>11492</v>
      </c>
      <c r="E3853" s="69" t="s">
        <v>11461</v>
      </c>
      <c r="F3853" s="69" t="s">
        <v>11493</v>
      </c>
    </row>
    <row r="3854" spans="1:6" ht="22.5" x14ac:dyDescent="0.2">
      <c r="A3854" s="65" t="s">
        <v>11494</v>
      </c>
      <c r="B3854" s="65" t="s">
        <v>11495</v>
      </c>
      <c r="C3854" s="67" t="s">
        <v>203</v>
      </c>
      <c r="D3854" s="69" t="s">
        <v>11496</v>
      </c>
      <c r="E3854" s="69" t="s">
        <v>11497</v>
      </c>
      <c r="F3854" s="69" t="s">
        <v>11498</v>
      </c>
    </row>
    <row r="3855" spans="1:6" ht="22.5" x14ac:dyDescent="0.2">
      <c r="A3855" s="65" t="s">
        <v>11499</v>
      </c>
      <c r="B3855" s="65" t="s">
        <v>11500</v>
      </c>
      <c r="C3855" s="67" t="s">
        <v>203</v>
      </c>
      <c r="D3855" s="69" t="s">
        <v>11501</v>
      </c>
      <c r="E3855" s="69" t="s">
        <v>11502</v>
      </c>
      <c r="F3855" s="69" t="s">
        <v>11503</v>
      </c>
    </row>
    <row r="3856" spans="1:6" ht="22.5" x14ac:dyDescent="0.2">
      <c r="A3856" s="65" t="s">
        <v>11504</v>
      </c>
      <c r="B3856" s="65" t="s">
        <v>11505</v>
      </c>
      <c r="C3856" s="67" t="s">
        <v>203</v>
      </c>
      <c r="D3856" s="69" t="s">
        <v>11506</v>
      </c>
      <c r="E3856" s="69" t="s">
        <v>11502</v>
      </c>
      <c r="F3856" s="69" t="s">
        <v>11507</v>
      </c>
    </row>
    <row r="3857" spans="1:6" ht="33.75" x14ac:dyDescent="0.2">
      <c r="A3857" s="65" t="s">
        <v>11508</v>
      </c>
      <c r="B3857" s="65" t="s">
        <v>11509</v>
      </c>
      <c r="C3857" s="67" t="s">
        <v>203</v>
      </c>
      <c r="D3857" s="69" t="s">
        <v>11510</v>
      </c>
      <c r="E3857" s="69" t="s">
        <v>11511</v>
      </c>
      <c r="F3857" s="69" t="s">
        <v>11512</v>
      </c>
    </row>
    <row r="3858" spans="1:6" ht="22.5" x14ac:dyDescent="0.2">
      <c r="A3858" s="50">
        <v>61.2</v>
      </c>
      <c r="B3858" s="64" t="s">
        <v>11513</v>
      </c>
      <c r="C3858" s="47"/>
      <c r="D3858" s="47"/>
      <c r="E3858" s="47"/>
      <c r="F3858" s="47"/>
    </row>
    <row r="3859" spans="1:6" ht="22.5" x14ac:dyDescent="0.2">
      <c r="A3859" s="65" t="s">
        <v>11514</v>
      </c>
      <c r="B3859" s="65" t="s">
        <v>11515</v>
      </c>
      <c r="C3859" s="67" t="s">
        <v>240</v>
      </c>
      <c r="D3859" s="69" t="s">
        <v>11516</v>
      </c>
      <c r="E3859" s="69" t="s">
        <v>11517</v>
      </c>
      <c r="F3859" s="69" t="s">
        <v>11518</v>
      </c>
    </row>
    <row r="3860" spans="1:6" ht="22.5" x14ac:dyDescent="0.2">
      <c r="A3860" s="65" t="s">
        <v>11519</v>
      </c>
      <c r="B3860" s="65" t="s">
        <v>11520</v>
      </c>
      <c r="C3860" s="67" t="s">
        <v>240</v>
      </c>
      <c r="D3860" s="69" t="s">
        <v>11521</v>
      </c>
      <c r="E3860" s="69" t="s">
        <v>11517</v>
      </c>
      <c r="F3860" s="69" t="s">
        <v>11522</v>
      </c>
    </row>
    <row r="3861" spans="1:6" ht="33.75" x14ac:dyDescent="0.2">
      <c r="A3861" s="65" t="s">
        <v>11523</v>
      </c>
      <c r="B3861" s="65" t="s">
        <v>11524</v>
      </c>
      <c r="C3861" s="67" t="s">
        <v>240</v>
      </c>
      <c r="D3861" s="69" t="s">
        <v>11525</v>
      </c>
      <c r="E3861" s="69" t="s">
        <v>11526</v>
      </c>
      <c r="F3861" s="69" t="s">
        <v>11527</v>
      </c>
    </row>
    <row r="3862" spans="1:6" ht="33.75" x14ac:dyDescent="0.2">
      <c r="A3862" s="65" t="s">
        <v>11528</v>
      </c>
      <c r="B3862" s="65" t="s">
        <v>11529</v>
      </c>
      <c r="C3862" s="67" t="s">
        <v>240</v>
      </c>
      <c r="D3862" s="69" t="s">
        <v>11530</v>
      </c>
      <c r="E3862" s="69" t="s">
        <v>11531</v>
      </c>
      <c r="F3862" s="69" t="s">
        <v>11532</v>
      </c>
    </row>
    <row r="3863" spans="1:6" ht="33.75" x14ac:dyDescent="0.2">
      <c r="A3863" s="65" t="s">
        <v>11533</v>
      </c>
      <c r="B3863" s="65" t="s">
        <v>11534</v>
      </c>
      <c r="C3863" s="67" t="s">
        <v>240</v>
      </c>
      <c r="D3863" s="69" t="s">
        <v>11535</v>
      </c>
      <c r="E3863" s="69" t="s">
        <v>11536</v>
      </c>
      <c r="F3863" s="69" t="s">
        <v>11537</v>
      </c>
    </row>
    <row r="3864" spans="1:6" ht="45" x14ac:dyDescent="0.2">
      <c r="A3864" s="65" t="s">
        <v>11538</v>
      </c>
      <c r="B3864" s="66" t="s">
        <v>11539</v>
      </c>
      <c r="C3864" s="67" t="s">
        <v>240</v>
      </c>
      <c r="D3864" s="69" t="s">
        <v>11540</v>
      </c>
      <c r="E3864" s="69" t="s">
        <v>11541</v>
      </c>
      <c r="F3864" s="69" t="s">
        <v>11542</v>
      </c>
    </row>
    <row r="3865" spans="1:6" ht="22.5" x14ac:dyDescent="0.2">
      <c r="A3865" s="65" t="s">
        <v>11543</v>
      </c>
      <c r="B3865" s="65" t="s">
        <v>11544</v>
      </c>
      <c r="C3865" s="67" t="s">
        <v>300</v>
      </c>
      <c r="D3865" s="69" t="s">
        <v>11545</v>
      </c>
      <c r="E3865" s="69" t="s">
        <v>3363</v>
      </c>
      <c r="F3865" s="69" t="s">
        <v>11546</v>
      </c>
    </row>
    <row r="3866" spans="1:6" ht="33.75" x14ac:dyDescent="0.2">
      <c r="A3866" s="49">
        <v>62</v>
      </c>
      <c r="B3866" s="64" t="s">
        <v>11547</v>
      </c>
      <c r="C3866" s="48"/>
      <c r="D3866" s="48"/>
      <c r="E3866" s="48"/>
      <c r="F3866" s="48"/>
    </row>
    <row r="3867" spans="1:6" x14ac:dyDescent="0.2">
      <c r="A3867" s="50">
        <v>62.04</v>
      </c>
      <c r="B3867" s="64" t="s">
        <v>11548</v>
      </c>
      <c r="C3867" s="47"/>
      <c r="D3867" s="47"/>
      <c r="E3867" s="47"/>
      <c r="F3867" s="47"/>
    </row>
    <row r="3868" spans="1:6" ht="33.75" x14ac:dyDescent="0.2">
      <c r="A3868" s="65" t="s">
        <v>11549</v>
      </c>
      <c r="B3868" s="65" t="s">
        <v>11550</v>
      </c>
      <c r="C3868" s="67" t="s">
        <v>203</v>
      </c>
      <c r="D3868" s="69" t="s">
        <v>11551</v>
      </c>
      <c r="E3868" s="69" t="s">
        <v>319</v>
      </c>
      <c r="F3868" s="69" t="s">
        <v>11552</v>
      </c>
    </row>
    <row r="3869" spans="1:6" ht="22.5" x14ac:dyDescent="0.2">
      <c r="A3869" s="65" t="s">
        <v>11553</v>
      </c>
      <c r="B3869" s="65" t="s">
        <v>11554</v>
      </c>
      <c r="C3869" s="67" t="s">
        <v>221</v>
      </c>
      <c r="D3869" s="69" t="s">
        <v>11555</v>
      </c>
      <c r="E3869" s="73"/>
      <c r="F3869" s="69" t="s">
        <v>11555</v>
      </c>
    </row>
    <row r="3870" spans="1:6" ht="45" x14ac:dyDescent="0.2">
      <c r="A3870" s="65" t="s">
        <v>11556</v>
      </c>
      <c r="B3870" s="66" t="s">
        <v>11557</v>
      </c>
      <c r="C3870" s="67" t="s">
        <v>221</v>
      </c>
      <c r="D3870" s="69" t="s">
        <v>11558</v>
      </c>
      <c r="E3870" s="68"/>
      <c r="F3870" s="69" t="s">
        <v>11558</v>
      </c>
    </row>
    <row r="3871" spans="1:6" ht="22.5" x14ac:dyDescent="0.2">
      <c r="A3871" s="50">
        <v>62.2</v>
      </c>
      <c r="B3871" s="64" t="s">
        <v>11559</v>
      </c>
      <c r="C3871" s="47"/>
      <c r="D3871" s="47"/>
      <c r="E3871" s="47"/>
      <c r="F3871" s="47"/>
    </row>
    <row r="3872" spans="1:6" ht="33.75" x14ac:dyDescent="0.2">
      <c r="A3872" s="65" t="s">
        <v>11560</v>
      </c>
      <c r="B3872" s="65" t="s">
        <v>11561</v>
      </c>
      <c r="C3872" s="67" t="s">
        <v>204</v>
      </c>
      <c r="D3872" s="69" t="s">
        <v>11562</v>
      </c>
      <c r="E3872" s="68"/>
      <c r="F3872" s="69" t="s">
        <v>11562</v>
      </c>
    </row>
    <row r="3873" spans="1:6" ht="45" x14ac:dyDescent="0.2">
      <c r="A3873" s="65" t="s">
        <v>11563</v>
      </c>
      <c r="B3873" s="66" t="s">
        <v>11564</v>
      </c>
      <c r="C3873" s="67" t="s">
        <v>204</v>
      </c>
      <c r="D3873" s="69" t="s">
        <v>11565</v>
      </c>
      <c r="E3873" s="68"/>
      <c r="F3873" s="69" t="s">
        <v>11565</v>
      </c>
    </row>
    <row r="3874" spans="1:6" ht="45" x14ac:dyDescent="0.2">
      <c r="A3874" s="65" t="s">
        <v>11566</v>
      </c>
      <c r="B3874" s="66" t="s">
        <v>11567</v>
      </c>
      <c r="C3874" s="67" t="s">
        <v>204</v>
      </c>
      <c r="D3874" s="69" t="s">
        <v>11568</v>
      </c>
      <c r="E3874" s="68"/>
      <c r="F3874" s="69" t="s">
        <v>11568</v>
      </c>
    </row>
    <row r="3875" spans="1:6" ht="22.5" x14ac:dyDescent="0.2">
      <c r="A3875" s="49">
        <v>65</v>
      </c>
      <c r="B3875" s="64" t="s">
        <v>11569</v>
      </c>
      <c r="C3875" s="47"/>
      <c r="D3875" s="47"/>
      <c r="E3875" s="47"/>
      <c r="F3875" s="47"/>
    </row>
    <row r="3876" spans="1:6" x14ac:dyDescent="0.2">
      <c r="A3876" s="50">
        <v>65.010000000000005</v>
      </c>
      <c r="B3876" s="64" t="s">
        <v>11570</v>
      </c>
      <c r="C3876" s="47"/>
      <c r="D3876" s="47"/>
      <c r="E3876" s="47"/>
      <c r="F3876" s="47"/>
    </row>
    <row r="3877" spans="1:6" ht="22.5" x14ac:dyDescent="0.2">
      <c r="A3877" s="65" t="s">
        <v>11571</v>
      </c>
      <c r="B3877" s="65" t="s">
        <v>11572</v>
      </c>
      <c r="C3877" s="67" t="s">
        <v>204</v>
      </c>
      <c r="D3877" s="69" t="s">
        <v>11573</v>
      </c>
      <c r="E3877" s="73"/>
      <c r="F3877" s="69" t="s">
        <v>11573</v>
      </c>
    </row>
    <row r="3878" spans="1:6" ht="22.5" x14ac:dyDescent="0.2">
      <c r="A3878" s="50">
        <v>65.02</v>
      </c>
      <c r="B3878" s="64" t="s">
        <v>11574</v>
      </c>
      <c r="C3878" s="47"/>
      <c r="D3878" s="47"/>
      <c r="E3878" s="47"/>
      <c r="F3878" s="47"/>
    </row>
    <row r="3879" spans="1:6" ht="22.5" x14ac:dyDescent="0.2">
      <c r="A3879" s="65" t="s">
        <v>11575</v>
      </c>
      <c r="B3879" s="65" t="s">
        <v>11576</v>
      </c>
      <c r="C3879" s="67" t="s">
        <v>204</v>
      </c>
      <c r="D3879" s="69" t="s">
        <v>11577</v>
      </c>
      <c r="E3879" s="73"/>
      <c r="F3879" s="69" t="s">
        <v>11577</v>
      </c>
    </row>
    <row r="3880" spans="1:6" ht="33.75" x14ac:dyDescent="0.2">
      <c r="A3880" s="49">
        <v>66</v>
      </c>
      <c r="B3880" s="64" t="s">
        <v>11578</v>
      </c>
      <c r="C3880" s="48"/>
      <c r="D3880" s="48"/>
      <c r="E3880" s="48"/>
      <c r="F3880" s="48"/>
    </row>
    <row r="3881" spans="1:6" x14ac:dyDescent="0.2">
      <c r="A3881" s="50">
        <v>66.02</v>
      </c>
      <c r="B3881" s="64" t="s">
        <v>11579</v>
      </c>
      <c r="C3881" s="47"/>
      <c r="D3881" s="47"/>
      <c r="E3881" s="47"/>
      <c r="F3881" s="47"/>
    </row>
    <row r="3882" spans="1:6" ht="45" x14ac:dyDescent="0.2">
      <c r="A3882" s="65" t="s">
        <v>11580</v>
      </c>
      <c r="B3882" s="66" t="s">
        <v>11581</v>
      </c>
      <c r="C3882" s="67" t="s">
        <v>203</v>
      </c>
      <c r="D3882" s="69" t="s">
        <v>11582</v>
      </c>
      <c r="E3882" s="69" t="s">
        <v>323</v>
      </c>
      <c r="F3882" s="69" t="s">
        <v>11583</v>
      </c>
    </row>
    <row r="3883" spans="1:6" ht="22.5" x14ac:dyDescent="0.2">
      <c r="A3883" s="65" t="s">
        <v>11584</v>
      </c>
      <c r="B3883" s="65" t="s">
        <v>11585</v>
      </c>
      <c r="C3883" s="67" t="s">
        <v>203</v>
      </c>
      <c r="D3883" s="69" t="s">
        <v>11586</v>
      </c>
      <c r="E3883" s="73"/>
      <c r="F3883" s="69" t="s">
        <v>11586</v>
      </c>
    </row>
    <row r="3884" spans="1:6" ht="22.5" x14ac:dyDescent="0.2">
      <c r="A3884" s="65" t="s">
        <v>11587</v>
      </c>
      <c r="B3884" s="65" t="s">
        <v>11588</v>
      </c>
      <c r="C3884" s="67" t="s">
        <v>240</v>
      </c>
      <c r="D3884" s="69" t="s">
        <v>11589</v>
      </c>
      <c r="E3884" s="69" t="s">
        <v>321</v>
      </c>
      <c r="F3884" s="69" t="s">
        <v>11590</v>
      </c>
    </row>
    <row r="3885" spans="1:6" ht="45" x14ac:dyDescent="0.2">
      <c r="A3885" s="65" t="s">
        <v>11591</v>
      </c>
      <c r="B3885" s="66" t="s">
        <v>11592</v>
      </c>
      <c r="C3885" s="67" t="s">
        <v>240</v>
      </c>
      <c r="D3885" s="69" t="s">
        <v>11593</v>
      </c>
      <c r="E3885" s="68"/>
      <c r="F3885" s="69" t="s">
        <v>11593</v>
      </c>
    </row>
    <row r="3886" spans="1:6" ht="45" x14ac:dyDescent="0.2">
      <c r="A3886" s="65" t="s">
        <v>11594</v>
      </c>
      <c r="B3886" s="66" t="s">
        <v>11595</v>
      </c>
      <c r="C3886" s="67" t="s">
        <v>240</v>
      </c>
      <c r="D3886" s="69" t="s">
        <v>11596</v>
      </c>
      <c r="E3886" s="68"/>
      <c r="F3886" s="69" t="s">
        <v>11596</v>
      </c>
    </row>
    <row r="3887" spans="1:6" ht="22.5" x14ac:dyDescent="0.2">
      <c r="A3887" s="65" t="s">
        <v>11597</v>
      </c>
      <c r="B3887" s="65" t="s">
        <v>11598</v>
      </c>
      <c r="C3887" s="67" t="s">
        <v>240</v>
      </c>
      <c r="D3887" s="69" t="s">
        <v>11599</v>
      </c>
      <c r="E3887" s="69" t="s">
        <v>4745</v>
      </c>
      <c r="F3887" s="69" t="s">
        <v>11600</v>
      </c>
    </row>
    <row r="3888" spans="1:6" ht="33.75" x14ac:dyDescent="0.2">
      <c r="A3888" s="65" t="s">
        <v>11601</v>
      </c>
      <c r="B3888" s="65" t="s">
        <v>11602</v>
      </c>
      <c r="C3888" s="67" t="s">
        <v>203</v>
      </c>
      <c r="D3888" s="69" t="s">
        <v>11603</v>
      </c>
      <c r="E3888" s="69" t="s">
        <v>323</v>
      </c>
      <c r="F3888" s="69" t="s">
        <v>11604</v>
      </c>
    </row>
    <row r="3889" spans="1:6" ht="56.25" x14ac:dyDescent="0.2">
      <c r="A3889" s="65" t="s">
        <v>11605</v>
      </c>
      <c r="B3889" s="66" t="s">
        <v>11606</v>
      </c>
      <c r="C3889" s="67" t="s">
        <v>240</v>
      </c>
      <c r="D3889" s="69" t="s">
        <v>11607</v>
      </c>
      <c r="E3889" s="69" t="s">
        <v>11608</v>
      </c>
      <c r="F3889" s="69" t="s">
        <v>11609</v>
      </c>
    </row>
    <row r="3890" spans="1:6" ht="22.5" x14ac:dyDescent="0.2">
      <c r="A3890" s="50">
        <v>66.08</v>
      </c>
      <c r="B3890" s="64" t="s">
        <v>11610</v>
      </c>
      <c r="C3890" s="47"/>
      <c r="D3890" s="47"/>
      <c r="E3890" s="47"/>
      <c r="F3890" s="47"/>
    </row>
    <row r="3891" spans="1:6" ht="56.25" x14ac:dyDescent="0.2">
      <c r="A3891" s="65" t="s">
        <v>11611</v>
      </c>
      <c r="B3891" s="66" t="s">
        <v>11612</v>
      </c>
      <c r="C3891" s="67" t="s">
        <v>203</v>
      </c>
      <c r="D3891" s="69" t="s">
        <v>11613</v>
      </c>
      <c r="E3891" s="69" t="s">
        <v>4394</v>
      </c>
      <c r="F3891" s="69" t="s">
        <v>11614</v>
      </c>
    </row>
    <row r="3892" spans="1:6" ht="22.5" x14ac:dyDescent="0.2">
      <c r="A3892" s="65" t="s">
        <v>11615</v>
      </c>
      <c r="B3892" s="65" t="s">
        <v>11616</v>
      </c>
      <c r="C3892" s="67" t="s">
        <v>203</v>
      </c>
      <c r="D3892" s="69" t="s">
        <v>11617</v>
      </c>
      <c r="E3892" s="69" t="s">
        <v>11618</v>
      </c>
      <c r="F3892" s="69" t="s">
        <v>11619</v>
      </c>
    </row>
    <row r="3893" spans="1:6" ht="22.5" x14ac:dyDescent="0.2">
      <c r="A3893" s="65" t="s">
        <v>11620</v>
      </c>
      <c r="B3893" s="65" t="s">
        <v>11621</v>
      </c>
      <c r="C3893" s="67" t="s">
        <v>203</v>
      </c>
      <c r="D3893" s="69" t="s">
        <v>11622</v>
      </c>
      <c r="E3893" s="69" t="s">
        <v>11618</v>
      </c>
      <c r="F3893" s="69" t="s">
        <v>11623</v>
      </c>
    </row>
    <row r="3894" spans="1:6" ht="22.5" x14ac:dyDescent="0.2">
      <c r="A3894" s="65" t="s">
        <v>11624</v>
      </c>
      <c r="B3894" s="65" t="s">
        <v>11625</v>
      </c>
      <c r="C3894" s="67" t="s">
        <v>203</v>
      </c>
      <c r="D3894" s="69" t="s">
        <v>11626</v>
      </c>
      <c r="E3894" s="69" t="s">
        <v>11618</v>
      </c>
      <c r="F3894" s="69" t="s">
        <v>11627</v>
      </c>
    </row>
    <row r="3895" spans="1:6" ht="22.5" x14ac:dyDescent="0.2">
      <c r="A3895" s="65" t="s">
        <v>11628</v>
      </c>
      <c r="B3895" s="65" t="s">
        <v>11629</v>
      </c>
      <c r="C3895" s="67" t="s">
        <v>203</v>
      </c>
      <c r="D3895" s="69" t="s">
        <v>11630</v>
      </c>
      <c r="E3895" s="69" t="s">
        <v>11631</v>
      </c>
      <c r="F3895" s="69" t="s">
        <v>11632</v>
      </c>
    </row>
    <row r="3896" spans="1:6" ht="22.5" x14ac:dyDescent="0.2">
      <c r="A3896" s="65" t="s">
        <v>11633</v>
      </c>
      <c r="B3896" s="65" t="s">
        <v>11634</v>
      </c>
      <c r="C3896" s="67" t="s">
        <v>203</v>
      </c>
      <c r="D3896" s="69" t="s">
        <v>11635</v>
      </c>
      <c r="E3896" s="69" t="s">
        <v>11636</v>
      </c>
      <c r="F3896" s="69" t="s">
        <v>11637</v>
      </c>
    </row>
    <row r="3897" spans="1:6" ht="22.5" x14ac:dyDescent="0.2">
      <c r="A3897" s="65" t="s">
        <v>11638</v>
      </c>
      <c r="B3897" s="65" t="s">
        <v>11639</v>
      </c>
      <c r="C3897" s="67" t="s">
        <v>203</v>
      </c>
      <c r="D3897" s="69" t="s">
        <v>3699</v>
      </c>
      <c r="E3897" s="69" t="s">
        <v>319</v>
      </c>
      <c r="F3897" s="69" t="s">
        <v>11245</v>
      </c>
    </row>
    <row r="3898" spans="1:6" ht="45" x14ac:dyDescent="0.2">
      <c r="A3898" s="65" t="s">
        <v>11640</v>
      </c>
      <c r="B3898" s="66" t="s">
        <v>11641</v>
      </c>
      <c r="C3898" s="67" t="s">
        <v>203</v>
      </c>
      <c r="D3898" s="69" t="s">
        <v>11642</v>
      </c>
      <c r="E3898" s="69" t="s">
        <v>327</v>
      </c>
      <c r="F3898" s="69" t="s">
        <v>11643</v>
      </c>
    </row>
    <row r="3899" spans="1:6" ht="22.5" x14ac:dyDescent="0.2">
      <c r="A3899" s="65" t="s">
        <v>11644</v>
      </c>
      <c r="B3899" s="65" t="s">
        <v>11645</v>
      </c>
      <c r="C3899" s="67" t="s">
        <v>203</v>
      </c>
      <c r="D3899" s="69" t="s">
        <v>11646</v>
      </c>
      <c r="E3899" s="69" t="s">
        <v>321</v>
      </c>
      <c r="F3899" s="69" t="s">
        <v>11647</v>
      </c>
    </row>
    <row r="3900" spans="1:6" ht="22.5" x14ac:dyDescent="0.2">
      <c r="A3900" s="65" t="s">
        <v>11648</v>
      </c>
      <c r="B3900" s="65" t="s">
        <v>11649</v>
      </c>
      <c r="C3900" s="67" t="s">
        <v>203</v>
      </c>
      <c r="D3900" s="69" t="s">
        <v>11650</v>
      </c>
      <c r="E3900" s="69" t="s">
        <v>323</v>
      </c>
      <c r="F3900" s="69" t="s">
        <v>11651</v>
      </c>
    </row>
    <row r="3901" spans="1:6" ht="33.75" x14ac:dyDescent="0.2">
      <c r="A3901" s="65" t="s">
        <v>11652</v>
      </c>
      <c r="B3901" s="66" t="s">
        <v>11653</v>
      </c>
      <c r="C3901" s="67" t="s">
        <v>203</v>
      </c>
      <c r="D3901" s="69" t="s">
        <v>11654</v>
      </c>
      <c r="E3901" s="69" t="s">
        <v>11655</v>
      </c>
      <c r="F3901" s="69" t="s">
        <v>11656</v>
      </c>
    </row>
    <row r="3902" spans="1:6" ht="33.75" x14ac:dyDescent="0.2">
      <c r="A3902" s="65" t="s">
        <v>11657</v>
      </c>
      <c r="B3902" s="65" t="s">
        <v>11658</v>
      </c>
      <c r="C3902" s="67" t="s">
        <v>203</v>
      </c>
      <c r="D3902" s="69" t="s">
        <v>11659</v>
      </c>
      <c r="E3902" s="69" t="s">
        <v>11655</v>
      </c>
      <c r="F3902" s="69" t="s">
        <v>11660</v>
      </c>
    </row>
    <row r="3903" spans="1:6" ht="33.75" x14ac:dyDescent="0.2">
      <c r="A3903" s="65" t="s">
        <v>11661</v>
      </c>
      <c r="B3903" s="65" t="s">
        <v>11662</v>
      </c>
      <c r="C3903" s="67" t="s">
        <v>203</v>
      </c>
      <c r="D3903" s="69" t="s">
        <v>11663</v>
      </c>
      <c r="E3903" s="69" t="s">
        <v>11655</v>
      </c>
      <c r="F3903" s="69" t="s">
        <v>11664</v>
      </c>
    </row>
    <row r="3904" spans="1:6" ht="22.5" x14ac:dyDescent="0.2">
      <c r="A3904" s="65" t="s">
        <v>11665</v>
      </c>
      <c r="B3904" s="65" t="s">
        <v>11666</v>
      </c>
      <c r="C3904" s="67" t="s">
        <v>203</v>
      </c>
      <c r="D3904" s="69" t="s">
        <v>11667</v>
      </c>
      <c r="E3904" s="69" t="s">
        <v>11668</v>
      </c>
      <c r="F3904" s="69" t="s">
        <v>11669</v>
      </c>
    </row>
    <row r="3905" spans="1:6" ht="45" x14ac:dyDescent="0.2">
      <c r="A3905" s="65" t="s">
        <v>11670</v>
      </c>
      <c r="B3905" s="66" t="s">
        <v>11671</v>
      </c>
      <c r="C3905" s="67" t="s">
        <v>240</v>
      </c>
      <c r="D3905" s="69" t="s">
        <v>11672</v>
      </c>
      <c r="E3905" s="69" t="s">
        <v>11673</v>
      </c>
      <c r="F3905" s="69" t="s">
        <v>11674</v>
      </c>
    </row>
    <row r="3906" spans="1:6" ht="45" x14ac:dyDescent="0.2">
      <c r="A3906" s="65" t="s">
        <v>11675</v>
      </c>
      <c r="B3906" s="66" t="s">
        <v>11676</v>
      </c>
      <c r="C3906" s="67" t="s">
        <v>240</v>
      </c>
      <c r="D3906" s="69" t="s">
        <v>11677</v>
      </c>
      <c r="E3906" s="69" t="s">
        <v>11673</v>
      </c>
      <c r="F3906" s="69" t="s">
        <v>11678</v>
      </c>
    </row>
    <row r="3907" spans="1:6" ht="56.25" x14ac:dyDescent="0.2">
      <c r="A3907" s="70" t="s">
        <v>11679</v>
      </c>
      <c r="B3907" s="65" t="s">
        <v>11680</v>
      </c>
      <c r="C3907" s="71" t="s">
        <v>203</v>
      </c>
      <c r="D3907" s="72" t="s">
        <v>11681</v>
      </c>
      <c r="E3907" s="72" t="s">
        <v>11682</v>
      </c>
      <c r="F3907" s="72" t="s">
        <v>11683</v>
      </c>
    </row>
    <row r="3908" spans="1:6" ht="67.5" x14ac:dyDescent="0.2">
      <c r="A3908" s="70" t="s">
        <v>11684</v>
      </c>
      <c r="B3908" s="66" t="s">
        <v>11685</v>
      </c>
      <c r="C3908" s="71" t="s">
        <v>203</v>
      </c>
      <c r="D3908" s="72" t="s">
        <v>11686</v>
      </c>
      <c r="E3908" s="72" t="s">
        <v>11673</v>
      </c>
      <c r="F3908" s="72" t="s">
        <v>11687</v>
      </c>
    </row>
    <row r="3909" spans="1:6" ht="67.5" x14ac:dyDescent="0.2">
      <c r="A3909" s="70" t="s">
        <v>11688</v>
      </c>
      <c r="B3909" s="66" t="s">
        <v>11689</v>
      </c>
      <c r="C3909" s="71" t="s">
        <v>203</v>
      </c>
      <c r="D3909" s="72" t="s">
        <v>11690</v>
      </c>
      <c r="E3909" s="72" t="s">
        <v>11618</v>
      </c>
      <c r="F3909" s="72" t="s">
        <v>11691</v>
      </c>
    </row>
    <row r="3910" spans="1:6" ht="22.5" x14ac:dyDescent="0.2">
      <c r="A3910" s="50">
        <v>66.2</v>
      </c>
      <c r="B3910" s="64" t="s">
        <v>11692</v>
      </c>
      <c r="C3910" s="47"/>
      <c r="D3910" s="47"/>
      <c r="E3910" s="47"/>
      <c r="F3910" s="47"/>
    </row>
    <row r="3911" spans="1:6" ht="22.5" x14ac:dyDescent="0.2">
      <c r="A3911" s="65" t="s">
        <v>11693</v>
      </c>
      <c r="B3911" s="65" t="s">
        <v>11694</v>
      </c>
      <c r="C3911" s="67" t="s">
        <v>203</v>
      </c>
      <c r="D3911" s="69" t="s">
        <v>9548</v>
      </c>
      <c r="E3911" s="69" t="s">
        <v>11695</v>
      </c>
      <c r="F3911" s="69" t="s">
        <v>11696</v>
      </c>
    </row>
    <row r="3912" spans="1:6" ht="22.5" x14ac:dyDescent="0.2">
      <c r="A3912" s="65" t="s">
        <v>11697</v>
      </c>
      <c r="B3912" s="65" t="s">
        <v>11698</v>
      </c>
      <c r="C3912" s="67" t="s">
        <v>203</v>
      </c>
      <c r="D3912" s="69" t="s">
        <v>11699</v>
      </c>
      <c r="E3912" s="69" t="s">
        <v>11695</v>
      </c>
      <c r="F3912" s="69" t="s">
        <v>11700</v>
      </c>
    </row>
    <row r="3913" spans="1:6" ht="22.5" x14ac:dyDescent="0.2">
      <c r="A3913" s="65" t="s">
        <v>11701</v>
      </c>
      <c r="B3913" s="65" t="s">
        <v>11702</v>
      </c>
      <c r="C3913" s="67" t="s">
        <v>203</v>
      </c>
      <c r="D3913" s="73"/>
      <c r="E3913" s="69" t="s">
        <v>11655</v>
      </c>
      <c r="F3913" s="69" t="s">
        <v>11655</v>
      </c>
    </row>
    <row r="3914" spans="1:6" ht="22.5" x14ac:dyDescent="0.2">
      <c r="A3914" s="65" t="s">
        <v>11703</v>
      </c>
      <c r="B3914" s="65" t="s">
        <v>11704</v>
      </c>
      <c r="C3914" s="67" t="s">
        <v>203</v>
      </c>
      <c r="D3914" s="73"/>
      <c r="E3914" s="69" t="s">
        <v>11655</v>
      </c>
      <c r="F3914" s="69" t="s">
        <v>11655</v>
      </c>
    </row>
    <row r="3915" spans="1:6" ht="56.25" x14ac:dyDescent="0.2">
      <c r="A3915" s="65" t="s">
        <v>11705</v>
      </c>
      <c r="B3915" s="66" t="s">
        <v>11706</v>
      </c>
      <c r="C3915" s="67" t="s">
        <v>203</v>
      </c>
      <c r="D3915" s="69" t="s">
        <v>11707</v>
      </c>
      <c r="E3915" s="69" t="s">
        <v>1110</v>
      </c>
      <c r="F3915" s="69" t="s">
        <v>11708</v>
      </c>
    </row>
    <row r="3916" spans="1:6" ht="33.75" x14ac:dyDescent="0.2">
      <c r="A3916" s="65" t="s">
        <v>11709</v>
      </c>
      <c r="B3916" s="65" t="s">
        <v>11710</v>
      </c>
      <c r="C3916" s="67" t="s">
        <v>203</v>
      </c>
      <c r="D3916" s="69" t="s">
        <v>11711</v>
      </c>
      <c r="E3916" s="69" t="s">
        <v>1110</v>
      </c>
      <c r="F3916" s="69" t="s">
        <v>11712</v>
      </c>
    </row>
    <row r="3917" spans="1:6" ht="33.75" x14ac:dyDescent="0.2">
      <c r="A3917" s="49">
        <v>67</v>
      </c>
      <c r="B3917" s="51" t="s">
        <v>11713</v>
      </c>
      <c r="C3917" s="48"/>
      <c r="D3917" s="48"/>
      <c r="E3917" s="48"/>
      <c r="F3917" s="48"/>
    </row>
    <row r="3918" spans="1:6" x14ac:dyDescent="0.2">
      <c r="A3918" s="50">
        <v>67.02</v>
      </c>
      <c r="B3918" s="64" t="s">
        <v>11714</v>
      </c>
      <c r="C3918" s="47"/>
      <c r="D3918" s="47"/>
      <c r="E3918" s="47"/>
      <c r="F3918" s="47"/>
    </row>
    <row r="3919" spans="1:6" ht="22.5" x14ac:dyDescent="0.2">
      <c r="A3919" s="65" t="s">
        <v>11715</v>
      </c>
      <c r="B3919" s="65" t="s">
        <v>11716</v>
      </c>
      <c r="C3919" s="67" t="s">
        <v>203</v>
      </c>
      <c r="D3919" s="69" t="s">
        <v>11717</v>
      </c>
      <c r="E3919" s="69" t="s">
        <v>2109</v>
      </c>
      <c r="F3919" s="69" t="s">
        <v>11718</v>
      </c>
    </row>
    <row r="3920" spans="1:6" ht="22.5" x14ac:dyDescent="0.2">
      <c r="A3920" s="65" t="s">
        <v>11719</v>
      </c>
      <c r="B3920" s="65" t="s">
        <v>11720</v>
      </c>
      <c r="C3920" s="67" t="s">
        <v>204</v>
      </c>
      <c r="D3920" s="69" t="s">
        <v>11721</v>
      </c>
      <c r="E3920" s="69" t="s">
        <v>275</v>
      </c>
      <c r="F3920" s="69" t="s">
        <v>11722</v>
      </c>
    </row>
    <row r="3921" spans="1:6" ht="45" x14ac:dyDescent="0.2">
      <c r="A3921" s="65" t="s">
        <v>11723</v>
      </c>
      <c r="B3921" s="66" t="s">
        <v>11724</v>
      </c>
      <c r="C3921" s="67" t="s">
        <v>204</v>
      </c>
      <c r="D3921" s="69" t="s">
        <v>11725</v>
      </c>
      <c r="E3921" s="69" t="s">
        <v>275</v>
      </c>
      <c r="F3921" s="69" t="s">
        <v>11726</v>
      </c>
    </row>
    <row r="3922" spans="1:6" ht="45" x14ac:dyDescent="0.2">
      <c r="A3922" s="65" t="s">
        <v>11727</v>
      </c>
      <c r="B3922" s="66" t="s">
        <v>11728</v>
      </c>
      <c r="C3922" s="67" t="s">
        <v>203</v>
      </c>
      <c r="D3922" s="69" t="s">
        <v>11729</v>
      </c>
      <c r="E3922" s="69" t="s">
        <v>261</v>
      </c>
      <c r="F3922" s="69" t="s">
        <v>11730</v>
      </c>
    </row>
    <row r="3923" spans="1:6" ht="56.25" x14ac:dyDescent="0.2">
      <c r="A3923" s="70" t="s">
        <v>11731</v>
      </c>
      <c r="B3923" s="65" t="s">
        <v>11732</v>
      </c>
      <c r="C3923" s="71" t="s">
        <v>203</v>
      </c>
      <c r="D3923" s="72" t="s">
        <v>11733</v>
      </c>
      <c r="E3923" s="72" t="s">
        <v>11734</v>
      </c>
      <c r="F3923" s="72" t="s">
        <v>11735</v>
      </c>
    </row>
    <row r="3924" spans="1:6" ht="22.5" x14ac:dyDescent="0.2">
      <c r="A3924" s="65" t="s">
        <v>11736</v>
      </c>
      <c r="B3924" s="65" t="s">
        <v>11737</v>
      </c>
      <c r="C3924" s="67" t="s">
        <v>204</v>
      </c>
      <c r="D3924" s="69" t="s">
        <v>11738</v>
      </c>
      <c r="E3924" s="69" t="s">
        <v>387</v>
      </c>
      <c r="F3924" s="69" t="s">
        <v>11739</v>
      </c>
    </row>
    <row r="3925" spans="1:6" ht="56.25" x14ac:dyDescent="0.2">
      <c r="A3925" s="65" t="s">
        <v>11740</v>
      </c>
      <c r="B3925" s="66" t="s">
        <v>11741</v>
      </c>
      <c r="C3925" s="67" t="s">
        <v>203</v>
      </c>
      <c r="D3925" s="69" t="s">
        <v>11742</v>
      </c>
      <c r="E3925" s="68"/>
      <c r="F3925" s="69" t="s">
        <v>11742</v>
      </c>
    </row>
    <row r="3926" spans="1:6" ht="56.25" x14ac:dyDescent="0.2">
      <c r="A3926" s="70" t="s">
        <v>11743</v>
      </c>
      <c r="B3926" s="66" t="s">
        <v>11744</v>
      </c>
      <c r="C3926" s="71" t="s">
        <v>203</v>
      </c>
      <c r="D3926" s="72" t="s">
        <v>11745</v>
      </c>
      <c r="E3926" s="72" t="s">
        <v>11746</v>
      </c>
      <c r="F3926" s="72" t="s">
        <v>11747</v>
      </c>
    </row>
    <row r="3927" spans="1:6" ht="56.25" x14ac:dyDescent="0.2">
      <c r="A3927" s="70" t="s">
        <v>11748</v>
      </c>
      <c r="B3927" s="65" t="s">
        <v>11749</v>
      </c>
      <c r="C3927" s="71" t="s">
        <v>240</v>
      </c>
      <c r="D3927" s="72" t="s">
        <v>11750</v>
      </c>
      <c r="E3927" s="66"/>
      <c r="F3927" s="72" t="s">
        <v>11750</v>
      </c>
    </row>
    <row r="3928" spans="1:6" ht="78.75" x14ac:dyDescent="0.2">
      <c r="A3928" s="65" t="s">
        <v>11751</v>
      </c>
      <c r="B3928" s="65" t="s">
        <v>11752</v>
      </c>
      <c r="C3928" s="67" t="s">
        <v>240</v>
      </c>
      <c r="D3928" s="69" t="s">
        <v>11753</v>
      </c>
      <c r="E3928" s="69" t="s">
        <v>11754</v>
      </c>
      <c r="F3928" s="69" t="s">
        <v>11755</v>
      </c>
    </row>
    <row r="3929" spans="1:6" ht="101.25" x14ac:dyDescent="0.2">
      <c r="A3929" s="65" t="s">
        <v>11756</v>
      </c>
      <c r="B3929" s="66" t="s">
        <v>11757</v>
      </c>
      <c r="C3929" s="67" t="s">
        <v>240</v>
      </c>
      <c r="D3929" s="69" t="s">
        <v>11758</v>
      </c>
      <c r="E3929" s="69" t="s">
        <v>11759</v>
      </c>
      <c r="F3929" s="69" t="s">
        <v>11760</v>
      </c>
    </row>
    <row r="3930" spans="1:6" ht="22.5" x14ac:dyDescent="0.2">
      <c r="A3930" s="49">
        <v>68</v>
      </c>
      <c r="B3930" s="64" t="s">
        <v>11761</v>
      </c>
      <c r="C3930" s="47"/>
      <c r="D3930" s="47"/>
      <c r="E3930" s="47"/>
      <c r="F3930" s="47"/>
    </row>
    <row r="3931" spans="1:6" x14ac:dyDescent="0.2">
      <c r="A3931" s="50">
        <v>68.010000000000005</v>
      </c>
      <c r="B3931" s="64" t="s">
        <v>11762</v>
      </c>
      <c r="C3931" s="47"/>
      <c r="D3931" s="47"/>
      <c r="E3931" s="47"/>
      <c r="F3931" s="47"/>
    </row>
    <row r="3932" spans="1:6" ht="22.5" x14ac:dyDescent="0.2">
      <c r="A3932" s="65" t="s">
        <v>11763</v>
      </c>
      <c r="B3932" s="65" t="s">
        <v>11764</v>
      </c>
      <c r="C3932" s="67" t="s">
        <v>203</v>
      </c>
      <c r="D3932" s="69" t="s">
        <v>11765</v>
      </c>
      <c r="E3932" s="69" t="s">
        <v>6975</v>
      </c>
      <c r="F3932" s="69" t="s">
        <v>11766</v>
      </c>
    </row>
    <row r="3933" spans="1:6" ht="22.5" x14ac:dyDescent="0.2">
      <c r="A3933" s="65" t="s">
        <v>11767</v>
      </c>
      <c r="B3933" s="65" t="s">
        <v>11768</v>
      </c>
      <c r="C3933" s="67" t="s">
        <v>203</v>
      </c>
      <c r="D3933" s="69" t="s">
        <v>11769</v>
      </c>
      <c r="E3933" s="69" t="s">
        <v>6975</v>
      </c>
      <c r="F3933" s="69" t="s">
        <v>11770</v>
      </c>
    </row>
    <row r="3934" spans="1:6" ht="22.5" x14ac:dyDescent="0.2">
      <c r="A3934" s="65" t="s">
        <v>11771</v>
      </c>
      <c r="B3934" s="65" t="s">
        <v>11772</v>
      </c>
      <c r="C3934" s="67" t="s">
        <v>203</v>
      </c>
      <c r="D3934" s="69" t="s">
        <v>11773</v>
      </c>
      <c r="E3934" s="69" t="s">
        <v>6975</v>
      </c>
      <c r="F3934" s="69" t="s">
        <v>11774</v>
      </c>
    </row>
    <row r="3935" spans="1:6" ht="22.5" x14ac:dyDescent="0.2">
      <c r="A3935" s="65" t="s">
        <v>11775</v>
      </c>
      <c r="B3935" s="65" t="s">
        <v>11776</v>
      </c>
      <c r="C3935" s="67" t="s">
        <v>203</v>
      </c>
      <c r="D3935" s="69" t="s">
        <v>11777</v>
      </c>
      <c r="E3935" s="69" t="s">
        <v>6975</v>
      </c>
      <c r="F3935" s="69" t="s">
        <v>11778</v>
      </c>
    </row>
    <row r="3936" spans="1:6" ht="22.5" x14ac:dyDescent="0.2">
      <c r="A3936" s="65" t="s">
        <v>11779</v>
      </c>
      <c r="B3936" s="65" t="s">
        <v>11780</v>
      </c>
      <c r="C3936" s="67" t="s">
        <v>203</v>
      </c>
      <c r="D3936" s="69" t="s">
        <v>11781</v>
      </c>
      <c r="E3936" s="69" t="s">
        <v>6975</v>
      </c>
      <c r="F3936" s="69" t="s">
        <v>11782</v>
      </c>
    </row>
    <row r="3937" spans="1:6" ht="22.5" x14ac:dyDescent="0.2">
      <c r="A3937" s="65" t="s">
        <v>11783</v>
      </c>
      <c r="B3937" s="65" t="s">
        <v>11784</v>
      </c>
      <c r="C3937" s="67" t="s">
        <v>203</v>
      </c>
      <c r="D3937" s="69" t="s">
        <v>11785</v>
      </c>
      <c r="E3937" s="69" t="s">
        <v>6975</v>
      </c>
      <c r="F3937" s="69" t="s">
        <v>11786</v>
      </c>
    </row>
    <row r="3938" spans="1:6" ht="22.5" x14ac:dyDescent="0.2">
      <c r="A3938" s="65" t="s">
        <v>11787</v>
      </c>
      <c r="B3938" s="65" t="s">
        <v>11788</v>
      </c>
      <c r="C3938" s="67" t="s">
        <v>203</v>
      </c>
      <c r="D3938" s="69" t="s">
        <v>11789</v>
      </c>
      <c r="E3938" s="69" t="s">
        <v>6975</v>
      </c>
      <c r="F3938" s="69" t="s">
        <v>11790</v>
      </c>
    </row>
    <row r="3939" spans="1:6" ht="22.5" x14ac:dyDescent="0.2">
      <c r="A3939" s="65" t="s">
        <v>11791</v>
      </c>
      <c r="B3939" s="65" t="s">
        <v>11792</v>
      </c>
      <c r="C3939" s="67" t="s">
        <v>203</v>
      </c>
      <c r="D3939" s="69" t="s">
        <v>11793</v>
      </c>
      <c r="E3939" s="69" t="s">
        <v>6975</v>
      </c>
      <c r="F3939" s="69" t="s">
        <v>11794</v>
      </c>
    </row>
    <row r="3940" spans="1:6" ht="22.5" x14ac:dyDescent="0.2">
      <c r="A3940" s="65" t="s">
        <v>11795</v>
      </c>
      <c r="B3940" s="65" t="s">
        <v>11796</v>
      </c>
      <c r="C3940" s="67" t="s">
        <v>203</v>
      </c>
      <c r="D3940" s="69" t="s">
        <v>11797</v>
      </c>
      <c r="E3940" s="69" t="s">
        <v>6975</v>
      </c>
      <c r="F3940" s="69" t="s">
        <v>11798</v>
      </c>
    </row>
    <row r="3941" spans="1:6" ht="22.5" x14ac:dyDescent="0.2">
      <c r="A3941" s="65" t="s">
        <v>11799</v>
      </c>
      <c r="B3941" s="65" t="s">
        <v>11800</v>
      </c>
      <c r="C3941" s="67" t="s">
        <v>203</v>
      </c>
      <c r="D3941" s="69" t="s">
        <v>11801</v>
      </c>
      <c r="E3941" s="69" t="s">
        <v>6975</v>
      </c>
      <c r="F3941" s="69" t="s">
        <v>11802</v>
      </c>
    </row>
    <row r="3942" spans="1:6" ht="22.5" x14ac:dyDescent="0.2">
      <c r="A3942" s="65" t="s">
        <v>11803</v>
      </c>
      <c r="B3942" s="65" t="s">
        <v>11804</v>
      </c>
      <c r="C3942" s="67" t="s">
        <v>203</v>
      </c>
      <c r="D3942" s="69" t="s">
        <v>11805</v>
      </c>
      <c r="E3942" s="69" t="s">
        <v>6975</v>
      </c>
      <c r="F3942" s="69" t="s">
        <v>11806</v>
      </c>
    </row>
    <row r="3943" spans="1:6" ht="22.5" x14ac:dyDescent="0.2">
      <c r="A3943" s="65" t="s">
        <v>11807</v>
      </c>
      <c r="B3943" s="65" t="s">
        <v>11808</v>
      </c>
      <c r="C3943" s="67" t="s">
        <v>203</v>
      </c>
      <c r="D3943" s="69" t="s">
        <v>11809</v>
      </c>
      <c r="E3943" s="69" t="s">
        <v>6975</v>
      </c>
      <c r="F3943" s="69" t="s">
        <v>11810</v>
      </c>
    </row>
    <row r="3944" spans="1:6" x14ac:dyDescent="0.2">
      <c r="A3944" s="50">
        <v>68.02</v>
      </c>
      <c r="B3944" s="64" t="s">
        <v>11811</v>
      </c>
      <c r="C3944" s="47"/>
      <c r="D3944" s="47"/>
      <c r="E3944" s="47"/>
      <c r="F3944" s="47"/>
    </row>
    <row r="3945" spans="1:6" x14ac:dyDescent="0.2">
      <c r="A3945" s="65" t="s">
        <v>11812</v>
      </c>
      <c r="B3945" s="65" t="s">
        <v>11813</v>
      </c>
      <c r="C3945" s="67" t="s">
        <v>203</v>
      </c>
      <c r="D3945" s="69" t="s">
        <v>11814</v>
      </c>
      <c r="E3945" s="69" t="s">
        <v>11815</v>
      </c>
      <c r="F3945" s="69" t="s">
        <v>11816</v>
      </c>
    </row>
    <row r="3946" spans="1:6" x14ac:dyDescent="0.2">
      <c r="A3946" s="65" t="s">
        <v>11817</v>
      </c>
      <c r="B3946" s="65" t="s">
        <v>11818</v>
      </c>
      <c r="C3946" s="67" t="s">
        <v>203</v>
      </c>
      <c r="D3946" s="69" t="s">
        <v>11819</v>
      </c>
      <c r="E3946" s="69" t="s">
        <v>11820</v>
      </c>
      <c r="F3946" s="69" t="s">
        <v>11821</v>
      </c>
    </row>
    <row r="3947" spans="1:6" x14ac:dyDescent="0.2">
      <c r="A3947" s="65" t="s">
        <v>11822</v>
      </c>
      <c r="B3947" s="65" t="s">
        <v>11823</v>
      </c>
      <c r="C3947" s="67" t="s">
        <v>203</v>
      </c>
      <c r="D3947" s="69" t="s">
        <v>11824</v>
      </c>
      <c r="E3947" s="69" t="s">
        <v>11820</v>
      </c>
      <c r="F3947" s="69" t="s">
        <v>11825</v>
      </c>
    </row>
    <row r="3948" spans="1:6" x14ac:dyDescent="0.2">
      <c r="A3948" s="65" t="s">
        <v>11826</v>
      </c>
      <c r="B3948" s="65" t="s">
        <v>11827</v>
      </c>
      <c r="C3948" s="67" t="s">
        <v>203</v>
      </c>
      <c r="D3948" s="69" t="s">
        <v>11828</v>
      </c>
      <c r="E3948" s="69" t="s">
        <v>11829</v>
      </c>
      <c r="F3948" s="69" t="s">
        <v>11830</v>
      </c>
    </row>
    <row r="3949" spans="1:6" x14ac:dyDescent="0.2">
      <c r="A3949" s="65" t="s">
        <v>11831</v>
      </c>
      <c r="B3949" s="65" t="s">
        <v>11832</v>
      </c>
      <c r="C3949" s="67" t="s">
        <v>203</v>
      </c>
      <c r="D3949" s="69" t="s">
        <v>11833</v>
      </c>
      <c r="E3949" s="69" t="s">
        <v>11834</v>
      </c>
      <c r="F3949" s="69" t="s">
        <v>11835</v>
      </c>
    </row>
    <row r="3950" spans="1:6" x14ac:dyDescent="0.2">
      <c r="A3950" s="65" t="s">
        <v>11836</v>
      </c>
      <c r="B3950" s="65" t="s">
        <v>11837</v>
      </c>
      <c r="C3950" s="67" t="s">
        <v>203</v>
      </c>
      <c r="D3950" s="69" t="s">
        <v>11838</v>
      </c>
      <c r="E3950" s="69" t="s">
        <v>11829</v>
      </c>
      <c r="F3950" s="69" t="s">
        <v>11839</v>
      </c>
    </row>
    <row r="3951" spans="1:6" x14ac:dyDescent="0.2">
      <c r="A3951" s="65" t="s">
        <v>11840</v>
      </c>
      <c r="B3951" s="65" t="s">
        <v>11841</v>
      </c>
      <c r="C3951" s="67" t="s">
        <v>203</v>
      </c>
      <c r="D3951" s="69" t="s">
        <v>11842</v>
      </c>
      <c r="E3951" s="69" t="s">
        <v>11829</v>
      </c>
      <c r="F3951" s="69" t="s">
        <v>11843</v>
      </c>
    </row>
    <row r="3952" spans="1:6" x14ac:dyDescent="0.2">
      <c r="A3952" s="65" t="s">
        <v>11844</v>
      </c>
      <c r="B3952" s="65" t="s">
        <v>11845</v>
      </c>
      <c r="C3952" s="67" t="s">
        <v>203</v>
      </c>
      <c r="D3952" s="69" t="s">
        <v>11846</v>
      </c>
      <c r="E3952" s="69" t="s">
        <v>11834</v>
      </c>
      <c r="F3952" s="69" t="s">
        <v>11847</v>
      </c>
    </row>
    <row r="3953" spans="1:6" x14ac:dyDescent="0.2">
      <c r="A3953" s="65" t="s">
        <v>11848</v>
      </c>
      <c r="B3953" s="65" t="s">
        <v>11849</v>
      </c>
      <c r="C3953" s="67" t="s">
        <v>203</v>
      </c>
      <c r="D3953" s="69" t="s">
        <v>11850</v>
      </c>
      <c r="E3953" s="69" t="s">
        <v>11851</v>
      </c>
      <c r="F3953" s="69" t="s">
        <v>11852</v>
      </c>
    </row>
    <row r="3954" spans="1:6" x14ac:dyDescent="0.2">
      <c r="A3954" s="65" t="s">
        <v>11853</v>
      </c>
      <c r="B3954" s="65" t="s">
        <v>11854</v>
      </c>
      <c r="C3954" s="67" t="s">
        <v>203</v>
      </c>
      <c r="D3954" s="69" t="s">
        <v>11855</v>
      </c>
      <c r="E3954" s="69" t="s">
        <v>11851</v>
      </c>
      <c r="F3954" s="69" t="s">
        <v>11856</v>
      </c>
    </row>
    <row r="3955" spans="1:6" x14ac:dyDescent="0.2">
      <c r="A3955" s="65" t="s">
        <v>11857</v>
      </c>
      <c r="B3955" s="65" t="s">
        <v>11858</v>
      </c>
      <c r="C3955" s="67" t="s">
        <v>203</v>
      </c>
      <c r="D3955" s="69" t="s">
        <v>11859</v>
      </c>
      <c r="E3955" s="69" t="s">
        <v>11815</v>
      </c>
      <c r="F3955" s="69" t="s">
        <v>6491</v>
      </c>
    </row>
    <row r="3956" spans="1:6" x14ac:dyDescent="0.2">
      <c r="A3956" s="65" t="s">
        <v>11860</v>
      </c>
      <c r="B3956" s="65" t="s">
        <v>11861</v>
      </c>
      <c r="C3956" s="67" t="s">
        <v>203</v>
      </c>
      <c r="D3956" s="69" t="s">
        <v>11862</v>
      </c>
      <c r="E3956" s="69" t="s">
        <v>11820</v>
      </c>
      <c r="F3956" s="69" t="s">
        <v>11863</v>
      </c>
    </row>
    <row r="3957" spans="1:6" ht="22.5" x14ac:dyDescent="0.2">
      <c r="A3957" s="50">
        <v>68.2</v>
      </c>
      <c r="B3957" s="64" t="s">
        <v>11864</v>
      </c>
      <c r="C3957" s="47"/>
      <c r="D3957" s="47"/>
      <c r="E3957" s="47"/>
      <c r="F3957" s="47"/>
    </row>
    <row r="3958" spans="1:6" ht="22.5" x14ac:dyDescent="0.2">
      <c r="A3958" s="65" t="s">
        <v>11865</v>
      </c>
      <c r="B3958" s="65" t="s">
        <v>11866</v>
      </c>
      <c r="C3958" s="67" t="s">
        <v>203</v>
      </c>
      <c r="D3958" s="69" t="s">
        <v>11867</v>
      </c>
      <c r="E3958" s="69" t="s">
        <v>11868</v>
      </c>
      <c r="F3958" s="69" t="s">
        <v>11869</v>
      </c>
    </row>
    <row r="3959" spans="1:6" ht="45" x14ac:dyDescent="0.2">
      <c r="A3959" s="65" t="s">
        <v>11870</v>
      </c>
      <c r="B3959" s="66" t="s">
        <v>11871</v>
      </c>
      <c r="C3959" s="67" t="s">
        <v>203</v>
      </c>
      <c r="D3959" s="69" t="s">
        <v>11872</v>
      </c>
      <c r="E3959" s="69" t="s">
        <v>325</v>
      </c>
      <c r="F3959" s="69" t="s">
        <v>11873</v>
      </c>
    </row>
    <row r="3960" spans="1:6" ht="45" x14ac:dyDescent="0.2">
      <c r="A3960" s="65" t="s">
        <v>11874</v>
      </c>
      <c r="B3960" s="66" t="s">
        <v>11875</v>
      </c>
      <c r="C3960" s="67" t="s">
        <v>203</v>
      </c>
      <c r="D3960" s="69" t="s">
        <v>11876</v>
      </c>
      <c r="E3960" s="69" t="s">
        <v>335</v>
      </c>
      <c r="F3960" s="69" t="s">
        <v>11877</v>
      </c>
    </row>
    <row r="3961" spans="1:6" ht="22.5" x14ac:dyDescent="0.2">
      <c r="A3961" s="65" t="s">
        <v>11878</v>
      </c>
      <c r="B3961" s="65" t="s">
        <v>11879</v>
      </c>
      <c r="C3961" s="67" t="s">
        <v>203</v>
      </c>
      <c r="D3961" s="69" t="s">
        <v>11880</v>
      </c>
      <c r="E3961" s="69" t="s">
        <v>5343</v>
      </c>
      <c r="F3961" s="69" t="s">
        <v>5185</v>
      </c>
    </row>
    <row r="3962" spans="1:6" ht="45" x14ac:dyDescent="0.2">
      <c r="A3962" s="49">
        <v>69</v>
      </c>
      <c r="B3962" s="51" t="s">
        <v>11881</v>
      </c>
      <c r="C3962" s="48"/>
      <c r="D3962" s="48"/>
      <c r="E3962" s="48"/>
      <c r="F3962" s="48"/>
    </row>
    <row r="3963" spans="1:6" ht="22.5" x14ac:dyDescent="0.2">
      <c r="A3963" s="50">
        <v>69.03</v>
      </c>
      <c r="B3963" s="64" t="s">
        <v>11882</v>
      </c>
      <c r="C3963" s="47"/>
      <c r="D3963" s="47"/>
      <c r="E3963" s="47"/>
      <c r="F3963" s="47"/>
    </row>
    <row r="3964" spans="1:6" ht="45" x14ac:dyDescent="0.2">
      <c r="A3964" s="65" t="s">
        <v>11883</v>
      </c>
      <c r="B3964" s="66" t="s">
        <v>11884</v>
      </c>
      <c r="C3964" s="67" t="s">
        <v>203</v>
      </c>
      <c r="D3964" s="69" t="s">
        <v>11885</v>
      </c>
      <c r="E3964" s="68"/>
      <c r="F3964" s="69" t="s">
        <v>11885</v>
      </c>
    </row>
    <row r="3965" spans="1:6" ht="45" x14ac:dyDescent="0.2">
      <c r="A3965" s="65" t="s">
        <v>11886</v>
      </c>
      <c r="B3965" s="66" t="s">
        <v>11887</v>
      </c>
      <c r="C3965" s="67" t="s">
        <v>203</v>
      </c>
      <c r="D3965" s="69" t="s">
        <v>2198</v>
      </c>
      <c r="E3965" s="69" t="s">
        <v>5495</v>
      </c>
      <c r="F3965" s="69" t="s">
        <v>11888</v>
      </c>
    </row>
    <row r="3966" spans="1:6" ht="56.25" x14ac:dyDescent="0.2">
      <c r="A3966" s="65" t="s">
        <v>11889</v>
      </c>
      <c r="B3966" s="66" t="s">
        <v>11890</v>
      </c>
      <c r="C3966" s="67" t="s">
        <v>203</v>
      </c>
      <c r="D3966" s="69" t="s">
        <v>11891</v>
      </c>
      <c r="E3966" s="69" t="s">
        <v>11892</v>
      </c>
      <c r="F3966" s="69" t="s">
        <v>11893</v>
      </c>
    </row>
    <row r="3967" spans="1:6" ht="56.25" x14ac:dyDescent="0.2">
      <c r="A3967" s="70" t="s">
        <v>11894</v>
      </c>
      <c r="B3967" s="65" t="s">
        <v>11895</v>
      </c>
      <c r="C3967" s="71" t="s">
        <v>203</v>
      </c>
      <c r="D3967" s="72" t="s">
        <v>11896</v>
      </c>
      <c r="E3967" s="72" t="s">
        <v>318</v>
      </c>
      <c r="F3967" s="72" t="s">
        <v>11897</v>
      </c>
    </row>
    <row r="3968" spans="1:6" ht="22.5" x14ac:dyDescent="0.2">
      <c r="A3968" s="65" t="s">
        <v>11898</v>
      </c>
      <c r="B3968" s="65" t="s">
        <v>11899</v>
      </c>
      <c r="C3968" s="67" t="s">
        <v>203</v>
      </c>
      <c r="D3968" s="69" t="s">
        <v>11900</v>
      </c>
      <c r="E3968" s="69" t="s">
        <v>320</v>
      </c>
      <c r="F3968" s="69" t="s">
        <v>11901</v>
      </c>
    </row>
    <row r="3969" spans="1:6" ht="22.5" x14ac:dyDescent="0.2">
      <c r="A3969" s="65" t="s">
        <v>11902</v>
      </c>
      <c r="B3969" s="65" t="s">
        <v>11903</v>
      </c>
      <c r="C3969" s="67" t="s">
        <v>203</v>
      </c>
      <c r="D3969" s="69" t="s">
        <v>11904</v>
      </c>
      <c r="E3969" s="69" t="s">
        <v>320</v>
      </c>
      <c r="F3969" s="69" t="s">
        <v>11905</v>
      </c>
    </row>
    <row r="3970" spans="1:6" ht="45" x14ac:dyDescent="0.2">
      <c r="A3970" s="65" t="s">
        <v>11906</v>
      </c>
      <c r="B3970" s="66" t="s">
        <v>11907</v>
      </c>
      <c r="C3970" s="67" t="s">
        <v>240</v>
      </c>
      <c r="D3970" s="69" t="s">
        <v>11908</v>
      </c>
      <c r="E3970" s="68"/>
      <c r="F3970" s="69" t="s">
        <v>11908</v>
      </c>
    </row>
    <row r="3971" spans="1:6" ht="45" x14ac:dyDescent="0.2">
      <c r="A3971" s="65" t="s">
        <v>11909</v>
      </c>
      <c r="B3971" s="66" t="s">
        <v>11910</v>
      </c>
      <c r="C3971" s="67" t="s">
        <v>240</v>
      </c>
      <c r="D3971" s="69" t="s">
        <v>11911</v>
      </c>
      <c r="E3971" s="68"/>
      <c r="F3971" s="69" t="s">
        <v>11911</v>
      </c>
    </row>
    <row r="3972" spans="1:6" ht="56.25" x14ac:dyDescent="0.2">
      <c r="A3972" s="65" t="s">
        <v>11912</v>
      </c>
      <c r="B3972" s="66" t="s">
        <v>11913</v>
      </c>
      <c r="C3972" s="67" t="s">
        <v>240</v>
      </c>
      <c r="D3972" s="69" t="s">
        <v>11914</v>
      </c>
      <c r="E3972" s="68"/>
      <c r="F3972" s="69" t="s">
        <v>11914</v>
      </c>
    </row>
    <row r="3973" spans="1:6" x14ac:dyDescent="0.2">
      <c r="A3973" s="50">
        <v>69.05</v>
      </c>
      <c r="B3973" s="64" t="s">
        <v>11915</v>
      </c>
      <c r="C3973" s="47"/>
      <c r="D3973" s="47"/>
      <c r="E3973" s="47"/>
      <c r="F3973" s="47"/>
    </row>
    <row r="3974" spans="1:6" ht="33.75" x14ac:dyDescent="0.2">
      <c r="A3974" s="65" t="s">
        <v>11916</v>
      </c>
      <c r="B3974" s="65" t="s">
        <v>11917</v>
      </c>
      <c r="C3974" s="67" t="s">
        <v>203</v>
      </c>
      <c r="D3974" s="69" t="s">
        <v>11918</v>
      </c>
      <c r="E3974" s="69" t="s">
        <v>317</v>
      </c>
      <c r="F3974" s="69" t="s">
        <v>11919</v>
      </c>
    </row>
    <row r="3975" spans="1:6" ht="33.75" x14ac:dyDescent="0.2">
      <c r="A3975" s="65" t="s">
        <v>11920</v>
      </c>
      <c r="B3975" s="65" t="s">
        <v>11921</v>
      </c>
      <c r="C3975" s="67" t="s">
        <v>203</v>
      </c>
      <c r="D3975" s="69" t="s">
        <v>11922</v>
      </c>
      <c r="E3975" s="69" t="s">
        <v>317</v>
      </c>
      <c r="F3975" s="69" t="s">
        <v>11923</v>
      </c>
    </row>
    <row r="3976" spans="1:6" ht="33.75" x14ac:dyDescent="0.2">
      <c r="A3976" s="65" t="s">
        <v>11924</v>
      </c>
      <c r="B3976" s="65" t="s">
        <v>11925</v>
      </c>
      <c r="C3976" s="67" t="s">
        <v>203</v>
      </c>
      <c r="D3976" s="69" t="s">
        <v>11926</v>
      </c>
      <c r="E3976" s="69" t="s">
        <v>317</v>
      </c>
      <c r="F3976" s="69" t="s">
        <v>11927</v>
      </c>
    </row>
    <row r="3977" spans="1:6" ht="22.5" x14ac:dyDescent="0.2">
      <c r="A3977" s="50">
        <v>69.06</v>
      </c>
      <c r="B3977" s="64" t="s">
        <v>11928</v>
      </c>
      <c r="C3977" s="47"/>
      <c r="D3977" s="47"/>
      <c r="E3977" s="47"/>
      <c r="F3977" s="47"/>
    </row>
    <row r="3978" spans="1:6" ht="56.25" x14ac:dyDescent="0.2">
      <c r="A3978" s="65" t="s">
        <v>11929</v>
      </c>
      <c r="B3978" s="66" t="s">
        <v>11930</v>
      </c>
      <c r="C3978" s="67" t="s">
        <v>203</v>
      </c>
      <c r="D3978" s="69" t="s">
        <v>11931</v>
      </c>
      <c r="E3978" s="69" t="s">
        <v>332</v>
      </c>
      <c r="F3978" s="69" t="s">
        <v>11932</v>
      </c>
    </row>
    <row r="3979" spans="1:6" ht="56.25" x14ac:dyDescent="0.2">
      <c r="A3979" s="65" t="s">
        <v>11933</v>
      </c>
      <c r="B3979" s="66" t="s">
        <v>11934</v>
      </c>
      <c r="C3979" s="67" t="s">
        <v>203</v>
      </c>
      <c r="D3979" s="69" t="s">
        <v>11935</v>
      </c>
      <c r="E3979" s="69" t="s">
        <v>332</v>
      </c>
      <c r="F3979" s="69" t="s">
        <v>11936</v>
      </c>
    </row>
    <row r="3980" spans="1:6" ht="56.25" x14ac:dyDescent="0.2">
      <c r="A3980" s="65" t="s">
        <v>11937</v>
      </c>
      <c r="B3980" s="66" t="s">
        <v>11938</v>
      </c>
      <c r="C3980" s="67" t="s">
        <v>203</v>
      </c>
      <c r="D3980" s="69" t="s">
        <v>11939</v>
      </c>
      <c r="E3980" s="69" t="s">
        <v>332</v>
      </c>
      <c r="F3980" s="69" t="s">
        <v>11940</v>
      </c>
    </row>
    <row r="3981" spans="1:6" ht="33.75" x14ac:dyDescent="0.2">
      <c r="A3981" s="65" t="s">
        <v>11941</v>
      </c>
      <c r="B3981" s="65" t="s">
        <v>11942</v>
      </c>
      <c r="C3981" s="67" t="s">
        <v>203</v>
      </c>
      <c r="D3981" s="69" t="s">
        <v>11943</v>
      </c>
      <c r="E3981" s="69" t="s">
        <v>328</v>
      </c>
      <c r="F3981" s="69" t="s">
        <v>11944</v>
      </c>
    </row>
    <row r="3982" spans="1:6" ht="56.25" x14ac:dyDescent="0.2">
      <c r="A3982" s="65" t="s">
        <v>11945</v>
      </c>
      <c r="B3982" s="66" t="s">
        <v>11946</v>
      </c>
      <c r="C3982" s="67" t="s">
        <v>203</v>
      </c>
      <c r="D3982" s="69" t="s">
        <v>11947</v>
      </c>
      <c r="E3982" s="69" t="s">
        <v>332</v>
      </c>
      <c r="F3982" s="69" t="s">
        <v>11948</v>
      </c>
    </row>
    <row r="3983" spans="1:6" ht="45" x14ac:dyDescent="0.2">
      <c r="A3983" s="65" t="s">
        <v>11949</v>
      </c>
      <c r="B3983" s="66" t="s">
        <v>11950</v>
      </c>
      <c r="C3983" s="67" t="s">
        <v>203</v>
      </c>
      <c r="D3983" s="69" t="s">
        <v>11951</v>
      </c>
      <c r="E3983" s="69" t="s">
        <v>328</v>
      </c>
      <c r="F3983" s="69" t="s">
        <v>11952</v>
      </c>
    </row>
    <row r="3984" spans="1:6" ht="56.25" x14ac:dyDescent="0.2">
      <c r="A3984" s="65" t="s">
        <v>11953</v>
      </c>
      <c r="B3984" s="66" t="s">
        <v>11954</v>
      </c>
      <c r="C3984" s="67" t="s">
        <v>203</v>
      </c>
      <c r="D3984" s="69" t="s">
        <v>11955</v>
      </c>
      <c r="E3984" s="69" t="s">
        <v>321</v>
      </c>
      <c r="F3984" s="69" t="s">
        <v>11956</v>
      </c>
    </row>
    <row r="3985" spans="1:6" ht="56.25" x14ac:dyDescent="0.2">
      <c r="A3985" s="65" t="s">
        <v>11957</v>
      </c>
      <c r="B3985" s="66" t="s">
        <v>11958</v>
      </c>
      <c r="C3985" s="67" t="s">
        <v>203</v>
      </c>
      <c r="D3985" s="69" t="s">
        <v>11959</v>
      </c>
      <c r="E3985" s="69" t="s">
        <v>332</v>
      </c>
      <c r="F3985" s="69" t="s">
        <v>11960</v>
      </c>
    </row>
    <row r="3986" spans="1:6" ht="45" x14ac:dyDescent="0.2">
      <c r="A3986" s="65" t="s">
        <v>11961</v>
      </c>
      <c r="B3986" s="66" t="s">
        <v>11962</v>
      </c>
      <c r="C3986" s="67" t="s">
        <v>203</v>
      </c>
      <c r="D3986" s="69" t="s">
        <v>11963</v>
      </c>
      <c r="E3986" s="69" t="s">
        <v>332</v>
      </c>
      <c r="F3986" s="69" t="s">
        <v>11964</v>
      </c>
    </row>
    <row r="3987" spans="1:6" ht="45" x14ac:dyDescent="0.2">
      <c r="A3987" s="65" t="s">
        <v>11965</v>
      </c>
      <c r="B3987" s="66" t="s">
        <v>11966</v>
      </c>
      <c r="C3987" s="67" t="s">
        <v>203</v>
      </c>
      <c r="D3987" s="69" t="s">
        <v>11967</v>
      </c>
      <c r="E3987" s="69" t="s">
        <v>332</v>
      </c>
      <c r="F3987" s="69" t="s">
        <v>11968</v>
      </c>
    </row>
    <row r="3988" spans="1:6" ht="45" x14ac:dyDescent="0.2">
      <c r="A3988" s="65" t="s">
        <v>11969</v>
      </c>
      <c r="B3988" s="66" t="s">
        <v>11970</v>
      </c>
      <c r="C3988" s="67" t="s">
        <v>203</v>
      </c>
      <c r="D3988" s="69" t="s">
        <v>11971</v>
      </c>
      <c r="E3988" s="69" t="s">
        <v>332</v>
      </c>
      <c r="F3988" s="69" t="s">
        <v>11972</v>
      </c>
    </row>
    <row r="3989" spans="1:6" ht="45" x14ac:dyDescent="0.2">
      <c r="A3989" s="65" t="s">
        <v>11973</v>
      </c>
      <c r="B3989" s="66" t="s">
        <v>11974</v>
      </c>
      <c r="C3989" s="67" t="s">
        <v>203</v>
      </c>
      <c r="D3989" s="69" t="s">
        <v>11975</v>
      </c>
      <c r="E3989" s="69" t="s">
        <v>332</v>
      </c>
      <c r="F3989" s="69" t="s">
        <v>11976</v>
      </c>
    </row>
    <row r="3990" spans="1:6" ht="56.25" x14ac:dyDescent="0.2">
      <c r="A3990" s="65" t="s">
        <v>11977</v>
      </c>
      <c r="B3990" s="66" t="s">
        <v>11978</v>
      </c>
      <c r="C3990" s="67" t="s">
        <v>203</v>
      </c>
      <c r="D3990" s="69" t="s">
        <v>11979</v>
      </c>
      <c r="E3990" s="69" t="s">
        <v>332</v>
      </c>
      <c r="F3990" s="69" t="s">
        <v>11980</v>
      </c>
    </row>
    <row r="3991" spans="1:6" ht="56.25" x14ac:dyDescent="0.2">
      <c r="A3991" s="65" t="s">
        <v>11981</v>
      </c>
      <c r="B3991" s="66" t="s">
        <v>11982</v>
      </c>
      <c r="C3991" s="67" t="s">
        <v>203</v>
      </c>
      <c r="D3991" s="69" t="s">
        <v>11983</v>
      </c>
      <c r="E3991" s="69" t="s">
        <v>332</v>
      </c>
      <c r="F3991" s="69" t="s">
        <v>11984</v>
      </c>
    </row>
    <row r="3992" spans="1:6" ht="56.25" x14ac:dyDescent="0.2">
      <c r="A3992" s="65" t="s">
        <v>11985</v>
      </c>
      <c r="B3992" s="66" t="s">
        <v>11986</v>
      </c>
      <c r="C3992" s="67" t="s">
        <v>203</v>
      </c>
      <c r="D3992" s="69" t="s">
        <v>11987</v>
      </c>
      <c r="E3992" s="69" t="s">
        <v>332</v>
      </c>
      <c r="F3992" s="69" t="s">
        <v>11988</v>
      </c>
    </row>
    <row r="3993" spans="1:6" ht="56.25" x14ac:dyDescent="0.2">
      <c r="A3993" s="65" t="s">
        <v>11989</v>
      </c>
      <c r="B3993" s="66" t="s">
        <v>11990</v>
      </c>
      <c r="C3993" s="67" t="s">
        <v>203</v>
      </c>
      <c r="D3993" s="69" t="s">
        <v>11991</v>
      </c>
      <c r="E3993" s="69" t="s">
        <v>332</v>
      </c>
      <c r="F3993" s="69" t="s">
        <v>11992</v>
      </c>
    </row>
    <row r="3994" spans="1:6" ht="56.25" x14ac:dyDescent="0.2">
      <c r="A3994" s="65" t="s">
        <v>11993</v>
      </c>
      <c r="B3994" s="66" t="s">
        <v>11994</v>
      </c>
      <c r="C3994" s="67" t="s">
        <v>203</v>
      </c>
      <c r="D3994" s="69" t="s">
        <v>11995</v>
      </c>
      <c r="E3994" s="69" t="s">
        <v>332</v>
      </c>
      <c r="F3994" s="69" t="s">
        <v>11996</v>
      </c>
    </row>
    <row r="3995" spans="1:6" x14ac:dyDescent="0.2">
      <c r="A3995" s="50">
        <v>69.08</v>
      </c>
      <c r="B3995" s="64" t="s">
        <v>11997</v>
      </c>
      <c r="C3995" s="47"/>
      <c r="D3995" s="47"/>
      <c r="E3995" s="47"/>
      <c r="F3995" s="47"/>
    </row>
    <row r="3996" spans="1:6" ht="22.5" x14ac:dyDescent="0.2">
      <c r="A3996" s="65" t="s">
        <v>11998</v>
      </c>
      <c r="B3996" s="65" t="s">
        <v>11999</v>
      </c>
      <c r="C3996" s="67" t="s">
        <v>203</v>
      </c>
      <c r="D3996" s="69" t="s">
        <v>12000</v>
      </c>
      <c r="E3996" s="69" t="s">
        <v>8766</v>
      </c>
      <c r="F3996" s="69" t="s">
        <v>12001</v>
      </c>
    </row>
    <row r="3997" spans="1:6" x14ac:dyDescent="0.2">
      <c r="A3997" s="50">
        <v>69.09</v>
      </c>
      <c r="B3997" s="64" t="s">
        <v>12002</v>
      </c>
      <c r="C3997" s="47"/>
      <c r="D3997" s="47"/>
      <c r="E3997" s="47"/>
      <c r="F3997" s="47"/>
    </row>
    <row r="3998" spans="1:6" ht="22.5" x14ac:dyDescent="0.2">
      <c r="A3998" s="65" t="s">
        <v>12003</v>
      </c>
      <c r="B3998" s="65" t="s">
        <v>12004</v>
      </c>
      <c r="C3998" s="67" t="s">
        <v>203</v>
      </c>
      <c r="D3998" s="69" t="s">
        <v>12005</v>
      </c>
      <c r="E3998" s="69" t="s">
        <v>336</v>
      </c>
      <c r="F3998" s="69" t="s">
        <v>12006</v>
      </c>
    </row>
    <row r="3999" spans="1:6" ht="22.5" x14ac:dyDescent="0.2">
      <c r="A3999" s="65" t="s">
        <v>12007</v>
      </c>
      <c r="B3999" s="65" t="s">
        <v>12008</v>
      </c>
      <c r="C3999" s="67" t="s">
        <v>203</v>
      </c>
      <c r="D3999" s="69" t="s">
        <v>12009</v>
      </c>
      <c r="E3999" s="69" t="s">
        <v>5023</v>
      </c>
      <c r="F3999" s="69" t="s">
        <v>12010</v>
      </c>
    </row>
    <row r="4000" spans="1:6" ht="22.5" x14ac:dyDescent="0.2">
      <c r="A4000" s="65" t="s">
        <v>12011</v>
      </c>
      <c r="B4000" s="65" t="s">
        <v>12012</v>
      </c>
      <c r="C4000" s="67" t="s">
        <v>203</v>
      </c>
      <c r="D4000" s="69" t="s">
        <v>12013</v>
      </c>
      <c r="E4000" s="69" t="s">
        <v>5023</v>
      </c>
      <c r="F4000" s="69" t="s">
        <v>12014</v>
      </c>
    </row>
    <row r="4001" spans="1:6" ht="22.5" x14ac:dyDescent="0.2">
      <c r="A4001" s="65" t="s">
        <v>12015</v>
      </c>
      <c r="B4001" s="65" t="s">
        <v>12016</v>
      </c>
      <c r="C4001" s="67" t="s">
        <v>203</v>
      </c>
      <c r="D4001" s="69" t="s">
        <v>12017</v>
      </c>
      <c r="E4001" s="69" t="s">
        <v>336</v>
      </c>
      <c r="F4001" s="69" t="s">
        <v>12018</v>
      </c>
    </row>
    <row r="4002" spans="1:6" ht="33.75" x14ac:dyDescent="0.2">
      <c r="A4002" s="65" t="s">
        <v>12019</v>
      </c>
      <c r="B4002" s="65" t="s">
        <v>12020</v>
      </c>
      <c r="C4002" s="67" t="s">
        <v>203</v>
      </c>
      <c r="D4002" s="69" t="s">
        <v>12021</v>
      </c>
      <c r="E4002" s="69" t="s">
        <v>11668</v>
      </c>
      <c r="F4002" s="69" t="s">
        <v>12022</v>
      </c>
    </row>
    <row r="4003" spans="1:6" x14ac:dyDescent="0.2">
      <c r="A4003" s="50">
        <v>69.099999999999994</v>
      </c>
      <c r="B4003" s="64" t="s">
        <v>12023</v>
      </c>
      <c r="C4003" s="47"/>
      <c r="D4003" s="47"/>
      <c r="E4003" s="47"/>
      <c r="F4003" s="47"/>
    </row>
    <row r="4004" spans="1:6" ht="45" x14ac:dyDescent="0.2">
      <c r="A4004" s="65" t="s">
        <v>12024</v>
      </c>
      <c r="B4004" s="66" t="s">
        <v>12025</v>
      </c>
      <c r="C4004" s="67" t="s">
        <v>203</v>
      </c>
      <c r="D4004" s="69" t="s">
        <v>12026</v>
      </c>
      <c r="E4004" s="69" t="s">
        <v>6608</v>
      </c>
      <c r="F4004" s="69" t="s">
        <v>12027</v>
      </c>
    </row>
    <row r="4005" spans="1:6" ht="33.75" x14ac:dyDescent="0.2">
      <c r="A4005" s="65" t="s">
        <v>12028</v>
      </c>
      <c r="B4005" s="65" t="s">
        <v>12029</v>
      </c>
      <c r="C4005" s="67" t="s">
        <v>240</v>
      </c>
      <c r="D4005" s="69" t="s">
        <v>12030</v>
      </c>
      <c r="E4005" s="69" t="s">
        <v>342</v>
      </c>
      <c r="F4005" s="69" t="s">
        <v>12031</v>
      </c>
    </row>
    <row r="4006" spans="1:6" ht="22.5" x14ac:dyDescent="0.2">
      <c r="A4006" s="50">
        <v>69.2</v>
      </c>
      <c r="B4006" s="64" t="s">
        <v>12032</v>
      </c>
      <c r="C4006" s="47"/>
      <c r="D4006" s="47"/>
      <c r="E4006" s="47"/>
      <c r="F4006" s="47"/>
    </row>
    <row r="4007" spans="1:6" ht="22.5" x14ac:dyDescent="0.2">
      <c r="A4007" s="65" t="s">
        <v>12033</v>
      </c>
      <c r="B4007" s="65" t="s">
        <v>12034</v>
      </c>
      <c r="C4007" s="67" t="s">
        <v>221</v>
      </c>
      <c r="D4007" s="69" t="s">
        <v>12035</v>
      </c>
      <c r="E4007" s="69" t="s">
        <v>334</v>
      </c>
      <c r="F4007" s="69" t="s">
        <v>291</v>
      </c>
    </row>
    <row r="4008" spans="1:6" ht="22.5" x14ac:dyDescent="0.2">
      <c r="A4008" s="65" t="s">
        <v>12036</v>
      </c>
      <c r="B4008" s="65" t="s">
        <v>12037</v>
      </c>
      <c r="C4008" s="67" t="s">
        <v>203</v>
      </c>
      <c r="D4008" s="69" t="s">
        <v>6093</v>
      </c>
      <c r="E4008" s="69" t="s">
        <v>336</v>
      </c>
      <c r="F4008" s="69" t="s">
        <v>4022</v>
      </c>
    </row>
    <row r="4009" spans="1:6" ht="22.5" x14ac:dyDescent="0.2">
      <c r="A4009" s="65" t="s">
        <v>12038</v>
      </c>
      <c r="B4009" s="65" t="s">
        <v>12039</v>
      </c>
      <c r="C4009" s="67" t="s">
        <v>203</v>
      </c>
      <c r="D4009" s="69" t="s">
        <v>12040</v>
      </c>
      <c r="E4009" s="69" t="s">
        <v>336</v>
      </c>
      <c r="F4009" s="69" t="s">
        <v>12041</v>
      </c>
    </row>
    <row r="4010" spans="1:6" ht="45" x14ac:dyDescent="0.2">
      <c r="A4010" s="65" t="s">
        <v>12042</v>
      </c>
      <c r="B4010" s="66" t="s">
        <v>12043</v>
      </c>
      <c r="C4010" s="67" t="s">
        <v>203</v>
      </c>
      <c r="D4010" s="69" t="s">
        <v>6198</v>
      </c>
      <c r="E4010" s="69" t="s">
        <v>336</v>
      </c>
      <c r="F4010" s="69" t="s">
        <v>12044</v>
      </c>
    </row>
    <row r="4011" spans="1:6" ht="22.5" x14ac:dyDescent="0.2">
      <c r="A4011" s="65" t="s">
        <v>12045</v>
      </c>
      <c r="B4011" s="65" t="s">
        <v>12046</v>
      </c>
      <c r="C4011" s="67" t="s">
        <v>203</v>
      </c>
      <c r="D4011" s="69" t="s">
        <v>12047</v>
      </c>
      <c r="E4011" s="69" t="s">
        <v>12048</v>
      </c>
      <c r="F4011" s="69" t="s">
        <v>12049</v>
      </c>
    </row>
    <row r="4012" spans="1:6" ht="22.5" x14ac:dyDescent="0.2">
      <c r="A4012" s="65" t="s">
        <v>12050</v>
      </c>
      <c r="B4012" s="65" t="s">
        <v>12051</v>
      </c>
      <c r="C4012" s="67" t="s">
        <v>203</v>
      </c>
      <c r="D4012" s="69" t="s">
        <v>12052</v>
      </c>
      <c r="E4012" s="69" t="s">
        <v>12048</v>
      </c>
      <c r="F4012" s="69" t="s">
        <v>12053</v>
      </c>
    </row>
    <row r="4013" spans="1:6" ht="22.5" x14ac:dyDescent="0.2">
      <c r="A4013" s="65" t="s">
        <v>12054</v>
      </c>
      <c r="B4013" s="65" t="s">
        <v>12055</v>
      </c>
      <c r="C4013" s="67" t="s">
        <v>203</v>
      </c>
      <c r="D4013" s="69" t="s">
        <v>404</v>
      </c>
      <c r="E4013" s="69" t="s">
        <v>325</v>
      </c>
      <c r="F4013" s="69" t="s">
        <v>3425</v>
      </c>
    </row>
    <row r="4014" spans="1:6" ht="22.5" x14ac:dyDescent="0.2">
      <c r="A4014" s="65" t="s">
        <v>12056</v>
      </c>
      <c r="B4014" s="65" t="s">
        <v>12057</v>
      </c>
      <c r="C4014" s="67" t="s">
        <v>203</v>
      </c>
      <c r="D4014" s="69" t="s">
        <v>3340</v>
      </c>
      <c r="E4014" s="69" t="s">
        <v>325</v>
      </c>
      <c r="F4014" s="69" t="s">
        <v>352</v>
      </c>
    </row>
    <row r="4015" spans="1:6" ht="22.5" x14ac:dyDescent="0.2">
      <c r="A4015" s="65" t="s">
        <v>12058</v>
      </c>
      <c r="B4015" s="65" t="s">
        <v>12059</v>
      </c>
      <c r="C4015" s="67" t="s">
        <v>203</v>
      </c>
      <c r="D4015" s="69" t="s">
        <v>12060</v>
      </c>
      <c r="E4015" s="69" t="s">
        <v>243</v>
      </c>
      <c r="F4015" s="69" t="s">
        <v>251</v>
      </c>
    </row>
    <row r="4016" spans="1:6" ht="33.75" x14ac:dyDescent="0.2">
      <c r="A4016" s="65" t="s">
        <v>12061</v>
      </c>
      <c r="B4016" s="65" t="s">
        <v>12062</v>
      </c>
      <c r="C4016" s="67" t="s">
        <v>203</v>
      </c>
      <c r="D4016" s="69" t="s">
        <v>12063</v>
      </c>
      <c r="E4016" s="69" t="s">
        <v>5673</v>
      </c>
      <c r="F4016" s="69" t="s">
        <v>12064</v>
      </c>
    </row>
    <row r="4017" spans="1:6" ht="22.5" x14ac:dyDescent="0.2">
      <c r="A4017" s="65" t="s">
        <v>12065</v>
      </c>
      <c r="B4017" s="65" t="s">
        <v>12066</v>
      </c>
      <c r="C4017" s="67" t="s">
        <v>203</v>
      </c>
      <c r="D4017" s="69" t="s">
        <v>12067</v>
      </c>
      <c r="E4017" s="69" t="s">
        <v>262</v>
      </c>
      <c r="F4017" s="69" t="s">
        <v>12068</v>
      </c>
    </row>
    <row r="4018" spans="1:6" ht="22.5" x14ac:dyDescent="0.2">
      <c r="A4018" s="65" t="s">
        <v>12069</v>
      </c>
      <c r="B4018" s="65" t="s">
        <v>12070</v>
      </c>
      <c r="C4018" s="67" t="s">
        <v>203</v>
      </c>
      <c r="D4018" s="69" t="s">
        <v>12071</v>
      </c>
      <c r="E4018" s="69" t="s">
        <v>262</v>
      </c>
      <c r="F4018" s="69" t="s">
        <v>12072</v>
      </c>
    </row>
    <row r="4019" spans="1:6" ht="22.5" x14ac:dyDescent="0.2">
      <c r="A4019" s="65" t="s">
        <v>12073</v>
      </c>
      <c r="B4019" s="65" t="s">
        <v>12074</v>
      </c>
      <c r="C4019" s="67" t="s">
        <v>203</v>
      </c>
      <c r="D4019" s="69" t="s">
        <v>4127</v>
      </c>
      <c r="E4019" s="69" t="s">
        <v>262</v>
      </c>
      <c r="F4019" s="69" t="s">
        <v>12075</v>
      </c>
    </row>
    <row r="4020" spans="1:6" ht="22.5" x14ac:dyDescent="0.2">
      <c r="A4020" s="65" t="s">
        <v>12076</v>
      </c>
      <c r="B4020" s="65" t="s">
        <v>12077</v>
      </c>
      <c r="C4020" s="67" t="s">
        <v>203</v>
      </c>
      <c r="D4020" s="69" t="s">
        <v>12078</v>
      </c>
      <c r="E4020" s="69" t="s">
        <v>243</v>
      </c>
      <c r="F4020" s="69" t="s">
        <v>12079</v>
      </c>
    </row>
    <row r="4021" spans="1:6" ht="22.5" x14ac:dyDescent="0.2">
      <c r="A4021" s="65" t="s">
        <v>12080</v>
      </c>
      <c r="B4021" s="65" t="s">
        <v>12081</v>
      </c>
      <c r="C4021" s="67" t="s">
        <v>203</v>
      </c>
      <c r="D4021" s="69" t="s">
        <v>386</v>
      </c>
      <c r="E4021" s="69" t="s">
        <v>243</v>
      </c>
      <c r="F4021" s="69" t="s">
        <v>12082</v>
      </c>
    </row>
    <row r="4022" spans="1:6" x14ac:dyDescent="0.2">
      <c r="A4022" s="65" t="s">
        <v>12083</v>
      </c>
      <c r="B4022" s="65" t="s">
        <v>12084</v>
      </c>
      <c r="C4022" s="67" t="s">
        <v>203</v>
      </c>
      <c r="D4022" s="69" t="s">
        <v>12085</v>
      </c>
      <c r="E4022" s="69" t="s">
        <v>249</v>
      </c>
      <c r="F4022" s="69" t="s">
        <v>5527</v>
      </c>
    </row>
    <row r="4023" spans="1:6" x14ac:dyDescent="0.2">
      <c r="A4023" s="65" t="s">
        <v>12086</v>
      </c>
      <c r="B4023" s="65" t="s">
        <v>12087</v>
      </c>
      <c r="C4023" s="67" t="s">
        <v>203</v>
      </c>
      <c r="D4023" s="69" t="s">
        <v>1381</v>
      </c>
      <c r="E4023" s="69" t="s">
        <v>249</v>
      </c>
      <c r="F4023" s="69" t="s">
        <v>7262</v>
      </c>
    </row>
    <row r="4024" spans="1:6" ht="22.5" x14ac:dyDescent="0.2">
      <c r="A4024" s="65" t="s">
        <v>12088</v>
      </c>
      <c r="B4024" s="65" t="s">
        <v>12089</v>
      </c>
      <c r="C4024" s="67" t="s">
        <v>203</v>
      </c>
      <c r="D4024" s="69" t="s">
        <v>5600</v>
      </c>
      <c r="E4024" s="69" t="s">
        <v>393</v>
      </c>
      <c r="F4024" s="69" t="s">
        <v>12090</v>
      </c>
    </row>
    <row r="4025" spans="1:6" ht="22.5" x14ac:dyDescent="0.2">
      <c r="A4025" s="65" t="s">
        <v>12091</v>
      </c>
      <c r="B4025" s="65" t="s">
        <v>12092</v>
      </c>
      <c r="C4025" s="67" t="s">
        <v>203</v>
      </c>
      <c r="D4025" s="69" t="s">
        <v>12093</v>
      </c>
      <c r="E4025" s="69" t="s">
        <v>5673</v>
      </c>
      <c r="F4025" s="69" t="s">
        <v>12094</v>
      </c>
    </row>
    <row r="4026" spans="1:6" ht="22.5" x14ac:dyDescent="0.2">
      <c r="A4026" s="65" t="s">
        <v>12095</v>
      </c>
      <c r="B4026" s="65" t="s">
        <v>12096</v>
      </c>
      <c r="C4026" s="67" t="s">
        <v>203</v>
      </c>
      <c r="D4026" s="69" t="s">
        <v>12097</v>
      </c>
      <c r="E4026" s="69" t="s">
        <v>5673</v>
      </c>
      <c r="F4026" s="69" t="s">
        <v>246</v>
      </c>
    </row>
    <row r="4027" spans="1:6" ht="33.75" x14ac:dyDescent="0.2">
      <c r="A4027" s="65" t="s">
        <v>12098</v>
      </c>
      <c r="B4027" s="65" t="s">
        <v>12099</v>
      </c>
      <c r="C4027" s="67" t="s">
        <v>203</v>
      </c>
      <c r="D4027" s="69" t="s">
        <v>12100</v>
      </c>
      <c r="E4027" s="69" t="s">
        <v>5673</v>
      </c>
      <c r="F4027" s="69" t="s">
        <v>12101</v>
      </c>
    </row>
    <row r="4028" spans="1:6" ht="33.75" x14ac:dyDescent="0.2">
      <c r="A4028" s="65" t="s">
        <v>12102</v>
      </c>
      <c r="B4028" s="65" t="s">
        <v>12103</v>
      </c>
      <c r="C4028" s="67" t="s">
        <v>203</v>
      </c>
      <c r="D4028" s="69" t="s">
        <v>356</v>
      </c>
      <c r="E4028" s="69" t="s">
        <v>12104</v>
      </c>
      <c r="F4028" s="69" t="s">
        <v>12105</v>
      </c>
    </row>
    <row r="4029" spans="1:6" ht="22.5" x14ac:dyDescent="0.2">
      <c r="A4029" s="65" t="s">
        <v>12106</v>
      </c>
      <c r="B4029" s="65" t="s">
        <v>12107</v>
      </c>
      <c r="C4029" s="67" t="s">
        <v>203</v>
      </c>
      <c r="D4029" s="69" t="s">
        <v>2533</v>
      </c>
      <c r="E4029" s="69" t="s">
        <v>336</v>
      </c>
      <c r="F4029" s="69" t="s">
        <v>12108</v>
      </c>
    </row>
    <row r="4030" spans="1:6" ht="33.75" x14ac:dyDescent="0.2">
      <c r="A4030" s="65" t="s">
        <v>12109</v>
      </c>
      <c r="B4030" s="65" t="s">
        <v>12110</v>
      </c>
      <c r="C4030" s="67" t="s">
        <v>203</v>
      </c>
      <c r="D4030" s="69" t="s">
        <v>12111</v>
      </c>
      <c r="E4030" s="69" t="s">
        <v>335</v>
      </c>
      <c r="F4030" s="69" t="s">
        <v>12112</v>
      </c>
    </row>
    <row r="4031" spans="1:6" x14ac:dyDescent="0.2">
      <c r="A4031" s="49">
        <v>70</v>
      </c>
      <c r="B4031" s="64" t="s">
        <v>12113</v>
      </c>
      <c r="C4031" s="47"/>
      <c r="D4031" s="47"/>
      <c r="E4031" s="47"/>
      <c r="F4031" s="47"/>
    </row>
    <row r="4032" spans="1:6" x14ac:dyDescent="0.2">
      <c r="A4032" s="50">
        <v>70.010000000000005</v>
      </c>
      <c r="B4032" s="64" t="s">
        <v>12114</v>
      </c>
      <c r="C4032" s="47"/>
      <c r="D4032" s="47"/>
      <c r="E4032" s="47"/>
      <c r="F4032" s="47"/>
    </row>
    <row r="4033" spans="1:6" ht="22.5" x14ac:dyDescent="0.2">
      <c r="A4033" s="65" t="s">
        <v>12115</v>
      </c>
      <c r="B4033" s="65" t="s">
        <v>12116</v>
      </c>
      <c r="C4033" s="67" t="s">
        <v>204</v>
      </c>
      <c r="D4033" s="69" t="s">
        <v>12117</v>
      </c>
      <c r="E4033" s="69" t="s">
        <v>12118</v>
      </c>
      <c r="F4033" s="69" t="s">
        <v>12119</v>
      </c>
    </row>
    <row r="4034" spans="1:6" ht="22.5" x14ac:dyDescent="0.2">
      <c r="A4034" s="65" t="s">
        <v>12120</v>
      </c>
      <c r="B4034" s="65" t="s">
        <v>12121</v>
      </c>
      <c r="C4034" s="67" t="s">
        <v>204</v>
      </c>
      <c r="D4034" s="69" t="s">
        <v>12122</v>
      </c>
      <c r="E4034" s="69" t="s">
        <v>12123</v>
      </c>
      <c r="F4034" s="69" t="s">
        <v>7091</v>
      </c>
    </row>
    <row r="4035" spans="1:6" ht="22.5" x14ac:dyDescent="0.2">
      <c r="A4035" s="65" t="s">
        <v>12124</v>
      </c>
      <c r="B4035" s="65" t="s">
        <v>12125</v>
      </c>
      <c r="C4035" s="67" t="s">
        <v>204</v>
      </c>
      <c r="D4035" s="69" t="s">
        <v>12126</v>
      </c>
      <c r="E4035" s="69" t="s">
        <v>5610</v>
      </c>
      <c r="F4035" s="69" t="s">
        <v>12127</v>
      </c>
    </row>
    <row r="4036" spans="1:6" x14ac:dyDescent="0.2">
      <c r="A4036" s="65" t="s">
        <v>12128</v>
      </c>
      <c r="B4036" s="65" t="s">
        <v>12129</v>
      </c>
      <c r="C4036" s="67" t="s">
        <v>221</v>
      </c>
      <c r="D4036" s="69" t="s">
        <v>12130</v>
      </c>
      <c r="E4036" s="69" t="s">
        <v>12131</v>
      </c>
      <c r="F4036" s="69" t="s">
        <v>12132</v>
      </c>
    </row>
    <row r="4037" spans="1:6" ht="22.5" x14ac:dyDescent="0.2">
      <c r="A4037" s="65" t="s">
        <v>12133</v>
      </c>
      <c r="B4037" s="65" t="s">
        <v>12134</v>
      </c>
      <c r="C4037" s="67" t="s">
        <v>240</v>
      </c>
      <c r="D4037" s="69" t="s">
        <v>12135</v>
      </c>
      <c r="E4037" s="73"/>
      <c r="F4037" s="69" t="s">
        <v>12135</v>
      </c>
    </row>
    <row r="4038" spans="1:6" x14ac:dyDescent="0.2">
      <c r="A4038" s="50">
        <v>70.02</v>
      </c>
      <c r="B4038" s="64" t="s">
        <v>12136</v>
      </c>
      <c r="C4038" s="47"/>
      <c r="D4038" s="47"/>
      <c r="E4038" s="47"/>
      <c r="F4038" s="47"/>
    </row>
    <row r="4039" spans="1:6" ht="22.5" x14ac:dyDescent="0.2">
      <c r="A4039" s="65" t="s">
        <v>12137</v>
      </c>
      <c r="B4039" s="65" t="s">
        <v>12138</v>
      </c>
      <c r="C4039" s="67" t="s">
        <v>204</v>
      </c>
      <c r="D4039" s="69" t="s">
        <v>12139</v>
      </c>
      <c r="E4039" s="73"/>
      <c r="F4039" s="69" t="s">
        <v>12139</v>
      </c>
    </row>
    <row r="4040" spans="1:6" ht="22.5" x14ac:dyDescent="0.2">
      <c r="A4040" s="65" t="s">
        <v>12140</v>
      </c>
      <c r="B4040" s="65" t="s">
        <v>12141</v>
      </c>
      <c r="C4040" s="67" t="s">
        <v>204</v>
      </c>
      <c r="D4040" s="69" t="s">
        <v>12142</v>
      </c>
      <c r="E4040" s="73"/>
      <c r="F4040" s="69" t="s">
        <v>12142</v>
      </c>
    </row>
    <row r="4041" spans="1:6" ht="45" x14ac:dyDescent="0.2">
      <c r="A4041" s="65" t="s">
        <v>12143</v>
      </c>
      <c r="B4041" s="66" t="s">
        <v>12144</v>
      </c>
      <c r="C4041" s="67" t="s">
        <v>204</v>
      </c>
      <c r="D4041" s="69" t="s">
        <v>12145</v>
      </c>
      <c r="E4041" s="68"/>
      <c r="F4041" s="69" t="s">
        <v>12145</v>
      </c>
    </row>
    <row r="4042" spans="1:6" ht="56.25" x14ac:dyDescent="0.2">
      <c r="A4042" s="65" t="s">
        <v>12146</v>
      </c>
      <c r="B4042" s="66" t="s">
        <v>12147</v>
      </c>
      <c r="C4042" s="67" t="s">
        <v>204</v>
      </c>
      <c r="D4042" s="69" t="s">
        <v>6712</v>
      </c>
      <c r="E4042" s="68"/>
      <c r="F4042" s="69" t="s">
        <v>6712</v>
      </c>
    </row>
    <row r="4043" spans="1:6" ht="56.25" x14ac:dyDescent="0.2">
      <c r="A4043" s="65" t="s">
        <v>12148</v>
      </c>
      <c r="B4043" s="66" t="s">
        <v>12149</v>
      </c>
      <c r="C4043" s="67" t="s">
        <v>204</v>
      </c>
      <c r="D4043" s="69" t="s">
        <v>12150</v>
      </c>
      <c r="E4043" s="68"/>
      <c r="F4043" s="69" t="s">
        <v>12150</v>
      </c>
    </row>
    <row r="4044" spans="1:6" ht="56.25" x14ac:dyDescent="0.2">
      <c r="A4044" s="65" t="s">
        <v>12151</v>
      </c>
      <c r="B4044" s="66" t="s">
        <v>12152</v>
      </c>
      <c r="C4044" s="67" t="s">
        <v>204</v>
      </c>
      <c r="D4044" s="69" t="s">
        <v>12153</v>
      </c>
      <c r="E4044" s="68"/>
      <c r="F4044" s="69" t="s">
        <v>12153</v>
      </c>
    </row>
    <row r="4045" spans="1:6" ht="56.25" x14ac:dyDescent="0.2">
      <c r="A4045" s="65" t="s">
        <v>12154</v>
      </c>
      <c r="B4045" s="66" t="s">
        <v>12155</v>
      </c>
      <c r="C4045" s="67" t="s">
        <v>204</v>
      </c>
      <c r="D4045" s="69" t="s">
        <v>1489</v>
      </c>
      <c r="E4045" s="68"/>
      <c r="F4045" s="69" t="s">
        <v>1489</v>
      </c>
    </row>
    <row r="4046" spans="1:6" ht="33.75" x14ac:dyDescent="0.2">
      <c r="A4046" s="65" t="s">
        <v>12156</v>
      </c>
      <c r="B4046" s="65" t="s">
        <v>12157</v>
      </c>
      <c r="C4046" s="67" t="s">
        <v>204</v>
      </c>
      <c r="D4046" s="69" t="s">
        <v>12158</v>
      </c>
      <c r="E4046" s="73"/>
      <c r="F4046" s="69" t="s">
        <v>12158</v>
      </c>
    </row>
    <row r="4047" spans="1:6" ht="22.5" x14ac:dyDescent="0.2">
      <c r="A4047" s="65" t="s">
        <v>12159</v>
      </c>
      <c r="B4047" s="65" t="s">
        <v>12160</v>
      </c>
      <c r="C4047" s="67" t="s">
        <v>204</v>
      </c>
      <c r="D4047" s="69" t="s">
        <v>12161</v>
      </c>
      <c r="E4047" s="73"/>
      <c r="F4047" s="69" t="s">
        <v>12161</v>
      </c>
    </row>
    <row r="4048" spans="1:6" ht="45" x14ac:dyDescent="0.2">
      <c r="A4048" s="65" t="s">
        <v>12162</v>
      </c>
      <c r="B4048" s="66" t="s">
        <v>12163</v>
      </c>
      <c r="C4048" s="67" t="s">
        <v>204</v>
      </c>
      <c r="D4048" s="69" t="s">
        <v>12164</v>
      </c>
      <c r="E4048" s="68"/>
      <c r="F4048" s="69" t="s">
        <v>12164</v>
      </c>
    </row>
    <row r="4049" spans="1:6" x14ac:dyDescent="0.2">
      <c r="A4049" s="50">
        <v>70.03</v>
      </c>
      <c r="B4049" s="64" t="s">
        <v>12165</v>
      </c>
      <c r="C4049" s="47"/>
      <c r="D4049" s="47"/>
      <c r="E4049" s="47"/>
      <c r="F4049" s="47"/>
    </row>
    <row r="4050" spans="1:6" ht="45" x14ac:dyDescent="0.2">
      <c r="A4050" s="65" t="s">
        <v>12166</v>
      </c>
      <c r="B4050" s="66" t="s">
        <v>12167</v>
      </c>
      <c r="C4050" s="67" t="s">
        <v>204</v>
      </c>
      <c r="D4050" s="69" t="s">
        <v>12168</v>
      </c>
      <c r="E4050" s="69" t="s">
        <v>12169</v>
      </c>
      <c r="F4050" s="69" t="s">
        <v>12170</v>
      </c>
    </row>
    <row r="4051" spans="1:6" ht="45" x14ac:dyDescent="0.2">
      <c r="A4051" s="65" t="s">
        <v>12171</v>
      </c>
      <c r="B4051" s="66" t="s">
        <v>12172</v>
      </c>
      <c r="C4051" s="67" t="s">
        <v>204</v>
      </c>
      <c r="D4051" s="69" t="s">
        <v>12173</v>
      </c>
      <c r="E4051" s="69" t="s">
        <v>12169</v>
      </c>
      <c r="F4051" s="69" t="s">
        <v>12174</v>
      </c>
    </row>
    <row r="4052" spans="1:6" ht="56.25" x14ac:dyDescent="0.2">
      <c r="A4052" s="65" t="s">
        <v>12175</v>
      </c>
      <c r="B4052" s="66" t="s">
        <v>12176</v>
      </c>
      <c r="C4052" s="67" t="s">
        <v>204</v>
      </c>
      <c r="D4052" s="69" t="s">
        <v>12177</v>
      </c>
      <c r="E4052" s="69" t="s">
        <v>12169</v>
      </c>
      <c r="F4052" s="69" t="s">
        <v>12178</v>
      </c>
    </row>
    <row r="4053" spans="1:6" ht="56.25" x14ac:dyDescent="0.2">
      <c r="A4053" s="65" t="s">
        <v>12179</v>
      </c>
      <c r="B4053" s="66" t="s">
        <v>12180</v>
      </c>
      <c r="C4053" s="74" t="s">
        <v>204</v>
      </c>
      <c r="D4053" s="69" t="s">
        <v>12181</v>
      </c>
      <c r="E4053" s="69" t="s">
        <v>12169</v>
      </c>
      <c r="F4053" s="69" t="s">
        <v>12182</v>
      </c>
    </row>
    <row r="4054" spans="1:6" ht="56.25" x14ac:dyDescent="0.2">
      <c r="A4054" s="65" t="s">
        <v>12183</v>
      </c>
      <c r="B4054" s="66" t="s">
        <v>12184</v>
      </c>
      <c r="C4054" s="74" t="s">
        <v>204</v>
      </c>
      <c r="D4054" s="69" t="s">
        <v>12185</v>
      </c>
      <c r="E4054" s="69" t="s">
        <v>12169</v>
      </c>
      <c r="F4054" s="69" t="s">
        <v>12186</v>
      </c>
    </row>
    <row r="4055" spans="1:6" ht="56.25" x14ac:dyDescent="0.2">
      <c r="A4055" s="65" t="s">
        <v>12187</v>
      </c>
      <c r="B4055" s="66" t="s">
        <v>12188</v>
      </c>
      <c r="C4055" s="74" t="s">
        <v>204</v>
      </c>
      <c r="D4055" s="69" t="s">
        <v>12189</v>
      </c>
      <c r="E4055" s="69" t="s">
        <v>12190</v>
      </c>
      <c r="F4055" s="69" t="s">
        <v>12191</v>
      </c>
    </row>
    <row r="4056" spans="1:6" ht="56.25" x14ac:dyDescent="0.2">
      <c r="A4056" s="65" t="s">
        <v>12192</v>
      </c>
      <c r="B4056" s="66" t="s">
        <v>12193</v>
      </c>
      <c r="C4056" s="74" t="s">
        <v>204</v>
      </c>
      <c r="D4056" s="69" t="s">
        <v>12194</v>
      </c>
      <c r="E4056" s="69" t="s">
        <v>12190</v>
      </c>
      <c r="F4056" s="69" t="s">
        <v>12195</v>
      </c>
    </row>
    <row r="4057" spans="1:6" ht="56.25" x14ac:dyDescent="0.2">
      <c r="A4057" s="65" t="s">
        <v>12196</v>
      </c>
      <c r="B4057" s="66" t="s">
        <v>12197</v>
      </c>
      <c r="C4057" s="74" t="s">
        <v>204</v>
      </c>
      <c r="D4057" s="69" t="s">
        <v>12198</v>
      </c>
      <c r="E4057" s="69" t="s">
        <v>12190</v>
      </c>
      <c r="F4057" s="69" t="s">
        <v>12199</v>
      </c>
    </row>
    <row r="4058" spans="1:6" x14ac:dyDescent="0.2">
      <c r="A4058" s="50">
        <v>70.040000000000006</v>
      </c>
      <c r="B4058" s="64" t="s">
        <v>12200</v>
      </c>
      <c r="C4058" s="47"/>
      <c r="D4058" s="47"/>
      <c r="E4058" s="47"/>
      <c r="F4058" s="47"/>
    </row>
    <row r="4059" spans="1:6" ht="22.5" x14ac:dyDescent="0.2">
      <c r="A4059" s="65" t="s">
        <v>12201</v>
      </c>
      <c r="B4059" s="65" t="s">
        <v>12202</v>
      </c>
      <c r="C4059" s="74" t="s">
        <v>203</v>
      </c>
      <c r="D4059" s="69" t="s">
        <v>12203</v>
      </c>
      <c r="E4059" s="69" t="s">
        <v>6980</v>
      </c>
      <c r="F4059" s="69" t="s">
        <v>12204</v>
      </c>
    </row>
    <row r="4060" spans="1:6" ht="22.5" x14ac:dyDescent="0.2">
      <c r="A4060" s="65" t="s">
        <v>12205</v>
      </c>
      <c r="B4060" s="65" t="s">
        <v>12206</v>
      </c>
      <c r="C4060" s="74" t="s">
        <v>203</v>
      </c>
      <c r="D4060" s="69" t="s">
        <v>12207</v>
      </c>
      <c r="E4060" s="69" t="s">
        <v>6980</v>
      </c>
      <c r="F4060" s="69" t="s">
        <v>12208</v>
      </c>
    </row>
    <row r="4061" spans="1:6" ht="22.5" x14ac:dyDescent="0.2">
      <c r="A4061" s="65" t="s">
        <v>12209</v>
      </c>
      <c r="B4061" s="65" t="s">
        <v>12210</v>
      </c>
      <c r="C4061" s="74" t="s">
        <v>203</v>
      </c>
      <c r="D4061" s="69" t="s">
        <v>12211</v>
      </c>
      <c r="E4061" s="69" t="s">
        <v>12212</v>
      </c>
      <c r="F4061" s="69" t="s">
        <v>12213</v>
      </c>
    </row>
    <row r="4062" spans="1:6" ht="33.75" x14ac:dyDescent="0.2">
      <c r="A4062" s="65" t="s">
        <v>12214</v>
      </c>
      <c r="B4062" s="65" t="s">
        <v>12215</v>
      </c>
      <c r="C4062" s="74" t="s">
        <v>203</v>
      </c>
      <c r="D4062" s="69" t="s">
        <v>12216</v>
      </c>
      <c r="E4062" s="69" t="s">
        <v>6980</v>
      </c>
      <c r="F4062" s="69" t="s">
        <v>12217</v>
      </c>
    </row>
    <row r="4063" spans="1:6" ht="22.5" x14ac:dyDescent="0.2">
      <c r="A4063" s="65" t="s">
        <v>12218</v>
      </c>
      <c r="B4063" s="65" t="s">
        <v>12219</v>
      </c>
      <c r="C4063" s="74" t="s">
        <v>203</v>
      </c>
      <c r="D4063" s="69" t="s">
        <v>12220</v>
      </c>
      <c r="E4063" s="69" t="s">
        <v>337</v>
      </c>
      <c r="F4063" s="69" t="s">
        <v>12221</v>
      </c>
    </row>
    <row r="4064" spans="1:6" ht="22.5" x14ac:dyDescent="0.2">
      <c r="A4064" s="65" t="s">
        <v>12222</v>
      </c>
      <c r="B4064" s="65" t="s">
        <v>12223</v>
      </c>
      <c r="C4064" s="74" t="s">
        <v>203</v>
      </c>
      <c r="D4064" s="69" t="s">
        <v>12224</v>
      </c>
      <c r="E4064" s="69" t="s">
        <v>6980</v>
      </c>
      <c r="F4064" s="69" t="s">
        <v>12225</v>
      </c>
    </row>
    <row r="4065" spans="1:6" ht="22.5" x14ac:dyDescent="0.2">
      <c r="A4065" s="65" t="s">
        <v>12226</v>
      </c>
      <c r="B4065" s="65" t="s">
        <v>12227</v>
      </c>
      <c r="C4065" s="74" t="s">
        <v>203</v>
      </c>
      <c r="D4065" s="69" t="s">
        <v>12228</v>
      </c>
      <c r="E4065" s="69" t="s">
        <v>6980</v>
      </c>
      <c r="F4065" s="69" t="s">
        <v>12229</v>
      </c>
    </row>
    <row r="4066" spans="1:6" ht="22.5" x14ac:dyDescent="0.2">
      <c r="A4066" s="50">
        <v>70.05</v>
      </c>
      <c r="B4066" s="64" t="s">
        <v>12230</v>
      </c>
      <c r="C4066" s="47"/>
      <c r="D4066" s="47"/>
      <c r="E4066" s="47"/>
      <c r="F4066" s="47"/>
    </row>
    <row r="4067" spans="1:6" ht="22.5" x14ac:dyDescent="0.2">
      <c r="A4067" s="65" t="s">
        <v>12231</v>
      </c>
      <c r="B4067" s="65" t="s">
        <v>12232</v>
      </c>
      <c r="C4067" s="74" t="s">
        <v>203</v>
      </c>
      <c r="D4067" s="69" t="s">
        <v>9112</v>
      </c>
      <c r="E4067" s="69" t="s">
        <v>12233</v>
      </c>
      <c r="F4067" s="69" t="s">
        <v>12234</v>
      </c>
    </row>
    <row r="4068" spans="1:6" ht="22.5" x14ac:dyDescent="0.2">
      <c r="A4068" s="65" t="s">
        <v>12235</v>
      </c>
      <c r="B4068" s="65" t="s">
        <v>12236</v>
      </c>
      <c r="C4068" s="74" t="s">
        <v>203</v>
      </c>
      <c r="D4068" s="69" t="s">
        <v>12237</v>
      </c>
      <c r="E4068" s="69" t="s">
        <v>2677</v>
      </c>
      <c r="F4068" s="69" t="s">
        <v>12238</v>
      </c>
    </row>
    <row r="4069" spans="1:6" ht="22.5" x14ac:dyDescent="0.2">
      <c r="A4069" s="65" t="s">
        <v>12239</v>
      </c>
      <c r="B4069" s="65" t="s">
        <v>12240</v>
      </c>
      <c r="C4069" s="74" t="s">
        <v>203</v>
      </c>
      <c r="D4069" s="69" t="s">
        <v>12241</v>
      </c>
      <c r="E4069" s="69" t="s">
        <v>335</v>
      </c>
      <c r="F4069" s="69" t="s">
        <v>12242</v>
      </c>
    </row>
    <row r="4070" spans="1:6" ht="33.75" x14ac:dyDescent="0.2">
      <c r="A4070" s="65" t="s">
        <v>12243</v>
      </c>
      <c r="B4070" s="65" t="s">
        <v>12244</v>
      </c>
      <c r="C4070" s="74" t="s">
        <v>203</v>
      </c>
      <c r="D4070" s="69" t="s">
        <v>12245</v>
      </c>
      <c r="E4070" s="69" t="s">
        <v>12246</v>
      </c>
      <c r="F4070" s="69" t="s">
        <v>12247</v>
      </c>
    </row>
    <row r="4071" spans="1:6" ht="45" x14ac:dyDescent="0.2">
      <c r="A4071" s="65" t="s">
        <v>12248</v>
      </c>
      <c r="B4071" s="66" t="s">
        <v>12249</v>
      </c>
      <c r="C4071" s="74" t="s">
        <v>203</v>
      </c>
      <c r="D4071" s="69" t="s">
        <v>12250</v>
      </c>
      <c r="E4071" s="69" t="s">
        <v>12251</v>
      </c>
      <c r="F4071" s="69" t="s">
        <v>12252</v>
      </c>
    </row>
    <row r="4072" spans="1:6" x14ac:dyDescent="0.2">
      <c r="A4072" s="50">
        <v>70.06</v>
      </c>
      <c r="B4072" s="64" t="s">
        <v>12253</v>
      </c>
      <c r="C4072" s="47"/>
      <c r="D4072" s="47"/>
      <c r="E4072" s="47"/>
      <c r="F4072" s="47"/>
    </row>
    <row r="4073" spans="1:6" x14ac:dyDescent="0.2">
      <c r="A4073" s="65" t="s">
        <v>12254</v>
      </c>
      <c r="B4073" s="65" t="s">
        <v>12255</v>
      </c>
      <c r="C4073" s="74" t="s">
        <v>203</v>
      </c>
      <c r="D4073" s="69" t="s">
        <v>12256</v>
      </c>
      <c r="E4073" s="69" t="s">
        <v>5673</v>
      </c>
      <c r="F4073" s="69" t="s">
        <v>12257</v>
      </c>
    </row>
    <row r="4074" spans="1:6" ht="22.5" x14ac:dyDescent="0.2">
      <c r="A4074" s="65" t="s">
        <v>12258</v>
      </c>
      <c r="B4074" s="65" t="s">
        <v>12259</v>
      </c>
      <c r="C4074" s="74" t="s">
        <v>203</v>
      </c>
      <c r="D4074" s="69" t="s">
        <v>12260</v>
      </c>
      <c r="E4074" s="69" t="s">
        <v>12261</v>
      </c>
      <c r="F4074" s="69" t="s">
        <v>12262</v>
      </c>
    </row>
    <row r="4075" spans="1:6" x14ac:dyDescent="0.2">
      <c r="A4075" s="65" t="s">
        <v>12263</v>
      </c>
      <c r="B4075" s="65" t="s">
        <v>12264</v>
      </c>
      <c r="C4075" s="74" t="s">
        <v>203</v>
      </c>
      <c r="D4075" s="69" t="s">
        <v>366</v>
      </c>
      <c r="E4075" s="69" t="s">
        <v>12261</v>
      </c>
      <c r="F4075" s="69" t="s">
        <v>1691</v>
      </c>
    </row>
    <row r="4076" spans="1:6" ht="22.5" x14ac:dyDescent="0.2">
      <c r="A4076" s="65" t="s">
        <v>12265</v>
      </c>
      <c r="B4076" s="65" t="s">
        <v>12266</v>
      </c>
      <c r="C4076" s="74" t="s">
        <v>203</v>
      </c>
      <c r="D4076" s="69" t="s">
        <v>12267</v>
      </c>
      <c r="E4076" s="69" t="s">
        <v>12261</v>
      </c>
      <c r="F4076" s="69" t="s">
        <v>232</v>
      </c>
    </row>
    <row r="4077" spans="1:6" ht="22.5" x14ac:dyDescent="0.2">
      <c r="A4077" s="65" t="s">
        <v>12268</v>
      </c>
      <c r="B4077" s="65" t="s">
        <v>12269</v>
      </c>
      <c r="C4077" s="74" t="s">
        <v>203</v>
      </c>
      <c r="D4077" s="69" t="s">
        <v>12270</v>
      </c>
      <c r="E4077" s="69" t="s">
        <v>12261</v>
      </c>
      <c r="F4077" s="69" t="s">
        <v>12271</v>
      </c>
    </row>
    <row r="4078" spans="1:6" ht="22.5" x14ac:dyDescent="0.2">
      <c r="A4078" s="65" t="s">
        <v>12272</v>
      </c>
      <c r="B4078" s="65" t="s">
        <v>12273</v>
      </c>
      <c r="C4078" s="74" t="s">
        <v>203</v>
      </c>
      <c r="D4078" s="69" t="s">
        <v>12274</v>
      </c>
      <c r="E4078" s="69" t="s">
        <v>12261</v>
      </c>
      <c r="F4078" s="69" t="s">
        <v>12275</v>
      </c>
    </row>
    <row r="4079" spans="1:6" ht="22.5" x14ac:dyDescent="0.2">
      <c r="A4079" s="65" t="s">
        <v>12276</v>
      </c>
      <c r="B4079" s="65" t="s">
        <v>12277</v>
      </c>
      <c r="C4079" s="74" t="s">
        <v>203</v>
      </c>
      <c r="D4079" s="69" t="s">
        <v>12278</v>
      </c>
      <c r="E4079" s="69" t="s">
        <v>12279</v>
      </c>
      <c r="F4079" s="69" t="s">
        <v>12280</v>
      </c>
    </row>
    <row r="4080" spans="1:6" ht="22.5" x14ac:dyDescent="0.2">
      <c r="A4080" s="65" t="s">
        <v>12281</v>
      </c>
      <c r="B4080" s="65" t="s">
        <v>12282</v>
      </c>
      <c r="C4080" s="74" t="s">
        <v>203</v>
      </c>
      <c r="D4080" s="69" t="s">
        <v>12283</v>
      </c>
      <c r="E4080" s="69" t="s">
        <v>12279</v>
      </c>
      <c r="F4080" s="69" t="s">
        <v>1190</v>
      </c>
    </row>
    <row r="4081" spans="1:6" ht="22.5" x14ac:dyDescent="0.2">
      <c r="A4081" s="49">
        <v>97</v>
      </c>
      <c r="B4081" s="64" t="s">
        <v>12284</v>
      </c>
      <c r="C4081" s="47"/>
      <c r="D4081" s="47"/>
      <c r="E4081" s="47"/>
      <c r="F4081" s="47"/>
    </row>
    <row r="4082" spans="1:6" ht="22.5" x14ac:dyDescent="0.2">
      <c r="A4082" s="50">
        <v>97.02</v>
      </c>
      <c r="B4082" s="64" t="s">
        <v>12285</v>
      </c>
      <c r="C4082" s="47"/>
      <c r="D4082" s="47"/>
      <c r="E4082" s="47"/>
      <c r="F4082" s="47"/>
    </row>
    <row r="4083" spans="1:6" ht="22.5" x14ac:dyDescent="0.2">
      <c r="A4083" s="65" t="s">
        <v>12286</v>
      </c>
      <c r="B4083" s="65" t="s">
        <v>12287</v>
      </c>
      <c r="C4083" s="74" t="s">
        <v>204</v>
      </c>
      <c r="D4083" s="69" t="s">
        <v>12288</v>
      </c>
      <c r="E4083" s="69" t="s">
        <v>2109</v>
      </c>
      <c r="F4083" s="69" t="s">
        <v>12289</v>
      </c>
    </row>
    <row r="4084" spans="1:6" ht="22.5" x14ac:dyDescent="0.2">
      <c r="A4084" s="65" t="s">
        <v>12290</v>
      </c>
      <c r="B4084" s="65" t="s">
        <v>12291</v>
      </c>
      <c r="C4084" s="74" t="s">
        <v>204</v>
      </c>
      <c r="D4084" s="69" t="s">
        <v>12292</v>
      </c>
      <c r="E4084" s="69" t="s">
        <v>2109</v>
      </c>
      <c r="F4084" s="69" t="s">
        <v>12293</v>
      </c>
    </row>
    <row r="4085" spans="1:6" ht="22.5" x14ac:dyDescent="0.2">
      <c r="A4085" s="65" t="s">
        <v>12294</v>
      </c>
      <c r="B4085" s="65" t="s">
        <v>12295</v>
      </c>
      <c r="C4085" s="74" t="s">
        <v>204</v>
      </c>
      <c r="D4085" s="69" t="s">
        <v>12296</v>
      </c>
      <c r="E4085" s="69" t="s">
        <v>2109</v>
      </c>
      <c r="F4085" s="69" t="s">
        <v>12297</v>
      </c>
    </row>
    <row r="4086" spans="1:6" ht="56.25" x14ac:dyDescent="0.2">
      <c r="A4086" s="70" t="s">
        <v>12298</v>
      </c>
      <c r="B4086" s="65" t="s">
        <v>12299</v>
      </c>
      <c r="C4086" s="75" t="s">
        <v>203</v>
      </c>
      <c r="D4086" s="72" t="s">
        <v>355</v>
      </c>
      <c r="E4086" s="72" t="s">
        <v>285</v>
      </c>
      <c r="F4086" s="72" t="s">
        <v>5707</v>
      </c>
    </row>
    <row r="4087" spans="1:6" ht="45" x14ac:dyDescent="0.2">
      <c r="A4087" s="70" t="s">
        <v>12300</v>
      </c>
      <c r="B4087" s="65" t="s">
        <v>12301</v>
      </c>
      <c r="C4087" s="75" t="s">
        <v>203</v>
      </c>
      <c r="D4087" s="72" t="s">
        <v>12302</v>
      </c>
      <c r="E4087" s="72" t="s">
        <v>285</v>
      </c>
      <c r="F4087" s="72" t="s">
        <v>12303</v>
      </c>
    </row>
    <row r="4088" spans="1:6" ht="56.25" x14ac:dyDescent="0.2">
      <c r="A4088" s="65" t="s">
        <v>12304</v>
      </c>
      <c r="B4088" s="66" t="s">
        <v>12305</v>
      </c>
      <c r="C4088" s="74" t="s">
        <v>203</v>
      </c>
      <c r="D4088" s="69" t="s">
        <v>12306</v>
      </c>
      <c r="E4088" s="69" t="s">
        <v>285</v>
      </c>
      <c r="F4088" s="69" t="s">
        <v>7249</v>
      </c>
    </row>
    <row r="4089" spans="1:6" ht="45" x14ac:dyDescent="0.2">
      <c r="A4089" s="65" t="s">
        <v>12307</v>
      </c>
      <c r="B4089" s="66" t="s">
        <v>12308</v>
      </c>
      <c r="C4089" s="74" t="s">
        <v>203</v>
      </c>
      <c r="D4089" s="69" t="s">
        <v>288</v>
      </c>
      <c r="E4089" s="69" t="s">
        <v>285</v>
      </c>
      <c r="F4089" s="69" t="s">
        <v>933</v>
      </c>
    </row>
    <row r="4090" spans="1:6" ht="22.5" x14ac:dyDescent="0.2">
      <c r="A4090" s="65" t="s">
        <v>12309</v>
      </c>
      <c r="B4090" s="65" t="s">
        <v>12310</v>
      </c>
      <c r="C4090" s="74" t="s">
        <v>203</v>
      </c>
      <c r="D4090" s="69" t="s">
        <v>5551</v>
      </c>
      <c r="E4090" s="69" t="s">
        <v>285</v>
      </c>
      <c r="F4090" s="69" t="s">
        <v>12311</v>
      </c>
    </row>
    <row r="4091" spans="1:6" ht="33.75" x14ac:dyDescent="0.2">
      <c r="A4091" s="65" t="s">
        <v>12312</v>
      </c>
      <c r="B4091" s="65" t="s">
        <v>12313</v>
      </c>
      <c r="C4091" s="74" t="s">
        <v>203</v>
      </c>
      <c r="D4091" s="69" t="s">
        <v>12314</v>
      </c>
      <c r="E4091" s="69" t="s">
        <v>285</v>
      </c>
      <c r="F4091" s="69" t="s">
        <v>12315</v>
      </c>
    </row>
    <row r="4092" spans="1:6" ht="22.5" x14ac:dyDescent="0.2">
      <c r="A4092" s="65" t="s">
        <v>12316</v>
      </c>
      <c r="B4092" s="65" t="s">
        <v>12317</v>
      </c>
      <c r="C4092" s="74" t="s">
        <v>203</v>
      </c>
      <c r="D4092" s="69" t="s">
        <v>12318</v>
      </c>
      <c r="E4092" s="69" t="s">
        <v>1730</v>
      </c>
      <c r="F4092" s="69" t="s">
        <v>4151</v>
      </c>
    </row>
    <row r="4093" spans="1:6" x14ac:dyDescent="0.2">
      <c r="A4093" s="50">
        <v>97.03</v>
      </c>
      <c r="B4093" s="64" t="s">
        <v>12319</v>
      </c>
      <c r="C4093" s="47"/>
      <c r="D4093" s="47"/>
      <c r="E4093" s="47"/>
      <c r="F4093" s="47"/>
    </row>
    <row r="4094" spans="1:6" ht="22.5" x14ac:dyDescent="0.2">
      <c r="A4094" s="65" t="s">
        <v>12320</v>
      </c>
      <c r="B4094" s="65" t="s">
        <v>12321</v>
      </c>
      <c r="C4094" s="74" t="s">
        <v>203</v>
      </c>
      <c r="D4094" s="69" t="s">
        <v>5948</v>
      </c>
      <c r="E4094" s="69" t="s">
        <v>2462</v>
      </c>
      <c r="F4094" s="69" t="s">
        <v>12322</v>
      </c>
    </row>
    <row r="4095" spans="1:6" ht="22.5" x14ac:dyDescent="0.2">
      <c r="A4095" s="50">
        <v>97.05</v>
      </c>
      <c r="B4095" s="64" t="s">
        <v>12323</v>
      </c>
      <c r="C4095" s="47"/>
      <c r="D4095" s="47"/>
      <c r="E4095" s="47"/>
      <c r="F4095" s="47"/>
    </row>
    <row r="4096" spans="1:6" ht="56.25" x14ac:dyDescent="0.2">
      <c r="A4096" s="70" t="s">
        <v>12324</v>
      </c>
      <c r="B4096" s="65" t="s">
        <v>12325</v>
      </c>
      <c r="C4096" s="75" t="s">
        <v>203</v>
      </c>
      <c r="D4096" s="72" t="s">
        <v>8618</v>
      </c>
      <c r="E4096" s="72" t="s">
        <v>329</v>
      </c>
      <c r="F4096" s="72" t="s">
        <v>12326</v>
      </c>
    </row>
    <row r="4097" spans="1:6" ht="56.25" x14ac:dyDescent="0.2">
      <c r="A4097" s="65" t="s">
        <v>12327</v>
      </c>
      <c r="B4097" s="66" t="s">
        <v>12328</v>
      </c>
      <c r="C4097" s="74" t="s">
        <v>203</v>
      </c>
      <c r="D4097" s="69" t="s">
        <v>12329</v>
      </c>
      <c r="E4097" s="69" t="s">
        <v>286</v>
      </c>
      <c r="F4097" s="69" t="s">
        <v>12330</v>
      </c>
    </row>
    <row r="4098" spans="1:6" ht="22.5" x14ac:dyDescent="0.2">
      <c r="A4098" s="65" t="s">
        <v>12331</v>
      </c>
      <c r="B4098" s="65" t="s">
        <v>12332</v>
      </c>
      <c r="C4098" s="74" t="s">
        <v>204</v>
      </c>
      <c r="D4098" s="69" t="s">
        <v>12333</v>
      </c>
      <c r="E4098" s="73"/>
      <c r="F4098" s="69" t="s">
        <v>12333</v>
      </c>
    </row>
    <row r="4099" spans="1:6" ht="22.5" x14ac:dyDescent="0.2">
      <c r="A4099" s="65" t="s">
        <v>12334</v>
      </c>
      <c r="B4099" s="65" t="s">
        <v>12335</v>
      </c>
      <c r="C4099" s="74" t="s">
        <v>300</v>
      </c>
      <c r="D4099" s="69" t="s">
        <v>12336</v>
      </c>
      <c r="E4099" s="73"/>
      <c r="F4099" s="69" t="s">
        <v>12336</v>
      </c>
    </row>
    <row r="4100" spans="1:6" x14ac:dyDescent="0.2">
      <c r="A4100" s="49">
        <v>98</v>
      </c>
      <c r="B4100" s="64" t="s">
        <v>12337</v>
      </c>
      <c r="C4100" s="47"/>
      <c r="D4100" s="47"/>
      <c r="E4100" s="47"/>
      <c r="F4100" s="47"/>
    </row>
    <row r="4101" spans="1:6" x14ac:dyDescent="0.2">
      <c r="A4101" s="50">
        <v>98.02</v>
      </c>
      <c r="B4101" s="64" t="s">
        <v>12338</v>
      </c>
      <c r="C4101" s="47"/>
      <c r="D4101" s="47"/>
      <c r="E4101" s="47"/>
      <c r="F4101" s="47"/>
    </row>
    <row r="4102" spans="1:6" ht="22.5" x14ac:dyDescent="0.2">
      <c r="A4102" s="65" t="s">
        <v>12339</v>
      </c>
      <c r="B4102" s="65" t="s">
        <v>12340</v>
      </c>
      <c r="C4102" s="74" t="s">
        <v>203</v>
      </c>
      <c r="D4102" s="69" t="s">
        <v>12341</v>
      </c>
      <c r="E4102" s="73"/>
      <c r="F4102" s="69" t="s">
        <v>12341</v>
      </c>
    </row>
  </sheetData>
  <mergeCells count="26">
    <mergeCell ref="B48:E48"/>
    <mergeCell ref="G48:J48"/>
    <mergeCell ref="F15:J15"/>
    <mergeCell ref="F16:J16"/>
    <mergeCell ref="C17:D17"/>
    <mergeCell ref="F17:J17"/>
    <mergeCell ref="B33:J33"/>
    <mergeCell ref="B35:J37"/>
    <mergeCell ref="F29:J29"/>
    <mergeCell ref="B39:J39"/>
    <mergeCell ref="B46:E46"/>
    <mergeCell ref="G46:J46"/>
    <mergeCell ref="B47:E47"/>
    <mergeCell ref="G47:J47"/>
    <mergeCell ref="F14:J14"/>
    <mergeCell ref="B1:J1"/>
    <mergeCell ref="B2:J2"/>
    <mergeCell ref="B4:J4"/>
    <mergeCell ref="B5:J5"/>
    <mergeCell ref="B6:J6"/>
    <mergeCell ref="B7:J7"/>
    <mergeCell ref="B8:J8"/>
    <mergeCell ref="B10:J10"/>
    <mergeCell ref="F11:J11"/>
    <mergeCell ref="F12:J12"/>
    <mergeCell ref="F13:J13"/>
  </mergeCells>
  <conditionalFormatting sqref="C23">
    <cfRule type="cellIs" dxfId="16" priority="6" stopIfTrue="1" operator="equal">
      <formula>"ERRO"</formula>
    </cfRule>
  </conditionalFormatting>
  <conditionalFormatting sqref="C24">
    <cfRule type="cellIs" dxfId="15" priority="7" stopIfTrue="1" operator="equal">
      <formula>"ERRO"</formula>
    </cfRule>
  </conditionalFormatting>
  <conditionalFormatting sqref="C31">
    <cfRule type="cellIs" dxfId="14" priority="5" stopIfTrue="1" operator="equal">
      <formula>"FORA DO LIMITE !"</formula>
    </cfRule>
  </conditionalFormatting>
  <conditionalFormatting sqref="E17 C25 C31:C32">
    <cfRule type="cellIs" dxfId="13" priority="1" stopIfTrue="1" operator="equal">
      <formula>0</formula>
    </cfRule>
  </conditionalFormatting>
  <conditionalFormatting sqref="E29 E31">
    <cfRule type="cellIs" dxfId="12" priority="2" stopIfTrue="1" operator="equal">
      <formula>0</formula>
    </cfRule>
    <cfRule type="cellIs" dxfId="11" priority="3" stopIfTrue="1" operator="equal">
      <formula>"FORA DO LIMITE !"</formula>
    </cfRule>
  </conditionalFormatting>
  <dataValidations count="7"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6" xr:uid="{00000000-0002-0000-0100-000000000000}">
      <formula1>6.64</formula1>
      <formula2>8.69</formula2>
    </dataValidation>
    <dataValidation type="decimal" allowBlank="1" showInputMessage="1" showErrorMessage="1" sqref="J26" xr:uid="{00000000-0002-0000-0100-000001000000}">
      <formula1>0</formula1>
      <formula2>1</formula2>
    </dataValidation>
    <dataValidation type="decimal" allowBlank="1" showInputMessage="1" showErrorMessage="1" sqref="H27" xr:uid="{00000000-0002-0000-0100-000002000000}">
      <formula1>0</formula1>
      <formula2>0.05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5" xr:uid="{00000000-0002-0000-0100-000003000000}">
      <formula1>1.02</formula1>
      <formula2>1.21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2" xr:uid="{00000000-0002-0000-0100-000004000000}">
      <formula1>3.8</formula1>
      <formula2>4.67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3" xr:uid="{00000000-0002-0000-0100-000005000000}">
      <formula1>0.32</formula1>
      <formula2>0.74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4" xr:uid="{00000000-0002-0000-0100-000006000000}">
      <formula1>0.5</formula1>
      <formula2>0.97</formula2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1"/>
  </sheetPr>
  <dimension ref="A1:I202"/>
  <sheetViews>
    <sheetView topLeftCell="A178" workbookViewId="0">
      <selection activeCell="I202" sqref="I202"/>
    </sheetView>
  </sheetViews>
  <sheetFormatPr defaultRowHeight="12.75" x14ac:dyDescent="0.2"/>
  <cols>
    <col min="1" max="1" width="5.42578125" bestFit="1" customWidth="1"/>
    <col min="2" max="2" width="6.85546875" bestFit="1" customWidth="1"/>
    <col min="4" max="4" width="60.7109375" customWidth="1"/>
    <col min="7" max="8" width="11.5703125" customWidth="1"/>
    <col min="9" max="9" width="15.7109375" customWidth="1"/>
  </cols>
  <sheetData>
    <row r="1" spans="1:9" ht="18" x14ac:dyDescent="0.2">
      <c r="A1" s="711"/>
      <c r="B1" s="712"/>
      <c r="C1" s="713"/>
      <c r="D1" s="720" t="s">
        <v>29</v>
      </c>
      <c r="E1" s="721"/>
      <c r="F1" s="721"/>
      <c r="G1" s="721"/>
      <c r="H1" s="721"/>
      <c r="I1" s="722"/>
    </row>
    <row r="2" spans="1:9" ht="15.75" customHeight="1" x14ac:dyDescent="0.2">
      <c r="A2" s="714"/>
      <c r="B2" s="715"/>
      <c r="C2" s="716"/>
      <c r="D2" s="723" t="s">
        <v>28</v>
      </c>
      <c r="E2" s="724"/>
      <c r="F2" s="724"/>
      <c r="G2" s="724"/>
      <c r="H2" s="724"/>
      <c r="I2" s="725"/>
    </row>
    <row r="3" spans="1:9" ht="15.75" customHeight="1" x14ac:dyDescent="0.2">
      <c r="A3" s="714"/>
      <c r="B3" s="715"/>
      <c r="C3" s="716"/>
      <c r="D3" s="726" t="s">
        <v>184</v>
      </c>
      <c r="E3" s="727"/>
      <c r="F3" s="727"/>
      <c r="G3" s="727"/>
      <c r="H3" s="727"/>
      <c r="I3" s="728"/>
    </row>
    <row r="4" spans="1:9" ht="15.75" customHeight="1" x14ac:dyDescent="0.2">
      <c r="A4" s="714"/>
      <c r="B4" s="715"/>
      <c r="C4" s="716"/>
      <c r="D4" s="726" t="s">
        <v>108</v>
      </c>
      <c r="E4" s="729"/>
      <c r="F4" s="729"/>
      <c r="G4" s="729"/>
      <c r="H4" s="730"/>
      <c r="I4" s="89" t="s">
        <v>19</v>
      </c>
    </row>
    <row r="5" spans="1:9" ht="15.75" customHeight="1" thickBot="1" x14ac:dyDescent="0.25">
      <c r="A5" s="717"/>
      <c r="B5" s="718"/>
      <c r="C5" s="719"/>
      <c r="D5" s="731" t="s">
        <v>20268</v>
      </c>
      <c r="E5" s="732"/>
      <c r="F5" s="732"/>
      <c r="G5" s="732"/>
      <c r="H5" s="733"/>
      <c r="I5" s="99">
        <f>ROUND('BDI DESON.'!E29/100,4)</f>
        <v>0.2601</v>
      </c>
    </row>
    <row r="6" spans="1:9" ht="30" x14ac:dyDescent="0.2">
      <c r="A6" s="80" t="s">
        <v>33</v>
      </c>
      <c r="B6" s="81" t="s">
        <v>3</v>
      </c>
      <c r="C6" s="82" t="s">
        <v>0</v>
      </c>
      <c r="D6" s="83" t="s">
        <v>1</v>
      </c>
      <c r="E6" s="84" t="s">
        <v>4</v>
      </c>
      <c r="F6" s="85" t="s">
        <v>5</v>
      </c>
      <c r="G6" s="86" t="s">
        <v>6</v>
      </c>
      <c r="H6" s="87" t="s">
        <v>22</v>
      </c>
      <c r="I6" s="88" t="s">
        <v>7</v>
      </c>
    </row>
    <row r="7" spans="1:9" x14ac:dyDescent="0.2">
      <c r="A7" s="90" t="s">
        <v>8</v>
      </c>
      <c r="B7" s="91"/>
      <c r="C7" s="92"/>
      <c r="D7" s="93" t="s">
        <v>35</v>
      </c>
      <c r="E7" s="94"/>
      <c r="F7" s="95"/>
      <c r="G7" s="96"/>
      <c r="H7" s="97"/>
      <c r="I7" s="98">
        <f>SUBTOTAL(9,I8:I11)</f>
        <v>34643.5</v>
      </c>
    </row>
    <row r="8" spans="1:9" x14ac:dyDescent="0.2">
      <c r="A8" s="44" t="s">
        <v>43</v>
      </c>
      <c r="B8" s="37" t="s">
        <v>97</v>
      </c>
      <c r="C8" s="46" t="s">
        <v>10</v>
      </c>
      <c r="D8" s="38" t="str">
        <f>IF($B8="","",VLOOKUP($C8,'200 DESONERADO'!$A$3:$G$4201,2,0))</f>
        <v>Placa em lona com impressão digital e requadro em metalon</v>
      </c>
      <c r="E8" s="39" t="str">
        <f>IF($B8="","",VLOOKUP($C8,'200 ONERADO'!$A$3:$G$4201,3,0))</f>
        <v>m²</v>
      </c>
      <c r="F8" s="154">
        <v>6</v>
      </c>
      <c r="G8" s="41">
        <f>IF($B8="","",VLOOKUP($C8,'200 DESONERADO'!$A$3:$H$4201,6,0))</f>
        <v>440.98</v>
      </c>
      <c r="H8" s="42">
        <f>ROUND(G8*(1+$I$5),2)</f>
        <v>555.67999999999995</v>
      </c>
      <c r="I8" s="43">
        <f>IF($B8="","",ROUND(F8*H8,2))</f>
        <v>3334.08</v>
      </c>
    </row>
    <row r="9" spans="1:9" ht="25.5" x14ac:dyDescent="0.2">
      <c r="A9" s="44" t="s">
        <v>180</v>
      </c>
      <c r="B9" s="37" t="s">
        <v>97</v>
      </c>
      <c r="C9" s="46" t="s">
        <v>12708</v>
      </c>
      <c r="D9" s="38" t="str">
        <f>IF($B9="","",VLOOKUP($C9,'200 DESONERADO'!$A$3:$G$4201,2,0))</f>
        <v>Locação de container tipo escritório com 1 vaso sanitário, 1 lavatório e 1 ponto para chuveiro - área mínima de 13,80 m²</v>
      </c>
      <c r="E9" s="39" t="str">
        <f>IF($B9="","",VLOOKUP($C9,'200 ONERADO'!$A$3:$G$4201,3,0))</f>
        <v>un.mês</v>
      </c>
      <c r="F9" s="154">
        <v>6</v>
      </c>
      <c r="G9" s="41">
        <f>IF($B9="","",VLOOKUP($C9,'200 DESONERADO'!$A$3:$H$4201,6,0))</f>
        <v>1548.92</v>
      </c>
      <c r="H9" s="42">
        <f>ROUND(G9*(1+$I$5),2)</f>
        <v>1951.79</v>
      </c>
      <c r="I9" s="43">
        <f>IF($B9="","",ROUND(F9*H9,2))</f>
        <v>11710.74</v>
      </c>
    </row>
    <row r="10" spans="1:9" x14ac:dyDescent="0.2">
      <c r="A10" s="44" t="s">
        <v>20401</v>
      </c>
      <c r="B10" s="37" t="s">
        <v>97</v>
      </c>
      <c r="C10" s="46" t="s">
        <v>12781</v>
      </c>
      <c r="D10" s="38" t="str">
        <f>IF($B10="","",VLOOKUP($C10,'200 DESONERADO'!$A$3:$G$4201,2,0))</f>
        <v>Locação de obra de edificação</v>
      </c>
      <c r="E10" s="39" t="str">
        <f>IF($B10="","",VLOOKUP($C10,'200 ONERADO'!$A$3:$G$4201,3,0))</f>
        <v>m²</v>
      </c>
      <c r="F10" s="154">
        <v>180.86</v>
      </c>
      <c r="G10" s="41">
        <f>IF($B10="","",VLOOKUP($C10,'200 DESONERADO'!$A$3:$H$4201,6,0))</f>
        <v>17.2</v>
      </c>
      <c r="H10" s="42">
        <f t="shared" ref="H10:H11" si="0">ROUND(G10*(1+$I$5),2)</f>
        <v>21.67</v>
      </c>
      <c r="I10" s="43">
        <f t="shared" ref="I10:I11" si="1">IF($B10="","",ROUND(F10*H10,2))</f>
        <v>3919.24</v>
      </c>
    </row>
    <row r="11" spans="1:9" x14ac:dyDescent="0.2">
      <c r="A11" s="44" t="s">
        <v>20579</v>
      </c>
      <c r="B11" s="37" t="s">
        <v>97</v>
      </c>
      <c r="C11" s="46" t="s">
        <v>12726</v>
      </c>
      <c r="D11" s="38" t="str">
        <f>IF($B11="","",VLOOKUP($C11,'200 DESONERADO'!$A$3:$G$4201,2,0))</f>
        <v>Tapume fixo para fechamento de áreas, com portão</v>
      </c>
      <c r="E11" s="39" t="str">
        <f>IF($B11="","",VLOOKUP($C11,'200 ONERADO'!$A$3:$G$4201,3,0))</f>
        <v>m²</v>
      </c>
      <c r="F11" s="154">
        <f>2*61</f>
        <v>122</v>
      </c>
      <c r="G11" s="41">
        <f>IF($B11="","",VLOOKUP($C11,'200 DESONERADO'!$A$3:$H$4201,6,0))</f>
        <v>101.99</v>
      </c>
      <c r="H11" s="42">
        <f t="shared" si="0"/>
        <v>128.52000000000001</v>
      </c>
      <c r="I11" s="43">
        <f t="shared" si="1"/>
        <v>15679.44</v>
      </c>
    </row>
    <row r="12" spans="1:9" x14ac:dyDescent="0.2">
      <c r="A12" s="90" t="s">
        <v>20</v>
      </c>
      <c r="B12" s="91"/>
      <c r="C12" s="92"/>
      <c r="D12" s="93" t="s">
        <v>20600</v>
      </c>
      <c r="E12" s="94"/>
      <c r="F12" s="95"/>
      <c r="G12" s="96"/>
      <c r="H12" s="97"/>
      <c r="I12" s="98">
        <f>SUBTOTAL(9,I13:I21)</f>
        <v>182701.99000000002</v>
      </c>
    </row>
    <row r="13" spans="1:9" x14ac:dyDescent="0.2">
      <c r="A13" s="44" t="s">
        <v>117</v>
      </c>
      <c r="B13" s="37" t="s">
        <v>97</v>
      </c>
      <c r="C13" s="46" t="s">
        <v>13359</v>
      </c>
      <c r="D13" s="38" t="str">
        <f>IF($B13="","",VLOOKUP($C13,'200 DESONERADO'!$A$3:$G$4201,2,0))</f>
        <v>Escavação manual em solo de 1ª e 2ª categoria em vala ou cava até 1,5 m</v>
      </c>
      <c r="E13" s="39" t="str">
        <f>IF($B13="","",VLOOKUP($C13,'200 ONERADO'!$A$3:$G$4201,3,0))</f>
        <v>m³</v>
      </c>
      <c r="F13" s="154">
        <f>INFRAESTRUTURA!H55+INFRAESTRUTURA!R29</f>
        <v>29.519999999999985</v>
      </c>
      <c r="G13" s="41">
        <f>IF($B13="","",VLOOKUP($C13,'200 DESONERADO'!$A$3:$H$4201,6,0))</f>
        <v>61.32</v>
      </c>
      <c r="H13" s="42">
        <f>ROUND(G13*(1+$I$5),2)</f>
        <v>77.27</v>
      </c>
      <c r="I13" s="43">
        <f>IF($B13="","",ROUND(F13*H13,2))</f>
        <v>2281.0100000000002</v>
      </c>
    </row>
    <row r="14" spans="1:9" ht="25.5" x14ac:dyDescent="0.2">
      <c r="A14" s="44" t="s">
        <v>44</v>
      </c>
      <c r="B14" s="37" t="s">
        <v>97</v>
      </c>
      <c r="C14" s="40" t="s">
        <v>13686</v>
      </c>
      <c r="D14" s="38" t="str">
        <f>IF($B14="","",VLOOKUP($C14,'200 DESONERADO'!$A$3:$G$4201,2,0))</f>
        <v>Taxa de mobilização e desmobilização de equipamentos para execução de estaca escavada</v>
      </c>
      <c r="E14" s="39" t="str">
        <f>IF($B14="","",VLOOKUP($C14,'200 ONERADO'!$A$3:$G$4201,3,0))</f>
        <v>tx</v>
      </c>
      <c r="F14" s="154">
        <v>1</v>
      </c>
      <c r="G14" s="41">
        <f>IF($B14="","",VLOOKUP($C14,'200 DESONERADO'!$A$3:$H$4201,6,0))</f>
        <v>2552.3000000000002</v>
      </c>
      <c r="H14" s="42">
        <f t="shared" ref="H14:H21" si="2">ROUND(G14*(1+$I$5),2)</f>
        <v>3216.15</v>
      </c>
      <c r="I14" s="43">
        <f t="shared" ref="I14:I19" si="3">IF($B14="","",ROUND(F14*H14,2))</f>
        <v>3216.15</v>
      </c>
    </row>
    <row r="15" spans="1:9" x14ac:dyDescent="0.2">
      <c r="A15" s="44" t="s">
        <v>45</v>
      </c>
      <c r="B15" s="37" t="s">
        <v>97</v>
      </c>
      <c r="C15" s="46" t="s">
        <v>13690</v>
      </c>
      <c r="D15" s="38" t="str">
        <f>IF($B15="","",VLOOKUP($C15,'200 DESONERADO'!$A$3:$G$4201,2,0))</f>
        <v>Estaca escavada mecanicamente, diâmetro de 30 cm até 30 t</v>
      </c>
      <c r="E15" s="39" t="str">
        <f>IF($B15="","",VLOOKUP($C15,'200 ONERADO'!$A$3:$G$4201,3,0))</f>
        <v>m</v>
      </c>
      <c r="F15" s="154">
        <f>INFRAESTRUTURA!C142</f>
        <v>408</v>
      </c>
      <c r="G15" s="41">
        <f>IF($B15="","",VLOOKUP($C15,'200 DESONERADO'!$A$3:$H$4201,6,0))</f>
        <v>80.739999999999995</v>
      </c>
      <c r="H15" s="42">
        <f t="shared" si="2"/>
        <v>101.74</v>
      </c>
      <c r="I15" s="43">
        <f t="shared" si="3"/>
        <v>41509.919999999998</v>
      </c>
    </row>
    <row r="16" spans="1:9" x14ac:dyDescent="0.2">
      <c r="A16" s="44" t="s">
        <v>20046</v>
      </c>
      <c r="B16" s="37" t="s">
        <v>97</v>
      </c>
      <c r="C16" s="46" t="s">
        <v>13641</v>
      </c>
      <c r="D16" s="38" t="str">
        <f>IF($B16="","",VLOOKUP($C16,'200 DESONERADO'!$A$3:$G$4201,2,0))</f>
        <v>Lastro de pedra britada</v>
      </c>
      <c r="E16" s="39" t="str">
        <f>IF($B16="","",VLOOKUP($C16,'200 ONERADO'!$A$3:$G$4201,3,0))</f>
        <v>m³</v>
      </c>
      <c r="F16" s="154">
        <f>INFRAESTRUTURA!G55+INFRAESTRUTURA!P29+INFRAESTRUTURA!X32</f>
        <v>12.810000000000002</v>
      </c>
      <c r="G16" s="41">
        <f>IF($B16="","",VLOOKUP($C16,'200 DESONERADO'!$A$3:$H$4201,6,0))</f>
        <v>215.62</v>
      </c>
      <c r="H16" s="42">
        <f t="shared" si="2"/>
        <v>271.7</v>
      </c>
      <c r="I16" s="43">
        <f t="shared" si="3"/>
        <v>3480.48</v>
      </c>
    </row>
    <row r="17" spans="1:9" x14ac:dyDescent="0.2">
      <c r="A17" s="44" t="s">
        <v>20047</v>
      </c>
      <c r="B17" s="37" t="s">
        <v>97</v>
      </c>
      <c r="C17" s="46" t="s">
        <v>13506</v>
      </c>
      <c r="D17" s="38" t="str">
        <f>IF($B17="","",VLOOKUP($C17,'200 DESONERADO'!$A$3:$G$4201,2,0))</f>
        <v>Forma em madeira comum para fundação</v>
      </c>
      <c r="E17" s="39" t="str">
        <f>IF($B17="","",VLOOKUP($C17,'200 ONERADO'!$A$3:$G$4201,3,0))</f>
        <v>m²</v>
      </c>
      <c r="F17" s="154">
        <f>INFRAESTRUTURA!F55+INFRAESTRUTURA!Q29</f>
        <v>202.56000000000003</v>
      </c>
      <c r="G17" s="41">
        <f>IF($B17="","",VLOOKUP($C17,'200 DESONERADO'!$A$3:$H$4201,6,0))</f>
        <v>103.51</v>
      </c>
      <c r="H17" s="42">
        <f t="shared" si="2"/>
        <v>130.43</v>
      </c>
      <c r="I17" s="43">
        <f t="shared" si="3"/>
        <v>26419.9</v>
      </c>
    </row>
    <row r="18" spans="1:9" x14ac:dyDescent="0.2">
      <c r="A18" s="44" t="s">
        <v>20048</v>
      </c>
      <c r="B18" s="37" t="s">
        <v>97</v>
      </c>
      <c r="C18" s="46" t="s">
        <v>12353</v>
      </c>
      <c r="D18" s="38" t="str">
        <f>IF($B18="","",VLOOKUP($C18,'200 DESONERADO'!$A$3:$G$4201,2,0))</f>
        <v>Concreto usinado, fck = 30 MPa</v>
      </c>
      <c r="E18" s="39" t="str">
        <f>IF($B18="","",VLOOKUP($C18,'200 ONERADO'!$A$3:$G$4201,3,0))</f>
        <v>m³</v>
      </c>
      <c r="F18" s="154">
        <f>INFRAESTRUTURA!H55+INFRAESTRUTURA!R29+INFRAESTRUTURA!Z32</f>
        <v>48.789999999999985</v>
      </c>
      <c r="G18" s="41">
        <f>IF($B18="","",VLOOKUP($C18,'200 DESONERADO'!$A$3:$H$4201,6,0))</f>
        <v>544.1</v>
      </c>
      <c r="H18" s="42">
        <f t="shared" si="2"/>
        <v>685.62</v>
      </c>
      <c r="I18" s="43">
        <f t="shared" si="3"/>
        <v>33451.4</v>
      </c>
    </row>
    <row r="19" spans="1:9" x14ac:dyDescent="0.2">
      <c r="A19" s="44" t="s">
        <v>20049</v>
      </c>
      <c r="B19" s="37" t="s">
        <v>97</v>
      </c>
      <c r="C19" s="46" t="s">
        <v>13629</v>
      </c>
      <c r="D19" s="38" t="str">
        <f>IF($B19="","",VLOOKUP($C19,'200 DESONERADO'!$A$3:$G$4201,2,0))</f>
        <v>Lançamento e adensamento de concreto ou massa em fundação</v>
      </c>
      <c r="E19" s="39" t="str">
        <f>IF($B19="","",VLOOKUP($C19,'200 ONERADO'!$A$3:$G$4201,3,0))</f>
        <v>m³</v>
      </c>
      <c r="F19" s="154">
        <f>F18</f>
        <v>48.789999999999985</v>
      </c>
      <c r="G19" s="41">
        <f>IF($B19="","",VLOOKUP($C19,'200 DESONERADO'!$A$3:$H$4201,6,0))</f>
        <v>172.38</v>
      </c>
      <c r="H19" s="42">
        <f t="shared" si="2"/>
        <v>217.22</v>
      </c>
      <c r="I19" s="43">
        <f t="shared" si="3"/>
        <v>10598.16</v>
      </c>
    </row>
    <row r="20" spans="1:9" x14ac:dyDescent="0.2">
      <c r="A20" s="44" t="s">
        <v>20050</v>
      </c>
      <c r="B20" s="37" t="s">
        <v>97</v>
      </c>
      <c r="C20" s="46" t="s">
        <v>13558</v>
      </c>
      <c r="D20" s="38" t="str">
        <f>IF($B20="","",VLOOKUP($C20,'200 DESONERADO'!$A$3:$G$4201,2,0))</f>
        <v>Armadura em barra de aço CA-50 (A ou B) fyk = 500 MPa</v>
      </c>
      <c r="E20" s="39" t="str">
        <f>IF($B20="","",VLOOKUP($C20,'200 ONERADO'!$A$3:$G$4201,3,0))</f>
        <v>kg</v>
      </c>
      <c r="F20" s="154">
        <f>INFRAESTRUTURA!J55+INFRAESTRUTURA!T29+INFRAESTRUTURA!F142</f>
        <v>4500.7700000000023</v>
      </c>
      <c r="G20" s="41">
        <f>IF($B20="","",VLOOKUP($C20,'200 DESONERADO'!$A$3:$H$4201,6,0))</f>
        <v>9.84</v>
      </c>
      <c r="H20" s="42">
        <f t="shared" si="2"/>
        <v>12.4</v>
      </c>
      <c r="I20" s="43">
        <f>IF($B20="","",ROUND(F20*H20,2))</f>
        <v>55809.55</v>
      </c>
    </row>
    <row r="21" spans="1:9" x14ac:dyDescent="0.2">
      <c r="A21" s="44" t="s">
        <v>20051</v>
      </c>
      <c r="B21" s="37" t="s">
        <v>97</v>
      </c>
      <c r="C21" s="46" t="s">
        <v>13564</v>
      </c>
      <c r="D21" s="38" t="str">
        <f>IF($B21="","",VLOOKUP($C21,'200 DESONERADO'!$A$3:$G$4201,2,0))</f>
        <v>Armadura em tela soldada de aço</v>
      </c>
      <c r="E21" s="39" t="str">
        <f>IF($B21="","",VLOOKUP($C21,'200 ONERADO'!$A$3:$G$4201,3,0))</f>
        <v>kg</v>
      </c>
      <c r="F21" s="154">
        <f>INFRAESTRUTURA!AC32</f>
        <v>484.91999999999996</v>
      </c>
      <c r="G21" s="41">
        <f>IF($B21="","",VLOOKUP($C21,'200 DESONERADO'!$A$3:$H$4201,6,0))</f>
        <v>9.7100000000000009</v>
      </c>
      <c r="H21" s="42">
        <f t="shared" si="2"/>
        <v>12.24</v>
      </c>
      <c r="I21" s="43">
        <f>IF($B21="","",ROUND(F21*H21,2))</f>
        <v>5935.42</v>
      </c>
    </row>
    <row r="22" spans="1:9" x14ac:dyDescent="0.2">
      <c r="A22" s="100" t="s">
        <v>21</v>
      </c>
      <c r="B22" s="101"/>
      <c r="C22" s="102"/>
      <c r="D22" s="103" t="s">
        <v>21263</v>
      </c>
      <c r="E22" s="104"/>
      <c r="F22" s="446"/>
      <c r="G22" s="105"/>
      <c r="H22" s="106"/>
      <c r="I22" s="107">
        <f>SUBTOTAL(9,I23:I26)</f>
        <v>21940.43</v>
      </c>
    </row>
    <row r="23" spans="1:9" x14ac:dyDescent="0.2">
      <c r="A23" s="44" t="s">
        <v>46</v>
      </c>
      <c r="B23" s="37" t="s">
        <v>97</v>
      </c>
      <c r="C23" s="46" t="s">
        <v>13641</v>
      </c>
      <c r="D23" s="38" t="str">
        <f>IF($B23="","",VLOOKUP($C23,'200 DESONERADO'!$A$3:$G$4201,2,0))</f>
        <v>Lastro de pedra britada</v>
      </c>
      <c r="E23" s="39" t="str">
        <f>IF($B23="","",VLOOKUP($C23,'200 ONERADO'!$A$3:$G$4201,3,0))</f>
        <v>m³</v>
      </c>
      <c r="F23" s="154">
        <f>PAGINAÇÃO!E67</f>
        <v>8.7200000000000006</v>
      </c>
      <c r="G23" s="41">
        <f>IF($B23="","",VLOOKUP($C23,'200 DESONERADO'!$A$3:$H$4201,6,0))</f>
        <v>215.62</v>
      </c>
      <c r="H23" s="42">
        <f t="shared" ref="H23:H26" si="4">ROUND(G23*(1+$I$5),2)</f>
        <v>271.7</v>
      </c>
      <c r="I23" s="43">
        <f t="shared" ref="I23:I26" si="5">IF($B23="","",ROUND(F23*H23,2))</f>
        <v>2369.2199999999998</v>
      </c>
    </row>
    <row r="24" spans="1:9" x14ac:dyDescent="0.2">
      <c r="A24" s="44" t="s">
        <v>47</v>
      </c>
      <c r="B24" s="37" t="s">
        <v>97</v>
      </c>
      <c r="C24" s="46" t="s">
        <v>12353</v>
      </c>
      <c r="D24" s="38" t="str">
        <f>IF($B24="","",VLOOKUP($C24,'200 DESONERADO'!$A$3:$G$4201,2,0))</f>
        <v>Concreto usinado, fck = 30 MPa</v>
      </c>
      <c r="E24" s="39" t="str">
        <f>IF($B24="","",VLOOKUP($C24,'200 ONERADO'!$A$3:$G$4201,3,0))</f>
        <v>m³</v>
      </c>
      <c r="F24" s="154">
        <f>PAGINAÇÃO!E5</f>
        <v>10.61</v>
      </c>
      <c r="G24" s="41">
        <f>IF($B24="","",VLOOKUP($C24,'200 DESONERADO'!$A$3:$H$4201,6,0))</f>
        <v>544.1</v>
      </c>
      <c r="H24" s="42">
        <f t="shared" si="4"/>
        <v>685.62</v>
      </c>
      <c r="I24" s="43">
        <f t="shared" si="5"/>
        <v>7274.43</v>
      </c>
    </row>
    <row r="25" spans="1:9" x14ac:dyDescent="0.2">
      <c r="A25" s="44" t="s">
        <v>48</v>
      </c>
      <c r="B25" s="37" t="s">
        <v>97</v>
      </c>
      <c r="C25" s="46" t="s">
        <v>13629</v>
      </c>
      <c r="D25" s="38" t="str">
        <f>IF($B25="","",VLOOKUP($C25,'200 DESONERADO'!$A$3:$G$4201,2,0))</f>
        <v>Lançamento e adensamento de concreto ou massa em fundação</v>
      </c>
      <c r="E25" s="39" t="str">
        <f>IF($B25="","",VLOOKUP($C25,'200 ONERADO'!$A$3:$G$4201,3,0))</f>
        <v>m³</v>
      </c>
      <c r="F25" s="154">
        <f>PAGINAÇÃO!E6</f>
        <v>36.270000000000003</v>
      </c>
      <c r="G25" s="41">
        <f>IF($B25="","",VLOOKUP($C25,'200 DESONERADO'!$A$3:$H$4201,6,0))</f>
        <v>172.38</v>
      </c>
      <c r="H25" s="42">
        <f>ROUND(G25*(1+$I$5),2)</f>
        <v>217.22</v>
      </c>
      <c r="I25" s="43">
        <f t="shared" si="5"/>
        <v>7878.57</v>
      </c>
    </row>
    <row r="26" spans="1:9" x14ac:dyDescent="0.2">
      <c r="A26" s="44" t="s">
        <v>12347</v>
      </c>
      <c r="B26" s="37" t="s">
        <v>97</v>
      </c>
      <c r="C26" s="46" t="s">
        <v>14171</v>
      </c>
      <c r="D26" s="38" t="str">
        <f>IF($B26="","",VLOOKUP($C26,'200 DESONERADO'!$A$3:$G$4201,2,0))</f>
        <v>Argamassa de regularização e/ou proteção</v>
      </c>
      <c r="E26" s="39" t="str">
        <f>IF($B26="","",VLOOKUP($C26,'200 ONERADO'!$A$3:$G$4201,3,0))</f>
        <v>m³</v>
      </c>
      <c r="F26" s="154">
        <f>INFRAESTRUTURA!AH28</f>
        <v>4.3400000000000007</v>
      </c>
      <c r="G26" s="41">
        <f>IF($B26="","",VLOOKUP($C26,'200 DESONERADO'!$A$3:$H$4201,6,0))</f>
        <v>807.89</v>
      </c>
      <c r="H26" s="42">
        <f t="shared" si="4"/>
        <v>1018.02</v>
      </c>
      <c r="I26" s="43">
        <f t="shared" si="5"/>
        <v>4418.21</v>
      </c>
    </row>
    <row r="27" spans="1:9" x14ac:dyDescent="0.2">
      <c r="A27" s="100" t="s">
        <v>109</v>
      </c>
      <c r="B27" s="101"/>
      <c r="C27" s="102"/>
      <c r="D27" s="103" t="s">
        <v>20448</v>
      </c>
      <c r="E27" s="104"/>
      <c r="F27" s="446"/>
      <c r="G27" s="105"/>
      <c r="H27" s="106"/>
      <c r="I27" s="107">
        <f>SUBTOTAL(9,I28:I31)</f>
        <v>175727.21</v>
      </c>
    </row>
    <row r="28" spans="1:9" x14ac:dyDescent="0.2">
      <c r="A28" s="44" t="s">
        <v>110</v>
      </c>
      <c r="B28" s="37" t="s">
        <v>97</v>
      </c>
      <c r="C28" s="46" t="s">
        <v>13882</v>
      </c>
      <c r="D28" s="38" t="str">
        <f>IF($B28="","",VLOOKUP($C28,'200 DESONERADO'!$A$3:$G$4201,2,0))</f>
        <v>Alvenaria de bloco de concreto estrutural 14 cm - classe B</v>
      </c>
      <c r="E28" s="39" t="str">
        <f>IF($B28="","",VLOOKUP($C28,'200 ONERADO'!$A$3:$G$4201,3,0))</f>
        <v>m²</v>
      </c>
      <c r="F28" s="154">
        <f>PAGINAÇÃO!E73</f>
        <v>424.01</v>
      </c>
      <c r="G28" s="41">
        <f>IF($B28="","",VLOOKUP($C28,'200 DESONERADO'!$A$3:$H$4201,6,0))</f>
        <v>114.64</v>
      </c>
      <c r="H28" s="42">
        <f t="shared" ref="H28:H29" si="6">ROUND(G28*(1+$I$5),2)</f>
        <v>144.46</v>
      </c>
      <c r="I28" s="43">
        <f t="shared" ref="I28:I31" si="7">IF($B28="","",ROUND(F28*H28,2))</f>
        <v>61252.480000000003</v>
      </c>
    </row>
    <row r="29" spans="1:9" x14ac:dyDescent="0.2">
      <c r="A29" s="44" t="s">
        <v>111</v>
      </c>
      <c r="B29" s="37" t="s">
        <v>97</v>
      </c>
      <c r="C29" s="46" t="s">
        <v>13883</v>
      </c>
      <c r="D29" s="38" t="str">
        <f>IF($B29="","",VLOOKUP($C29,'200 DESONERADO'!$A$3:$G$4201,2,0))</f>
        <v>Alvenaria de bloco de concreto estrutural 19 cm - classe B</v>
      </c>
      <c r="E29" s="39" t="str">
        <f>IF($B29="","",VLOOKUP($C29,'200 ONERADO'!$A$3:$G$4201,3,0))</f>
        <v>m²</v>
      </c>
      <c r="F29" s="154">
        <f>PAGINAÇÃO!E11</f>
        <v>246.48000000000002</v>
      </c>
      <c r="G29" s="41">
        <f>IF($B29="","",VLOOKUP($C29,'200 DESONERADO'!$A$3:$H$4201,6,0))</f>
        <v>127.86</v>
      </c>
      <c r="H29" s="42">
        <f t="shared" si="6"/>
        <v>161.12</v>
      </c>
      <c r="I29" s="43">
        <f t="shared" si="7"/>
        <v>39712.86</v>
      </c>
    </row>
    <row r="30" spans="1:9" x14ac:dyDescent="0.2">
      <c r="A30" s="44" t="s">
        <v>112</v>
      </c>
      <c r="B30" s="37" t="s">
        <v>97</v>
      </c>
      <c r="C30" s="46" t="s">
        <v>13617</v>
      </c>
      <c r="D30" s="38" t="str">
        <f>IF($B30="","",VLOOKUP($C30,'200 DESONERADO'!$A$3:$G$4201,2,0))</f>
        <v>Argamassa graute</v>
      </c>
      <c r="E30" s="39" t="str">
        <f>IF($B30="","",VLOOKUP($C30,'200 ONERADO'!$A$3:$G$4201,3,0))</f>
        <v>m³</v>
      </c>
      <c r="F30" s="154">
        <f>PAGINAÇÃO!K50+PAGINAÇÃO!K150</f>
        <v>48.180000000000007</v>
      </c>
      <c r="G30" s="41">
        <f>IF($B30="","",VLOOKUP($C30,'200 DESONERADO'!$A$3:$H$4201,6,0))</f>
        <v>444.19</v>
      </c>
      <c r="H30" s="42">
        <f>ROUND(G30*(1+$I$5),2)</f>
        <v>559.72</v>
      </c>
      <c r="I30" s="43">
        <f t="shared" si="7"/>
        <v>26967.31</v>
      </c>
    </row>
    <row r="31" spans="1:9" x14ac:dyDescent="0.2">
      <c r="A31" s="44" t="s">
        <v>20053</v>
      </c>
      <c r="B31" s="37" t="s">
        <v>97</v>
      </c>
      <c r="C31" s="46" t="s">
        <v>13558</v>
      </c>
      <c r="D31" s="38" t="str">
        <f>IF($B31="","",VLOOKUP($C31,'200 DESONERADO'!$A$3:$G$4201,2,0))</f>
        <v>Armadura em barra de aço CA-50 (A ou B) fyk = 500 MPa</v>
      </c>
      <c r="E31" s="39" t="str">
        <f>IF($B31="","",VLOOKUP($C31,'200 ONERADO'!$A$3:$G$4201,3,0))</f>
        <v>kg</v>
      </c>
      <c r="F31" s="378">
        <f>F30*80</f>
        <v>3854.4000000000005</v>
      </c>
      <c r="G31" s="41">
        <f>IF($B31="","",VLOOKUP($C31,'200 DESONERADO'!$A$3:$H$4201,6,0))</f>
        <v>9.84</v>
      </c>
      <c r="H31" s="42">
        <f t="shared" ref="H31" si="8">ROUND(G31*(1+$I$5),2)</f>
        <v>12.4</v>
      </c>
      <c r="I31" s="43">
        <f t="shared" si="7"/>
        <v>47794.559999999998</v>
      </c>
    </row>
    <row r="32" spans="1:9" x14ac:dyDescent="0.2">
      <c r="A32" s="90" t="s">
        <v>12348</v>
      </c>
      <c r="B32" s="91"/>
      <c r="C32" s="92"/>
      <c r="D32" s="93" t="s">
        <v>21694</v>
      </c>
      <c r="E32" s="94"/>
      <c r="F32" s="95"/>
      <c r="G32" s="96" t="s">
        <v>21848</v>
      </c>
      <c r="H32" s="97"/>
      <c r="I32" s="107">
        <f>SUBTOTAL(9,I33:I42)</f>
        <v>50971.49</v>
      </c>
    </row>
    <row r="33" spans="1:9" x14ac:dyDescent="0.2">
      <c r="A33" s="447" t="s">
        <v>12349</v>
      </c>
      <c r="B33" s="448"/>
      <c r="C33" s="449"/>
      <c r="D33" s="450" t="s">
        <v>21716</v>
      </c>
      <c r="E33" s="451"/>
      <c r="F33" s="445"/>
      <c r="G33" s="452"/>
      <c r="H33" s="453"/>
      <c r="I33" s="454">
        <f>SUBTOTAL(9,I34:I37)</f>
        <v>37320.43</v>
      </c>
    </row>
    <row r="34" spans="1:9" x14ac:dyDescent="0.2">
      <c r="A34" s="44" t="s">
        <v>21717</v>
      </c>
      <c r="B34" s="37" t="s">
        <v>97</v>
      </c>
      <c r="C34" s="46" t="s">
        <v>13506</v>
      </c>
      <c r="D34" s="38" t="str">
        <f>IF($B34="","",VLOOKUP($C34,'200 DESONERADO'!$A$3:$G$4201,2,0))</f>
        <v>Forma em madeira comum para fundação</v>
      </c>
      <c r="E34" s="39" t="str">
        <f>IF($B34="","",VLOOKUP($C34,'200 ONERADO'!$A$3:$G$4201,3,0))</f>
        <v>m²</v>
      </c>
      <c r="F34" s="154">
        <f>CIMBRAMENTO!F28</f>
        <v>139.91999999999999</v>
      </c>
      <c r="G34" s="41">
        <f>IF($B34="","",VLOOKUP($C34,'200 DESONERADO'!$A$3:$H$4201,6,0))</f>
        <v>103.51</v>
      </c>
      <c r="H34" s="42">
        <f t="shared" ref="H34:H35" si="9">ROUND(G34*(1+$I$5),2)</f>
        <v>130.43</v>
      </c>
      <c r="I34" s="43">
        <f t="shared" ref="I34:I37" si="10">IF($B34="","",ROUND(F34*H34,2))</f>
        <v>18249.77</v>
      </c>
    </row>
    <row r="35" spans="1:9" x14ac:dyDescent="0.2">
      <c r="A35" s="44" t="s">
        <v>21718</v>
      </c>
      <c r="B35" s="37" t="s">
        <v>97</v>
      </c>
      <c r="C35" s="46" t="s">
        <v>12353</v>
      </c>
      <c r="D35" s="38" t="str">
        <f>IF($B35="","",VLOOKUP($C35,'200 DESONERADO'!$A$3:$G$4201,2,0))</f>
        <v>Concreto usinado, fck = 30 MPa</v>
      </c>
      <c r="E35" s="39" t="str">
        <f>IF($B35="","",VLOOKUP($C35,'200 ONERADO'!$A$3:$G$4201,3,0))</f>
        <v>m³</v>
      </c>
      <c r="F35" s="154">
        <f>CIMBRAMENTO!G28</f>
        <v>11.16</v>
      </c>
      <c r="G35" s="41">
        <f>IF($B35="","",VLOOKUP($C35,'200 DESONERADO'!$A$3:$H$4201,6,0))</f>
        <v>544.1</v>
      </c>
      <c r="H35" s="42">
        <f t="shared" si="9"/>
        <v>685.62</v>
      </c>
      <c r="I35" s="43">
        <f t="shared" si="10"/>
        <v>7651.52</v>
      </c>
    </row>
    <row r="36" spans="1:9" x14ac:dyDescent="0.2">
      <c r="A36" s="44" t="s">
        <v>21719</v>
      </c>
      <c r="B36" s="37" t="s">
        <v>97</v>
      </c>
      <c r="C36" s="46" t="s">
        <v>13629</v>
      </c>
      <c r="D36" s="38" t="str">
        <f>IF($B36="","",VLOOKUP($C36,'200 DESONERADO'!$A$3:$G$4201,2,0))</f>
        <v>Lançamento e adensamento de concreto ou massa em fundação</v>
      </c>
      <c r="E36" s="39" t="str">
        <f>IF($B36="","",VLOOKUP($C36,'200 ONERADO'!$A$3:$G$4201,3,0))</f>
        <v>m³</v>
      </c>
      <c r="F36" s="154">
        <f>F35</f>
        <v>11.16</v>
      </c>
      <c r="G36" s="41">
        <f>IF($B36="","",VLOOKUP($C36,'200 DESONERADO'!$A$3:$H$4201,6,0))</f>
        <v>172.38</v>
      </c>
      <c r="H36" s="42">
        <f>ROUND(G36*(1+$I$5),2)</f>
        <v>217.22</v>
      </c>
      <c r="I36" s="43">
        <f t="shared" si="10"/>
        <v>2424.1799999999998</v>
      </c>
    </row>
    <row r="37" spans="1:9" x14ac:dyDescent="0.2">
      <c r="A37" s="44" t="s">
        <v>21720</v>
      </c>
      <c r="B37" s="37" t="s">
        <v>97</v>
      </c>
      <c r="C37" s="46" t="s">
        <v>13558</v>
      </c>
      <c r="D37" s="38" t="str">
        <f>IF($B37="","",VLOOKUP($C37,'200 DESONERADO'!$A$3:$G$4201,2,0))</f>
        <v>Armadura em barra de aço CA-50 (A ou B) fyk = 500 MPa</v>
      </c>
      <c r="E37" s="39" t="str">
        <f>IF($B37="","",VLOOKUP($C37,'200 ONERADO'!$A$3:$G$4201,3,0))</f>
        <v>kg</v>
      </c>
      <c r="F37" s="154">
        <f>CIMBRAMENTO!I28</f>
        <v>725.4</v>
      </c>
      <c r="G37" s="41">
        <f>IF($B37="","",VLOOKUP($C37,'200 DESONERADO'!$A$3:$H$4201,6,0))</f>
        <v>9.84</v>
      </c>
      <c r="H37" s="42">
        <f t="shared" ref="H37" si="11">ROUND(G37*(1+$I$5),2)</f>
        <v>12.4</v>
      </c>
      <c r="I37" s="43">
        <f t="shared" si="10"/>
        <v>8994.9599999999991</v>
      </c>
    </row>
    <row r="38" spans="1:9" x14ac:dyDescent="0.2">
      <c r="A38" s="447" t="s">
        <v>12350</v>
      </c>
      <c r="B38" s="448"/>
      <c r="C38" s="449"/>
      <c r="D38" s="450" t="s">
        <v>21721</v>
      </c>
      <c r="E38" s="451"/>
      <c r="F38" s="445"/>
      <c r="G38" s="452"/>
      <c r="H38" s="453"/>
      <c r="I38" s="454">
        <f>SUBTOTAL(9,I39:I42)</f>
        <v>13651.06</v>
      </c>
    </row>
    <row r="39" spans="1:9" x14ac:dyDescent="0.2">
      <c r="A39" s="44" t="s">
        <v>21722</v>
      </c>
      <c r="B39" s="37" t="s">
        <v>97</v>
      </c>
      <c r="C39" s="46" t="s">
        <v>13506</v>
      </c>
      <c r="D39" s="38" t="str">
        <f>IF($B39="","",VLOOKUP($C39,'200 DESONERADO'!$A$3:$G$4201,2,0))</f>
        <v>Forma em madeira comum para fundação</v>
      </c>
      <c r="E39" s="39" t="str">
        <f>IF($B39="","",VLOOKUP($C39,'200 ONERADO'!$A$3:$G$4201,3,0))</f>
        <v>m²</v>
      </c>
      <c r="F39" s="154">
        <f>CIMBRAMENTO!F45</f>
        <v>47.670000000000009</v>
      </c>
      <c r="G39" s="41">
        <f>IF($B39="","",VLOOKUP($C39,'200 DESONERADO'!$A$3:$H$4201,6,0))</f>
        <v>103.51</v>
      </c>
      <c r="H39" s="42">
        <f t="shared" ref="H39:H40" si="12">ROUND(G39*(1+$I$5),2)</f>
        <v>130.43</v>
      </c>
      <c r="I39" s="43">
        <f t="shared" ref="I39:I42" si="13">IF($B39="","",ROUND(F39*H39,2))</f>
        <v>6217.6</v>
      </c>
    </row>
    <row r="40" spans="1:9" x14ac:dyDescent="0.2">
      <c r="A40" s="44" t="s">
        <v>21723</v>
      </c>
      <c r="B40" s="37" t="s">
        <v>97</v>
      </c>
      <c r="C40" s="46" t="s">
        <v>12353</v>
      </c>
      <c r="D40" s="38" t="str">
        <f>IF($B40="","",VLOOKUP($C40,'200 DESONERADO'!$A$3:$G$4201,2,0))</f>
        <v>Concreto usinado, fck = 30 MPa</v>
      </c>
      <c r="E40" s="39" t="str">
        <f>IF($B40="","",VLOOKUP($C40,'200 ONERADO'!$A$3:$G$4201,3,0))</f>
        <v>m³</v>
      </c>
      <c r="F40" s="154">
        <f>CIMBRAMENTO!G45</f>
        <v>4.3499999999999996</v>
      </c>
      <c r="G40" s="41">
        <f>IF($B40="","",VLOOKUP($C40,'200 DESONERADO'!$A$3:$H$4201,6,0))</f>
        <v>544.1</v>
      </c>
      <c r="H40" s="42">
        <f t="shared" si="12"/>
        <v>685.62</v>
      </c>
      <c r="I40" s="43">
        <f t="shared" si="13"/>
        <v>2982.45</v>
      </c>
    </row>
    <row r="41" spans="1:9" x14ac:dyDescent="0.2">
      <c r="A41" s="44" t="s">
        <v>21724</v>
      </c>
      <c r="B41" s="37" t="s">
        <v>97</v>
      </c>
      <c r="C41" s="46" t="s">
        <v>13629</v>
      </c>
      <c r="D41" s="38" t="str">
        <f>IF($B41="","",VLOOKUP($C41,'200 DESONERADO'!$A$3:$G$4201,2,0))</f>
        <v>Lançamento e adensamento de concreto ou massa em fundação</v>
      </c>
      <c r="E41" s="39" t="str">
        <f>IF($B41="","",VLOOKUP($C41,'200 ONERADO'!$A$3:$G$4201,3,0))</f>
        <v>m³</v>
      </c>
      <c r="F41" s="154">
        <f>F40</f>
        <v>4.3499999999999996</v>
      </c>
      <c r="G41" s="41">
        <f>IF($B41="","",VLOOKUP($C41,'200 DESONERADO'!$A$3:$H$4201,6,0))</f>
        <v>172.38</v>
      </c>
      <c r="H41" s="42">
        <f>ROUND(G41*(1+$I$5),2)</f>
        <v>217.22</v>
      </c>
      <c r="I41" s="43">
        <f t="shared" si="13"/>
        <v>944.91</v>
      </c>
    </row>
    <row r="42" spans="1:9" x14ac:dyDescent="0.2">
      <c r="A42" s="44" t="s">
        <v>21725</v>
      </c>
      <c r="B42" s="37" t="s">
        <v>97</v>
      </c>
      <c r="C42" s="46" t="s">
        <v>13558</v>
      </c>
      <c r="D42" s="38" t="str">
        <f>IF($B42="","",VLOOKUP($C42,'200 DESONERADO'!$A$3:$G$4201,2,0))</f>
        <v>Armadura em barra de aço CA-50 (A ou B) fyk = 500 MPa</v>
      </c>
      <c r="E42" s="39" t="str">
        <f>IF($B42="","",VLOOKUP($C42,'200 ONERADO'!$A$3:$G$4201,3,0))</f>
        <v>kg</v>
      </c>
      <c r="F42" s="154">
        <f>CIMBRAMENTO!I45</f>
        <v>282.75</v>
      </c>
      <c r="G42" s="41">
        <f>IF($B42="","",VLOOKUP($C42,'200 DESONERADO'!$A$3:$H$4201,6,0))</f>
        <v>9.84</v>
      </c>
      <c r="H42" s="42">
        <f t="shared" ref="H42" si="14">ROUND(G42*(1+$I$5),2)</f>
        <v>12.4</v>
      </c>
      <c r="I42" s="43">
        <f t="shared" si="13"/>
        <v>3506.1</v>
      </c>
    </row>
    <row r="43" spans="1:9" x14ac:dyDescent="0.2">
      <c r="A43" s="90" t="s">
        <v>12359</v>
      </c>
      <c r="B43" s="91"/>
      <c r="C43" s="92"/>
      <c r="D43" s="93" t="s">
        <v>21259</v>
      </c>
      <c r="E43" s="94"/>
      <c r="F43" s="95"/>
      <c r="G43" s="96" t="s">
        <v>21848</v>
      </c>
      <c r="H43" s="97"/>
      <c r="I43" s="107">
        <f>SUBTOTAL(9,I44:I48)</f>
        <v>58228.159999999996</v>
      </c>
    </row>
    <row r="44" spans="1:9" ht="25.5" x14ac:dyDescent="0.2">
      <c r="A44" s="44" t="s">
        <v>12360</v>
      </c>
      <c r="B44" s="37" t="s">
        <v>97</v>
      </c>
      <c r="C44" s="46" t="s">
        <v>13790</v>
      </c>
      <c r="D44" s="38" t="str">
        <f>IF($B44="","",VLOOKUP($C44,'200 DESONERADO'!$A$3:$G$4201,2,0))</f>
        <v>Laje pré-fabricada mista vigota treliçada/lajota cerâmica - LT 12 (8+4) e capa com concreto de 25 MPa</v>
      </c>
      <c r="E44" s="39" t="str">
        <f>IF($B44="","",VLOOKUP($C44,'200 ONERADO'!$A$3:$G$4201,3,0))</f>
        <v>m²</v>
      </c>
      <c r="F44" s="154">
        <f>LAJES!D40+LAJES!D41</f>
        <v>41.08</v>
      </c>
      <c r="G44" s="41">
        <f>IF($B44="","",VLOOKUP($C44,'200 DESONERADO'!$A$3:$H$4201,6,0))</f>
        <v>150.04</v>
      </c>
      <c r="H44" s="42">
        <f>ROUND(G44*(1+$I$5),2)</f>
        <v>189.07</v>
      </c>
      <c r="I44" s="43">
        <f>IF($B44="","",ROUND(F44*H44,2))</f>
        <v>7767</v>
      </c>
    </row>
    <row r="45" spans="1:9" ht="25.5" x14ac:dyDescent="0.2">
      <c r="A45" s="44" t="s">
        <v>12361</v>
      </c>
      <c r="B45" s="37" t="s">
        <v>97</v>
      </c>
      <c r="C45" s="46" t="s">
        <v>13792</v>
      </c>
      <c r="D45" s="38" t="str">
        <f>IF($B45="","",VLOOKUP($C45,'200 DESONERADO'!$A$3:$G$4201,2,0))</f>
        <v>Laje pré-fabricada mista vigota treliçada/lajota cerâmica - LT 16 (12+4) e capa com concreto de 25 MPa</v>
      </c>
      <c r="E45" s="39" t="str">
        <f>IF($B45="","",VLOOKUP($C45,'200 ONERADO'!$A$3:$G$4201,3,0))</f>
        <v>m²</v>
      </c>
      <c r="F45" s="154">
        <f>LAJES!D25-LAJES!D26</f>
        <v>159.946</v>
      </c>
      <c r="G45" s="41">
        <f>IF($B45="","",VLOOKUP($C45,'200 DESONERADO'!$A$3:$H$4201,6,0))</f>
        <v>160.58000000000001</v>
      </c>
      <c r="H45" s="42">
        <f t="shared" ref="H45:H48" si="15">ROUND(G45*(1+$I$5),2)</f>
        <v>202.35</v>
      </c>
      <c r="I45" s="43">
        <f t="shared" ref="I45:I48" si="16">IF($B45="","",ROUND(F45*H45,2))</f>
        <v>32365.07</v>
      </c>
    </row>
    <row r="46" spans="1:9" ht="25.5" x14ac:dyDescent="0.2">
      <c r="A46" s="44" t="s">
        <v>12362</v>
      </c>
      <c r="B46" s="37" t="s">
        <v>97</v>
      </c>
      <c r="C46" s="46" t="s">
        <v>13794</v>
      </c>
      <c r="D46" s="38" t="str">
        <f>IF($B46="","",VLOOKUP($C46,'200 DESONERADO'!$A$3:$G$4201,2,0))</f>
        <v>Laje pré-fabricada mista vigota treliçada/lajota cerâmica - LT 20 (16+4) e capa com concreto de 25 MPa</v>
      </c>
      <c r="E46" s="39" t="str">
        <f>IF($B46="","",VLOOKUP($C46,'200 ONERADO'!$A$3:$G$4201,3,0))</f>
        <v>m²</v>
      </c>
      <c r="F46" s="154">
        <f>LAJES!D26+LAJES!D42</f>
        <v>23.5</v>
      </c>
      <c r="G46" s="41">
        <f>IF($B46="","",VLOOKUP($C46,'200 DESONERADO'!$A$3:$H$4201,6,0))</f>
        <v>191.84</v>
      </c>
      <c r="H46" s="42">
        <f t="shared" si="15"/>
        <v>241.74</v>
      </c>
      <c r="I46" s="43">
        <f t="shared" si="16"/>
        <v>5680.89</v>
      </c>
    </row>
    <row r="47" spans="1:9" x14ac:dyDescent="0.2">
      <c r="A47" s="44" t="s">
        <v>12363</v>
      </c>
      <c r="B47" s="37" t="s">
        <v>97</v>
      </c>
      <c r="C47" s="46" t="s">
        <v>13564</v>
      </c>
      <c r="D47" s="38" t="str">
        <f>IF($B47="","",VLOOKUP($C47,'200 DESONERADO'!$A$3:$G$4201,2,0))</f>
        <v>Armadura em tela soldada de aço</v>
      </c>
      <c r="E47" s="39" t="str">
        <f>IF($B47="","",VLOOKUP($C47,'200 ONERADO'!$A$3:$G$4201,3,0))</f>
        <v>kg</v>
      </c>
      <c r="F47" s="154">
        <f>LAJES!L25+LAJES!L39</f>
        <v>731.5300000000002</v>
      </c>
      <c r="G47" s="41">
        <f>IF($B47="","",VLOOKUP($C47,'200 DESONERADO'!$A$3:$H$4201,6,0))</f>
        <v>9.7100000000000009</v>
      </c>
      <c r="H47" s="42">
        <f t="shared" si="15"/>
        <v>12.24</v>
      </c>
      <c r="I47" s="43">
        <f t="shared" si="16"/>
        <v>8953.93</v>
      </c>
    </row>
    <row r="48" spans="1:9" x14ac:dyDescent="0.2">
      <c r="A48" s="44" t="s">
        <v>20578</v>
      </c>
      <c r="B48" s="37" t="s">
        <v>97</v>
      </c>
      <c r="C48" s="46" t="s">
        <v>14171</v>
      </c>
      <c r="D48" s="38" t="str">
        <f>IF($B48="","",VLOOKUP($C48,'200 DESONERADO'!$A$3:$G$4201,2,0))</f>
        <v>Argamassa de regularização e/ou proteção</v>
      </c>
      <c r="E48" s="39" t="str">
        <f>IF($B48="","",VLOOKUP($C48,'200 ONERADO'!$A$3:$G$4201,3,0))</f>
        <v>m³</v>
      </c>
      <c r="F48" s="154">
        <f>LAJES!Q25</f>
        <v>3.4</v>
      </c>
      <c r="G48" s="41">
        <f>IF($B48="","",VLOOKUP($C48,'200 DESONERADO'!$A$3:$H$4201,6,0))</f>
        <v>807.89</v>
      </c>
      <c r="H48" s="42">
        <f t="shared" si="15"/>
        <v>1018.02</v>
      </c>
      <c r="I48" s="43">
        <f t="shared" si="16"/>
        <v>3461.27</v>
      </c>
    </row>
    <row r="49" spans="1:9" x14ac:dyDescent="0.2">
      <c r="A49" s="90" t="s">
        <v>20054</v>
      </c>
      <c r="B49" s="91"/>
      <c r="C49" s="92"/>
      <c r="D49" s="93" t="s">
        <v>21259</v>
      </c>
      <c r="E49" s="94"/>
      <c r="F49" s="95"/>
      <c r="G49" s="96" t="s">
        <v>21848</v>
      </c>
      <c r="H49" s="97"/>
      <c r="I49" s="107">
        <f>SUBTOTAL(9,I50:I59)</f>
        <v>219342.82000000004</v>
      </c>
    </row>
    <row r="50" spans="1:9" x14ac:dyDescent="0.2">
      <c r="A50" s="44" t="s">
        <v>20055</v>
      </c>
      <c r="B50" s="37" t="s">
        <v>97</v>
      </c>
      <c r="C50" s="46" t="s">
        <v>13984</v>
      </c>
      <c r="D50" s="38" t="str">
        <f>IF($B50="","",VLOOKUP($C50,'200 DESONERADO'!$A$3:$G$4201,2,0))</f>
        <v>Estrutura de madeira tesourada para telha de barro - vãos até 7,00 m</v>
      </c>
      <c r="E50" s="39" t="str">
        <f>IF($B50="","",VLOOKUP($C50,'200 ONERADO'!$A$3:$G$4201,3,0))</f>
        <v>m²</v>
      </c>
      <c r="F50" s="154">
        <f>TELHADO!E10</f>
        <v>324.17</v>
      </c>
      <c r="G50" s="41">
        <f>IF($B50="","",VLOOKUP($C50,'200 DESONERADO'!$A$3:$H$4201,6,0))</f>
        <v>168.82</v>
      </c>
      <c r="H50" s="42">
        <f>ROUND(G50*(1+$I$5),2)</f>
        <v>212.73</v>
      </c>
      <c r="I50" s="43">
        <f>IF($B50="","",ROUND(F50*H50,2))</f>
        <v>68960.679999999993</v>
      </c>
    </row>
    <row r="51" spans="1:9" x14ac:dyDescent="0.2">
      <c r="A51" s="44" t="s">
        <v>20056</v>
      </c>
      <c r="B51" s="37" t="s">
        <v>97</v>
      </c>
      <c r="C51" s="46" t="s">
        <v>14054</v>
      </c>
      <c r="D51" s="38" t="str">
        <f>IF($B51="","",VLOOKUP($C51,'200 DESONERADO'!$A$3:$G$4201,2,0))</f>
        <v>Telha de barro colonial/paulista</v>
      </c>
      <c r="E51" s="39" t="str">
        <f>IF($B51="","",VLOOKUP($C51,'200 ONERADO'!$A$3:$G$4201,3,0))</f>
        <v>m²</v>
      </c>
      <c r="F51" s="154">
        <f>TELHADO!J12</f>
        <v>377.44</v>
      </c>
      <c r="G51" s="41">
        <f>IF($B51="","",VLOOKUP($C51,'200 DESONERADO'!$A$3:$H$4201,6,0))</f>
        <v>137.6</v>
      </c>
      <c r="H51" s="42">
        <f t="shared" ref="H51:H59" si="17">ROUND(G51*(1+$I$5),2)</f>
        <v>173.39</v>
      </c>
      <c r="I51" s="43">
        <f t="shared" ref="I51:I59" si="18">IF($B51="","",ROUND(F51*H51,2))</f>
        <v>65444.32</v>
      </c>
    </row>
    <row r="52" spans="1:9" x14ac:dyDescent="0.2">
      <c r="A52" s="44" t="s">
        <v>20057</v>
      </c>
      <c r="B52" s="37" t="s">
        <v>97</v>
      </c>
      <c r="C52" s="46" t="s">
        <v>14058</v>
      </c>
      <c r="D52" s="38" t="str">
        <f>IF($B52="","",VLOOKUP($C52,'200 DESONERADO'!$A$3:$G$4201,2,0))</f>
        <v>Emboçamento de beiral em telhas de barro</v>
      </c>
      <c r="E52" s="39" t="str">
        <f>IF($B52="","",VLOOKUP($C52,'200 ONERADO'!$A$3:$G$4201,3,0))</f>
        <v>m</v>
      </c>
      <c r="F52" s="154">
        <f>TELHADO!R46</f>
        <v>60.87</v>
      </c>
      <c r="G52" s="41">
        <f>IF($B52="","",VLOOKUP($C52,'200 DESONERADO'!$A$3:$H$4201,6,0))</f>
        <v>15.5</v>
      </c>
      <c r="H52" s="42">
        <f t="shared" si="17"/>
        <v>19.53</v>
      </c>
      <c r="I52" s="43">
        <f t="shared" si="18"/>
        <v>1188.79</v>
      </c>
    </row>
    <row r="53" spans="1:9" ht="25.5" x14ac:dyDescent="0.2">
      <c r="A53" s="44" t="s">
        <v>20058</v>
      </c>
      <c r="B53" s="37" t="s">
        <v>97</v>
      </c>
      <c r="C53" s="46" t="s">
        <v>14060</v>
      </c>
      <c r="D53" s="38" t="str">
        <f>IF($B53="","",VLOOKUP($C53,'200 DESONERADO'!$A$3:$G$4201,2,0))</f>
        <v>Cumeeira de barro emboçado tipos: plan, romana, italiana, francesa e paulistinha</v>
      </c>
      <c r="E53" s="39" t="str">
        <f>IF($B53="","",VLOOKUP($C53,'200 ONERADO'!$A$3:$G$4201,3,0))</f>
        <v>m</v>
      </c>
      <c r="F53" s="154">
        <v>11.53</v>
      </c>
      <c r="G53" s="41">
        <f>IF($B53="","",VLOOKUP($C53,'200 DESONERADO'!$A$3:$H$4201,6,0))</f>
        <v>31.95</v>
      </c>
      <c r="H53" s="42">
        <f t="shared" si="17"/>
        <v>40.26</v>
      </c>
      <c r="I53" s="43">
        <f t="shared" si="18"/>
        <v>464.2</v>
      </c>
    </row>
    <row r="54" spans="1:9" x14ac:dyDescent="0.2">
      <c r="A54" s="44" t="s">
        <v>20059</v>
      </c>
      <c r="B54" s="37" t="s">
        <v>97</v>
      </c>
      <c r="C54" s="46" t="s">
        <v>14136</v>
      </c>
      <c r="D54" s="38" t="str">
        <f>IF($B54="","",VLOOKUP($C54,'200 DESONERADO'!$A$3:$G$4201,2,0))</f>
        <v>Calha, rufo, afins em chapa galvanizada nº 24 - corte 0,50 m</v>
      </c>
      <c r="E54" s="39" t="str">
        <f>IF($B54="","",VLOOKUP($C54,'200 ONERADO'!$A$3:$G$4201,3,0))</f>
        <v>m</v>
      </c>
      <c r="F54" s="154">
        <f>TELHADO!U23</f>
        <v>110.83999999999999</v>
      </c>
      <c r="G54" s="41">
        <f>IF($B54="","",VLOOKUP($C54,'200 DESONERADO'!$A$3:$H$4201,6,0))</f>
        <v>153.86000000000001</v>
      </c>
      <c r="H54" s="42">
        <f t="shared" si="17"/>
        <v>193.88</v>
      </c>
      <c r="I54" s="43">
        <f t="shared" si="18"/>
        <v>21489.66</v>
      </c>
    </row>
    <row r="55" spans="1:9" ht="25.5" x14ac:dyDescent="0.2">
      <c r="A55" s="44" t="s">
        <v>20060</v>
      </c>
      <c r="B55" s="37" t="s">
        <v>97</v>
      </c>
      <c r="C55" s="46" t="s">
        <v>18027</v>
      </c>
      <c r="D55" s="38" t="str">
        <f>IF($B55="","",VLOOKUP($C55,'200 DESONERADO'!$A$3:$G$4201,2,0))</f>
        <v>Tubo de PVC rígido PxB com virola e anel de borracha, linha esgoto série reforçada ´R´, DN= 100 mm, inclusive conexões</v>
      </c>
      <c r="E55" s="39" t="str">
        <f>IF($B55="","",VLOOKUP($C55,'200 ONERADO'!$A$3:$G$4201,3,0))</f>
        <v>m</v>
      </c>
      <c r="F55" s="154">
        <f>TELHADO!Y26</f>
        <v>78.100000000000009</v>
      </c>
      <c r="G55" s="41">
        <f>IF($B55="","",VLOOKUP($C55,'200 DESONERADO'!$A$3:$H$4201,6,0))</f>
        <v>114.43</v>
      </c>
      <c r="H55" s="42">
        <f t="shared" si="17"/>
        <v>144.19</v>
      </c>
      <c r="I55" s="43">
        <f t="shared" si="18"/>
        <v>11261.24</v>
      </c>
    </row>
    <row r="56" spans="1:9" x14ac:dyDescent="0.2">
      <c r="A56" s="44" t="s">
        <v>21730</v>
      </c>
      <c r="B56" s="37" t="s">
        <v>97</v>
      </c>
      <c r="C56" s="46" t="s">
        <v>14604</v>
      </c>
      <c r="D56" s="38" t="str">
        <f>IF($B56="","",VLOOKUP($C56,'200 DESONERADO'!$A$3:$G$4201,2,0))</f>
        <v>Testeira em tábua aparelhada, largura até 20cm</v>
      </c>
      <c r="E56" s="39" t="str">
        <f>IF($B56="","",VLOOKUP($C56,'200 ONERADO'!$A$3:$G$4201,3,0))</f>
        <v>m</v>
      </c>
      <c r="F56" s="154">
        <f>TELHADO!R27</f>
        <v>135.44</v>
      </c>
      <c r="G56" s="41">
        <f>IF($B56="","",VLOOKUP($C56,'200 DESONERADO'!$A$3:$H$4201,6,0))</f>
        <v>38.65</v>
      </c>
      <c r="H56" s="42">
        <f t="shared" si="17"/>
        <v>48.7</v>
      </c>
      <c r="I56" s="43">
        <f t="shared" si="18"/>
        <v>6595.93</v>
      </c>
    </row>
    <row r="57" spans="1:9" ht="25.5" x14ac:dyDescent="0.2">
      <c r="A57" s="44" t="s">
        <v>21731</v>
      </c>
      <c r="B57" s="37" t="s">
        <v>97</v>
      </c>
      <c r="C57" s="46" t="s">
        <v>14605</v>
      </c>
      <c r="D57" s="38" t="str">
        <f>IF($B57="","",VLOOKUP($C57,'200 DESONERADO'!$A$3:$G$4201,2,0))</f>
        <v>Beiral em tábua de angelim-vermelho / bacuri / maçaranduba macho e fêmea com tarugamento</v>
      </c>
      <c r="E57" s="39" t="str">
        <f>IF($B57="","",VLOOKUP($C57,'200 ONERADO'!$A$3:$G$4201,3,0))</f>
        <v>m²</v>
      </c>
      <c r="F57" s="154">
        <f>TELHADO!M32</f>
        <v>65.440000000000012</v>
      </c>
      <c r="G57" s="41">
        <f>IF($B57="","",VLOOKUP($C57,'200 DESONERADO'!$A$3:$H$4201,6,0))</f>
        <v>193.78</v>
      </c>
      <c r="H57" s="42">
        <f t="shared" si="17"/>
        <v>244.18</v>
      </c>
      <c r="I57" s="43">
        <f t="shared" si="18"/>
        <v>15979.14</v>
      </c>
    </row>
    <row r="58" spans="1:9" x14ac:dyDescent="0.2">
      <c r="A58" s="44" t="s">
        <v>21732</v>
      </c>
      <c r="B58" s="37" t="s">
        <v>97</v>
      </c>
      <c r="C58" s="46" t="s">
        <v>15463</v>
      </c>
      <c r="D58" s="38" t="str">
        <f>IF($B58="","",VLOOKUP($C58,'200 DESONERADO'!$A$3:$G$4201,2,0))</f>
        <v>Lã de vidro e/ou lã de rocha com espessura de 2´</v>
      </c>
      <c r="E58" s="39" t="str">
        <f>IF($B58="","",VLOOKUP($C58,'200 ONERADO'!$A$3:$G$4201,3,0))</f>
        <v>m²</v>
      </c>
      <c r="F58" s="154">
        <f>TELHADO!O11</f>
        <v>112.41999999999999</v>
      </c>
      <c r="G58" s="41">
        <f>IF($B58="","",VLOOKUP($C58,'200 DESONERADO'!$A$3:$H$4201,6,0))</f>
        <v>34.36</v>
      </c>
      <c r="H58" s="42">
        <f t="shared" si="17"/>
        <v>43.3</v>
      </c>
      <c r="I58" s="43">
        <f t="shared" si="18"/>
        <v>4867.79</v>
      </c>
    </row>
    <row r="59" spans="1:9" ht="25.5" x14ac:dyDescent="0.2">
      <c r="A59" s="44" t="s">
        <v>21733</v>
      </c>
      <c r="B59" s="37" t="s">
        <v>97</v>
      </c>
      <c r="C59" s="46" t="s">
        <v>14602</v>
      </c>
      <c r="D59" s="38" t="str">
        <f>IF($B59="","",VLOOKUP($C59,'200 DESONERADO'!$A$3:$G$4201,2,0))</f>
        <v>Forro xadrez em ripas de angelim-vermelho / bacuri / maçaranduba tarugado</v>
      </c>
      <c r="E59" s="39" t="str">
        <f>IF($B59="","",VLOOKUP($C59,'200 ONERADO'!$A$3:$G$4201,3,0))</f>
        <v>m²</v>
      </c>
      <c r="F59" s="154">
        <f>F58</f>
        <v>112.41999999999999</v>
      </c>
      <c r="G59" s="41">
        <f>IF($B59="","",VLOOKUP($C59,'200 DESONERADO'!$A$3:$H$4201,6,0))</f>
        <v>163</v>
      </c>
      <c r="H59" s="42">
        <f t="shared" si="17"/>
        <v>205.4</v>
      </c>
      <c r="I59" s="43">
        <f t="shared" si="18"/>
        <v>23091.07</v>
      </c>
    </row>
    <row r="60" spans="1:9" x14ac:dyDescent="0.2">
      <c r="A60" s="90" t="s">
        <v>20427</v>
      </c>
      <c r="B60" s="91"/>
      <c r="C60" s="92"/>
      <c r="D60" s="93" t="s">
        <v>20425</v>
      </c>
      <c r="E60" s="94"/>
      <c r="F60" s="95"/>
      <c r="G60" s="96" t="str">
        <f>IF($B60="","",VLOOKUP($C60,'[1]BOLETIM 161'!$A$7:$F$4000,6,0))</f>
        <v/>
      </c>
      <c r="H60" s="97"/>
      <c r="I60" s="98">
        <f>SUBTOTAL(9,I62:I90)</f>
        <v>116987.45000000001</v>
      </c>
    </row>
    <row r="61" spans="1:9" x14ac:dyDescent="0.2">
      <c r="A61" s="447" t="s">
        <v>21491</v>
      </c>
      <c r="B61" s="448"/>
      <c r="C61" s="449"/>
      <c r="D61" s="450" t="s">
        <v>21479</v>
      </c>
      <c r="E61" s="451"/>
      <c r="F61" s="445"/>
      <c r="G61" s="452"/>
      <c r="H61" s="453"/>
      <c r="I61" s="454">
        <f>SUBTOTAL(9,I62:I76)</f>
        <v>51830.780000000006</v>
      </c>
    </row>
    <row r="62" spans="1:9" x14ac:dyDescent="0.2">
      <c r="A62" s="44" t="s">
        <v>21747</v>
      </c>
      <c r="B62" s="37" t="s">
        <v>97</v>
      </c>
      <c r="C62" s="46" t="s">
        <v>17950</v>
      </c>
      <c r="D62" s="38" t="str">
        <f>IF($B62="","",VLOOKUP($C62,'200 DESONERADO'!$A$3:$G$4201,2,0))</f>
        <v>Entrada completa de água com abrigo e registro de gaveta, DN= 3/4´</v>
      </c>
      <c r="E62" s="39" t="str">
        <f>IF($B62="","",VLOOKUP($C62,'200 ONERADO'!$A$3:$G$4201,3,0))</f>
        <v>un</v>
      </c>
      <c r="F62" s="154">
        <v>1</v>
      </c>
      <c r="G62" s="41">
        <f>IF($B62="","",VLOOKUP($C62,'200 DESONERADO'!$A$3:$H$4201,6,0))</f>
        <v>1469.24</v>
      </c>
      <c r="H62" s="42">
        <f>ROUND(G62*(1+$I$5),2)</f>
        <v>1851.39</v>
      </c>
      <c r="I62" s="43">
        <f>IF($B62="","",ROUND(F62*H62,2))</f>
        <v>1851.39</v>
      </c>
    </row>
    <row r="63" spans="1:9" ht="25.5" x14ac:dyDescent="0.2">
      <c r="A63" s="44" t="s">
        <v>21748</v>
      </c>
      <c r="B63" s="37" t="s">
        <v>97</v>
      </c>
      <c r="C63" s="46" t="s">
        <v>18992</v>
      </c>
      <c r="D63" s="38" t="str">
        <f>IF($B63="","",VLOOKUP($C63,'200 DESONERADO'!$A$3:$G$4201,2,0))</f>
        <v>Reservatório em polietileno com tampa de rosca - capacidade de 1.000 litros</v>
      </c>
      <c r="E63" s="39" t="str">
        <f>IF($B63="","",VLOOKUP($C63,'200 ONERADO'!$A$3:$G$4201,3,0))</f>
        <v>un</v>
      </c>
      <c r="F63" s="154">
        <v>3</v>
      </c>
      <c r="G63" s="41">
        <f>IF($B63="","",VLOOKUP($C63,'200 DESONERADO'!$A$3:$H$4201,6,0))</f>
        <v>971.04</v>
      </c>
      <c r="H63" s="42">
        <f t="shared" ref="H63:H76" si="19">ROUND(G63*(1+$I$5),2)</f>
        <v>1223.6099999999999</v>
      </c>
      <c r="I63" s="43">
        <f t="shared" ref="I63:I76" si="20">IF($B63="","",ROUND(F63*H63,2))</f>
        <v>3670.83</v>
      </c>
    </row>
    <row r="64" spans="1:9" ht="25.5" x14ac:dyDescent="0.2">
      <c r="A64" s="44" t="s">
        <v>21749</v>
      </c>
      <c r="B64" s="37" t="s">
        <v>97</v>
      </c>
      <c r="C64" s="46" t="s">
        <v>18994</v>
      </c>
      <c r="D64" s="38" t="str">
        <f>IF($B64="","",VLOOKUP($C64,'200 DESONERADO'!$A$3:$G$4201,2,0))</f>
        <v>Reservatório em polietileno com tampa de rosca - capacidade de 500 litros</v>
      </c>
      <c r="E64" s="39" t="str">
        <f>IF($B64="","",VLOOKUP($C64,'200 ONERADO'!$A$3:$G$4201,3,0))</f>
        <v>un</v>
      </c>
      <c r="F64" s="154">
        <v>1</v>
      </c>
      <c r="G64" s="41">
        <f>IF($B64="","",VLOOKUP($C64,'200 DESONERADO'!$A$3:$H$4201,6,0))</f>
        <v>618.30999999999995</v>
      </c>
      <c r="H64" s="42">
        <f t="shared" si="19"/>
        <v>779.13</v>
      </c>
      <c r="I64" s="43">
        <f t="shared" si="20"/>
        <v>779.13</v>
      </c>
    </row>
    <row r="65" spans="1:9" x14ac:dyDescent="0.2">
      <c r="A65" s="44" t="s">
        <v>21750</v>
      </c>
      <c r="B65" s="37" t="s">
        <v>97</v>
      </c>
      <c r="C65" s="46" t="s">
        <v>19014</v>
      </c>
      <c r="D65" s="38" t="str">
        <f>IF($B65="","",VLOOKUP($C65,'200 DESONERADO'!$A$3:$G$4201,2,0))</f>
        <v>Torneira de boia, DN= 1´</v>
      </c>
      <c r="E65" s="39" t="str">
        <f>IF($B65="","",VLOOKUP($C65,'200 ONERADO'!$A$3:$G$4201,3,0))</f>
        <v>un</v>
      </c>
      <c r="F65" s="154">
        <v>4</v>
      </c>
      <c r="G65" s="41">
        <f>IF($B65="","",VLOOKUP($C65,'200 DESONERADO'!$A$3:$H$4201,6,0))</f>
        <v>135.97999999999999</v>
      </c>
      <c r="H65" s="42">
        <f t="shared" si="19"/>
        <v>171.35</v>
      </c>
      <c r="I65" s="43">
        <f t="shared" si="20"/>
        <v>685.4</v>
      </c>
    </row>
    <row r="66" spans="1:9" ht="25.5" x14ac:dyDescent="0.2">
      <c r="A66" s="44" t="s">
        <v>21751</v>
      </c>
      <c r="B66" s="37" t="s">
        <v>97</v>
      </c>
      <c r="C66" s="40" t="s">
        <v>18713</v>
      </c>
      <c r="D66" s="38" t="str">
        <f>IF($B66="","",VLOOKUP($C66,'200 DESONERADO'!$A$3:$G$4201,2,0))</f>
        <v>Válvula de esfera monobloco em latão, passagem plena, acionamento com alavanca, DN= 1´</v>
      </c>
      <c r="E66" s="39" t="str">
        <f>IF($B66="","",VLOOKUP($C66,'200 ONERADO'!$A$3:$G$4201,3,0))</f>
        <v>un</v>
      </c>
      <c r="F66" s="154">
        <v>4</v>
      </c>
      <c r="G66" s="41">
        <f>IF($B66="","",VLOOKUP($C66,'200 DESONERADO'!$A$3:$H$4201,6,0))</f>
        <v>92.84</v>
      </c>
      <c r="H66" s="42">
        <f t="shared" si="19"/>
        <v>116.99</v>
      </c>
      <c r="I66" s="43">
        <f t="shared" si="20"/>
        <v>467.96</v>
      </c>
    </row>
    <row r="67" spans="1:9" ht="25.5" x14ac:dyDescent="0.2">
      <c r="A67" s="44" t="s">
        <v>21752</v>
      </c>
      <c r="B67" s="37" t="s">
        <v>97</v>
      </c>
      <c r="C67" s="40" t="s">
        <v>18735</v>
      </c>
      <c r="D67" s="38" t="str">
        <f>IF($B67="","",VLOOKUP($C67,'200 DESONERADO'!$A$3:$G$4201,2,0))</f>
        <v>Registro de pressão em latão fundido cromado com canopla, DN= 3/4´ - linha especial</v>
      </c>
      <c r="E67" s="39" t="str">
        <f>IF($B67="","",VLOOKUP($C67,'200 ONERADO'!$A$3:$G$4201,3,0))</f>
        <v>un</v>
      </c>
      <c r="F67" s="154">
        <f>HIDRÁULICA!I66</f>
        <v>19</v>
      </c>
      <c r="G67" s="41">
        <f>IF($B67="","",VLOOKUP($C67,'200 DESONERADO'!$A$3:$H$4201,6,0))</f>
        <v>69.150000000000006</v>
      </c>
      <c r="H67" s="42">
        <f t="shared" si="19"/>
        <v>87.14</v>
      </c>
      <c r="I67" s="43">
        <f t="shared" si="20"/>
        <v>1655.66</v>
      </c>
    </row>
    <row r="68" spans="1:9" ht="25.5" x14ac:dyDescent="0.2">
      <c r="A68" s="44" t="s">
        <v>21753</v>
      </c>
      <c r="B68" s="37" t="s">
        <v>97</v>
      </c>
      <c r="C68" s="40" t="s">
        <v>18727</v>
      </c>
      <c r="D68" s="38" t="str">
        <f>IF($B68="","",VLOOKUP($C68,'200 DESONERADO'!$A$3:$G$4201,2,0))</f>
        <v>Registro de gaveta em latão fundido cromado com canopla, DN= 1´ - linha especial</v>
      </c>
      <c r="E68" s="39" t="str">
        <f>IF($B68="","",VLOOKUP($C68,'200 ONERADO'!$A$3:$G$4201,3,0))</f>
        <v>un</v>
      </c>
      <c r="F68" s="154">
        <f>HIDRÁULICA!H66</f>
        <v>13</v>
      </c>
      <c r="G68" s="41">
        <f>IF($B68="","",VLOOKUP($C68,'200 DESONERADO'!$A$3:$H$4201,6,0))</f>
        <v>109.98</v>
      </c>
      <c r="H68" s="42">
        <f t="shared" si="19"/>
        <v>138.59</v>
      </c>
      <c r="I68" s="43">
        <f t="shared" si="20"/>
        <v>1801.67</v>
      </c>
    </row>
    <row r="69" spans="1:9" x14ac:dyDescent="0.2">
      <c r="A69" s="44" t="s">
        <v>21754</v>
      </c>
      <c r="B69" s="37" t="s">
        <v>97</v>
      </c>
      <c r="C69" s="40" t="s">
        <v>19042</v>
      </c>
      <c r="D69" s="38" t="str">
        <f>IF($B69="","",VLOOKUP($C69,'200 DESONERADO'!$A$3:$G$4201,2,0))</f>
        <v>Caixa sifonada de PVC rígido de 150 x 150 x 50 mm, com grelha</v>
      </c>
      <c r="E69" s="39" t="str">
        <f>IF($B69="","",VLOOKUP($C69,'200 ONERADO'!$A$3:$G$4201,3,0))</f>
        <v>un</v>
      </c>
      <c r="F69" s="154">
        <f>HIDRÁULICA!P66</f>
        <v>15</v>
      </c>
      <c r="G69" s="41">
        <f>IF($B69="","",VLOOKUP($C69,'200 DESONERADO'!$A$3:$H$4201,6,0))</f>
        <v>117.81</v>
      </c>
      <c r="H69" s="42">
        <f t="shared" si="19"/>
        <v>148.44999999999999</v>
      </c>
      <c r="I69" s="43">
        <f t="shared" si="20"/>
        <v>2226.75</v>
      </c>
    </row>
    <row r="70" spans="1:9" x14ac:dyDescent="0.2">
      <c r="A70" s="44" t="s">
        <v>21755</v>
      </c>
      <c r="B70" s="37" t="s">
        <v>97</v>
      </c>
      <c r="C70" s="40" t="s">
        <v>17997</v>
      </c>
      <c r="D70" s="38" t="str">
        <f>IF($B70="","",VLOOKUP($C70,'200 DESONERADO'!$A$3:$G$4201,2,0))</f>
        <v>Tubo de PVC rígido soldável marrom, DN= 32 mm, (1´), inclusive conexões</v>
      </c>
      <c r="E70" s="39" t="str">
        <f>IF($B70="","",VLOOKUP($C70,'200 ONERADO'!$A$3:$G$4201,3,0))</f>
        <v>m</v>
      </c>
      <c r="F70" s="154">
        <v>60</v>
      </c>
      <c r="G70" s="41">
        <f>IF($B70="","",VLOOKUP($C70,'200 DESONERADO'!$A$3:$H$4201,6,0))</f>
        <v>38.9</v>
      </c>
      <c r="H70" s="42">
        <f t="shared" si="19"/>
        <v>49.02</v>
      </c>
      <c r="I70" s="43">
        <f t="shared" si="20"/>
        <v>2941.2</v>
      </c>
    </row>
    <row r="71" spans="1:9" ht="25.5" x14ac:dyDescent="0.2">
      <c r="A71" s="44" t="s">
        <v>21756</v>
      </c>
      <c r="B71" s="37" t="s">
        <v>97</v>
      </c>
      <c r="C71" s="40" t="s">
        <v>17995</v>
      </c>
      <c r="D71" s="38" t="str">
        <f>IF($B71="","",VLOOKUP($C71,'200 DESONERADO'!$A$3:$G$4201,2,0))</f>
        <v>Tubo de PVC rígido soldável marrom, DN= 25 mm, (3/4´), inclusive conexões</v>
      </c>
      <c r="E71" s="39" t="str">
        <f>IF($B71="","",VLOOKUP($C71,'200 ONERADO'!$A$3:$G$4201,3,0))</f>
        <v>m</v>
      </c>
      <c r="F71" s="154">
        <f>HIDRÁULICA!V66</f>
        <v>380</v>
      </c>
      <c r="G71" s="41">
        <f>IF($B71="","",VLOOKUP($C71,'200 DESONERADO'!$A$3:$H$4201,6,0))</f>
        <v>31.11</v>
      </c>
      <c r="H71" s="42">
        <f t="shared" si="19"/>
        <v>39.200000000000003</v>
      </c>
      <c r="I71" s="43">
        <f t="shared" si="20"/>
        <v>14896</v>
      </c>
    </row>
    <row r="72" spans="1:9" ht="25.5" x14ac:dyDescent="0.2">
      <c r="A72" s="44" t="s">
        <v>21757</v>
      </c>
      <c r="B72" s="37" t="s">
        <v>97</v>
      </c>
      <c r="C72" s="40" t="s">
        <v>18015</v>
      </c>
      <c r="D72" s="38" t="str">
        <f>IF($B72="","",VLOOKUP($C72,'200 DESONERADO'!$A$3:$G$4201,2,0))</f>
        <v>Tubo de PVC rígido branco PxB com virola e anel de borracha, linha esgoto série normal, DN= 50 mm, inclusive conexões</v>
      </c>
      <c r="E72" s="39" t="str">
        <f>IF($B72="","",VLOOKUP($C72,'200 ONERADO'!$A$3:$G$4201,3,0))</f>
        <v>m</v>
      </c>
      <c r="F72" s="154">
        <f>HIDRÁULICA!W66</f>
        <v>132</v>
      </c>
      <c r="G72" s="41">
        <f>IF($B72="","",VLOOKUP($C72,'200 DESONERADO'!$A$3:$H$4201,6,0))</f>
        <v>46.53</v>
      </c>
      <c r="H72" s="42">
        <f t="shared" si="19"/>
        <v>58.63</v>
      </c>
      <c r="I72" s="43">
        <f t="shared" si="20"/>
        <v>7739.16</v>
      </c>
    </row>
    <row r="73" spans="1:9" ht="25.5" x14ac:dyDescent="0.2">
      <c r="A73" s="44" t="s">
        <v>21758</v>
      </c>
      <c r="B73" s="37" t="s">
        <v>97</v>
      </c>
      <c r="C73" s="40" t="s">
        <v>18019</v>
      </c>
      <c r="D73" s="38" t="str">
        <f>IF($B73="","",VLOOKUP($C73,'200 DESONERADO'!$A$3:$G$4201,2,0))</f>
        <v>Tubo de PVC rígido branco PxB com virola e anel de borracha, linha esgoto série normal, DN= 100 mm, inclusive conexões</v>
      </c>
      <c r="E73" s="39" t="str">
        <f>IF($B73="","",VLOOKUP($C73,'200 ONERADO'!$A$3:$G$4201,3,0))</f>
        <v>m</v>
      </c>
      <c r="F73" s="154">
        <f>HIDRÁULICA!X66</f>
        <v>72</v>
      </c>
      <c r="G73" s="41">
        <f>IF($B73="","",VLOOKUP($C73,'200 DESONERADO'!$A$3:$H$4201,6,0))</f>
        <v>79.77</v>
      </c>
      <c r="H73" s="42">
        <f t="shared" si="19"/>
        <v>100.52</v>
      </c>
      <c r="I73" s="43">
        <f t="shared" si="20"/>
        <v>7237.44</v>
      </c>
    </row>
    <row r="74" spans="1:9" x14ac:dyDescent="0.2">
      <c r="A74" s="44" t="s">
        <v>21759</v>
      </c>
      <c r="B74" s="37" t="s">
        <v>97</v>
      </c>
      <c r="C74" s="40" t="s">
        <v>21435</v>
      </c>
      <c r="D74" s="38" t="str">
        <f>IF($B74="","",VLOOKUP($C74,'200 DESONERADO'!$A$3:$G$4201,2,0))</f>
        <v>Bacia sifonada de louça com tampa - 6 litros</v>
      </c>
      <c r="E74" s="39" t="str">
        <f>IF($B74="","",VLOOKUP($C74,'200 ONERADO'!$A$3:$G$4201,3,0))</f>
        <v>un</v>
      </c>
      <c r="F74" s="154">
        <f>HIDRÁULICA!J66</f>
        <v>9</v>
      </c>
      <c r="G74" s="41">
        <f>IF($B74="","",VLOOKUP($C74,'200 DESONERADO'!$A$3:$H$4201,6,0))</f>
        <v>361.31</v>
      </c>
      <c r="H74" s="42">
        <f t="shared" si="19"/>
        <v>455.29</v>
      </c>
      <c r="I74" s="43">
        <f t="shared" si="20"/>
        <v>4097.6099999999997</v>
      </c>
    </row>
    <row r="75" spans="1:9" x14ac:dyDescent="0.2">
      <c r="A75" s="44" t="s">
        <v>21760</v>
      </c>
      <c r="B75" s="37" t="s">
        <v>97</v>
      </c>
      <c r="C75" s="40" t="s">
        <v>17727</v>
      </c>
      <c r="D75" s="38" t="str">
        <f>IF($B75="","",VLOOKUP($C75,'200 DESONERADO'!$A$3:$G$4201,2,0))</f>
        <v>Lavatório de louça sem coluna</v>
      </c>
      <c r="E75" s="39" t="str">
        <f>IF($B75="","",VLOOKUP($C75,'200 ONERADO'!$A$3:$G$4201,3,0))</f>
        <v>un</v>
      </c>
      <c r="F75" s="154">
        <v>2</v>
      </c>
      <c r="G75" s="41">
        <f>IF($B75="","",VLOOKUP($C75,'200 DESONERADO'!$A$3:$H$4201,6,0))</f>
        <v>170.6</v>
      </c>
      <c r="H75" s="42">
        <f t="shared" si="19"/>
        <v>214.97</v>
      </c>
      <c r="I75" s="43">
        <f t="shared" si="20"/>
        <v>429.94</v>
      </c>
    </row>
    <row r="76" spans="1:9" x14ac:dyDescent="0.2">
      <c r="A76" s="44" t="s">
        <v>21761</v>
      </c>
      <c r="B76" s="37" t="s">
        <v>97</v>
      </c>
      <c r="C76" s="40" t="s">
        <v>17741</v>
      </c>
      <c r="D76" s="38" t="str">
        <f>IF($B76="","",VLOOKUP($C76,'200 DESONERADO'!$A$3:$G$4201,2,0))</f>
        <v>Tanque de louça com coluna de 30 litros</v>
      </c>
      <c r="E76" s="39" t="str">
        <f>IF($B76="","",VLOOKUP($C76,'200 ONERADO'!$A$3:$G$4201,3,0))</f>
        <v>un</v>
      </c>
      <c r="F76" s="154">
        <v>1</v>
      </c>
      <c r="G76" s="41">
        <f>IF($B76="","",VLOOKUP($C76,'200 DESONERADO'!$A$3:$H$4201,6,0))</f>
        <v>1071.8499999999999</v>
      </c>
      <c r="H76" s="42">
        <f t="shared" si="19"/>
        <v>1350.64</v>
      </c>
      <c r="I76" s="43">
        <f t="shared" si="20"/>
        <v>1350.64</v>
      </c>
    </row>
    <row r="77" spans="1:9" x14ac:dyDescent="0.2">
      <c r="A77" s="447" t="s">
        <v>21492</v>
      </c>
      <c r="B77" s="448"/>
      <c r="C77" s="449"/>
      <c r="D77" s="450" t="s">
        <v>21481</v>
      </c>
      <c r="E77" s="451"/>
      <c r="F77" s="445"/>
      <c r="G77" s="452"/>
      <c r="H77" s="453"/>
      <c r="I77" s="454">
        <f>SUBTOTAL(9,I78:I83)</f>
        <v>42286.47</v>
      </c>
    </row>
    <row r="78" spans="1:9" x14ac:dyDescent="0.2">
      <c r="A78" s="44" t="s">
        <v>21762</v>
      </c>
      <c r="B78" s="37" t="s">
        <v>97</v>
      </c>
      <c r="C78" s="389" t="s">
        <v>13914</v>
      </c>
      <c r="D78" s="38" t="str">
        <f>IF($B78="","",VLOOKUP($C78,'200 DESONERADO'!$A$3:$G$4201,2,0))</f>
        <v>Divisória em placas de granito com espessura de 3 cm</v>
      </c>
      <c r="E78" s="39" t="str">
        <f>IF($B78="","",VLOOKUP($C78,'200 ONERADO'!$A$3:$G$4201,3,0))</f>
        <v>m²</v>
      </c>
      <c r="F78" s="154">
        <f>HIDRÁULICA!E6</f>
        <v>11.219999999999999</v>
      </c>
      <c r="G78" s="41">
        <f>IF($B78="","",VLOOKUP($C78,'200 DESONERADO'!$A$3:$H$4201,6,0))</f>
        <v>1278.52</v>
      </c>
      <c r="H78" s="42">
        <f>ROUND(G78*(1+$I$5),2)</f>
        <v>1611.06</v>
      </c>
      <c r="I78" s="43">
        <f>IF($B78="","",ROUND(F78*H78,2))</f>
        <v>18076.09</v>
      </c>
    </row>
    <row r="79" spans="1:9" x14ac:dyDescent="0.2">
      <c r="A79" s="44" t="s">
        <v>21763</v>
      </c>
      <c r="B79" s="37" t="s">
        <v>97</v>
      </c>
      <c r="C79" s="389" t="s">
        <v>15182</v>
      </c>
      <c r="D79" s="38" t="str">
        <f>IF($B79="","",VLOOKUP($C79,'200 DESONERADO'!$A$3:$G$4201,2,0))</f>
        <v>Vidro temperado serigrafado incolor de 8 mm</v>
      </c>
      <c r="E79" s="39" t="str">
        <f>IF($B79="","",VLOOKUP($C79,'200 ONERADO'!$A$3:$G$4201,3,0))</f>
        <v>m²</v>
      </c>
      <c r="F79" s="154">
        <f>HIDRÁULICA!E40</f>
        <v>13</v>
      </c>
      <c r="G79" s="41">
        <f>IF($B79="","",VLOOKUP($C79,'200 DESONERADO'!$A$3:$H$4201,6,0))</f>
        <v>507.45</v>
      </c>
      <c r="H79" s="42">
        <f t="shared" ref="H79:H83" si="21">ROUND(G79*(1+$I$5),2)</f>
        <v>639.44000000000005</v>
      </c>
      <c r="I79" s="43">
        <f t="shared" ref="I79:I83" si="22">IF($B79="","",ROUND(F79*H79,2))</f>
        <v>8312.7199999999993</v>
      </c>
    </row>
    <row r="80" spans="1:9" x14ac:dyDescent="0.2">
      <c r="A80" s="44" t="s">
        <v>21764</v>
      </c>
      <c r="B80" s="37" t="s">
        <v>97</v>
      </c>
      <c r="C80" s="40" t="s">
        <v>15246</v>
      </c>
      <c r="D80" s="38" t="str">
        <f>IF($B80="","",VLOOKUP($C80,'200 DESONERADO'!$A$3:$G$4201,2,0))</f>
        <v>Ferragem completa para porta de box de WC tipo livre/ocupado</v>
      </c>
      <c r="E80" s="39" t="str">
        <f>IF($B80="","",VLOOKUP($C80,'200 ONERADO'!$A$3:$G$4201,3,0))</f>
        <v>cj</v>
      </c>
      <c r="F80" s="154">
        <v>4</v>
      </c>
      <c r="G80" s="41">
        <f>IF($B80="","",VLOOKUP($C80,'200 DESONERADO'!$A$3:$H$4201,6,0))</f>
        <v>344.7</v>
      </c>
      <c r="H80" s="42">
        <f t="shared" si="21"/>
        <v>434.36</v>
      </c>
      <c r="I80" s="43">
        <f t="shared" si="22"/>
        <v>1737.44</v>
      </c>
    </row>
    <row r="81" spans="1:9" ht="25.5" x14ac:dyDescent="0.2">
      <c r="A81" s="44" t="s">
        <v>21765</v>
      </c>
      <c r="B81" s="37" t="s">
        <v>97</v>
      </c>
      <c r="C81" s="46" t="s">
        <v>17763</v>
      </c>
      <c r="D81" s="38" t="str">
        <f>IF($B81="","",VLOOKUP($C81,'200 DESONERADO'!$A$3:$G$4201,2,0))</f>
        <v>Tampo/bancada em concreto armado, revestido em aço inoxidável fosco polido</v>
      </c>
      <c r="E81" s="39" t="str">
        <f>IF($B81="","",VLOOKUP($C81,'200 ONERADO'!$A$3:$G$4201,3,0))</f>
        <v>m²</v>
      </c>
      <c r="F81" s="154">
        <f>HIDRÁULICA!E28</f>
        <v>3.6799999999999997</v>
      </c>
      <c r="G81" s="41">
        <f>IF($B81="","",VLOOKUP($C81,'200 DESONERADO'!$A$3:$H$4201,6,0))</f>
        <v>1729.79</v>
      </c>
      <c r="H81" s="42">
        <f t="shared" si="21"/>
        <v>2179.71</v>
      </c>
      <c r="I81" s="43">
        <f t="shared" si="22"/>
        <v>8021.33</v>
      </c>
    </row>
    <row r="82" spans="1:9" x14ac:dyDescent="0.2">
      <c r="A82" s="44" t="s">
        <v>21766</v>
      </c>
      <c r="B82" s="37" t="s">
        <v>97</v>
      </c>
      <c r="C82" s="46" t="s">
        <v>17739</v>
      </c>
      <c r="D82" s="38" t="str">
        <f>IF($B82="","",VLOOKUP($C82,'200 DESONERADO'!$A$3:$G$4201,2,0))</f>
        <v>Cuba de louça de embutir oval</v>
      </c>
      <c r="E82" s="39" t="str">
        <f>IF($B82="","",VLOOKUP($C82,'200 ONERADO'!$A$3:$G$4201,3,0))</f>
        <v>un</v>
      </c>
      <c r="F82" s="154">
        <v>6</v>
      </c>
      <c r="G82" s="41">
        <f>IF($B82="","",VLOOKUP($C82,'200 DESONERADO'!$A$3:$H$4201,6,0))</f>
        <v>141.91999999999999</v>
      </c>
      <c r="H82" s="42">
        <f t="shared" si="21"/>
        <v>178.83</v>
      </c>
      <c r="I82" s="43">
        <f t="shared" si="22"/>
        <v>1072.98</v>
      </c>
    </row>
    <row r="83" spans="1:9" x14ac:dyDescent="0.2">
      <c r="A83" s="44" t="s">
        <v>21767</v>
      </c>
      <c r="B83" s="37" t="s">
        <v>97</v>
      </c>
      <c r="C83" s="46" t="s">
        <v>17846</v>
      </c>
      <c r="D83" s="38" t="str">
        <f>IF($B83="","",VLOOKUP($C83,'200 DESONERADO'!$A$3:$G$4201,2,0))</f>
        <v>Prateleira em granito com espessura de 2 cm</v>
      </c>
      <c r="E83" s="39" t="str">
        <f>IF($B83="","",VLOOKUP($C83,'200 ONERADO'!$A$3:$G$4201,3,0))</f>
        <v>m²</v>
      </c>
      <c r="F83" s="154">
        <f>HIDRÁULICA!L4</f>
        <v>6.5</v>
      </c>
      <c r="G83" s="41">
        <f>IF($B83="","",VLOOKUP($C83,'200 DESONERADO'!$A$3:$H$4201,6,0))</f>
        <v>618.5</v>
      </c>
      <c r="H83" s="42">
        <f t="shared" si="21"/>
        <v>779.37</v>
      </c>
      <c r="I83" s="43">
        <f t="shared" si="22"/>
        <v>5065.91</v>
      </c>
    </row>
    <row r="84" spans="1:9" x14ac:dyDescent="0.2">
      <c r="A84" s="447" t="s">
        <v>21493</v>
      </c>
      <c r="B84" s="448"/>
      <c r="C84" s="449"/>
      <c r="D84" s="450" t="s">
        <v>21480</v>
      </c>
      <c r="E84" s="451"/>
      <c r="F84" s="445"/>
      <c r="G84" s="452"/>
      <c r="H84" s="453"/>
      <c r="I84" s="454">
        <f>SUBTOTAL(9,I85:I90)</f>
        <v>22870.2</v>
      </c>
    </row>
    <row r="85" spans="1:9" x14ac:dyDescent="0.2">
      <c r="A85" s="44" t="s">
        <v>21768</v>
      </c>
      <c r="B85" s="37" t="s">
        <v>97</v>
      </c>
      <c r="C85" s="46" t="s">
        <v>17777</v>
      </c>
      <c r="D85" s="38" t="str">
        <f>IF($B85="","",VLOOKUP($C85,'200 DESONERADO'!$A$3:$G$4201,2,0))</f>
        <v>Dispenser papel higiênico em ABS para rolão 300 / 600 m, com visor</v>
      </c>
      <c r="E85" s="39" t="str">
        <f>IF($B85="","",VLOOKUP($C85,'200 ONERADO'!$A$3:$G$4201,3,0))</f>
        <v>un</v>
      </c>
      <c r="F85" s="154">
        <f>HIDRÁULICA!AA64</f>
        <v>9</v>
      </c>
      <c r="G85" s="41">
        <f>IF($B85="","",VLOOKUP($C85,'200 DESONERADO'!$A$3:$H$4201,6,0))</f>
        <v>75.39</v>
      </c>
      <c r="H85" s="42">
        <f>ROUND(G85*(1+$I$5),2)</f>
        <v>95</v>
      </c>
      <c r="I85" s="43">
        <f>IF($B85="","",ROUND(F85*H85,2))</f>
        <v>855</v>
      </c>
    </row>
    <row r="86" spans="1:9" x14ac:dyDescent="0.2">
      <c r="A86" s="44" t="s">
        <v>21769</v>
      </c>
      <c r="B86" s="37" t="s">
        <v>97</v>
      </c>
      <c r="C86" s="46" t="s">
        <v>17785</v>
      </c>
      <c r="D86" s="38" t="str">
        <f>IF($B86="","",VLOOKUP($C86,'200 DESONERADO'!$A$3:$G$4201,2,0))</f>
        <v>Dispenser toalheiro em ABS, para folhas</v>
      </c>
      <c r="E86" s="39" t="str">
        <f>IF($B86="","",VLOOKUP($C86,'200 ONERADO'!$A$3:$G$4201,3,0))</f>
        <v>un</v>
      </c>
      <c r="F86" s="154">
        <f>HIDRÁULICA!AB64</f>
        <v>11</v>
      </c>
      <c r="G86" s="41">
        <f>IF($B86="","",VLOOKUP($C86,'200 DESONERADO'!$A$3:$H$4201,6,0))</f>
        <v>66.39</v>
      </c>
      <c r="H86" s="42">
        <f t="shared" ref="H86:H90" si="23">ROUND(G86*(1+$I$5),2)</f>
        <v>83.66</v>
      </c>
      <c r="I86" s="43">
        <f t="shared" ref="I86:I90" si="24">IF($B86="","",ROUND(F86*H86,2))</f>
        <v>920.26</v>
      </c>
    </row>
    <row r="87" spans="1:9" x14ac:dyDescent="0.2">
      <c r="A87" s="44" t="s">
        <v>21770</v>
      </c>
      <c r="B87" s="37" t="s">
        <v>97</v>
      </c>
      <c r="C87" s="46" t="s">
        <v>17783</v>
      </c>
      <c r="D87" s="38" t="str">
        <f>IF($B87="","",VLOOKUP($C87,'200 DESONERADO'!$A$3:$G$4201,2,0))</f>
        <v>Saboneteira tipo dispenser, para refil de 800 ml</v>
      </c>
      <c r="E87" s="39" t="str">
        <f>IF($B87="","",VLOOKUP($C87,'200 ONERADO'!$A$3:$G$4201,3,0))</f>
        <v>un</v>
      </c>
      <c r="F87" s="154">
        <f>HIDRÁULICA!AC64</f>
        <v>8</v>
      </c>
      <c r="G87" s="41">
        <f>IF($B87="","",VLOOKUP($C87,'200 DESONERADO'!$A$3:$H$4201,6,0))</f>
        <v>68.16</v>
      </c>
      <c r="H87" s="42">
        <f t="shared" si="23"/>
        <v>85.89</v>
      </c>
      <c r="I87" s="43">
        <f t="shared" si="24"/>
        <v>687.12</v>
      </c>
    </row>
    <row r="88" spans="1:9" x14ac:dyDescent="0.2">
      <c r="A88" s="44" t="s">
        <v>21771</v>
      </c>
      <c r="B88" s="37" t="s">
        <v>97</v>
      </c>
      <c r="C88" s="46" t="s">
        <v>17836</v>
      </c>
      <c r="D88" s="38" t="str">
        <f>IF($B88="","",VLOOKUP($C88,'200 DESONERADO'!$A$3:$G$4201,2,0))</f>
        <v>Ducha higiênica com registro</v>
      </c>
      <c r="E88" s="39" t="str">
        <f>IF($B88="","",VLOOKUP($C88,'200 ONERADO'!$A$3:$G$4201,3,0))</f>
        <v>un</v>
      </c>
      <c r="F88" s="154">
        <v>2</v>
      </c>
      <c r="G88" s="41">
        <f>IF($B88="","",VLOOKUP($C88,'200 DESONERADO'!$A$3:$H$4201,6,0))</f>
        <v>256.7</v>
      </c>
      <c r="H88" s="42">
        <f t="shared" si="23"/>
        <v>323.47000000000003</v>
      </c>
      <c r="I88" s="43">
        <f t="shared" si="24"/>
        <v>646.94000000000005</v>
      </c>
    </row>
    <row r="89" spans="1:9" x14ac:dyDescent="0.2">
      <c r="A89" s="44" t="s">
        <v>21772</v>
      </c>
      <c r="B89" s="37" t="s">
        <v>97</v>
      </c>
      <c r="C89" s="46" t="s">
        <v>17521</v>
      </c>
      <c r="D89" s="38" t="str">
        <f>IF($B89="","",VLOOKUP($C89,'200 DESONERADO'!$A$3:$G$4201,2,0))</f>
        <v>Chuveiro elétrico de 6.500W / 220V com resistência blindada</v>
      </c>
      <c r="E89" s="39" t="str">
        <f>IF($B89="","",VLOOKUP($C89,'200 ONERADO'!$A$3:$G$4201,3,0))</f>
        <v>un</v>
      </c>
      <c r="F89" s="154">
        <v>4</v>
      </c>
      <c r="G89" s="41">
        <f>IF($B89="","",VLOOKUP($C89,'200 DESONERADO'!$A$3:$H$4201,6,0))</f>
        <v>345.32</v>
      </c>
      <c r="H89" s="42">
        <f t="shared" si="23"/>
        <v>435.14</v>
      </c>
      <c r="I89" s="43">
        <f t="shared" si="24"/>
        <v>1740.56</v>
      </c>
    </row>
    <row r="90" spans="1:9" ht="25.5" x14ac:dyDescent="0.2">
      <c r="A90" s="44" t="s">
        <v>21773</v>
      </c>
      <c r="B90" s="37" t="s">
        <v>97</v>
      </c>
      <c r="C90" s="46" t="s">
        <v>14707</v>
      </c>
      <c r="D90" s="38" t="str">
        <f>IF($B90="","",VLOOKUP($C90,'200 DESONERADO'!$A$3:$G$4201,2,0))</f>
        <v>Armário/gabinete embutido em MDF sob medida, revestido em laminado melamínico, com portas e prateleiras</v>
      </c>
      <c r="E90" s="39" t="str">
        <f>IF($B90="","",VLOOKUP($C90,'200 ONERADO'!$A$3:$G$4201,3,0))</f>
        <v>m²</v>
      </c>
      <c r="F90" s="154">
        <f>HIDRÁULICA!E49</f>
        <v>5.28</v>
      </c>
      <c r="G90" s="41">
        <f>IF($B90="","",VLOOKUP($C90,'200 DESONERADO'!$A$3:$H$4201,6,0))</f>
        <v>2708.47</v>
      </c>
      <c r="H90" s="42">
        <f t="shared" si="23"/>
        <v>3412.94</v>
      </c>
      <c r="I90" s="43">
        <f t="shared" si="24"/>
        <v>18020.32</v>
      </c>
    </row>
    <row r="91" spans="1:9" x14ac:dyDescent="0.2">
      <c r="A91" s="90" t="s">
        <v>20428</v>
      </c>
      <c r="B91" s="91"/>
      <c r="C91" s="92"/>
      <c r="D91" s="93" t="s">
        <v>20576</v>
      </c>
      <c r="E91" s="94"/>
      <c r="F91" s="95"/>
      <c r="G91" s="96" t="str">
        <f>IF($B91="","",VLOOKUP($C91,'[1]BOLETIM 161'!$A$7:$F$4000,6,0))</f>
        <v/>
      </c>
      <c r="H91" s="97"/>
      <c r="I91" s="98">
        <f>SUBTOTAL(9,I94:I116)</f>
        <v>96870.909999999989</v>
      </c>
    </row>
    <row r="92" spans="1:9" ht="25.5" x14ac:dyDescent="0.2">
      <c r="A92" s="44" t="s">
        <v>21494</v>
      </c>
      <c r="B92" s="37" t="s">
        <v>20424</v>
      </c>
      <c r="C92" s="40" t="s">
        <v>21678</v>
      </c>
      <c r="D92" s="38" t="s">
        <v>21679</v>
      </c>
      <c r="E92" s="39" t="s">
        <v>20385</v>
      </c>
      <c r="F92" s="154">
        <v>1</v>
      </c>
      <c r="G92" s="41">
        <v>9875.27</v>
      </c>
      <c r="H92" s="42">
        <f>ROUND(G92*(1+$I$5),2)</f>
        <v>12443.83</v>
      </c>
      <c r="I92" s="43">
        <f>IF($B92="","",ROUND(F92*H92,2))</f>
        <v>12443.83</v>
      </c>
    </row>
    <row r="93" spans="1:9" x14ac:dyDescent="0.2">
      <c r="A93" s="44" t="s">
        <v>21495</v>
      </c>
      <c r="B93" s="37" t="s">
        <v>20424</v>
      </c>
      <c r="C93" s="40" t="s">
        <v>21825</v>
      </c>
      <c r="D93" s="38" t="s">
        <v>21826</v>
      </c>
      <c r="E93" s="39" t="s">
        <v>20385</v>
      </c>
      <c r="F93" s="154">
        <v>1</v>
      </c>
      <c r="G93" s="41">
        <v>2199.77</v>
      </c>
      <c r="H93" s="42">
        <f t="shared" ref="H93:H116" si="25">ROUND(G93*(1+$I$5),2)</f>
        <v>2771.93</v>
      </c>
      <c r="I93" s="43">
        <f t="shared" ref="I93:I102" si="26">IF($B93="","",ROUND(F93*H93,2))</f>
        <v>2771.93</v>
      </c>
    </row>
    <row r="94" spans="1:9" ht="25.5" x14ac:dyDescent="0.2">
      <c r="A94" s="44" t="s">
        <v>21496</v>
      </c>
      <c r="B94" s="37" t="s">
        <v>97</v>
      </c>
      <c r="C94" s="40" t="s">
        <v>16124</v>
      </c>
      <c r="D94" s="38" t="str">
        <f>IF($B94="","",VLOOKUP($C94,'200 DESONERADO'!$A$3:$G$4201,2,0))</f>
        <v>Quadro de distribuição universal de embutir, para disjuntores 16 DIN / 12 Bolt-on - 150 A - sem componentes</v>
      </c>
      <c r="E94" s="39" t="str">
        <f>IF($B94="","",VLOOKUP($C94,'200 ONERADO'!$A$3:$G$4201,3,0))</f>
        <v>un</v>
      </c>
      <c r="F94" s="154">
        <v>2</v>
      </c>
      <c r="G94" s="41">
        <f>IF($B94="","",VLOOKUP($C94,'200 DESONERADO'!$A$3:$H$4201,6,0))</f>
        <v>554.55999999999995</v>
      </c>
      <c r="H94" s="42">
        <f t="shared" si="25"/>
        <v>698.8</v>
      </c>
      <c r="I94" s="43">
        <f t="shared" si="26"/>
        <v>1397.6</v>
      </c>
    </row>
    <row r="95" spans="1:9" ht="25.5" x14ac:dyDescent="0.2">
      <c r="A95" s="44" t="s">
        <v>21497</v>
      </c>
      <c r="B95" s="37" t="s">
        <v>97</v>
      </c>
      <c r="C95" s="40" t="s">
        <v>16128</v>
      </c>
      <c r="D95" s="38" t="str">
        <f>IF($B95="","",VLOOKUP($C95,'200 DESONERADO'!$A$3:$G$4201,2,0))</f>
        <v>Quadro de distribuição universal de embutir, para disjuntores 34 DIN / 24 Bolt-on - 150 A - sem componentes</v>
      </c>
      <c r="E95" s="39" t="str">
        <f>IF($B95="","",VLOOKUP($C95,'200 ONERADO'!$A$3:$G$4201,3,0))</f>
        <v>un</v>
      </c>
      <c r="F95" s="154">
        <v>1</v>
      </c>
      <c r="G95" s="41">
        <f>IF($B95="","",VLOOKUP($C95,'200 DESONERADO'!$A$3:$H$4201,6,0))</f>
        <v>811.76</v>
      </c>
      <c r="H95" s="42">
        <f t="shared" si="25"/>
        <v>1022.9</v>
      </c>
      <c r="I95" s="43">
        <f t="shared" si="26"/>
        <v>1022.9</v>
      </c>
    </row>
    <row r="96" spans="1:9" ht="25.5" x14ac:dyDescent="0.2">
      <c r="A96" s="44" t="s">
        <v>21498</v>
      </c>
      <c r="B96" s="37" t="s">
        <v>97</v>
      </c>
      <c r="C96" s="40" t="s">
        <v>16230</v>
      </c>
      <c r="D96" s="38" t="str">
        <f>IF($B96="","",VLOOKUP($C96,'200 DESONERADO'!$A$3:$G$4201,2,0))</f>
        <v>Mini-disjuntor termomagnético, bipolar 220/380 V, corrente de 10 A até 32 A</v>
      </c>
      <c r="E96" s="39" t="str">
        <f>IF($B96="","",VLOOKUP($C96,'200 ONERADO'!$A$3:$G$4201,3,0))</f>
        <v>un</v>
      </c>
      <c r="F96" s="154">
        <f>ILUMINAÇÃO!C71</f>
        <v>31</v>
      </c>
      <c r="G96" s="41">
        <f>IF($B96="","",VLOOKUP($C96,'200 DESONERADO'!$A$3:$H$4201,6,0))</f>
        <v>52.97</v>
      </c>
      <c r="H96" s="42">
        <f t="shared" si="25"/>
        <v>66.75</v>
      </c>
      <c r="I96" s="43">
        <f t="shared" si="26"/>
        <v>2069.25</v>
      </c>
    </row>
    <row r="97" spans="1:9" ht="25.5" x14ac:dyDescent="0.2">
      <c r="A97" s="44" t="s">
        <v>21499</v>
      </c>
      <c r="B97" s="37" t="s">
        <v>97</v>
      </c>
      <c r="C97" s="40" t="s">
        <v>16232</v>
      </c>
      <c r="D97" s="38" t="str">
        <f>IF($B97="","",VLOOKUP($C97,'200 DESONERADO'!$A$3:$G$4201,2,0))</f>
        <v>Mini-disjuntor termomagnético, bipolar 220/380 V, corrente de 40 A até 50 A</v>
      </c>
      <c r="E97" s="39" t="str">
        <f>IF($B97="","",VLOOKUP($C97,'200 ONERADO'!$A$3:$G$4201,3,0))</f>
        <v>un</v>
      </c>
      <c r="F97" s="154">
        <v>3</v>
      </c>
      <c r="G97" s="41">
        <f>IF($B97="","",VLOOKUP($C97,'200 DESONERADO'!$A$3:$H$4201,6,0))</f>
        <v>53.42</v>
      </c>
      <c r="H97" s="42">
        <f t="shared" si="25"/>
        <v>67.31</v>
      </c>
      <c r="I97" s="43">
        <f t="shared" si="26"/>
        <v>201.93</v>
      </c>
    </row>
    <row r="98" spans="1:9" x14ac:dyDescent="0.2">
      <c r="A98" s="44" t="s">
        <v>21500</v>
      </c>
      <c r="B98" s="37" t="s">
        <v>97</v>
      </c>
      <c r="C98" s="40" t="s">
        <v>16236</v>
      </c>
      <c r="D98" s="38" t="str">
        <f>IF($B98="","",VLOOKUP($C98,'200 DESONERADO'!$A$3:$G$4201,2,0))</f>
        <v>Mini-disjuntor termomagnético, bipolar 400 V, corrente de 80 A até 100 A</v>
      </c>
      <c r="E98" s="39" t="str">
        <f>IF($B98="","",VLOOKUP($C98,'200 ONERADO'!$A$3:$G$4201,3,0))</f>
        <v>un</v>
      </c>
      <c r="F98" s="154">
        <v>2</v>
      </c>
      <c r="G98" s="41">
        <f>IF($B98="","",VLOOKUP($C98,'200 DESONERADO'!$A$3:$H$4201,6,0))</f>
        <v>146.97999999999999</v>
      </c>
      <c r="H98" s="42">
        <f t="shared" si="25"/>
        <v>185.21</v>
      </c>
      <c r="I98" s="43">
        <f t="shared" si="26"/>
        <v>370.42</v>
      </c>
    </row>
    <row r="99" spans="1:9" ht="25.5" x14ac:dyDescent="0.2">
      <c r="A99" s="44" t="s">
        <v>21774</v>
      </c>
      <c r="B99" s="37" t="s">
        <v>97</v>
      </c>
      <c r="C99" s="40" t="s">
        <v>16547</v>
      </c>
      <c r="D99" s="38" t="str">
        <f>IF($B99="","",VLOOKUP($C99,'200 DESONERADO'!$A$3:$G$4201,2,0))</f>
        <v>Eletroduto corrugado em polietileno de alta densidade, DN= 75 mm, com acessórios</v>
      </c>
      <c r="E99" s="39" t="str">
        <f>IF($B99="","",VLOOKUP($C99,'200 ONERADO'!$A$3:$G$4201,3,0))</f>
        <v>m</v>
      </c>
      <c r="F99" s="154">
        <v>50</v>
      </c>
      <c r="G99" s="41">
        <f>IF($B99="","",VLOOKUP($C99,'200 DESONERADO'!$A$3:$H$4201,6,0))</f>
        <v>16.850000000000001</v>
      </c>
      <c r="H99" s="42">
        <f t="shared" si="25"/>
        <v>21.23</v>
      </c>
      <c r="I99" s="43">
        <f t="shared" si="26"/>
        <v>1061.5</v>
      </c>
    </row>
    <row r="100" spans="1:9" x14ac:dyDescent="0.2">
      <c r="A100" s="44" t="s">
        <v>21775</v>
      </c>
      <c r="B100" s="37" t="s">
        <v>97</v>
      </c>
      <c r="C100" s="40" t="s">
        <v>16605</v>
      </c>
      <c r="D100" s="38" t="str">
        <f>IF($B100="","",VLOOKUP($C100,'200 DESONERADO'!$A$3:$G$4201,2,0))</f>
        <v>Eletroduto de PVC corrugado flexível leve, diâmetro externo de 32 mm</v>
      </c>
      <c r="E100" s="39" t="str">
        <f>IF($B100="","",VLOOKUP($C100,'200 ONERADO'!$A$3:$G$4201,3,0))</f>
        <v>m</v>
      </c>
      <c r="F100" s="154">
        <f>ILUMINAÇÃO!G36</f>
        <v>1422</v>
      </c>
      <c r="G100" s="41">
        <f>IF($B100="","",VLOOKUP($C100,'200 DESONERADO'!$A$3:$H$4201,6,0))</f>
        <v>19.98</v>
      </c>
      <c r="H100" s="42">
        <f t="shared" si="25"/>
        <v>25.18</v>
      </c>
      <c r="I100" s="43">
        <f t="shared" si="26"/>
        <v>35805.96</v>
      </c>
    </row>
    <row r="101" spans="1:9" x14ac:dyDescent="0.2">
      <c r="A101" s="44" t="s">
        <v>21776</v>
      </c>
      <c r="B101" s="37" t="s">
        <v>97</v>
      </c>
      <c r="C101" s="40" t="s">
        <v>16694</v>
      </c>
      <c r="D101" s="38" t="str">
        <f>IF($B101="","",VLOOKUP($C101,'200 DESONERADO'!$A$3:$G$4201,2,0))</f>
        <v>Cabo de cobre de 2,5 mm², isolamento 750 V - isolação em PVC 70°C</v>
      </c>
      <c r="E101" s="39" t="str">
        <f>IF($B101="","",VLOOKUP($C101,'200 ONERADO'!$A$3:$G$4201,3,0))</f>
        <v>m</v>
      </c>
      <c r="F101" s="154">
        <f>ILUMINAÇÃO!H36</f>
        <v>1686</v>
      </c>
      <c r="G101" s="41">
        <f>IF($B101="","",VLOOKUP($C101,'200 DESONERADO'!$A$3:$H$4201,6,0))</f>
        <v>4.43</v>
      </c>
      <c r="H101" s="42">
        <f t="shared" si="25"/>
        <v>5.58</v>
      </c>
      <c r="I101" s="43">
        <f t="shared" si="26"/>
        <v>9407.8799999999992</v>
      </c>
    </row>
    <row r="102" spans="1:9" x14ac:dyDescent="0.2">
      <c r="A102" s="44" t="s">
        <v>21777</v>
      </c>
      <c r="B102" s="37" t="s">
        <v>97</v>
      </c>
      <c r="C102" s="40" t="s">
        <v>16696</v>
      </c>
      <c r="D102" s="38" t="str">
        <f>IF($B102="","",VLOOKUP($C102,'200 DESONERADO'!$A$3:$G$4201,2,0))</f>
        <v>Cabo de cobre de 4 mm², isolamento 750 V - isolação em PVC 70°C</v>
      </c>
      <c r="E102" s="39" t="str">
        <f>IF($B102="","",VLOOKUP($C102,'200 ONERADO'!$A$3:$G$4201,3,0))</f>
        <v>m</v>
      </c>
      <c r="F102" s="154">
        <f>ILUMINAÇÃO!I36</f>
        <v>1404</v>
      </c>
      <c r="G102" s="41">
        <f>IF($B102="","",VLOOKUP($C102,'200 DESONERADO'!$A$3:$H$4201,6,0))</f>
        <v>6.92</v>
      </c>
      <c r="H102" s="42">
        <f t="shared" si="25"/>
        <v>8.7200000000000006</v>
      </c>
      <c r="I102" s="43">
        <f t="shared" si="26"/>
        <v>12242.88</v>
      </c>
    </row>
    <row r="103" spans="1:9" x14ac:dyDescent="0.2">
      <c r="A103" s="44" t="s">
        <v>21778</v>
      </c>
      <c r="B103" s="37" t="s">
        <v>97</v>
      </c>
      <c r="C103" s="40" t="s">
        <v>16698</v>
      </c>
      <c r="D103" s="38" t="str">
        <f>IF($B103="","",VLOOKUP($C103,'200 DESONERADO'!$A$3:$G$4201,2,0))</f>
        <v>Cabo de cobre de 6 mm², isolamento 750 V - isolação em PVC 70°C</v>
      </c>
      <c r="E103" s="39" t="str">
        <f>IF($B103="","",VLOOKUP($C103,'200 ONERADO'!$A$3:$G$4201,3,0))</f>
        <v>m</v>
      </c>
      <c r="F103" s="154">
        <f>ILUMINAÇÃO!J36</f>
        <v>450</v>
      </c>
      <c r="G103" s="41">
        <f>IF($B103="","",VLOOKUP($C103,'200 DESONERADO'!$A$3:$H$4201,6,0))</f>
        <v>9.33</v>
      </c>
      <c r="H103" s="42">
        <f t="shared" si="25"/>
        <v>11.76</v>
      </c>
      <c r="I103" s="43">
        <f t="shared" ref="I103:I113" si="27">IF($B103="","",ROUND(F103*H103,2))</f>
        <v>5292</v>
      </c>
    </row>
    <row r="104" spans="1:9" x14ac:dyDescent="0.2">
      <c r="A104" s="44" t="s">
        <v>21779</v>
      </c>
      <c r="B104" s="37" t="s">
        <v>97</v>
      </c>
      <c r="C104" s="40" t="s">
        <v>16700</v>
      </c>
      <c r="D104" s="38" t="str">
        <f>IF($B104="","",VLOOKUP($C104,'200 DESONERADO'!$A$3:$G$4201,2,0))</f>
        <v>Cabo de cobre de 10 mm², isolamento 750 V - isolação em PVC 70°C</v>
      </c>
      <c r="E104" s="39" t="str">
        <f>IF($B104="","",VLOOKUP($C104,'200 ONERADO'!$A$3:$G$4201,3,0))</f>
        <v>m</v>
      </c>
      <c r="F104" s="154">
        <f>ILUMINAÇÃO!K36</f>
        <v>200</v>
      </c>
      <c r="G104" s="41">
        <f>IF($B104="","",VLOOKUP($C104,'200 DESONERADO'!$A$3:$H$4201,6,0))</f>
        <v>13.75</v>
      </c>
      <c r="H104" s="42">
        <f t="shared" si="25"/>
        <v>17.329999999999998</v>
      </c>
      <c r="I104" s="43">
        <f t="shared" si="27"/>
        <v>3466</v>
      </c>
    </row>
    <row r="105" spans="1:9" ht="25.5" x14ac:dyDescent="0.2">
      <c r="A105" s="44" t="s">
        <v>21780</v>
      </c>
      <c r="B105" s="37" t="s">
        <v>97</v>
      </c>
      <c r="C105" s="40" t="s">
        <v>16872</v>
      </c>
      <c r="D105" s="38" t="str">
        <f>IF($B105="","",VLOOKUP($C105,'200 DESONERADO'!$A$3:$G$4201,2,0))</f>
        <v>Cabo de cobre flexível de 25 mm², isolamento 0,6/1kV - isolação HEPR 90°C</v>
      </c>
      <c r="E105" s="39" t="str">
        <f>IF($B105="","",VLOOKUP($C105,'200 ONERADO'!$A$3:$G$4201,3,0))</f>
        <v>m</v>
      </c>
      <c r="F105" s="154">
        <f>2*F99</f>
        <v>100</v>
      </c>
      <c r="G105" s="41">
        <f>IF($B105="","",VLOOKUP($C105,'200 DESONERADO'!$A$3:$H$4201,6,0))</f>
        <v>24.92</v>
      </c>
      <c r="H105" s="42">
        <f t="shared" si="25"/>
        <v>31.4</v>
      </c>
      <c r="I105" s="43">
        <f t="shared" si="27"/>
        <v>3140</v>
      </c>
    </row>
    <row r="106" spans="1:9" x14ac:dyDescent="0.2">
      <c r="A106" s="44" t="s">
        <v>21781</v>
      </c>
      <c r="B106" s="37" t="s">
        <v>97</v>
      </c>
      <c r="C106" s="40" t="s">
        <v>16647</v>
      </c>
      <c r="D106" s="38" t="str">
        <f>IF($B106="","",VLOOKUP($C106,'200 DESONERADO'!$A$3:$G$4201,2,0))</f>
        <v>Eletrocalha perfurada galvanizada a fogo, 150 x 50 mm, com acessórios</v>
      </c>
      <c r="E106" s="39" t="str">
        <f>IF($B106="","",VLOOKUP($C106,'200 ONERADO'!$A$3:$G$4201,3,0))</f>
        <v>m</v>
      </c>
      <c r="F106" s="154">
        <v>75</v>
      </c>
      <c r="G106" s="41">
        <f>IF($B106="","",VLOOKUP($C106,'200 DESONERADO'!$A$3:$H$4201,6,0))</f>
        <v>100.1</v>
      </c>
      <c r="H106" s="42">
        <f t="shared" si="25"/>
        <v>126.14</v>
      </c>
      <c r="I106" s="43">
        <f t="shared" si="27"/>
        <v>9460.5</v>
      </c>
    </row>
    <row r="107" spans="1:9" x14ac:dyDescent="0.2">
      <c r="A107" s="44" t="s">
        <v>21782</v>
      </c>
      <c r="B107" s="37" t="s">
        <v>97</v>
      </c>
      <c r="C107" s="40" t="s">
        <v>16956</v>
      </c>
      <c r="D107" s="38" t="str">
        <f>IF($B107="","",VLOOKUP($C107,'200 DESONERADO'!$A$3:$G$4201,2,0))</f>
        <v>Caixa de ferro estampada 4´ x 2´</v>
      </c>
      <c r="E107" s="39" t="str">
        <f>IF($B107="","",VLOOKUP($C107,'200 ONERADO'!$A$3:$G$4201,3,0))</f>
        <v>un</v>
      </c>
      <c r="F107" s="154">
        <f>ILUMINAÇÃO!K71</f>
        <v>273</v>
      </c>
      <c r="G107" s="41">
        <f>IF($B107="","",VLOOKUP($C107,'200 DESONERADO'!$A$3:$H$4201,6,0))</f>
        <v>14.52</v>
      </c>
      <c r="H107" s="42">
        <f t="shared" si="25"/>
        <v>18.3</v>
      </c>
      <c r="I107" s="43">
        <f t="shared" si="27"/>
        <v>4995.8999999999996</v>
      </c>
    </row>
    <row r="108" spans="1:9" x14ac:dyDescent="0.2">
      <c r="A108" s="44" t="s">
        <v>21783</v>
      </c>
      <c r="B108" s="37" t="s">
        <v>97</v>
      </c>
      <c r="C108" s="40" t="s">
        <v>17003</v>
      </c>
      <c r="D108" s="38" t="str">
        <f>IF($B108="","",VLOOKUP($C108,'200 DESONERADO'!$A$3:$G$4201,2,0))</f>
        <v>Tomada 2P+T de 10 A - 250 V, completa</v>
      </c>
      <c r="E108" s="39" t="str">
        <f>IF($B108="","",VLOOKUP($C108,'200 ONERADO'!$A$3:$G$4201,3,0))</f>
        <v>cj</v>
      </c>
      <c r="F108" s="154">
        <f>ILUMINAÇÃO!D71</f>
        <v>77</v>
      </c>
      <c r="G108" s="41">
        <f>IF($B108="","",VLOOKUP($C108,'200 DESONERADO'!$A$3:$H$4201,6,0))</f>
        <v>27.91</v>
      </c>
      <c r="H108" s="42">
        <f t="shared" si="25"/>
        <v>35.17</v>
      </c>
      <c r="I108" s="43">
        <f t="shared" si="27"/>
        <v>2708.09</v>
      </c>
    </row>
    <row r="109" spans="1:9" x14ac:dyDescent="0.2">
      <c r="A109" s="44" t="s">
        <v>21784</v>
      </c>
      <c r="B109" s="37" t="s">
        <v>97</v>
      </c>
      <c r="C109" s="40" t="s">
        <v>17005</v>
      </c>
      <c r="D109" s="38" t="str">
        <f>IF($B109="","",VLOOKUP($C109,'200 DESONERADO'!$A$3:$G$4201,2,0))</f>
        <v>Tomada 2P+T de 20 A - 250 V, completa</v>
      </c>
      <c r="E109" s="39" t="str">
        <f>IF($B109="","",VLOOKUP($C109,'200 ONERADO'!$A$3:$G$4201,3,0))</f>
        <v>cj</v>
      </c>
      <c r="F109" s="154">
        <f>ILUMINAÇÃO!F71</f>
        <v>10</v>
      </c>
      <c r="G109" s="41">
        <f>IF($B109="","",VLOOKUP($C109,'200 DESONERADO'!$A$3:$H$4201,6,0))</f>
        <v>28.99</v>
      </c>
      <c r="H109" s="42">
        <f t="shared" si="25"/>
        <v>36.53</v>
      </c>
      <c r="I109" s="43">
        <f t="shared" si="27"/>
        <v>365.3</v>
      </c>
    </row>
    <row r="110" spans="1:9" x14ac:dyDescent="0.2">
      <c r="A110" s="44" t="s">
        <v>21785</v>
      </c>
      <c r="B110" s="37" t="s">
        <v>97</v>
      </c>
      <c r="C110" s="40" t="s">
        <v>17007</v>
      </c>
      <c r="D110" s="38" t="str">
        <f>IF($B110="","",VLOOKUP($C110,'200 DESONERADO'!$A$3:$G$4201,2,0))</f>
        <v>Conjunto 2 tomadas 2P+T de 10 A, completo</v>
      </c>
      <c r="E110" s="39" t="str">
        <f>IF($B110="","",VLOOKUP($C110,'200 ONERADO'!$A$3:$G$4201,3,0))</f>
        <v>cj</v>
      </c>
      <c r="F110" s="154">
        <f>ILUMINAÇÃO!E71</f>
        <v>40</v>
      </c>
      <c r="G110" s="41">
        <f>IF($B110="","",VLOOKUP($C110,'200 DESONERADO'!$A$3:$H$4201,6,0))</f>
        <v>47.84</v>
      </c>
      <c r="H110" s="42">
        <f t="shared" si="25"/>
        <v>60.28</v>
      </c>
      <c r="I110" s="43">
        <f t="shared" si="27"/>
        <v>2411.1999999999998</v>
      </c>
    </row>
    <row r="111" spans="1:9" x14ac:dyDescent="0.2">
      <c r="A111" s="44" t="s">
        <v>21786</v>
      </c>
      <c r="B111" s="37" t="s">
        <v>97</v>
      </c>
      <c r="C111" s="40" t="s">
        <v>17015</v>
      </c>
      <c r="D111" s="38" t="str">
        <f>IF($B111="","",VLOOKUP($C111,'200 DESONERADO'!$A$3:$G$4201,2,0))</f>
        <v>Interruptor com 1 tecla simples e placa</v>
      </c>
      <c r="E111" s="39" t="str">
        <f>IF($B111="","",VLOOKUP($C111,'200 ONERADO'!$A$3:$G$4201,3,0))</f>
        <v>cj</v>
      </c>
      <c r="F111" s="154">
        <f>ILUMINAÇÃO!H71-F114</f>
        <v>12</v>
      </c>
      <c r="G111" s="41">
        <f>IF($B111="","",VLOOKUP($C111,'200 DESONERADO'!$A$3:$H$4201,6,0))</f>
        <v>31.4</v>
      </c>
      <c r="H111" s="42">
        <f t="shared" si="25"/>
        <v>39.57</v>
      </c>
      <c r="I111" s="43">
        <f t="shared" si="27"/>
        <v>474.84</v>
      </c>
    </row>
    <row r="112" spans="1:9" x14ac:dyDescent="0.2">
      <c r="A112" s="44" t="s">
        <v>21787</v>
      </c>
      <c r="B112" s="37" t="s">
        <v>97</v>
      </c>
      <c r="C112" s="40" t="s">
        <v>17017</v>
      </c>
      <c r="D112" s="38" t="str">
        <f>IF($B112="","",VLOOKUP($C112,'200 DESONERADO'!$A$3:$G$4201,2,0))</f>
        <v>Interruptor com 2 teclas simples e placa</v>
      </c>
      <c r="E112" s="39" t="str">
        <f>IF($B112="","",VLOOKUP($C112,'200 ONERADO'!$A$3:$G$4201,3,0))</f>
        <v>cj</v>
      </c>
      <c r="F112" s="154">
        <f>ILUMINAÇÃO!I71-F115</f>
        <v>7</v>
      </c>
      <c r="G112" s="41">
        <f>IF($B112="","",VLOOKUP($C112,'200 DESONERADO'!$A$3:$H$4201,6,0))</f>
        <v>42.24</v>
      </c>
      <c r="H112" s="42">
        <f t="shared" si="25"/>
        <v>53.23</v>
      </c>
      <c r="I112" s="43">
        <f t="shared" si="27"/>
        <v>372.61</v>
      </c>
    </row>
    <row r="113" spans="1:9" x14ac:dyDescent="0.2">
      <c r="A113" s="44" t="s">
        <v>21788</v>
      </c>
      <c r="B113" s="37" t="s">
        <v>97</v>
      </c>
      <c r="C113" s="40" t="s">
        <v>17019</v>
      </c>
      <c r="D113" s="38" t="str">
        <f>IF($B113="","",VLOOKUP($C113,'200 DESONERADO'!$A$3:$G$4201,2,0))</f>
        <v>Interruptor com 3 teclas simples e placa</v>
      </c>
      <c r="E113" s="39" t="str">
        <f>IF($B113="","",VLOOKUP($C113,'200 ONERADO'!$A$3:$G$4201,3,0))</f>
        <v>cj</v>
      </c>
      <c r="F113" s="154">
        <f>ILUMINAÇÃO!J71-F116</f>
        <v>4</v>
      </c>
      <c r="G113" s="41">
        <f>IF($B113="","",VLOOKUP($C113,'200 DESONERADO'!$A$3:$H$4201,6,0))</f>
        <v>52.03</v>
      </c>
      <c r="H113" s="42">
        <f t="shared" si="25"/>
        <v>65.56</v>
      </c>
      <c r="I113" s="43">
        <f t="shared" si="27"/>
        <v>262.24</v>
      </c>
    </row>
    <row r="114" spans="1:9" x14ac:dyDescent="0.2">
      <c r="A114" s="44" t="s">
        <v>21789</v>
      </c>
      <c r="B114" s="37" t="s">
        <v>97</v>
      </c>
      <c r="C114" s="40" t="s">
        <v>17021</v>
      </c>
      <c r="D114" s="38" t="str">
        <f>IF($B114="","",VLOOKUP($C114,'200 DESONERADO'!$A$3:$G$4201,2,0))</f>
        <v>Interruptor com 1 tecla paralelo e placa</v>
      </c>
      <c r="E114" s="39" t="str">
        <f>IF($B114="","",VLOOKUP($C114,'200 ONERADO'!$A$3:$G$4201,3,0))</f>
        <v>cj</v>
      </c>
      <c r="F114" s="154">
        <v>6</v>
      </c>
      <c r="G114" s="41">
        <f>IF($B114="","",VLOOKUP($C114,'200 DESONERADO'!$A$3:$H$4201,6,0))</f>
        <v>32.21</v>
      </c>
      <c r="H114" s="42">
        <f t="shared" si="25"/>
        <v>40.590000000000003</v>
      </c>
      <c r="I114" s="43">
        <f t="shared" ref="I114:I116" si="28">IF($B114="","",ROUND(F114*H114,2))</f>
        <v>243.54</v>
      </c>
    </row>
    <row r="115" spans="1:9" x14ac:dyDescent="0.2">
      <c r="A115" s="44" t="s">
        <v>21790</v>
      </c>
      <c r="B115" s="37" t="s">
        <v>97</v>
      </c>
      <c r="C115" s="40" t="s">
        <v>17025</v>
      </c>
      <c r="D115" s="38" t="str">
        <f>IF($B115="","",VLOOKUP($C115,'200 DESONERADO'!$A$3:$G$4201,2,0))</f>
        <v>Interruptor com 2 teclas, 1 simples, 1 paralelo e placa</v>
      </c>
      <c r="E115" s="39" t="str">
        <f>IF($B115="","",VLOOKUP($C115,'200 ONERADO'!$A$3:$G$4201,3,0))</f>
        <v>cj</v>
      </c>
      <c r="F115" s="154">
        <v>1</v>
      </c>
      <c r="G115" s="41">
        <f>IF($B115="","",VLOOKUP($C115,'200 DESONERADO'!$A$3:$H$4201,6,0))</f>
        <v>42.82</v>
      </c>
      <c r="H115" s="42">
        <f t="shared" si="25"/>
        <v>53.96</v>
      </c>
      <c r="I115" s="43">
        <f t="shared" si="28"/>
        <v>53.96</v>
      </c>
    </row>
    <row r="116" spans="1:9" x14ac:dyDescent="0.2">
      <c r="A116" s="44" t="s">
        <v>21791</v>
      </c>
      <c r="B116" s="37" t="s">
        <v>97</v>
      </c>
      <c r="C116" s="40" t="s">
        <v>17027</v>
      </c>
      <c r="D116" s="38" t="str">
        <f>IF($B116="","",VLOOKUP($C116,'200 DESONERADO'!$A$3:$G$4201,2,0))</f>
        <v>Interruptor com 3 teclas, 2 simples, 1 paralelo e placa</v>
      </c>
      <c r="E116" s="39" t="str">
        <f>IF($B116="","",VLOOKUP($C116,'200 ONERADO'!$A$3:$G$4201,3,0))</f>
        <v>cj</v>
      </c>
      <c r="F116" s="154">
        <v>1</v>
      </c>
      <c r="G116" s="41">
        <f>IF($B116="","",VLOOKUP($C116,'200 DESONERADO'!$A$3:$H$4201,6,0))</f>
        <v>35.24</v>
      </c>
      <c r="H116" s="42">
        <f t="shared" si="25"/>
        <v>44.41</v>
      </c>
      <c r="I116" s="43">
        <f t="shared" si="28"/>
        <v>44.41</v>
      </c>
    </row>
    <row r="117" spans="1:9" x14ac:dyDescent="0.2">
      <c r="A117" s="90" t="s">
        <v>20429</v>
      </c>
      <c r="B117" s="91"/>
      <c r="C117" s="92"/>
      <c r="D117" s="93" t="s">
        <v>20426</v>
      </c>
      <c r="E117" s="94"/>
      <c r="F117" s="95"/>
      <c r="G117" s="96" t="str">
        <f>IF($B117="","",VLOOKUP($C117,'[1]BOLETIM 161'!$A$7:$F$4000,6,0))</f>
        <v/>
      </c>
      <c r="H117" s="97"/>
      <c r="I117" s="98">
        <f>SUBTOTAL(9,I118:I169)</f>
        <v>533021.94000000006</v>
      </c>
    </row>
    <row r="118" spans="1:9" x14ac:dyDescent="0.2">
      <c r="A118" s="44" t="s">
        <v>21501</v>
      </c>
      <c r="B118" s="37" t="s">
        <v>97</v>
      </c>
      <c r="C118" s="40" t="s">
        <v>17278</v>
      </c>
      <c r="D118" s="38" t="str">
        <f>IF($B118="","",VLOOKUP($C118,'200 DESONERADO'!$A$3:$G$4201,2,0))</f>
        <v>Luminária blindada tipo arandela de 45º e 90º, para lâmpada LED</v>
      </c>
      <c r="E118" s="39" t="str">
        <f>IF($B118="","",VLOOKUP($C118,'200 ONERADO'!$A$3:$G$4201,3,0))</f>
        <v>un</v>
      </c>
      <c r="F118" s="154">
        <f>ILUMINAÇÃO!M71</f>
        <v>21</v>
      </c>
      <c r="G118" s="41">
        <f>IF($B118="","",VLOOKUP($C118,'200 DESONERADO'!$A$3:$H$4201,6,0))</f>
        <v>294.5</v>
      </c>
      <c r="H118" s="42">
        <f>ROUND(G118*(1+$I$5),2)</f>
        <v>371.1</v>
      </c>
      <c r="I118" s="43">
        <f>IF($B118="","",ROUND(F118*H118,2))</f>
        <v>7793.1</v>
      </c>
    </row>
    <row r="119" spans="1:9" ht="25.5" x14ac:dyDescent="0.2">
      <c r="A119" s="44" t="s">
        <v>21502</v>
      </c>
      <c r="B119" s="37" t="s">
        <v>97</v>
      </c>
      <c r="C119" s="40" t="s">
        <v>17277</v>
      </c>
      <c r="D119" s="38" t="str">
        <f>IF($B119="","",VLOOKUP($C119,'200 DESONERADO'!$A$3:$G$4201,2,0))</f>
        <v>Luminária blindada de sobrepor ou pendente em calha fechada, para 2 lâmpadas fluorescentes de 32 W/36 W/40 W</v>
      </c>
      <c r="E119" s="39" t="str">
        <f>IF($B119="","",VLOOKUP($C119,'200 ONERADO'!$A$3:$G$4201,3,0))</f>
        <v>un</v>
      </c>
      <c r="F119" s="154">
        <f>ILUMINAÇÃO!O71</f>
        <v>18</v>
      </c>
      <c r="G119" s="41">
        <f>IF($B119="","",VLOOKUP($C119,'200 DESONERADO'!$A$3:$H$4201,6,0))</f>
        <v>256.45999999999998</v>
      </c>
      <c r="H119" s="42">
        <f t="shared" ref="H119:H127" si="29">ROUND(G119*(1+$I$5),2)</f>
        <v>323.17</v>
      </c>
      <c r="I119" s="43">
        <f t="shared" ref="I119:I127" si="30">IF($B119="","",ROUND(F119*H119,2))</f>
        <v>5817.06</v>
      </c>
    </row>
    <row r="120" spans="1:9" x14ac:dyDescent="0.2">
      <c r="A120" s="44" t="s">
        <v>21503</v>
      </c>
      <c r="B120" s="37" t="s">
        <v>20424</v>
      </c>
      <c r="C120" s="40" t="s">
        <v>21657</v>
      </c>
      <c r="D120" s="38" t="s">
        <v>21658</v>
      </c>
      <c r="E120" s="39" t="s">
        <v>20385</v>
      </c>
      <c r="F120" s="154">
        <f>ILUMINAÇÃO!N71</f>
        <v>9</v>
      </c>
      <c r="G120" s="41">
        <v>128.66999999999999</v>
      </c>
      <c r="H120" s="42">
        <f t="shared" si="29"/>
        <v>162.13999999999999</v>
      </c>
      <c r="I120" s="43">
        <f t="shared" si="30"/>
        <v>1459.26</v>
      </c>
    </row>
    <row r="121" spans="1:9" ht="25.5" x14ac:dyDescent="0.2">
      <c r="A121" s="44" t="s">
        <v>21504</v>
      </c>
      <c r="B121" s="37" t="s">
        <v>97</v>
      </c>
      <c r="C121" s="40" t="s">
        <v>17274</v>
      </c>
      <c r="D121" s="38" t="str">
        <f>IF($B121="","",VLOOKUP($C121,'200 DESONERADO'!$A$3:$G$4201,2,0))</f>
        <v>Projetor LED modular, fluxo luminoso de 26294 lm, eficiência mínima de 125 l/W - 150 W/200 W</v>
      </c>
      <c r="E121" s="39" t="str">
        <f>IF($B121="","",VLOOKUP($C121,'200 ONERADO'!$A$3:$G$4201,3,0))</f>
        <v>un</v>
      </c>
      <c r="F121" s="154">
        <f>ILUMINAÇÃO!T71</f>
        <v>15</v>
      </c>
      <c r="G121" s="41">
        <f>IF($B121="","",VLOOKUP($C121,'200 DESONERADO'!$A$3:$H$4201,6,0))</f>
        <v>989.83</v>
      </c>
      <c r="H121" s="42">
        <f t="shared" si="29"/>
        <v>1247.28</v>
      </c>
      <c r="I121" s="43">
        <f t="shared" si="30"/>
        <v>18709.2</v>
      </c>
    </row>
    <row r="122" spans="1:9" ht="25.5" x14ac:dyDescent="0.2">
      <c r="A122" s="44" t="s">
        <v>21505</v>
      </c>
      <c r="B122" s="37" t="s">
        <v>97</v>
      </c>
      <c r="C122" s="40" t="s">
        <v>17320</v>
      </c>
      <c r="D122" s="38" t="str">
        <f>IF($B122="","",VLOOKUP($C122,'200 DESONERADO'!$A$3:$G$4201,2,0))</f>
        <v>Luminária LED quadrada de sobrepor com difusor prismático translúcido, 4000 K, fluxo luminoso de 1363 a 1800 lm, potência de 15 W a 24 W</v>
      </c>
      <c r="E122" s="39" t="str">
        <f>IF($B122="","",VLOOKUP($C122,'200 ONERADO'!$A$3:$G$4201,3,0))</f>
        <v>un</v>
      </c>
      <c r="F122" s="154">
        <f>ILUMINAÇÃO!R71</f>
        <v>36</v>
      </c>
      <c r="G122" s="41">
        <f>IF($B122="","",VLOOKUP($C122,'200 DESONERADO'!$A$3:$H$4201,6,0))</f>
        <v>226.37</v>
      </c>
      <c r="H122" s="42">
        <f t="shared" si="29"/>
        <v>285.25</v>
      </c>
      <c r="I122" s="43">
        <f t="shared" si="30"/>
        <v>10269</v>
      </c>
    </row>
    <row r="123" spans="1:9" ht="25.5" x14ac:dyDescent="0.2">
      <c r="A123" s="44" t="s">
        <v>21506</v>
      </c>
      <c r="B123" s="37" t="s">
        <v>97</v>
      </c>
      <c r="C123" s="40" t="s">
        <v>20105</v>
      </c>
      <c r="D123" s="38" t="str">
        <f>IF($B123="","",VLOOKUP($C123,'200 DESONERADO'!$A$3:$G$4201,2,0))</f>
        <v>Projetor LED retangular, potência de 30 W, fluxo luminoso de 2250 a 2400 lm, temperatura cor 6.500 K, bivolt</v>
      </c>
      <c r="E123" s="39" t="str">
        <f>IF($B123="","",VLOOKUP($C123,'200 ONERADO'!$A$3:$G$4201,3,0))</f>
        <v>un</v>
      </c>
      <c r="F123" s="154">
        <f>ILUMINAÇÃO!Q71</f>
        <v>2</v>
      </c>
      <c r="G123" s="41">
        <f>IF($B123="","",VLOOKUP($C123,'200 DESONERADO'!$A$3:$H$4201,6,0))</f>
        <v>103.79</v>
      </c>
      <c r="H123" s="42">
        <f t="shared" si="29"/>
        <v>130.79</v>
      </c>
      <c r="I123" s="43">
        <f t="shared" si="30"/>
        <v>261.58</v>
      </c>
    </row>
    <row r="124" spans="1:9" ht="25.5" x14ac:dyDescent="0.2">
      <c r="A124" s="44" t="s">
        <v>21507</v>
      </c>
      <c r="B124" s="37" t="s">
        <v>97</v>
      </c>
      <c r="C124" s="40" t="s">
        <v>17270</v>
      </c>
      <c r="D124" s="38" t="str">
        <f>IF($B124="","",VLOOKUP($C124,'200 DESONERADO'!$A$3:$G$4201,2,0))</f>
        <v>Luminária LED redonda de embutir para parede ou piso, área interna ou externa, bivolt - potência 6 W</v>
      </c>
      <c r="E124" s="39" t="str">
        <f>IF($B124="","",VLOOKUP($C124,'200 ONERADO'!$A$3:$G$4201,3,0))</f>
        <v>un</v>
      </c>
      <c r="F124" s="154">
        <f>ILUMINAÇÃO!P71</f>
        <v>8</v>
      </c>
      <c r="G124" s="41">
        <f>IF($B124="","",VLOOKUP($C124,'200 DESONERADO'!$A$3:$H$4201,6,0))</f>
        <v>97.41</v>
      </c>
      <c r="H124" s="42">
        <f t="shared" si="29"/>
        <v>122.75</v>
      </c>
      <c r="I124" s="43">
        <f t="shared" si="30"/>
        <v>982</v>
      </c>
    </row>
    <row r="125" spans="1:9" x14ac:dyDescent="0.2">
      <c r="A125" s="44" t="s">
        <v>21508</v>
      </c>
      <c r="B125" s="37" t="s">
        <v>97</v>
      </c>
      <c r="C125" s="40" t="s">
        <v>17177</v>
      </c>
      <c r="D125" s="38" t="str">
        <f>IF($B125="","",VLOOKUP($C125,'200 DESONERADO'!$A$3:$G$4201,2,0))</f>
        <v>Lâmpada LED tubular T8 com base G13, de 900 até 1050 Im - 9 a 10 W</v>
      </c>
      <c r="E125" s="39" t="str">
        <f>IF($B125="","",VLOOKUP($C125,'200 ONERADO'!$A$3:$G$4201,3,0))</f>
        <v>un</v>
      </c>
      <c r="F125" s="154">
        <v>6</v>
      </c>
      <c r="G125" s="41">
        <f>IF($B125="","",VLOOKUP($C125,'200 DESONERADO'!$A$3:$H$4201,6,0))</f>
        <v>20.02</v>
      </c>
      <c r="H125" s="42">
        <f t="shared" si="29"/>
        <v>25.23</v>
      </c>
      <c r="I125" s="43">
        <f t="shared" si="30"/>
        <v>151.38</v>
      </c>
    </row>
    <row r="126" spans="1:9" x14ac:dyDescent="0.2">
      <c r="A126" s="44" t="s">
        <v>21509</v>
      </c>
      <c r="B126" s="37" t="s">
        <v>97</v>
      </c>
      <c r="C126" s="40" t="s">
        <v>17178</v>
      </c>
      <c r="D126" s="38" t="str">
        <f>IF($B126="","",VLOOKUP($C126,'200 DESONERADO'!$A$3:$G$4201,2,0))</f>
        <v>Lâmpada LED tubular T8 com base G13, de 1850 até 2000 Im - 18 a 20 W</v>
      </c>
      <c r="E126" s="39" t="str">
        <f>IF($B126="","",VLOOKUP($C126,'200 ONERADO'!$A$3:$G$4201,3,0))</f>
        <v>un</v>
      </c>
      <c r="F126" s="154">
        <f>ILUMINAÇÃO!N71+2*ILUMINAÇÃO!O71-F125</f>
        <v>39</v>
      </c>
      <c r="G126" s="41">
        <f>IF($B126="","",VLOOKUP($C126,'200 DESONERADO'!$A$3:$H$4201,6,0))</f>
        <v>22.41</v>
      </c>
      <c r="H126" s="42">
        <f t="shared" si="29"/>
        <v>28.24</v>
      </c>
      <c r="I126" s="43">
        <f t="shared" si="30"/>
        <v>1101.3599999999999</v>
      </c>
    </row>
    <row r="127" spans="1:9" ht="38.25" x14ac:dyDescent="0.2">
      <c r="A127" s="44" t="s">
        <v>21510</v>
      </c>
      <c r="B127" s="37" t="s">
        <v>97</v>
      </c>
      <c r="C127" s="40" t="s">
        <v>19244</v>
      </c>
      <c r="D127" s="38" t="str">
        <f>IF($B127="","",VLOOKUP($C127,'200 DESONERADO'!$A$3:$G$4201,2,0))</f>
        <v>Bloco autônomo de iluminação de emergência LED, com autonomia mínima de 3 horas, fluxo luminoso de 2.000 até 3.000 lúmens, equipado com 2 faróis</v>
      </c>
      <c r="E127" s="39" t="str">
        <f>IF($B127="","",VLOOKUP($C127,'200 ONERADO'!$A$3:$G$4201,3,0))</f>
        <v>un</v>
      </c>
      <c r="F127" s="154">
        <v>14</v>
      </c>
      <c r="G127" s="41">
        <f>IF($B127="","",VLOOKUP($C127,'200 DESONERADO'!$A$3:$H$4201,6,0))</f>
        <v>219.44</v>
      </c>
      <c r="H127" s="42">
        <f t="shared" si="29"/>
        <v>276.52</v>
      </c>
      <c r="I127" s="43">
        <f t="shared" si="30"/>
        <v>3871.28</v>
      </c>
    </row>
    <row r="128" spans="1:9" x14ac:dyDescent="0.2">
      <c r="A128" s="90" t="s">
        <v>20430</v>
      </c>
      <c r="B128" s="91"/>
      <c r="C128" s="92"/>
      <c r="D128" s="93" t="s">
        <v>20603</v>
      </c>
      <c r="E128" s="94"/>
      <c r="F128" s="95"/>
      <c r="G128" s="96" t="str">
        <f>IF($B128="","",VLOOKUP($C128,'[1]BOLETIM 161'!$A$7:$F$4000,6,0))</f>
        <v/>
      </c>
      <c r="H128" s="97"/>
      <c r="I128" s="98">
        <f>SUBTOTAL(9,I129:I144)</f>
        <v>115512.71</v>
      </c>
    </row>
    <row r="129" spans="1:9" x14ac:dyDescent="0.2">
      <c r="A129" s="44" t="s">
        <v>21551</v>
      </c>
      <c r="B129" s="37" t="s">
        <v>97</v>
      </c>
      <c r="C129" s="46" t="s">
        <v>14653</v>
      </c>
      <c r="D129" s="38" t="str">
        <f>IF($B129="","",VLOOKUP($C129,'200 DESONERADO'!$A$3:$G$4201,2,0))</f>
        <v>Caixilho em madeira maxim-ar</v>
      </c>
      <c r="E129" s="39" t="str">
        <f>IF($B129="","",VLOOKUP($C129,'200 ONERADO'!$A$3:$G$4201,3,0))</f>
        <v>m²</v>
      </c>
      <c r="F129" s="154">
        <f>ESQUADRIAS!J37</f>
        <v>8</v>
      </c>
      <c r="G129" s="41">
        <f>IF($B129="","",VLOOKUP($C129,'200 DESONERADO'!$A$3:$H$4201,6,0))</f>
        <v>1073.1500000000001</v>
      </c>
      <c r="H129" s="42">
        <f>ROUND(G129*(1+$I$5),2)</f>
        <v>1352.28</v>
      </c>
      <c r="I129" s="43">
        <f>IF($B129="","",ROUND(F129*H129,2))</f>
        <v>10818.24</v>
      </c>
    </row>
    <row r="130" spans="1:9" x14ac:dyDescent="0.2">
      <c r="A130" s="44" t="s">
        <v>21552</v>
      </c>
      <c r="B130" s="37" t="s">
        <v>97</v>
      </c>
      <c r="C130" s="46" t="s">
        <v>14655</v>
      </c>
      <c r="D130" s="38" t="str">
        <f>IF($B130="","",VLOOKUP($C130,'200 DESONERADO'!$A$3:$G$4201,2,0))</f>
        <v>Caixilho em madeira tipo veneziana de correr</v>
      </c>
      <c r="E130" s="39" t="str">
        <f>IF($B130="","",VLOOKUP($C130,'200 ONERADO'!$A$3:$G$4201,3,0))</f>
        <v>m²</v>
      </c>
      <c r="F130" s="154">
        <f>ESQUADRIAS!J36</f>
        <v>6.4</v>
      </c>
      <c r="G130" s="41">
        <f>IF($B130="","",VLOOKUP($C130,'200 DESONERADO'!$A$3:$H$4201,6,0))</f>
        <v>964.64</v>
      </c>
      <c r="H130" s="42">
        <f t="shared" ref="H130:H144" si="31">ROUND(G130*(1+$I$5),2)</f>
        <v>1215.54</v>
      </c>
      <c r="I130" s="43">
        <f t="shared" ref="I130:I144" si="32">IF($B130="","",ROUND(F130*H130,2))</f>
        <v>7779.46</v>
      </c>
    </row>
    <row r="131" spans="1:9" x14ac:dyDescent="0.2">
      <c r="A131" s="44" t="s">
        <v>21553</v>
      </c>
      <c r="B131" s="37" t="s">
        <v>97</v>
      </c>
      <c r="C131" s="46" t="s">
        <v>14661</v>
      </c>
      <c r="D131" s="38" t="str">
        <f>IF($B131="","",VLOOKUP($C131,'200 DESONERADO'!$A$3:$G$4201,2,0))</f>
        <v>Porta macho e fêmea com batente de madeira - 70 x 210 cm</v>
      </c>
      <c r="E131" s="39" t="str">
        <f>IF($B131="","",VLOOKUP($C131,'200 ONERADO'!$A$3:$G$4201,3,0))</f>
        <v>un</v>
      </c>
      <c r="F131" s="154">
        <f>ESQUADRIAS!E8</f>
        <v>4</v>
      </c>
      <c r="G131" s="41">
        <f>IF($B131="","",VLOOKUP($C131,'200 DESONERADO'!$A$3:$H$4201,6,0))</f>
        <v>1468.25</v>
      </c>
      <c r="H131" s="42">
        <f t="shared" si="31"/>
        <v>1850.14</v>
      </c>
      <c r="I131" s="43">
        <f t="shared" si="32"/>
        <v>7400.56</v>
      </c>
    </row>
    <row r="132" spans="1:9" x14ac:dyDescent="0.2">
      <c r="A132" s="44" t="s">
        <v>21554</v>
      </c>
      <c r="B132" s="37" t="s">
        <v>97</v>
      </c>
      <c r="C132" s="46" t="s">
        <v>14663</v>
      </c>
      <c r="D132" s="38" t="str">
        <f>IF($B132="","",VLOOKUP($C132,'200 DESONERADO'!$A$3:$G$4201,2,0))</f>
        <v>Porta macho e fêmea com batente de madeira - 80 x 210 cm</v>
      </c>
      <c r="E132" s="39" t="str">
        <f>IF($B132="","",VLOOKUP($C132,'200 ONERADO'!$A$3:$G$4201,3,0))</f>
        <v>un</v>
      </c>
      <c r="F132" s="154">
        <f>ESQUADRIAS!E7</f>
        <v>10</v>
      </c>
      <c r="G132" s="41">
        <f>IF($B132="","",VLOOKUP($C132,'200 DESONERADO'!$A$3:$H$4201,6,0))</f>
        <v>1478.59</v>
      </c>
      <c r="H132" s="42">
        <f t="shared" si="31"/>
        <v>1863.17</v>
      </c>
      <c r="I132" s="43">
        <f t="shared" si="32"/>
        <v>18631.7</v>
      </c>
    </row>
    <row r="133" spans="1:9" x14ac:dyDescent="0.2">
      <c r="A133" s="44" t="s">
        <v>21555</v>
      </c>
      <c r="B133" s="37" t="s">
        <v>97</v>
      </c>
      <c r="C133" s="46" t="s">
        <v>14665</v>
      </c>
      <c r="D133" s="38" t="str">
        <f>IF($B133="","",VLOOKUP($C133,'200 DESONERADO'!$A$3:$G$4201,2,0))</f>
        <v>Porta macho e fêmea com batente de madeira - 90 x 210 cm</v>
      </c>
      <c r="E133" s="39" t="str">
        <f>IF($B133="","",VLOOKUP($C133,'200 ONERADO'!$A$3:$G$4201,3,0))</f>
        <v>un</v>
      </c>
      <c r="F133" s="154">
        <f>ESQUADRIAS!E6</f>
        <v>4</v>
      </c>
      <c r="G133" s="41">
        <f>IF($B133="","",VLOOKUP($C133,'200 DESONERADO'!$A$3:$H$4201,6,0))</f>
        <v>1579.81</v>
      </c>
      <c r="H133" s="42">
        <f t="shared" si="31"/>
        <v>1990.72</v>
      </c>
      <c r="I133" s="43">
        <f t="shared" si="32"/>
        <v>7962.88</v>
      </c>
    </row>
    <row r="134" spans="1:9" ht="51" x14ac:dyDescent="0.2">
      <c r="A134" s="44" t="s">
        <v>21556</v>
      </c>
      <c r="B134" s="37" t="s">
        <v>97</v>
      </c>
      <c r="C134" s="46" t="s">
        <v>14799</v>
      </c>
      <c r="D134" s="38" t="str">
        <f>IF($B134="","",VLOOKUP($C134,'200 DESONERADO'!$A$3:$G$4201,2,0))</f>
        <v>Porta lisa de madeira, interna, resistente a umidade "PIM RU", para acabamento em pintura, de correr ou deslizante, tipo acessível, padrão dimensional pesado, com sistema deslizante e ferragens, completo - 100 x 210 cm</v>
      </c>
      <c r="E134" s="39" t="str">
        <f>IF($B134="","",VLOOKUP($C134,'200 ONERADO'!$A$3:$G$4201,3,0))</f>
        <v>un</v>
      </c>
      <c r="F134" s="154">
        <f>ESQUADRIAS!E9</f>
        <v>2</v>
      </c>
      <c r="G134" s="41">
        <f>IF($B134="","",VLOOKUP($C134,'200 DESONERADO'!$A$3:$H$4201,6,0))</f>
        <v>908.56</v>
      </c>
      <c r="H134" s="42">
        <f t="shared" si="31"/>
        <v>1144.8800000000001</v>
      </c>
      <c r="I134" s="43">
        <f t="shared" si="32"/>
        <v>2289.7600000000002</v>
      </c>
    </row>
    <row r="135" spans="1:9" ht="25.5" x14ac:dyDescent="0.2">
      <c r="A135" s="44" t="s">
        <v>21557</v>
      </c>
      <c r="B135" s="37" t="s">
        <v>97</v>
      </c>
      <c r="C135" s="46" t="s">
        <v>14871</v>
      </c>
      <c r="D135" s="38" t="str">
        <f>IF($B135="","",VLOOKUP($C135,'200 DESONERADO'!$A$3:$G$4201,2,0))</f>
        <v>Porta corta-fogo classe P.90 de 90 x 210 cm, completa, com maçaneta tipo alavanca</v>
      </c>
      <c r="E135" s="39" t="str">
        <f>IF($B135="","",VLOOKUP($C135,'200 ONERADO'!$A$3:$G$4201,3,0))</f>
        <v>un</v>
      </c>
      <c r="F135" s="154">
        <v>1</v>
      </c>
      <c r="G135" s="41">
        <f>IF($B135="","",VLOOKUP($C135,'200 DESONERADO'!$A$3:$H$4201,6,0))</f>
        <v>1556.63</v>
      </c>
      <c r="H135" s="42">
        <f t="shared" si="31"/>
        <v>1961.51</v>
      </c>
      <c r="I135" s="43">
        <f t="shared" si="32"/>
        <v>1961.51</v>
      </c>
    </row>
    <row r="136" spans="1:9" ht="25.5" x14ac:dyDescent="0.2">
      <c r="A136" s="44" t="s">
        <v>21584</v>
      </c>
      <c r="B136" s="37" t="s">
        <v>97</v>
      </c>
      <c r="C136" s="46" t="s">
        <v>14877</v>
      </c>
      <c r="D136" s="38" t="str">
        <f>IF($B136="","",VLOOKUP($C136,'200 DESONERADO'!$A$3:$G$4201,2,0))</f>
        <v>Porta corta-fogo classe P.120 de 80 x 210 cm, com uma folha de abrir, completa</v>
      </c>
      <c r="E136" s="39" t="str">
        <f>IF($B136="","",VLOOKUP($C136,'200 ONERADO'!$A$3:$G$4201,3,0))</f>
        <v>un</v>
      </c>
      <c r="F136" s="154">
        <v>1</v>
      </c>
      <c r="G136" s="41">
        <f>IF($B136="","",VLOOKUP($C136,'200 DESONERADO'!$A$3:$H$4201,6,0))</f>
        <v>2612.12</v>
      </c>
      <c r="H136" s="42">
        <f t="shared" si="31"/>
        <v>3291.53</v>
      </c>
      <c r="I136" s="43">
        <f t="shared" si="32"/>
        <v>3291.53</v>
      </c>
    </row>
    <row r="137" spans="1:9" x14ac:dyDescent="0.2">
      <c r="A137" s="44" t="s">
        <v>21585</v>
      </c>
      <c r="B137" s="37" t="s">
        <v>97</v>
      </c>
      <c r="C137" s="46" t="s">
        <v>15114</v>
      </c>
      <c r="D137" s="38" t="str">
        <f>IF($B137="","",VLOOKUP($C137,'200 DESONERADO'!$A$3:$G$4201,2,0))</f>
        <v>Portinhola tipo veneziana de abrir em alumínio, linha comercial</v>
      </c>
      <c r="E137" s="39" t="str">
        <f>IF($B137="","",VLOOKUP($C137,'200 ONERADO'!$A$3:$G$4201,3,0))</f>
        <v>m²</v>
      </c>
      <c r="F137" s="154">
        <f>0.6*0.8</f>
        <v>0.48</v>
      </c>
      <c r="G137" s="41">
        <f>IF($B137="","",VLOOKUP($C137,'200 DESONERADO'!$A$3:$H$4201,6,0))</f>
        <v>668.1</v>
      </c>
      <c r="H137" s="42">
        <f t="shared" si="31"/>
        <v>841.87</v>
      </c>
      <c r="I137" s="43">
        <f t="shared" si="32"/>
        <v>404.1</v>
      </c>
    </row>
    <row r="138" spans="1:9" x14ac:dyDescent="0.2">
      <c r="A138" s="44" t="s">
        <v>21792</v>
      </c>
      <c r="B138" s="37" t="s">
        <v>97</v>
      </c>
      <c r="C138" s="46" t="s">
        <v>14845</v>
      </c>
      <c r="D138" s="38" t="str">
        <f>IF($B138="","",VLOOKUP($C138,'200 DESONERADO'!$A$3:$G$4201,2,0))</f>
        <v>Caixilho em ferro basculante, sob medida</v>
      </c>
      <c r="E138" s="39" t="str">
        <f>IF($B138="","",VLOOKUP($C138,'200 ONERADO'!$A$3:$G$4201,3,0))</f>
        <v>m²</v>
      </c>
      <c r="F138" s="154">
        <f>ESQUADRIAS!J41</f>
        <v>1.6</v>
      </c>
      <c r="G138" s="41">
        <f>IF($B138="","",VLOOKUP($C138,'200 DESONERADO'!$A$3:$H$4201,6,0))</f>
        <v>1528.02</v>
      </c>
      <c r="H138" s="42">
        <f t="shared" si="31"/>
        <v>1925.46</v>
      </c>
      <c r="I138" s="43">
        <f t="shared" si="32"/>
        <v>3080.74</v>
      </c>
    </row>
    <row r="139" spans="1:9" x14ac:dyDescent="0.2">
      <c r="A139" s="44" t="s">
        <v>13623</v>
      </c>
      <c r="B139" s="37" t="s">
        <v>97</v>
      </c>
      <c r="C139" s="46" t="s">
        <v>14847</v>
      </c>
      <c r="D139" s="38" t="str">
        <f>IF($B139="","",VLOOKUP($C139,'200 DESONERADO'!$A$3:$G$4201,2,0))</f>
        <v>Caixilho em ferro de correr, sob medida</v>
      </c>
      <c r="E139" s="39" t="str">
        <f>IF($B139="","",VLOOKUP($C139,'200 ONERADO'!$A$3:$G$4201,3,0))</f>
        <v>m²</v>
      </c>
      <c r="F139" s="154">
        <f>ESQUADRIAS!J40</f>
        <v>13.18</v>
      </c>
      <c r="G139" s="41">
        <f>IF($B139="","",VLOOKUP($C139,'200 DESONERADO'!$A$3:$H$4201,6,0))</f>
        <v>938.75</v>
      </c>
      <c r="H139" s="42">
        <f t="shared" si="31"/>
        <v>1182.92</v>
      </c>
      <c r="I139" s="43">
        <f t="shared" si="32"/>
        <v>15590.89</v>
      </c>
    </row>
    <row r="140" spans="1:9" ht="25.5" x14ac:dyDescent="0.2">
      <c r="A140" s="44" t="s">
        <v>21793</v>
      </c>
      <c r="B140" s="37" t="s">
        <v>97</v>
      </c>
      <c r="C140" s="46" t="s">
        <v>14861</v>
      </c>
      <c r="D140" s="38" t="str">
        <f>IF($B140="","",VLOOKUP($C140,'200 DESONERADO'!$A$3:$G$4201,2,0))</f>
        <v>Caixilho fixo em aço SAE 1010/1020 para vidro à prova de bala, sob medida</v>
      </c>
      <c r="E140" s="39" t="str">
        <f>IF($B140="","",VLOOKUP($C140,'200 ONERADO'!$A$3:$G$4201,3,0))</f>
        <v>m²</v>
      </c>
      <c r="F140" s="154">
        <f>ESQUADRIAS!I32</f>
        <v>2.8</v>
      </c>
      <c r="G140" s="41">
        <f>IF($B140="","",VLOOKUP($C140,'200 DESONERADO'!$A$3:$H$4201,6,0))</f>
        <v>2209.87</v>
      </c>
      <c r="H140" s="42">
        <f t="shared" si="31"/>
        <v>2784.66</v>
      </c>
      <c r="I140" s="43">
        <f t="shared" si="32"/>
        <v>7797.05</v>
      </c>
    </row>
    <row r="141" spans="1:9" x14ac:dyDescent="0.2">
      <c r="A141" s="44" t="s">
        <v>21794</v>
      </c>
      <c r="B141" s="37" t="s">
        <v>97</v>
      </c>
      <c r="C141" s="46" t="s">
        <v>15143</v>
      </c>
      <c r="D141" s="38" t="str">
        <f>IF($B141="","",VLOOKUP($C141,'200 DESONERADO'!$A$3:$G$4201,2,0))</f>
        <v>Vidro liso transparente de 4 mm</v>
      </c>
      <c r="E141" s="39" t="str">
        <f>IF($B141="","",VLOOKUP($C141,'200 ONERADO'!$A$3:$G$4201,3,0))</f>
        <v>m²</v>
      </c>
      <c r="F141" s="154">
        <f>ESQUADRIAS!I33</f>
        <v>46.11999999999999</v>
      </c>
      <c r="G141" s="41">
        <f>IF($B141="","",VLOOKUP($C141,'200 DESONERADO'!$A$3:$H$4201,6,0))</f>
        <v>166.3</v>
      </c>
      <c r="H141" s="42">
        <f t="shared" si="31"/>
        <v>209.55</v>
      </c>
      <c r="I141" s="43">
        <f t="shared" si="32"/>
        <v>9664.4500000000007</v>
      </c>
    </row>
    <row r="142" spans="1:9" x14ac:dyDescent="0.2">
      <c r="A142" s="44" t="s">
        <v>21795</v>
      </c>
      <c r="B142" s="37" t="s">
        <v>97</v>
      </c>
      <c r="C142" s="46" t="s">
        <v>15163</v>
      </c>
      <c r="D142" s="38" t="str">
        <f>IF($B142="","",VLOOKUP($C142,'200 DESONERADO'!$A$3:$G$4201,2,0))</f>
        <v>Vidro multilaminado de alta segurança, proteção balística nível III</v>
      </c>
      <c r="E142" s="39" t="str">
        <f>IF($B142="","",VLOOKUP($C142,'200 ONERADO'!$A$3:$G$4201,3,0))</f>
        <v>m²</v>
      </c>
      <c r="F142" s="154">
        <f>F140</f>
        <v>2.8</v>
      </c>
      <c r="G142" s="41">
        <f>IF($B142="","",VLOOKUP($C142,'200 DESONERADO'!$A$3:$H$4201,6,0))</f>
        <v>4221.6499999999996</v>
      </c>
      <c r="H142" s="42">
        <f t="shared" si="31"/>
        <v>5319.7</v>
      </c>
      <c r="I142" s="43">
        <f t="shared" si="32"/>
        <v>14895.16</v>
      </c>
    </row>
    <row r="143" spans="1:9" x14ac:dyDescent="0.2">
      <c r="A143" s="44" t="s">
        <v>21796</v>
      </c>
      <c r="B143" s="37" t="s">
        <v>20424</v>
      </c>
      <c r="C143" s="46" t="s">
        <v>21512</v>
      </c>
      <c r="D143" s="38" t="s">
        <v>21513</v>
      </c>
      <c r="E143" s="39" t="s">
        <v>20385</v>
      </c>
      <c r="F143" s="154">
        <v>1</v>
      </c>
      <c r="G143" s="41">
        <v>1911.04</v>
      </c>
      <c r="H143" s="42">
        <f t="shared" si="31"/>
        <v>2408.1</v>
      </c>
      <c r="I143" s="43">
        <f t="shared" si="32"/>
        <v>2408.1</v>
      </c>
    </row>
    <row r="144" spans="1:9" x14ac:dyDescent="0.2">
      <c r="A144" s="44" t="s">
        <v>13627</v>
      </c>
      <c r="B144" s="37" t="s">
        <v>97</v>
      </c>
      <c r="C144" s="46" t="s">
        <v>14898</v>
      </c>
      <c r="D144" s="38" t="str">
        <f>IF($B144="","",VLOOKUP($C144,'200 DESONERADO'!$A$3:$G$4201,2,0))</f>
        <v>Grade de proteção para caixilhos</v>
      </c>
      <c r="E144" s="39" t="str">
        <f>IF($B144="","",VLOOKUP($C144,'200 ONERADO'!$A$3:$G$4201,3,0))</f>
        <v>m²</v>
      </c>
      <c r="F144" s="154">
        <f>ESQUADRIAS!H22</f>
        <v>0.8</v>
      </c>
      <c r="G144" s="41">
        <f>IF($B144="","",VLOOKUP($C144,'200 DESONERADO'!$A$3:$H$4201,6,0))</f>
        <v>1524.26</v>
      </c>
      <c r="H144" s="42">
        <f t="shared" si="31"/>
        <v>1920.72</v>
      </c>
      <c r="I144" s="43">
        <f t="shared" si="32"/>
        <v>1536.58</v>
      </c>
    </row>
    <row r="145" spans="1:9" x14ac:dyDescent="0.2">
      <c r="A145" s="90" t="s">
        <v>20535</v>
      </c>
      <c r="B145" s="91"/>
      <c r="C145" s="92"/>
      <c r="D145" s="93" t="s">
        <v>21511</v>
      </c>
      <c r="E145" s="94"/>
      <c r="F145" s="95"/>
      <c r="G145" s="96" t="str">
        <f>IF($B145="","",VLOOKUP($C145,'[1]BOLETIM 161'!$A$7:$F$4000,6,0))</f>
        <v/>
      </c>
      <c r="H145" s="97"/>
      <c r="I145" s="98">
        <f>SUBTOTAL(9,I146:I154)</f>
        <v>232855.37000000005</v>
      </c>
    </row>
    <row r="146" spans="1:9" x14ac:dyDescent="0.2">
      <c r="A146" s="44" t="s">
        <v>21558</v>
      </c>
      <c r="B146" s="37" t="s">
        <v>97</v>
      </c>
      <c r="C146" s="46" t="s">
        <v>14182</v>
      </c>
      <c r="D146" s="38" t="str">
        <f>IF($B146="","",VLOOKUP($C146,'200 DESONERADO'!$A$3:$G$4201,2,0))</f>
        <v>Chapisco</v>
      </c>
      <c r="E146" s="39" t="str">
        <f>IF($B146="","",VLOOKUP($C146,'200 ONERADO'!$A$3:$G$4201,3,0))</f>
        <v>m²</v>
      </c>
      <c r="F146" s="154">
        <f>REVESTIMENTOS!R179</f>
        <v>835.13999999999987</v>
      </c>
      <c r="G146" s="41">
        <f>IF($B146="","",VLOOKUP($C146,'200 DESONERADO'!$A$3:$H$4201,6,0))</f>
        <v>7.21</v>
      </c>
      <c r="H146" s="42">
        <f>ROUND(G146*(1+$I$5),2)</f>
        <v>9.09</v>
      </c>
      <c r="I146" s="43">
        <f>IF($B146="","",ROUND(F146*H146,2))</f>
        <v>7591.42</v>
      </c>
    </row>
    <row r="147" spans="1:9" x14ac:dyDescent="0.2">
      <c r="A147" s="44" t="s">
        <v>21560</v>
      </c>
      <c r="B147" s="37" t="s">
        <v>97</v>
      </c>
      <c r="C147" s="46" t="s">
        <v>14193</v>
      </c>
      <c r="D147" s="38" t="str">
        <f>IF($B147="","",VLOOKUP($C147,'200 DESONERADO'!$A$3:$G$4201,2,0))</f>
        <v>Emboço desempenado com espuma de poliéster</v>
      </c>
      <c r="E147" s="39" t="str">
        <f>IF($B147="","",VLOOKUP($C147,'200 ONERADO'!$A$3:$G$4201,3,0))</f>
        <v>m²</v>
      </c>
      <c r="F147" s="154">
        <f>F146</f>
        <v>835.13999999999987</v>
      </c>
      <c r="G147" s="41">
        <f>IF($B147="","",VLOOKUP($C147,'200 DESONERADO'!$A$3:$H$4201,6,0))</f>
        <v>28.21</v>
      </c>
      <c r="H147" s="42">
        <f t="shared" ref="H147:H154" si="33">ROUND(G147*(1+$I$5),2)</f>
        <v>35.549999999999997</v>
      </c>
      <c r="I147" s="43">
        <f t="shared" ref="I147:I154" si="34">IF($B147="","",ROUND(F147*H147,2))</f>
        <v>29689.23</v>
      </c>
    </row>
    <row r="148" spans="1:9" x14ac:dyDescent="0.2">
      <c r="A148" s="44" t="s">
        <v>21561</v>
      </c>
      <c r="B148" s="37" t="s">
        <v>97</v>
      </c>
      <c r="C148" s="46" t="s">
        <v>14227</v>
      </c>
      <c r="D148" s="38" t="str">
        <f>IF($B148="","",VLOOKUP($C148,'200 DESONERADO'!$A$3:$G$4201,2,0))</f>
        <v>Revestimento em gesso liso desempenado sobre bloco</v>
      </c>
      <c r="E148" s="39" t="str">
        <f>IF($B148="","",VLOOKUP($C148,'200 ONERADO'!$A$3:$G$4201,3,0))</f>
        <v>m²</v>
      </c>
      <c r="F148" s="154">
        <f>REVESTIMENTOS!R149</f>
        <v>786.08999999999992</v>
      </c>
      <c r="G148" s="41">
        <f>IF($B148="","",VLOOKUP($C148,'200 DESONERADO'!$A$3:$H$4201,6,0))</f>
        <v>22.2</v>
      </c>
      <c r="H148" s="42">
        <f t="shared" si="33"/>
        <v>27.97</v>
      </c>
      <c r="I148" s="43">
        <f t="shared" si="34"/>
        <v>21986.94</v>
      </c>
    </row>
    <row r="149" spans="1:9" x14ac:dyDescent="0.2">
      <c r="A149" s="44" t="s">
        <v>21562</v>
      </c>
      <c r="B149" s="37" t="s">
        <v>97</v>
      </c>
      <c r="C149" s="46" t="s">
        <v>14171</v>
      </c>
      <c r="D149" s="38" t="str">
        <f>IF($B149="","",VLOOKUP($C149,'200 DESONERADO'!$A$3:$G$4201,2,0))</f>
        <v>Argamassa de regularização e/ou proteção</v>
      </c>
      <c r="E149" s="39" t="str">
        <f>IF($B149="","",VLOOKUP($C149,'200 ONERADO'!$A$3:$G$4201,3,0))</f>
        <v>m³</v>
      </c>
      <c r="F149" s="154">
        <f>REVESTIMENTOS!J45</f>
        <v>11.600000000000001</v>
      </c>
      <c r="G149" s="41">
        <f>IF($B149="","",VLOOKUP($C149,'200 DESONERADO'!$A$3:$H$4201,6,0))</f>
        <v>807.89</v>
      </c>
      <c r="H149" s="42">
        <f t="shared" si="33"/>
        <v>1018.02</v>
      </c>
      <c r="I149" s="43">
        <f t="shared" si="34"/>
        <v>11809.03</v>
      </c>
    </row>
    <row r="150" spans="1:9" ht="38.25" x14ac:dyDescent="0.2">
      <c r="A150" s="44" t="s">
        <v>21563</v>
      </c>
      <c r="B150" s="37" t="s">
        <v>97</v>
      </c>
      <c r="C150" s="46" t="s">
        <v>14371</v>
      </c>
      <c r="D150" s="38" t="str">
        <f>IF($B150="","",VLOOKUP($C150,'200 DESONERADO'!$A$3:$G$4201,2,0))</f>
        <v>Revestimento em porcelanato esmaltado polido para área interna e ambiente com tráfego médio, grupo de absorção BIa, assentado com argamassa colante industrializada, rejuntado</v>
      </c>
      <c r="E150" s="39" t="str">
        <f>IF($B150="","",VLOOKUP($C150,'200 ONERADO'!$A$3:$G$4201,3,0))</f>
        <v>m²</v>
      </c>
      <c r="F150" s="154">
        <f>REVESTIMENTOS!E45</f>
        <v>578.84</v>
      </c>
      <c r="G150" s="41">
        <f>IF($B150="","",VLOOKUP($C150,'200 DESONERADO'!$A$3:$H$4201,6,0))</f>
        <v>185.83</v>
      </c>
      <c r="H150" s="42">
        <f t="shared" si="33"/>
        <v>234.16</v>
      </c>
      <c r="I150" s="43">
        <f t="shared" si="34"/>
        <v>135541.17000000001</v>
      </c>
    </row>
    <row r="151" spans="1:9" ht="38.25" x14ac:dyDescent="0.2">
      <c r="A151" s="44" t="s">
        <v>21564</v>
      </c>
      <c r="B151" s="37" t="s">
        <v>97</v>
      </c>
      <c r="C151" s="46" t="s">
        <v>14373</v>
      </c>
      <c r="D151" s="38" t="str">
        <f>IF($B151="","",VLOOKUP($C151,'200 DESONERADO'!$A$3:$G$4201,2,0))</f>
        <v>Rodapé em porcelanato esmaltado polido para área interna e ambiente com tráfego médio, grupo de absorção BIa, assentado com argamassa colante industrializada, rejuntado</v>
      </c>
      <c r="E151" s="39" t="str">
        <f>IF($B151="","",VLOOKUP($C151,'200 ONERADO'!$A$3:$G$4201,3,0))</f>
        <v>m</v>
      </c>
      <c r="F151" s="154">
        <f>REVESTIMENTOS!M25</f>
        <v>218.87</v>
      </c>
      <c r="G151" s="41">
        <f>IF($B151="","",VLOOKUP($C151,'200 DESONERADO'!$A$3:$H$4201,6,0))</f>
        <v>37.07</v>
      </c>
      <c r="H151" s="42">
        <f t="shared" si="33"/>
        <v>46.71</v>
      </c>
      <c r="I151" s="43">
        <f t="shared" si="34"/>
        <v>10223.42</v>
      </c>
    </row>
    <row r="152" spans="1:9" ht="38.25" x14ac:dyDescent="0.2">
      <c r="A152" s="44" t="s">
        <v>21797</v>
      </c>
      <c r="B152" s="37" t="s">
        <v>97</v>
      </c>
      <c r="C152" s="46" t="s">
        <v>14383</v>
      </c>
      <c r="D152" s="38" t="str">
        <f>IF($B152="","",VLOOKUP($C152,'200 DESONERADO'!$A$3:$G$4201,2,0))</f>
        <v>Revestimento em porcelanato técnico natural para área interna e ambiente com acesso ao exterior, grupo de absorção BIa, assentado com argamassa colante industrializada, rejuntado</v>
      </c>
      <c r="E152" s="39" t="str">
        <f>IF($B152="","",VLOOKUP($C152,'200 ONERADO'!$A$3:$G$4201,3,0))</f>
        <v>m²</v>
      </c>
      <c r="F152" s="154">
        <f>REVESTIMENTOS!E51</f>
        <v>25.65</v>
      </c>
      <c r="G152" s="41">
        <f>IF($B152="","",VLOOKUP($C152,'200 DESONERADO'!$A$3:$H$4201,6,0))</f>
        <v>192.47</v>
      </c>
      <c r="H152" s="42">
        <f t="shared" si="33"/>
        <v>242.53</v>
      </c>
      <c r="I152" s="43">
        <f t="shared" si="34"/>
        <v>6220.89</v>
      </c>
    </row>
    <row r="153" spans="1:9" ht="25.5" x14ac:dyDescent="0.2">
      <c r="A153" s="44" t="s">
        <v>21798</v>
      </c>
      <c r="B153" s="37" t="s">
        <v>97</v>
      </c>
      <c r="C153" s="46" t="s">
        <v>14421</v>
      </c>
      <c r="D153" s="38" t="str">
        <f>IF($B153="","",VLOOKUP($C153,'200 DESONERADO'!$A$3:$G$4201,2,0))</f>
        <v>Peitoril e/ou soleira em granito, espessura de 2 cm e largura até 20 cm, acabamento polido</v>
      </c>
      <c r="E153" s="39" t="str">
        <f>IF($B153="","",VLOOKUP($C153,'200 ONERADO'!$A$3:$G$4201,3,0))</f>
        <v>m</v>
      </c>
      <c r="F153" s="154">
        <f>REVESTIMENTOS!M80</f>
        <v>30.75</v>
      </c>
      <c r="G153" s="41">
        <f>IF($B153="","",VLOOKUP($C153,'200 DESONERADO'!$A$3:$H$4201,6,0))</f>
        <v>178.05</v>
      </c>
      <c r="H153" s="42">
        <f t="shared" si="33"/>
        <v>224.36</v>
      </c>
      <c r="I153" s="43">
        <f t="shared" si="34"/>
        <v>6899.07</v>
      </c>
    </row>
    <row r="154" spans="1:9" x14ac:dyDescent="0.2">
      <c r="A154" s="44" t="s">
        <v>21799</v>
      </c>
      <c r="B154" s="37" t="s">
        <v>20424</v>
      </c>
      <c r="C154" s="46" t="s">
        <v>20533</v>
      </c>
      <c r="D154" s="38" t="s">
        <v>20534</v>
      </c>
      <c r="E154" s="39" t="s">
        <v>20385</v>
      </c>
      <c r="F154" s="154">
        <v>4</v>
      </c>
      <c r="G154" s="41">
        <v>574.20000000000005</v>
      </c>
      <c r="H154" s="42">
        <f t="shared" si="33"/>
        <v>723.55</v>
      </c>
      <c r="I154" s="43">
        <f t="shared" si="34"/>
        <v>2894.2</v>
      </c>
    </row>
    <row r="155" spans="1:9" x14ac:dyDescent="0.2">
      <c r="A155" s="90" t="s">
        <v>20536</v>
      </c>
      <c r="B155" s="91"/>
      <c r="C155" s="92"/>
      <c r="D155" s="93" t="s">
        <v>15649</v>
      </c>
      <c r="E155" s="94"/>
      <c r="F155" s="95"/>
      <c r="G155" s="96" t="str">
        <f>IF($B155="","",VLOOKUP($C155,'[1]BOLETIM 161'!$A$7:$F$4000,6,0))</f>
        <v/>
      </c>
      <c r="H155" s="97"/>
      <c r="I155" s="98">
        <f>SUBTOTAL(9,I156:I161)</f>
        <v>84845.180000000022</v>
      </c>
    </row>
    <row r="156" spans="1:9" x14ac:dyDescent="0.2">
      <c r="A156" s="44" t="s">
        <v>20566</v>
      </c>
      <c r="B156" s="37" t="s">
        <v>97</v>
      </c>
      <c r="C156" s="46" t="s">
        <v>15656</v>
      </c>
      <c r="D156" s="38" t="str">
        <f>IF($B156="","",VLOOKUP($C156,'200 DESONERADO'!$A$3:$G$4201,2,0))</f>
        <v>Imunizante para madeira</v>
      </c>
      <c r="E156" s="39" t="str">
        <f>IF($B156="","",VLOOKUP($C156,'200 ONERADO'!$A$3:$G$4201,3,0))</f>
        <v>m²</v>
      </c>
      <c r="F156" s="154">
        <f>TELHADO!E10</f>
        <v>324.17</v>
      </c>
      <c r="G156" s="41">
        <f>IF($B156="","",VLOOKUP($C156,'200 DESONERADO'!$A$3:$H$4201,6,0))</f>
        <v>16.2</v>
      </c>
      <c r="H156" s="42">
        <f>ROUND(G156*(1+$I$5),2)</f>
        <v>20.41</v>
      </c>
      <c r="I156" s="43">
        <f>IF($B156="","",ROUND(F156*H156,2))</f>
        <v>6616.31</v>
      </c>
    </row>
    <row r="157" spans="1:9" x14ac:dyDescent="0.2">
      <c r="A157" s="44" t="s">
        <v>20567</v>
      </c>
      <c r="B157" s="37" t="s">
        <v>97</v>
      </c>
      <c r="C157" s="46" t="s">
        <v>15714</v>
      </c>
      <c r="D157" s="38" t="str">
        <f>IF($B157="","",VLOOKUP($C157,'200 DESONERADO'!$A$3:$G$4201,2,0))</f>
        <v>Tinta látex em massa, inclusive preparo</v>
      </c>
      <c r="E157" s="39" t="str">
        <f>IF($B157="","",VLOOKUP($C157,'200 ONERADO'!$A$3:$G$4201,3,0))</f>
        <v>m²</v>
      </c>
      <c r="F157" s="154">
        <f>PINTURA!J91</f>
        <v>786.08999999999992</v>
      </c>
      <c r="G157" s="41">
        <f>IF($B157="","",VLOOKUP($C157,'200 DESONERADO'!$A$3:$H$4201,6,0))</f>
        <v>29.55</v>
      </c>
      <c r="H157" s="42">
        <f t="shared" ref="H157:H161" si="35">ROUND(G157*(1+$I$5),2)</f>
        <v>37.24</v>
      </c>
      <c r="I157" s="43">
        <f t="shared" ref="I157:I161" si="36">IF($B157="","",ROUND(F157*H157,2))</f>
        <v>29273.99</v>
      </c>
    </row>
    <row r="158" spans="1:9" x14ac:dyDescent="0.2">
      <c r="A158" s="44" t="s">
        <v>20568</v>
      </c>
      <c r="B158" s="37" t="s">
        <v>97</v>
      </c>
      <c r="C158" s="46" t="s">
        <v>15716</v>
      </c>
      <c r="D158" s="38" t="str">
        <f>IF($B158="","",VLOOKUP($C158,'200 DESONERADO'!$A$3:$G$4201,2,0))</f>
        <v>Tinta acrílica antimofo em massa, inclusive preparo</v>
      </c>
      <c r="E158" s="39" t="str">
        <f>IF($B158="","",VLOOKUP($C158,'200 ONERADO'!$A$3:$G$4201,3,0))</f>
        <v>m²</v>
      </c>
      <c r="F158" s="154">
        <f>PINTURA!J100</f>
        <v>750.08999999999992</v>
      </c>
      <c r="G158" s="41">
        <f>IF($B158="","",VLOOKUP($C158,'200 DESONERADO'!$A$3:$H$4201,6,0))</f>
        <v>35.14</v>
      </c>
      <c r="H158" s="42">
        <f t="shared" si="35"/>
        <v>44.28</v>
      </c>
      <c r="I158" s="43">
        <f t="shared" si="36"/>
        <v>33213.99</v>
      </c>
    </row>
    <row r="159" spans="1:9" x14ac:dyDescent="0.2">
      <c r="A159" s="44" t="s">
        <v>20569</v>
      </c>
      <c r="B159" s="37" t="s">
        <v>97</v>
      </c>
      <c r="C159" s="46" t="s">
        <v>15684</v>
      </c>
      <c r="D159" s="38" t="str">
        <f>IF($B159="","",VLOOKUP($C159,'200 DESONERADO'!$A$3:$G$4201,2,0))</f>
        <v>Verniz fungicida para madeira</v>
      </c>
      <c r="E159" s="39" t="str">
        <f>IF($B159="","",VLOOKUP($C159,'200 ONERADO'!$A$3:$G$4201,3,0))</f>
        <v>m²</v>
      </c>
      <c r="F159" s="154">
        <f>ESQUADRIAS!J35</f>
        <v>101.96000000000002</v>
      </c>
      <c r="G159" s="41">
        <f>IF($B159="","",VLOOKUP($C159,'200 DESONERADO'!$A$3:$H$4201,6,0))</f>
        <v>24.4</v>
      </c>
      <c r="H159" s="42">
        <f t="shared" si="35"/>
        <v>30.75</v>
      </c>
      <c r="I159" s="43">
        <f t="shared" si="36"/>
        <v>3135.27</v>
      </c>
    </row>
    <row r="160" spans="1:9" x14ac:dyDescent="0.2">
      <c r="A160" s="44" t="s">
        <v>20570</v>
      </c>
      <c r="B160" s="37" t="s">
        <v>97</v>
      </c>
      <c r="C160" s="46" t="s">
        <v>15688</v>
      </c>
      <c r="D160" s="38" t="str">
        <f>IF($B160="","",VLOOKUP($C160,'200 DESONERADO'!$A$3:$G$4201,2,0))</f>
        <v>Verniz em superfície de madeira</v>
      </c>
      <c r="E160" s="39" t="str">
        <f>IF($B160="","",VLOOKUP($C160,'200 ONERADO'!$A$3:$G$4201,3,0))</f>
        <v>m²</v>
      </c>
      <c r="F160" s="154">
        <f>PINTURA!E50</f>
        <v>92.450000000000017</v>
      </c>
      <c r="G160" s="41">
        <f>IF($B160="","",VLOOKUP($C160,'200 DESONERADO'!$A$3:$H$4201,6,0))</f>
        <v>28.98</v>
      </c>
      <c r="H160" s="42">
        <f t="shared" si="35"/>
        <v>36.520000000000003</v>
      </c>
      <c r="I160" s="43">
        <f t="shared" si="36"/>
        <v>3376.27</v>
      </c>
    </row>
    <row r="161" spans="1:9" x14ac:dyDescent="0.2">
      <c r="A161" s="44" t="s">
        <v>20571</v>
      </c>
      <c r="B161" s="37" t="s">
        <v>97</v>
      </c>
      <c r="C161" s="46" t="s">
        <v>15734</v>
      </c>
      <c r="D161" s="38" t="str">
        <f>IF($B161="","",VLOOKUP($C161,'200 DESONERADO'!$A$3:$G$4201,2,0))</f>
        <v>Esmalte à base água em superfície metálica, inclusive preparo</v>
      </c>
      <c r="E161" s="39" t="str">
        <f>IF($B161="","",VLOOKUP($C161,'200 ONERADO'!$A$3:$G$4201,3,0))</f>
        <v>m²</v>
      </c>
      <c r="F161" s="154">
        <f>PINTURA!O57</f>
        <v>149.56</v>
      </c>
      <c r="G161" s="41">
        <f>IF($B161="","",VLOOKUP($C161,'200 DESONERADO'!$A$3:$H$4201,6,0))</f>
        <v>48.97</v>
      </c>
      <c r="H161" s="42">
        <f t="shared" si="35"/>
        <v>61.71</v>
      </c>
      <c r="I161" s="43">
        <f t="shared" si="36"/>
        <v>9229.35</v>
      </c>
    </row>
    <row r="162" spans="1:9" x14ac:dyDescent="0.2">
      <c r="A162" s="90" t="s">
        <v>20565</v>
      </c>
      <c r="B162" s="91"/>
      <c r="C162" s="92"/>
      <c r="D162" s="93" t="s">
        <v>21350</v>
      </c>
      <c r="E162" s="94"/>
      <c r="F162" s="95"/>
      <c r="G162" s="96" t="str">
        <f>IF($B162="","",VLOOKUP($C162,'[1]BOLETIM 161'!$A$7:$F$4000,6,0))</f>
        <v/>
      </c>
      <c r="H162" s="97"/>
      <c r="I162" s="98">
        <f>SUBTOTAL(9,I163:I165)</f>
        <v>43941.69</v>
      </c>
    </row>
    <row r="163" spans="1:9" x14ac:dyDescent="0.2">
      <c r="A163" s="44" t="s">
        <v>21559</v>
      </c>
      <c r="B163" s="37" t="s">
        <v>97</v>
      </c>
      <c r="C163" s="46" t="s">
        <v>14012</v>
      </c>
      <c r="D163" s="38" t="str">
        <f>IF($B163="","",VLOOKUP($C163,'200 DESONERADO'!$A$3:$G$4201,2,0))</f>
        <v>Fornecimento e montagem de estrutura em aço ASTM-A36, sem pintura</v>
      </c>
      <c r="E163" s="39" t="str">
        <f>IF($B163="","",VLOOKUP($C163,'200 ONERADO'!$A$3:$G$4201,3,0))</f>
        <v>kg</v>
      </c>
      <c r="F163" s="154">
        <f>13.24*70</f>
        <v>926.80000000000007</v>
      </c>
      <c r="G163" s="41">
        <f>IF($B163="","",VLOOKUP($C163,'200 DESONERADO'!$A$3:$H$4201,6,0))</f>
        <v>28.72</v>
      </c>
      <c r="H163" s="42">
        <f>ROUND(G163*(1+$I$5),2)</f>
        <v>36.19</v>
      </c>
      <c r="I163" s="43">
        <f>IF($B163="","",ROUND(F163*H163,2))</f>
        <v>33540.89</v>
      </c>
    </row>
    <row r="164" spans="1:9" ht="25.5" x14ac:dyDescent="0.2">
      <c r="A164" s="44" t="s">
        <v>21565</v>
      </c>
      <c r="B164" s="37" t="s">
        <v>97</v>
      </c>
      <c r="C164" s="46" t="s">
        <v>15001</v>
      </c>
      <c r="D164" s="38" t="str">
        <f>IF($B164="","",VLOOKUP($C164,'200 DESONERADO'!$A$3:$G$4201,2,0))</f>
        <v>Guarda-corpo com vidro de 8 mm, em tubo de aço galvanizado, diâmetro 1 1/2´</v>
      </c>
      <c r="E164" s="39" t="str">
        <f>IF($B164="","",VLOOKUP($C164,'200 ONERADO'!$A$3:$G$4201,3,0))</f>
        <v>m</v>
      </c>
      <c r="F164" s="154">
        <f>1.9+2.81+1.08</f>
        <v>5.79</v>
      </c>
      <c r="G164" s="41">
        <f>IF($B164="","",VLOOKUP($C164,'200 DESONERADO'!$A$3:$H$4201,6,0))</f>
        <v>965.75</v>
      </c>
      <c r="H164" s="42">
        <f>ROUND(G164*(1+$I$5),2)</f>
        <v>1216.94</v>
      </c>
      <c r="I164" s="43">
        <f>IF($B164="","",ROUND(F164*H164,2))</f>
        <v>7046.08</v>
      </c>
    </row>
    <row r="165" spans="1:9" x14ac:dyDescent="0.2">
      <c r="A165" s="44" t="s">
        <v>21566</v>
      </c>
      <c r="B165" s="37" t="s">
        <v>97</v>
      </c>
      <c r="C165" s="46" t="s">
        <v>14939</v>
      </c>
      <c r="D165" s="38" t="str">
        <f>IF($B165="","",VLOOKUP($C165,'200 DESONERADO'!$A$3:$G$4201,2,0))</f>
        <v>Corrimão tubular em aço galvanizado, diâmetro 2´</v>
      </c>
      <c r="E165" s="39" t="str">
        <f>IF($B165="","",VLOOKUP($C165,'200 ONERADO'!$A$3:$G$4201,3,0))</f>
        <v>m</v>
      </c>
      <c r="F165" s="154">
        <v>9.5500000000000007</v>
      </c>
      <c r="G165" s="41">
        <f>IF($B165="","",VLOOKUP($C165,'200 DESONERADO'!$A$3:$H$4201,6,0))</f>
        <v>278.77</v>
      </c>
      <c r="H165" s="42">
        <f>ROUND(G165*(1+$I$5),2)</f>
        <v>351.28</v>
      </c>
      <c r="I165" s="43">
        <f>IF($B165="","",ROUND(F165*H165,2))</f>
        <v>3354.72</v>
      </c>
    </row>
    <row r="166" spans="1:9" x14ac:dyDescent="0.2">
      <c r="A166" s="90" t="s">
        <v>20572</v>
      </c>
      <c r="B166" s="91"/>
      <c r="C166" s="92"/>
      <c r="D166" s="93" t="s">
        <v>21349</v>
      </c>
      <c r="E166" s="94"/>
      <c r="F166" s="95"/>
      <c r="G166" s="96" t="str">
        <f>IF($B166="","",VLOOKUP($C166,'[1]BOLETIM 161'!$A$7:$F$4000,6,0))</f>
        <v/>
      </c>
      <c r="H166" s="97"/>
      <c r="I166" s="98">
        <f>SUBTOTAL(9,I167:I173)</f>
        <v>11801.7</v>
      </c>
    </row>
    <row r="167" spans="1:9" x14ac:dyDescent="0.2">
      <c r="A167" s="44" t="s">
        <v>21567</v>
      </c>
      <c r="B167" s="37" t="s">
        <v>97</v>
      </c>
      <c r="C167" s="46" t="s">
        <v>13641</v>
      </c>
      <c r="D167" s="38" t="str">
        <f>IF($B167="","",VLOOKUP($C167,'200 DESONERADO'!$A$3:$G$4201,2,0))</f>
        <v>Lastro de pedra britada</v>
      </c>
      <c r="E167" s="39" t="str">
        <f>IF($B167="","",VLOOKUP($C167,'200 ONERADO'!$A$3:$G$4201,3,0))</f>
        <v>m³</v>
      </c>
      <c r="F167" s="154">
        <f>'PISO EXTERNO'!D6</f>
        <v>2.62</v>
      </c>
      <c r="G167" s="41">
        <f>IF($B167="","",VLOOKUP($C167,'200 DESONERADO'!$A$3:$H$4201,6,0))</f>
        <v>215.62</v>
      </c>
      <c r="H167" s="42">
        <f>ROUND(G167*(1+$I$5),2)</f>
        <v>271.7</v>
      </c>
      <c r="I167" s="43">
        <f>IF($B167="","",ROUND(F167*H167,2))</f>
        <v>711.85</v>
      </c>
    </row>
    <row r="168" spans="1:9" x14ac:dyDescent="0.2">
      <c r="A168" s="44" t="s">
        <v>21568</v>
      </c>
      <c r="B168" s="37" t="s">
        <v>97</v>
      </c>
      <c r="C168" s="46" t="s">
        <v>12353</v>
      </c>
      <c r="D168" s="38" t="str">
        <f>IF($B168="","",VLOOKUP($C168,'200 DESONERADO'!$A$3:$G$4201,2,0))</f>
        <v>Concreto usinado, fck = 30 MPa</v>
      </c>
      <c r="E168" s="39" t="str">
        <f>IF($B168="","",VLOOKUP($C168,'200 ONERADO'!$A$3:$G$4201,3,0))</f>
        <v>m³</v>
      </c>
      <c r="F168" s="154">
        <f>'PISO EXTERNO'!F6</f>
        <v>5.25</v>
      </c>
      <c r="G168" s="41">
        <f>IF($B168="","",VLOOKUP($C168,'200 DESONERADO'!$A$3:$H$4201,6,0))</f>
        <v>544.1</v>
      </c>
      <c r="H168" s="42">
        <f>ROUND(G168*(1+$I$5),2)</f>
        <v>685.62</v>
      </c>
      <c r="I168" s="43">
        <f>IF($B168="","",ROUND(F168*H168,2))</f>
        <v>3599.51</v>
      </c>
    </row>
    <row r="169" spans="1:9" x14ac:dyDescent="0.2">
      <c r="A169" s="44" t="s">
        <v>21569</v>
      </c>
      <c r="B169" s="37" t="s">
        <v>97</v>
      </c>
      <c r="C169" s="46" t="s">
        <v>13629</v>
      </c>
      <c r="D169" s="38" t="str">
        <f>IF($B169="","",VLOOKUP($C169,'200 DESONERADO'!$A$3:$G$4201,2,0))</f>
        <v>Lançamento e adensamento de concreto ou massa em fundação</v>
      </c>
      <c r="E169" s="39" t="str">
        <f>IF($B169="","",VLOOKUP($C169,'200 ONERADO'!$A$3:$G$4201,3,0))</f>
        <v>m³</v>
      </c>
      <c r="F169" s="154">
        <f>F168</f>
        <v>5.25</v>
      </c>
      <c r="G169" s="41">
        <f>IF($B169="","",VLOOKUP($C169,'200 DESONERADO'!$A$3:$H$4201,6,0))</f>
        <v>172.38</v>
      </c>
      <c r="H169" s="42">
        <f>ROUND(G169*(1+$I$5),2)</f>
        <v>217.22</v>
      </c>
      <c r="I169" s="43">
        <f>IF($B169="","",ROUND(F169*H169,2))</f>
        <v>1140.4100000000001</v>
      </c>
    </row>
    <row r="170" spans="1:9" x14ac:dyDescent="0.2">
      <c r="A170" s="44" t="s">
        <v>21570</v>
      </c>
      <c r="B170" s="37" t="s">
        <v>97</v>
      </c>
      <c r="C170" s="46" t="s">
        <v>13635</v>
      </c>
      <c r="D170" s="38" t="str">
        <f>IF($B170="","",VLOOKUP($C170,'200 DESONERADO'!$A$3:$G$4201,2,0))</f>
        <v>Nivelamento de piso em concreto com acabadora de superfície</v>
      </c>
      <c r="E170" s="39" t="str">
        <f>IF($B170="","",VLOOKUP($C170,'200 ONERADO'!$A$3:$G$4201,3,0))</f>
        <v>m²</v>
      </c>
      <c r="F170" s="154">
        <f>'PISO EXTERNO'!C6</f>
        <v>52.48</v>
      </c>
      <c r="G170" s="41">
        <f>IF($B170="","",VLOOKUP($C170,'200 DESONERADO'!$A$3:$H$4201,6,0))</f>
        <v>16.170000000000002</v>
      </c>
      <c r="H170" s="42">
        <f t="shared" ref="H170:H172" si="37">ROUND(G170*(1+$I$5),2)</f>
        <v>20.38</v>
      </c>
      <c r="I170" s="43">
        <f t="shared" ref="I170:I172" si="38">IF($B170="","",ROUND(F170*H170,2))</f>
        <v>1069.54</v>
      </c>
    </row>
    <row r="171" spans="1:9" x14ac:dyDescent="0.2">
      <c r="A171" s="44" t="s">
        <v>21571</v>
      </c>
      <c r="B171" s="37" t="s">
        <v>97</v>
      </c>
      <c r="C171" s="46" t="s">
        <v>13662</v>
      </c>
      <c r="D171" s="38" t="str">
        <f>IF($B171="","",VLOOKUP($C171,'200 DESONERADO'!$A$3:$G$4201,2,0))</f>
        <v>Cura química de concreto, membrana líquida</v>
      </c>
      <c r="E171" s="39" t="str">
        <f>IF($B171="","",VLOOKUP($C171,'200 ONERADO'!$A$3:$G$4201,3,0))</f>
        <v>m²</v>
      </c>
      <c r="F171" s="154">
        <f>F170</f>
        <v>52.48</v>
      </c>
      <c r="G171" s="41">
        <f>IF($B171="","",VLOOKUP($C171,'200 DESONERADO'!$A$3:$H$4201,6,0))</f>
        <v>7.88</v>
      </c>
      <c r="H171" s="42">
        <f t="shared" si="37"/>
        <v>9.93</v>
      </c>
      <c r="I171" s="43">
        <f t="shared" si="38"/>
        <v>521.13</v>
      </c>
    </row>
    <row r="172" spans="1:9" x14ac:dyDescent="0.2">
      <c r="A172" s="44" t="s">
        <v>21572</v>
      </c>
      <c r="B172" s="37" t="s">
        <v>97</v>
      </c>
      <c r="C172" s="46" t="s">
        <v>13564</v>
      </c>
      <c r="D172" s="38" t="str">
        <f>IF($B172="","",VLOOKUP($C172,'200 DESONERADO'!$A$3:$G$4201,2,0))</f>
        <v>Armadura em tela soldada de aço</v>
      </c>
      <c r="E172" s="39" t="str">
        <f>IF($B172="","",VLOOKUP($C172,'200 ONERADO'!$A$3:$G$4201,3,0))</f>
        <v>kg</v>
      </c>
      <c r="F172" s="154">
        <f>'PISO EXTERNO'!I6</f>
        <v>138.01999999999998</v>
      </c>
      <c r="G172" s="41">
        <f>IF($B172="","",VLOOKUP($C172,'200 DESONERADO'!$A$3:$H$4201,6,0))</f>
        <v>9.7100000000000009</v>
      </c>
      <c r="H172" s="42">
        <f t="shared" si="37"/>
        <v>12.24</v>
      </c>
      <c r="I172" s="43">
        <f t="shared" si="38"/>
        <v>1689.36</v>
      </c>
    </row>
    <row r="173" spans="1:9" x14ac:dyDescent="0.2">
      <c r="A173" s="44" t="s">
        <v>21573</v>
      </c>
      <c r="B173" s="37" t="s">
        <v>20424</v>
      </c>
      <c r="C173" s="46" t="s">
        <v>20533</v>
      </c>
      <c r="D173" s="38" t="s">
        <v>20534</v>
      </c>
      <c r="E173" s="39" t="s">
        <v>20385</v>
      </c>
      <c r="F173" s="154">
        <v>5</v>
      </c>
      <c r="G173" s="41">
        <v>487.25</v>
      </c>
      <c r="H173" s="42">
        <f>ROUND(G173*(1+$I$5),2)</f>
        <v>613.98</v>
      </c>
      <c r="I173" s="43">
        <f>IF($B173="","",ROUND(F173*H173,2))</f>
        <v>3069.9</v>
      </c>
    </row>
    <row r="174" spans="1:9" x14ac:dyDescent="0.2">
      <c r="A174" s="90" t="s">
        <v>20573</v>
      </c>
      <c r="B174" s="91"/>
      <c r="C174" s="92"/>
      <c r="D174" s="93" t="s">
        <v>20602</v>
      </c>
      <c r="E174" s="94"/>
      <c r="F174" s="95"/>
      <c r="G174" s="96" t="str">
        <f>IF($B174="","",VLOOKUP($C174,'[1]BOLETIM 161'!$A$7:$F$4000,6,0))</f>
        <v/>
      </c>
      <c r="H174" s="97"/>
      <c r="I174" s="98">
        <f>SUBTOTAL(9,I175:I182)</f>
        <v>53167.8</v>
      </c>
    </row>
    <row r="175" spans="1:9" x14ac:dyDescent="0.2">
      <c r="A175" s="44" t="s">
        <v>20574</v>
      </c>
      <c r="B175" s="37" t="s">
        <v>97</v>
      </c>
      <c r="C175" s="46" t="s">
        <v>13359</v>
      </c>
      <c r="D175" s="38" t="str">
        <f>IF($B175="","",VLOOKUP($C175,'200 DESONERADO'!$A$3:$G$4201,2,0))</f>
        <v>Escavação manual em solo de 1ª e 2ª categoria em vala ou cava até 1,5 m</v>
      </c>
      <c r="E175" s="39" t="str">
        <f>IF($B175="","",VLOOKUP($C175,'200 ONERADO'!$A$3:$G$4201,3,0))</f>
        <v>m³</v>
      </c>
      <c r="F175" s="154">
        <f>DIVISA!O8</f>
        <v>8.18</v>
      </c>
      <c r="G175" s="41">
        <f>IF($B175="","",VLOOKUP($C175,'200 DESONERADO'!$A$3:$H$4201,6,0))</f>
        <v>61.32</v>
      </c>
      <c r="H175" s="42">
        <f>ROUND(G175*(1+$I$5),2)</f>
        <v>77.27</v>
      </c>
      <c r="I175" s="43">
        <f>IF($B175="","",ROUND(F175*H175,2))</f>
        <v>632.07000000000005</v>
      </c>
    </row>
    <row r="176" spans="1:9" x14ac:dyDescent="0.2">
      <c r="A176" s="44" t="s">
        <v>20575</v>
      </c>
      <c r="B176" s="37" t="s">
        <v>97</v>
      </c>
      <c r="C176" s="46" t="s">
        <v>13675</v>
      </c>
      <c r="D176" s="38" t="str">
        <f>IF($B176="","",VLOOKUP($C176,'200 DESONERADO'!$A$3:$G$4201,2,0))</f>
        <v>Broca em concreto armado diâmetro de 20 cm - completa</v>
      </c>
      <c r="E176" s="39" t="str">
        <f>IF($B176="","",VLOOKUP($C176,'200 ONERADO'!$A$3:$G$4201,3,0))</f>
        <v>m</v>
      </c>
      <c r="F176" s="154">
        <f>DIVISA!M59</f>
        <v>141</v>
      </c>
      <c r="G176" s="41">
        <f>IF($B176="","",VLOOKUP($C176,'200 DESONERADO'!$A$3:$H$4201,6,0))</f>
        <v>66.569999999999993</v>
      </c>
      <c r="H176" s="42">
        <f>ROUND(G176*(1+$I$5),2)</f>
        <v>83.88</v>
      </c>
      <c r="I176" s="43">
        <f>IF($B176="","",ROUND(F176*H176,2))</f>
        <v>11827.08</v>
      </c>
    </row>
    <row r="177" spans="1:9" x14ac:dyDescent="0.2">
      <c r="A177" s="44" t="s">
        <v>21800</v>
      </c>
      <c r="B177" s="37" t="s">
        <v>97</v>
      </c>
      <c r="C177" s="46" t="s">
        <v>13882</v>
      </c>
      <c r="D177" s="38" t="str">
        <f>IF($B177="","",VLOOKUP($C177,'200 DESONERADO'!$A$3:$G$4201,2,0))</f>
        <v>Alvenaria de bloco de concreto estrutural 14 cm - classe B</v>
      </c>
      <c r="E177" s="39" t="str">
        <f>IF($B177="","",VLOOKUP($C177,'200 ONERADO'!$A$3:$G$4201,3,0))</f>
        <v>m²</v>
      </c>
      <c r="F177" s="154">
        <f>DIVISA!T8</f>
        <v>102.09</v>
      </c>
      <c r="G177" s="41">
        <f>IF($B177="","",VLOOKUP($C177,'200 DESONERADO'!$A$3:$H$4201,6,0))</f>
        <v>114.64</v>
      </c>
      <c r="H177" s="42">
        <f>ROUND(G177*(1+$I$5),2)</f>
        <v>144.46</v>
      </c>
      <c r="I177" s="43">
        <f>IF($B177="","",ROUND(F177*H177,2))</f>
        <v>14747.92</v>
      </c>
    </row>
    <row r="178" spans="1:9" x14ac:dyDescent="0.2">
      <c r="A178" s="44" t="s">
        <v>21801</v>
      </c>
      <c r="B178" s="37" t="s">
        <v>97</v>
      </c>
      <c r="C178" s="46" t="s">
        <v>13900</v>
      </c>
      <c r="D178" s="38" t="str">
        <f>IF($B178="","",VLOOKUP($C178,'200 DESONERADO'!$A$3:$G$4201,2,0))</f>
        <v>Cimalha em concreto com pingadeira</v>
      </c>
      <c r="E178" s="39" t="str">
        <f>IF($B178="","",VLOOKUP($C178,'200 ONERADO'!$A$3:$G$4201,3,0))</f>
        <v>m</v>
      </c>
      <c r="F178" s="154">
        <f>DIVISA!R8</f>
        <v>90.89</v>
      </c>
      <c r="G178" s="41">
        <f>IF($B178="","",VLOOKUP($C178,'200 DESONERADO'!$A$3:$H$4201,6,0))</f>
        <v>11.99</v>
      </c>
      <c r="H178" s="42">
        <f t="shared" ref="H178:H182" si="39">ROUND(G178*(1+$I$5),2)</f>
        <v>15.11</v>
      </c>
      <c r="I178" s="43">
        <f t="shared" ref="I178:I182" si="40">IF($B178="","",ROUND(F178*H178,2))</f>
        <v>1373.35</v>
      </c>
    </row>
    <row r="179" spans="1:9" x14ac:dyDescent="0.2">
      <c r="A179" s="44" t="s">
        <v>21802</v>
      </c>
      <c r="B179" s="37" t="s">
        <v>97</v>
      </c>
      <c r="C179" s="46" t="s">
        <v>15807</v>
      </c>
      <c r="D179" s="38" t="str">
        <f>IF($B179="","",VLOOKUP($C179,'200 DESONERADO'!$A$3:$G$4201,2,0))</f>
        <v>Barreira de proteção perimetral em aço inoxidável AISI 430, dupla</v>
      </c>
      <c r="E179" s="39" t="str">
        <f>IF($B179="","",VLOOKUP($C179,'200 ONERADO'!$A$3:$G$4201,3,0))</f>
        <v>m</v>
      </c>
      <c r="F179" s="154">
        <f>16+30.55</f>
        <v>46.55</v>
      </c>
      <c r="G179" s="41">
        <f>IF($B179="","",VLOOKUP($C179,'200 DESONERADO'!$A$3:$H$4201,6,0))</f>
        <v>46.11</v>
      </c>
      <c r="H179" s="42">
        <f t="shared" si="39"/>
        <v>58.1</v>
      </c>
      <c r="I179" s="43">
        <f t="shared" si="40"/>
        <v>2704.56</v>
      </c>
    </row>
    <row r="180" spans="1:9" x14ac:dyDescent="0.2">
      <c r="A180" s="44" t="s">
        <v>21803</v>
      </c>
      <c r="B180" s="37" t="s">
        <v>97</v>
      </c>
      <c r="C180" s="46" t="s">
        <v>15819</v>
      </c>
      <c r="D180" s="38" t="str">
        <f>IF($B180="","",VLOOKUP($C180,'200 DESONERADO'!$A$3:$G$4201,2,0))</f>
        <v>Gradil de ferro perfilado, tipo parque</v>
      </c>
      <c r="E180" s="39" t="str">
        <f>IF($B180="","",VLOOKUP($C180,'200 ONERADO'!$A$3:$G$4201,3,0))</f>
        <v>m²</v>
      </c>
      <c r="F180" s="154">
        <f>5.4*2</f>
        <v>10.8</v>
      </c>
      <c r="G180" s="41">
        <f>IF($B180="","",VLOOKUP($C180,'200 DESONERADO'!$A$3:$H$4201,6,0))</f>
        <v>589.58000000000004</v>
      </c>
      <c r="H180" s="42">
        <f t="shared" si="39"/>
        <v>742.93</v>
      </c>
      <c r="I180" s="43">
        <f t="shared" si="40"/>
        <v>8023.64</v>
      </c>
    </row>
    <row r="181" spans="1:9" x14ac:dyDescent="0.2">
      <c r="A181" s="44" t="s">
        <v>21804</v>
      </c>
      <c r="B181" s="37" t="s">
        <v>97</v>
      </c>
      <c r="C181" s="37" t="s">
        <v>14892</v>
      </c>
      <c r="D181" s="38" t="str">
        <f>IF($B181="","",VLOOKUP($C181,'200 DESONERADO'!$A$3:$G$4201,2,0))</f>
        <v>Porta/portão de correr em chapa cega dupla, sob medida</v>
      </c>
      <c r="E181" s="39" t="str">
        <f>IF($B181="","",VLOOKUP($C181,'200 ONERADO'!$A$3:$G$4201,3,0))</f>
        <v>m²</v>
      </c>
      <c r="F181" s="154">
        <f>2.8*2.5</f>
        <v>7</v>
      </c>
      <c r="G181" s="41">
        <f>IF($B181="","",VLOOKUP($C181,'200 DESONERADO'!$A$3:$H$4201,6,0))</f>
        <v>1352.93</v>
      </c>
      <c r="H181" s="42">
        <f t="shared" si="39"/>
        <v>1704.83</v>
      </c>
      <c r="I181" s="43">
        <f t="shared" si="40"/>
        <v>11933.81</v>
      </c>
    </row>
    <row r="182" spans="1:9" x14ac:dyDescent="0.2">
      <c r="A182" s="44" t="s">
        <v>21807</v>
      </c>
      <c r="B182" s="37" t="s">
        <v>97</v>
      </c>
      <c r="C182" s="37" t="s">
        <v>14038</v>
      </c>
      <c r="D182" s="38" t="str">
        <f>IF($B182="","",VLOOKUP($C182,'200 DESONERADO'!$A$3:$G$4201,2,0))</f>
        <v>Fornecimento de peças diversas para estrutura em madeira</v>
      </c>
      <c r="E182" s="39" t="str">
        <f>IF($B182="","",VLOOKUP($C182,'200 ONERADO'!$A$3:$G$4201,3,0))</f>
        <v>m³</v>
      </c>
      <c r="F182" s="154">
        <f>ROUND(3.8*2.5*0.03,2)</f>
        <v>0.28999999999999998</v>
      </c>
      <c r="G182" s="41">
        <f>IF($B182="","",VLOOKUP($C182,'200 DESONERADO'!$A$3:$H$4201,6,0))</f>
        <v>5268.8</v>
      </c>
      <c r="H182" s="42">
        <f t="shared" si="39"/>
        <v>6639.21</v>
      </c>
      <c r="I182" s="43">
        <f t="shared" si="40"/>
        <v>1925.37</v>
      </c>
    </row>
    <row r="183" spans="1:9" ht="15" customHeight="1" x14ac:dyDescent="0.2">
      <c r="A183" s="90" t="s">
        <v>21805</v>
      </c>
      <c r="B183" s="91"/>
      <c r="C183" s="92"/>
      <c r="D183" s="93" t="s">
        <v>21574</v>
      </c>
      <c r="E183" s="94"/>
      <c r="F183" s="95"/>
      <c r="G183" s="96" t="str">
        <f>IF($B183="","",VLOOKUP($C183,'[1]BOLETIM 161'!$A$7:$F$4000,6,0))</f>
        <v/>
      </c>
      <c r="H183" s="97"/>
      <c r="I183" s="98">
        <f>SUBTOTAL(9,I184:I195)</f>
        <v>50269.24</v>
      </c>
    </row>
    <row r="184" spans="1:9" x14ac:dyDescent="0.2">
      <c r="A184" s="44" t="s">
        <v>21806</v>
      </c>
      <c r="B184" s="37" t="s">
        <v>97</v>
      </c>
      <c r="C184" s="46" t="s">
        <v>13690</v>
      </c>
      <c r="D184" s="38" t="str">
        <f>IF($B184="","",VLOOKUP($C184,'200 DESONERADO'!$A$3:$G$4201,2,0))</f>
        <v>Estaca escavada mecanicamente, diâmetro de 30 cm até 30 t</v>
      </c>
      <c r="E184" s="39" t="str">
        <f>IF($B184="","",VLOOKUP($C184,'200 ONERADO'!$A$3:$G$4201,3,0))</f>
        <v>m</v>
      </c>
      <c r="F184" s="154">
        <f>'GARAGEM F.'!M10</f>
        <v>18</v>
      </c>
      <c r="G184" s="41">
        <f>IF($B184="","",VLOOKUP($C184,'200 DESONERADO'!$A$3:$H$4201,6,0))</f>
        <v>80.739999999999995</v>
      </c>
      <c r="H184" s="42">
        <f t="shared" ref="H184:H195" si="41">ROUND(G184*(1+$I$5),2)</f>
        <v>101.74</v>
      </c>
      <c r="I184" s="43">
        <f t="shared" ref="I184:I195" si="42">IF($B184="","",ROUND(F184*H184,2))</f>
        <v>1831.32</v>
      </c>
    </row>
    <row r="185" spans="1:9" x14ac:dyDescent="0.2">
      <c r="A185" s="44" t="s">
        <v>21809</v>
      </c>
      <c r="B185" s="37" t="s">
        <v>97</v>
      </c>
      <c r="C185" s="46" t="s">
        <v>13641</v>
      </c>
      <c r="D185" s="38" t="str">
        <f>IF($B185="","",VLOOKUP($C185,'200 DESONERADO'!$A$3:$G$4201,2,0))</f>
        <v>Lastro de pedra britada</v>
      </c>
      <c r="E185" s="39" t="str">
        <f>IF($B185="","",VLOOKUP($C185,'200 ONERADO'!$A$3:$G$4201,3,0))</f>
        <v>m³</v>
      </c>
      <c r="F185" s="154">
        <f>'GARAGEM F.'!G10</f>
        <v>6.0000000000000005E-2</v>
      </c>
      <c r="G185" s="41">
        <f>IF($B185="","",VLOOKUP($C185,'200 DESONERADO'!$A$3:$H$4201,6,0))</f>
        <v>215.62</v>
      </c>
      <c r="H185" s="42">
        <f t="shared" si="41"/>
        <v>271.7</v>
      </c>
      <c r="I185" s="43">
        <f t="shared" si="42"/>
        <v>16.3</v>
      </c>
    </row>
    <row r="186" spans="1:9" x14ac:dyDescent="0.2">
      <c r="A186" s="44" t="s">
        <v>21810</v>
      </c>
      <c r="B186" s="37" t="s">
        <v>97</v>
      </c>
      <c r="C186" s="46" t="s">
        <v>13506</v>
      </c>
      <c r="D186" s="38" t="str">
        <f>IF($B186="","",VLOOKUP($C186,'200 DESONERADO'!$A$3:$G$4201,2,0))</f>
        <v>Forma em madeira comum para fundação</v>
      </c>
      <c r="E186" s="39" t="str">
        <f>IF($B186="","",VLOOKUP($C186,'200 ONERADO'!$A$3:$G$4201,3,0))</f>
        <v>m²</v>
      </c>
      <c r="F186" s="154">
        <f>'GARAGEM F.'!F10</f>
        <v>6</v>
      </c>
      <c r="G186" s="41">
        <f>IF($B186="","",VLOOKUP($C186,'200 DESONERADO'!$A$3:$H$4201,6,0))</f>
        <v>103.51</v>
      </c>
      <c r="H186" s="42">
        <f t="shared" si="41"/>
        <v>130.43</v>
      </c>
      <c r="I186" s="43">
        <f t="shared" si="42"/>
        <v>782.58</v>
      </c>
    </row>
    <row r="187" spans="1:9" x14ac:dyDescent="0.2">
      <c r="A187" s="44" t="s">
        <v>21811</v>
      </c>
      <c r="B187" s="37" t="s">
        <v>97</v>
      </c>
      <c r="C187" s="46" t="s">
        <v>12353</v>
      </c>
      <c r="D187" s="38" t="str">
        <f>IF($B187="","",VLOOKUP($C187,'200 DESONERADO'!$A$3:$G$4201,2,0))</f>
        <v>Concreto usinado, fck = 30 MPa</v>
      </c>
      <c r="E187" s="39" t="str">
        <f>IF($B187="","",VLOOKUP($C187,'200 ONERADO'!$A$3:$G$4201,3,0))</f>
        <v>m³</v>
      </c>
      <c r="F187" s="154">
        <f>'GARAGEM F.'!H10</f>
        <v>0.78</v>
      </c>
      <c r="G187" s="41">
        <f>IF($B187="","",VLOOKUP($C187,'200 DESONERADO'!$A$3:$H$4201,6,0))</f>
        <v>544.1</v>
      </c>
      <c r="H187" s="42">
        <f t="shared" si="41"/>
        <v>685.62</v>
      </c>
      <c r="I187" s="43">
        <f t="shared" si="42"/>
        <v>534.78</v>
      </c>
    </row>
    <row r="188" spans="1:9" x14ac:dyDescent="0.2">
      <c r="A188" s="44" t="s">
        <v>21812</v>
      </c>
      <c r="B188" s="37" t="s">
        <v>97</v>
      </c>
      <c r="C188" s="46" t="s">
        <v>13629</v>
      </c>
      <c r="D188" s="38" t="str">
        <f>IF($B188="","",VLOOKUP($C188,'200 DESONERADO'!$A$3:$G$4201,2,0))</f>
        <v>Lançamento e adensamento de concreto ou massa em fundação</v>
      </c>
      <c r="E188" s="39" t="str">
        <f>IF($B188="","",VLOOKUP($C188,'200 ONERADO'!$A$3:$G$4201,3,0))</f>
        <v>m³</v>
      </c>
      <c r="F188" s="154">
        <f>F187</f>
        <v>0.78</v>
      </c>
      <c r="G188" s="41">
        <f>IF($B188="","",VLOOKUP($C188,'200 DESONERADO'!$A$3:$H$4201,6,0))</f>
        <v>172.38</v>
      </c>
      <c r="H188" s="42">
        <f t="shared" si="41"/>
        <v>217.22</v>
      </c>
      <c r="I188" s="43">
        <f t="shared" si="42"/>
        <v>169.43</v>
      </c>
    </row>
    <row r="189" spans="1:9" x14ac:dyDescent="0.2">
      <c r="A189" s="44" t="s">
        <v>21813</v>
      </c>
      <c r="B189" s="37" t="s">
        <v>97</v>
      </c>
      <c r="C189" s="46" t="s">
        <v>13558</v>
      </c>
      <c r="D189" s="38" t="str">
        <f>IF($B189="","",VLOOKUP($C189,'200 DESONERADO'!$A$3:$G$4201,2,0))</f>
        <v>Armadura em barra de aço CA-50 (A ou B) fyk = 500 MPa</v>
      </c>
      <c r="E189" s="39" t="str">
        <f>IF($B189="","",VLOOKUP($C189,'200 ONERADO'!$A$3:$G$4201,3,0))</f>
        <v>kg</v>
      </c>
      <c r="F189" s="154">
        <f>'GARAGEM F.'!J10</f>
        <v>62.4</v>
      </c>
      <c r="G189" s="41">
        <f>IF($B189="","",VLOOKUP($C189,'200 DESONERADO'!$A$3:$H$4201,6,0))</f>
        <v>9.84</v>
      </c>
      <c r="H189" s="42">
        <f t="shared" si="41"/>
        <v>12.4</v>
      </c>
      <c r="I189" s="43">
        <f t="shared" si="42"/>
        <v>773.76</v>
      </c>
    </row>
    <row r="190" spans="1:9" x14ac:dyDescent="0.2">
      <c r="A190" s="44" t="s">
        <v>21814</v>
      </c>
      <c r="B190" s="37" t="s">
        <v>97</v>
      </c>
      <c r="C190" s="46" t="s">
        <v>13508</v>
      </c>
      <c r="D190" s="38" t="str">
        <f>IF($B190="","",VLOOKUP($C190,'200 DESONERADO'!$A$3:$G$4201,2,0))</f>
        <v>Forma em madeira comum para estrutura</v>
      </c>
      <c r="E190" s="39" t="str">
        <f>IF($B190="","",VLOOKUP($C190,'200 ONERADO'!$A$3:$G$4201,3,0))</f>
        <v>m²</v>
      </c>
      <c r="F190" s="154">
        <f>'GARAGEM F.'!V10</f>
        <v>23.520000000000003</v>
      </c>
      <c r="G190" s="41">
        <f>IF($B190="","",VLOOKUP($C190,'200 DESONERADO'!$A$3:$H$4201,6,0))</f>
        <v>245.32</v>
      </c>
      <c r="H190" s="42">
        <f t="shared" si="41"/>
        <v>309.13</v>
      </c>
      <c r="I190" s="43">
        <f t="shared" si="42"/>
        <v>7270.74</v>
      </c>
    </row>
    <row r="191" spans="1:9" x14ac:dyDescent="0.2">
      <c r="A191" s="44" t="s">
        <v>21815</v>
      </c>
      <c r="B191" s="37" t="s">
        <v>97</v>
      </c>
      <c r="C191" s="46" t="s">
        <v>12353</v>
      </c>
      <c r="D191" s="38" t="str">
        <f>IF($B191="","",VLOOKUP($C191,'200 DESONERADO'!$A$3:$G$4201,2,0))</f>
        <v>Concreto usinado, fck = 30 MPa</v>
      </c>
      <c r="E191" s="39" t="str">
        <f>IF($B191="","",VLOOKUP($C191,'200 ONERADO'!$A$3:$G$4201,3,0))</f>
        <v>m³</v>
      </c>
      <c r="F191" s="154">
        <f>'GARAGEM F.'!W10</f>
        <v>1.6800000000000002</v>
      </c>
      <c r="G191" s="41">
        <f>IF($B191="","",VLOOKUP($C191,'200 DESONERADO'!$A$3:$H$4201,6,0))</f>
        <v>544.1</v>
      </c>
      <c r="H191" s="42">
        <f t="shared" si="41"/>
        <v>685.62</v>
      </c>
      <c r="I191" s="43">
        <f t="shared" si="42"/>
        <v>1151.8399999999999</v>
      </c>
    </row>
    <row r="192" spans="1:9" x14ac:dyDescent="0.2">
      <c r="A192" s="44" t="s">
        <v>21823</v>
      </c>
      <c r="B192" s="37" t="s">
        <v>97</v>
      </c>
      <c r="C192" s="46" t="s">
        <v>13631</v>
      </c>
      <c r="D192" s="38" t="str">
        <f>IF($B192="","",VLOOKUP($C192,'200 DESONERADO'!$A$3:$G$4201,2,0))</f>
        <v>Lançamento e adensamento de concreto ou massa em estrutura</v>
      </c>
      <c r="E192" s="39" t="str">
        <f>IF($B192="","",VLOOKUP($C192,'200 ONERADO'!$A$3:$G$4201,3,0))</f>
        <v>m³</v>
      </c>
      <c r="F192" s="154">
        <f>F191</f>
        <v>1.6800000000000002</v>
      </c>
      <c r="G192" s="41">
        <f>IF($B192="","",VLOOKUP($C192,'200 DESONERADO'!$A$3:$H$4201,6,0))</f>
        <v>119.07</v>
      </c>
      <c r="H192" s="42">
        <f t="shared" si="41"/>
        <v>150.04</v>
      </c>
      <c r="I192" s="43">
        <f t="shared" si="42"/>
        <v>252.07</v>
      </c>
    </row>
    <row r="193" spans="1:9" x14ac:dyDescent="0.2">
      <c r="A193" s="44" t="s">
        <v>14241</v>
      </c>
      <c r="B193" s="37" t="s">
        <v>97</v>
      </c>
      <c r="C193" s="46" t="s">
        <v>13558</v>
      </c>
      <c r="D193" s="38" t="str">
        <f>IF($B193="","",VLOOKUP($C193,'200 DESONERADO'!$A$3:$G$4201,2,0))</f>
        <v>Armadura em barra de aço CA-50 (A ou B) fyk = 500 MPa</v>
      </c>
      <c r="E193" s="39" t="str">
        <f>IF($B193="","",VLOOKUP($C193,'200 ONERADO'!$A$3:$G$4201,3,0))</f>
        <v>kg</v>
      </c>
      <c r="F193" s="154">
        <f>'GARAGEM F.'!Y10</f>
        <v>126</v>
      </c>
      <c r="G193" s="41">
        <f>IF($B193="","",VLOOKUP($C193,'200 DESONERADO'!$A$3:$H$4201,6,0))</f>
        <v>9.84</v>
      </c>
      <c r="H193" s="42">
        <f t="shared" si="41"/>
        <v>12.4</v>
      </c>
      <c r="I193" s="43">
        <f t="shared" si="42"/>
        <v>1562.4</v>
      </c>
    </row>
    <row r="194" spans="1:9" x14ac:dyDescent="0.2">
      <c r="A194" s="44" t="s">
        <v>21824</v>
      </c>
      <c r="B194" s="37" t="s">
        <v>97</v>
      </c>
      <c r="C194" s="46" t="s">
        <v>14012</v>
      </c>
      <c r="D194" s="38" t="str">
        <f>IF($B194="","",VLOOKUP($C194,'200 DESONERADO'!$A$3:$G$4201,2,0))</f>
        <v>Fornecimento e montagem de estrutura em aço ASTM-A36, sem pintura</v>
      </c>
      <c r="E194" s="39" t="str">
        <f>IF($B194="","",VLOOKUP($C194,'200 ONERADO'!$A$3:$G$4201,3,0))</f>
        <v>kg</v>
      </c>
      <c r="F194" s="154">
        <f>ROUND(10*67.52,2)</f>
        <v>675.2</v>
      </c>
      <c r="G194" s="41">
        <f>IF($B194="","",VLOOKUP($C194,'200 DESONERADO'!$A$3:$H$4201,6,0))</f>
        <v>28.72</v>
      </c>
      <c r="H194" s="42">
        <f t="shared" si="41"/>
        <v>36.19</v>
      </c>
      <c r="I194" s="43">
        <f t="shared" si="42"/>
        <v>24435.49</v>
      </c>
    </row>
    <row r="195" spans="1:9" ht="25.5" x14ac:dyDescent="0.2">
      <c r="A195" s="44" t="s">
        <v>14255</v>
      </c>
      <c r="B195" s="37" t="s">
        <v>97</v>
      </c>
      <c r="C195" s="46" t="s">
        <v>14105</v>
      </c>
      <c r="D195" s="38" t="str">
        <f>IF($B195="","",VLOOKUP($C195,'200 DESONERADO'!$A$3:$G$4201,2,0))</f>
        <v>Telhamento em chapa de aço galvanizado autoportante, perfil trapezoidal, com espessura de 0,80mm e altura de 120mm</v>
      </c>
      <c r="E195" s="39" t="str">
        <f>IF($B195="","",VLOOKUP($C195,'200 ONERADO'!$A$3:$G$4201,3,0))</f>
        <v>m²</v>
      </c>
      <c r="F195" s="154">
        <v>67.52</v>
      </c>
      <c r="G195" s="41">
        <f>IF($B195="","",VLOOKUP($C195,'200 DESONERADO'!$A$3:$H$4201,6,0))</f>
        <v>135.03</v>
      </c>
      <c r="H195" s="42">
        <f t="shared" si="41"/>
        <v>170.15</v>
      </c>
      <c r="I195" s="43">
        <f t="shared" si="42"/>
        <v>11488.53</v>
      </c>
    </row>
    <row r="196" spans="1:9" x14ac:dyDescent="0.2">
      <c r="A196" s="90" t="s">
        <v>21827</v>
      </c>
      <c r="B196" s="91"/>
      <c r="C196" s="92"/>
      <c r="D196" s="93" t="s">
        <v>20577</v>
      </c>
      <c r="E196" s="94"/>
      <c r="F196" s="95"/>
      <c r="G196" s="96" t="str">
        <f>IF($B196="","",VLOOKUP($C196,'[1]BOLETIM 161'!$A$7:$F$4000,6,0))</f>
        <v/>
      </c>
      <c r="H196" s="97"/>
      <c r="I196" s="98">
        <f>SUBTOTAL(9,I197:I201)</f>
        <v>10488.65</v>
      </c>
    </row>
    <row r="197" spans="1:9" ht="25.5" x14ac:dyDescent="0.2">
      <c r="A197" s="44" t="s">
        <v>21828</v>
      </c>
      <c r="B197" s="37" t="s">
        <v>97</v>
      </c>
      <c r="C197" s="46" t="s">
        <v>13840</v>
      </c>
      <c r="D197" s="38" t="str">
        <f>IF($B197="","",VLOOKUP($C197,'200 DESONERADO'!$A$3:$G$4201,2,0))</f>
        <v>Alvenaria de embasamento em bloco de concreto de 14 x 19 x 39 cm - classe A</v>
      </c>
      <c r="E197" s="39" t="str">
        <f>IF($B197="","",VLOOKUP($C197,'200 ONERADO'!$A$3:$G$4201,3,0))</f>
        <v>m²</v>
      </c>
      <c r="F197" s="154">
        <f>'GARAGEM F.'!AD9</f>
        <v>4.7900000000000009</v>
      </c>
      <c r="G197" s="41">
        <f>IF($B197="","",VLOOKUP($C197,'200 DESONERADO'!$A$3:$H$4201,6,0))</f>
        <v>112.96</v>
      </c>
      <c r="H197" s="42">
        <f>ROUND(G197*(1+$I$5),2)</f>
        <v>142.34</v>
      </c>
      <c r="I197" s="43">
        <f>IF($B197="","",ROUND(F197*H197,2))</f>
        <v>681.81</v>
      </c>
    </row>
    <row r="198" spans="1:9" x14ac:dyDescent="0.2">
      <c r="A198" s="44" t="s">
        <v>21829</v>
      </c>
      <c r="B198" s="37" t="s">
        <v>97</v>
      </c>
      <c r="C198" s="46" t="s">
        <v>14182</v>
      </c>
      <c r="D198" s="38" t="str">
        <f>IF($B198="","",VLOOKUP($C198,'200 DESONERADO'!$A$3:$G$4201,2,0))</f>
        <v>Chapisco</v>
      </c>
      <c r="E198" s="39" t="str">
        <f>IF($B198="","",VLOOKUP($C198,'200 ONERADO'!$A$3:$G$4201,3,0))</f>
        <v>m²</v>
      </c>
      <c r="F198" s="154">
        <f>ROUND(F197*2,2)</f>
        <v>9.58</v>
      </c>
      <c r="G198" s="41">
        <f>IF($B198="","",VLOOKUP($C198,'200 DESONERADO'!$A$3:$H$4201,6,0))</f>
        <v>7.21</v>
      </c>
      <c r="H198" s="42">
        <f>ROUND(G198*(1+$I$5),2)</f>
        <v>9.09</v>
      </c>
      <c r="I198" s="43">
        <f>IF($B198="","",ROUND(F198*H198,2))</f>
        <v>87.08</v>
      </c>
    </row>
    <row r="199" spans="1:9" x14ac:dyDescent="0.2">
      <c r="A199" s="44" t="s">
        <v>21830</v>
      </c>
      <c r="B199" s="37" t="s">
        <v>97</v>
      </c>
      <c r="C199" s="46" t="s">
        <v>14193</v>
      </c>
      <c r="D199" s="38" t="str">
        <f>IF($B199="","",VLOOKUP($C199,'200 DESONERADO'!$A$3:$G$4201,2,0))</f>
        <v>Emboço desempenado com espuma de poliéster</v>
      </c>
      <c r="E199" s="39" t="str">
        <f>IF($B199="","",VLOOKUP($C199,'200 ONERADO'!$A$3:$G$4201,3,0))</f>
        <v>m²</v>
      </c>
      <c r="F199" s="154">
        <f>F198</f>
        <v>9.58</v>
      </c>
      <c r="G199" s="41">
        <f>IF($B199="","",VLOOKUP($C199,'200 DESONERADO'!$A$3:$H$4201,6,0))</f>
        <v>28.21</v>
      </c>
      <c r="H199" s="42">
        <f t="shared" ref="H199:H201" si="43">ROUND(G199*(1+$I$5),2)</f>
        <v>35.549999999999997</v>
      </c>
      <c r="I199" s="43">
        <f t="shared" ref="I199:I201" si="44">IF($B199="","",ROUND(F199*H199,2))</f>
        <v>340.57</v>
      </c>
    </row>
    <row r="200" spans="1:9" x14ac:dyDescent="0.2">
      <c r="A200" s="44" t="s">
        <v>21831</v>
      </c>
      <c r="B200" s="37" t="s">
        <v>20424</v>
      </c>
      <c r="C200" s="46" t="s">
        <v>21844</v>
      </c>
      <c r="D200" s="38" t="s">
        <v>21845</v>
      </c>
      <c r="E200" s="39" t="s">
        <v>20358</v>
      </c>
      <c r="F200" s="154">
        <f>'GARAGEM F.'!AB19</f>
        <v>25.77</v>
      </c>
      <c r="G200" s="41">
        <v>54.61</v>
      </c>
      <c r="H200" s="42">
        <f t="shared" si="43"/>
        <v>68.81</v>
      </c>
      <c r="I200" s="43">
        <f t="shared" si="44"/>
        <v>1773.23</v>
      </c>
    </row>
    <row r="201" spans="1:9" ht="13.5" thickBot="1" x14ac:dyDescent="0.25">
      <c r="A201" s="44" t="s">
        <v>21832</v>
      </c>
      <c r="B201" s="37" t="s">
        <v>97</v>
      </c>
      <c r="C201" s="46" t="s">
        <v>19394</v>
      </c>
      <c r="D201" s="38" t="str">
        <f>IF($B201="","",VLOOKUP($C201,'200 DESONERADO'!$A$3:$G$4201,2,0))</f>
        <v>Limpeza final da obra</v>
      </c>
      <c r="E201" s="39" t="str">
        <f>IF($B201="","",VLOOKUP($C201,'200 ONERADO'!$A$3:$G$4201,3,0))</f>
        <v>m²</v>
      </c>
      <c r="F201" s="154">
        <f>218.95+47.28+67.52+88.1</f>
        <v>421.85</v>
      </c>
      <c r="G201" s="41">
        <f>IF($B201="","",VLOOKUP($C201,'200 DESONERADO'!$A$3:$H$4201,6,0))</f>
        <v>14.31</v>
      </c>
      <c r="H201" s="42">
        <f t="shared" si="43"/>
        <v>18.03</v>
      </c>
      <c r="I201" s="43">
        <f t="shared" si="44"/>
        <v>7605.96</v>
      </c>
    </row>
    <row r="202" spans="1:9" ht="15.75" thickBot="1" x14ac:dyDescent="0.3">
      <c r="A202" s="708"/>
      <c r="B202" s="709"/>
      <c r="C202" s="710" t="s">
        <v>9</v>
      </c>
      <c r="D202" s="710"/>
      <c r="E202" s="710"/>
      <c r="F202" s="710"/>
      <c r="G202" s="710"/>
      <c r="H202" s="710"/>
      <c r="I202" s="455">
        <f>SUBTOTAL(9,I8:I201)</f>
        <v>1625927.28</v>
      </c>
    </row>
  </sheetData>
  <mergeCells count="8">
    <mergeCell ref="A202:B202"/>
    <mergeCell ref="C202:H202"/>
    <mergeCell ref="A1:C5"/>
    <mergeCell ref="D1:I1"/>
    <mergeCell ref="D2:I2"/>
    <mergeCell ref="D3:I3"/>
    <mergeCell ref="D4:H4"/>
    <mergeCell ref="D5:H5"/>
  </mergeCells>
  <phoneticPr fontId="4" type="noConversion"/>
  <pageMargins left="0.511811024" right="0.511811024" top="0.78740157499999996" bottom="0.78740157499999996" header="0.31496062000000002" footer="0.31496062000000002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-0.499984740745262"/>
  </sheetPr>
  <dimension ref="A1:H4095"/>
  <sheetViews>
    <sheetView topLeftCell="A3722" zoomScale="115" zoomScaleNormal="115" workbookViewId="0">
      <selection activeCell="C3737" sqref="C3737"/>
    </sheetView>
  </sheetViews>
  <sheetFormatPr defaultRowHeight="12.75" x14ac:dyDescent="0.2"/>
  <cols>
    <col min="1" max="1" width="11.7109375" bestFit="1" customWidth="1"/>
    <col min="2" max="2" width="57.85546875" customWidth="1"/>
    <col min="3" max="3" width="8.85546875" customWidth="1"/>
    <col min="4" max="4" width="9.85546875" bestFit="1" customWidth="1"/>
    <col min="5" max="6" width="12.7109375" customWidth="1"/>
    <col min="7" max="7" width="0.140625" customWidth="1"/>
    <col min="8" max="8" width="9.28515625"/>
    <col min="9" max="9" width="27.42578125" customWidth="1"/>
  </cols>
  <sheetData>
    <row r="1" spans="1:8" ht="16.5" x14ac:dyDescent="0.2">
      <c r="A1" s="608"/>
      <c r="B1" s="672" t="s">
        <v>101</v>
      </c>
      <c r="C1" s="672"/>
      <c r="D1" s="672"/>
      <c r="E1" s="672"/>
      <c r="F1" s="672"/>
      <c r="G1" s="584"/>
      <c r="H1" s="584"/>
    </row>
    <row r="2" spans="1:8" ht="16.5" x14ac:dyDescent="0.2">
      <c r="A2" s="672" t="s">
        <v>102</v>
      </c>
      <c r="B2" s="672"/>
      <c r="C2" s="672"/>
      <c r="D2" s="672"/>
      <c r="E2" s="672"/>
      <c r="F2" s="672"/>
      <c r="G2" s="584"/>
      <c r="H2" s="584"/>
    </row>
    <row r="3" spans="1:8" ht="15" x14ac:dyDescent="0.2">
      <c r="A3" s="673" t="s">
        <v>96</v>
      </c>
      <c r="B3" s="673"/>
      <c r="C3" s="673"/>
      <c r="D3" s="673"/>
      <c r="E3" s="673"/>
      <c r="F3" s="673"/>
      <c r="G3" s="584"/>
      <c r="H3" s="584"/>
    </row>
    <row r="4" spans="1:8" ht="15.75" x14ac:dyDescent="0.2">
      <c r="A4" s="674" t="s">
        <v>103</v>
      </c>
      <c r="B4" s="674"/>
      <c r="C4" s="674"/>
      <c r="D4" s="674"/>
      <c r="E4" s="674"/>
      <c r="F4" s="674"/>
      <c r="G4" s="584"/>
      <c r="H4" s="584"/>
    </row>
    <row r="5" spans="1:8" ht="15" x14ac:dyDescent="0.25">
      <c r="A5" s="585"/>
      <c r="B5" s="582"/>
      <c r="C5" s="582"/>
      <c r="D5" s="586"/>
      <c r="E5" s="587"/>
      <c r="F5" s="588" t="s">
        <v>21961</v>
      </c>
      <c r="G5" s="584"/>
      <c r="H5" s="584"/>
    </row>
    <row r="6" spans="1:8" ht="15" x14ac:dyDescent="0.2">
      <c r="A6" s="585"/>
      <c r="B6" s="589"/>
      <c r="C6" s="590"/>
      <c r="D6" s="586"/>
      <c r="E6" s="591" t="s">
        <v>20119</v>
      </c>
      <c r="F6" s="592" t="s">
        <v>21962</v>
      </c>
      <c r="G6" s="584"/>
      <c r="H6" s="584"/>
    </row>
    <row r="7" spans="1:8" ht="15" x14ac:dyDescent="0.2">
      <c r="A7" s="585"/>
      <c r="B7" s="589"/>
      <c r="C7" s="593" t="s">
        <v>104</v>
      </c>
      <c r="D7" s="594">
        <v>0</v>
      </c>
      <c r="E7" s="595" t="s">
        <v>105</v>
      </c>
      <c r="F7" s="594">
        <v>1.2823</v>
      </c>
      <c r="G7" s="584"/>
      <c r="H7" s="584"/>
    </row>
    <row r="8" spans="1:8" ht="15" x14ac:dyDescent="0.2">
      <c r="A8" s="596" t="s">
        <v>23</v>
      </c>
      <c r="B8" s="597" t="s">
        <v>24</v>
      </c>
      <c r="C8" s="598" t="s">
        <v>12368</v>
      </c>
      <c r="D8" s="599" t="s">
        <v>25</v>
      </c>
      <c r="E8" s="599" t="s">
        <v>26</v>
      </c>
      <c r="F8" s="599" t="s">
        <v>27</v>
      </c>
      <c r="G8" s="600"/>
      <c r="H8" s="600"/>
    </row>
    <row r="9" spans="1:8" ht="15" x14ac:dyDescent="0.25">
      <c r="A9" s="601" t="s">
        <v>12369</v>
      </c>
      <c r="B9" s="602" t="s">
        <v>12370</v>
      </c>
      <c r="C9" s="603"/>
      <c r="D9" s="604"/>
      <c r="E9" s="604"/>
      <c r="F9" s="604"/>
      <c r="G9" s="582"/>
      <c r="H9" s="582"/>
    </row>
    <row r="10" spans="1:8" ht="15" x14ac:dyDescent="0.25">
      <c r="A10" s="583" t="s">
        <v>12371</v>
      </c>
      <c r="B10" s="605" t="s">
        <v>12372</v>
      </c>
      <c r="C10" s="606"/>
      <c r="D10" s="607"/>
      <c r="E10" s="607"/>
      <c r="F10" s="607"/>
      <c r="G10" s="582"/>
      <c r="H10" s="582"/>
    </row>
    <row r="11" spans="1:8" ht="45" x14ac:dyDescent="0.25">
      <c r="A11" s="583" t="s">
        <v>12373</v>
      </c>
      <c r="B11" s="605" t="s">
        <v>12374</v>
      </c>
      <c r="C11" s="606" t="s">
        <v>12375</v>
      </c>
      <c r="D11" s="607"/>
      <c r="E11" s="607">
        <v>7204.93</v>
      </c>
      <c r="F11" s="607">
        <v>7204.93</v>
      </c>
      <c r="G11" s="584">
        <v>15</v>
      </c>
      <c r="H11" s="582"/>
    </row>
    <row r="12" spans="1:8" ht="45" x14ac:dyDescent="0.25">
      <c r="A12" s="583" t="s">
        <v>12376</v>
      </c>
      <c r="B12" s="605" t="s">
        <v>12377</v>
      </c>
      <c r="C12" s="606" t="s">
        <v>12375</v>
      </c>
      <c r="D12" s="607"/>
      <c r="E12" s="607">
        <v>9581.15</v>
      </c>
      <c r="F12" s="607">
        <v>9581.15</v>
      </c>
      <c r="G12" s="584">
        <v>15</v>
      </c>
      <c r="H12" s="582"/>
    </row>
    <row r="13" spans="1:8" ht="45" x14ac:dyDescent="0.25">
      <c r="A13" s="583" t="s">
        <v>12378</v>
      </c>
      <c r="B13" s="605" t="s">
        <v>12379</v>
      </c>
      <c r="C13" s="606" t="s">
        <v>12375</v>
      </c>
      <c r="D13" s="607"/>
      <c r="E13" s="607">
        <v>16366.75</v>
      </c>
      <c r="F13" s="607">
        <v>16366.75</v>
      </c>
      <c r="G13" s="584">
        <v>15</v>
      </c>
      <c r="H13" s="582"/>
    </row>
    <row r="14" spans="1:8" ht="45" x14ac:dyDescent="0.25">
      <c r="A14" s="583" t="s">
        <v>12380</v>
      </c>
      <c r="B14" s="605" t="s">
        <v>12381</v>
      </c>
      <c r="C14" s="606" t="s">
        <v>12375</v>
      </c>
      <c r="D14" s="607"/>
      <c r="E14" s="607">
        <v>22440.73</v>
      </c>
      <c r="F14" s="607">
        <v>22440.73</v>
      </c>
      <c r="G14" s="584">
        <v>15</v>
      </c>
      <c r="H14" s="582"/>
    </row>
    <row r="15" spans="1:8" ht="45" x14ac:dyDescent="0.25">
      <c r="A15" s="583" t="s">
        <v>12382</v>
      </c>
      <c r="B15" s="605" t="s">
        <v>12383</v>
      </c>
      <c r="C15" s="606" t="s">
        <v>12375</v>
      </c>
      <c r="D15" s="607"/>
      <c r="E15" s="607">
        <v>26151.21</v>
      </c>
      <c r="F15" s="607">
        <v>26151.21</v>
      </c>
      <c r="G15" s="584">
        <v>15</v>
      </c>
      <c r="H15" s="582"/>
    </row>
    <row r="16" spans="1:8" ht="15" x14ac:dyDescent="0.25">
      <c r="A16" s="583" t="s">
        <v>12384</v>
      </c>
      <c r="B16" s="605" t="s">
        <v>12385</v>
      </c>
      <c r="C16" s="606"/>
      <c r="D16" s="607"/>
      <c r="E16" s="607"/>
      <c r="F16" s="607"/>
      <c r="G16" s="582"/>
      <c r="H16" s="582"/>
    </row>
    <row r="17" spans="1:7" ht="45" x14ac:dyDescent="0.2">
      <c r="A17" s="583" t="s">
        <v>12386</v>
      </c>
      <c r="B17" s="605" t="s">
        <v>12387</v>
      </c>
      <c r="C17" s="606" t="s">
        <v>12375</v>
      </c>
      <c r="D17" s="607"/>
      <c r="E17" s="607">
        <v>9202.36</v>
      </c>
      <c r="F17" s="607">
        <v>9202.36</v>
      </c>
      <c r="G17" s="584">
        <v>15</v>
      </c>
    </row>
    <row r="18" spans="1:7" ht="60" x14ac:dyDescent="0.2">
      <c r="A18" s="583" t="s">
        <v>12388</v>
      </c>
      <c r="B18" s="605" t="s">
        <v>12389</v>
      </c>
      <c r="C18" s="606" t="s">
        <v>12375</v>
      </c>
      <c r="D18" s="607"/>
      <c r="E18" s="607">
        <v>15587.22</v>
      </c>
      <c r="F18" s="607">
        <v>15587.22</v>
      </c>
      <c r="G18" s="584">
        <v>15</v>
      </c>
    </row>
    <row r="19" spans="1:7" ht="45" x14ac:dyDescent="0.2">
      <c r="A19" s="583" t="s">
        <v>12390</v>
      </c>
      <c r="B19" s="605" t="s">
        <v>12391</v>
      </c>
      <c r="C19" s="606" t="s">
        <v>12375</v>
      </c>
      <c r="D19" s="607"/>
      <c r="E19" s="607">
        <v>21092.240000000002</v>
      </c>
      <c r="F19" s="607">
        <v>21092.240000000002</v>
      </c>
      <c r="G19" s="584">
        <v>15</v>
      </c>
    </row>
    <row r="20" spans="1:7" ht="45" x14ac:dyDescent="0.2">
      <c r="A20" s="583" t="s">
        <v>12392</v>
      </c>
      <c r="B20" s="605" t="s">
        <v>12393</v>
      </c>
      <c r="C20" s="606" t="s">
        <v>12375</v>
      </c>
      <c r="D20" s="607"/>
      <c r="E20" s="607">
        <v>28055</v>
      </c>
      <c r="F20" s="607">
        <v>28055</v>
      </c>
      <c r="G20" s="584">
        <v>15</v>
      </c>
    </row>
    <row r="21" spans="1:7" ht="15" x14ac:dyDescent="0.25">
      <c r="A21" s="583" t="s">
        <v>12394</v>
      </c>
      <c r="B21" s="605" t="s">
        <v>12395</v>
      </c>
      <c r="C21" s="606"/>
      <c r="D21" s="607"/>
      <c r="E21" s="607"/>
      <c r="F21" s="607"/>
      <c r="G21" s="582"/>
    </row>
    <row r="22" spans="1:7" ht="15" x14ac:dyDescent="0.2">
      <c r="A22" s="583" t="s">
        <v>12396</v>
      </c>
      <c r="B22" s="605" t="s">
        <v>12397</v>
      </c>
      <c r="C22" s="606" t="s">
        <v>12375</v>
      </c>
      <c r="D22" s="607"/>
      <c r="E22" s="607">
        <v>3624.6</v>
      </c>
      <c r="F22" s="607">
        <v>3624.6</v>
      </c>
      <c r="G22" s="584">
        <v>15</v>
      </c>
    </row>
    <row r="23" spans="1:7" ht="15" x14ac:dyDescent="0.2">
      <c r="A23" s="583" t="s">
        <v>12398</v>
      </c>
      <c r="B23" s="605" t="s">
        <v>12399</v>
      </c>
      <c r="C23" s="606" t="s">
        <v>12375</v>
      </c>
      <c r="D23" s="607"/>
      <c r="E23" s="607">
        <v>4900.1400000000003</v>
      </c>
      <c r="F23" s="607">
        <v>4900.1400000000003</v>
      </c>
      <c r="G23" s="584">
        <v>15</v>
      </c>
    </row>
    <row r="24" spans="1:7" ht="15" x14ac:dyDescent="0.2">
      <c r="A24" s="583" t="s">
        <v>12400</v>
      </c>
      <c r="B24" s="605" t="s">
        <v>12401</v>
      </c>
      <c r="C24" s="606" t="s">
        <v>12375</v>
      </c>
      <c r="D24" s="607"/>
      <c r="E24" s="607">
        <v>2658.26</v>
      </c>
      <c r="F24" s="607">
        <v>2658.26</v>
      </c>
      <c r="G24" s="584">
        <v>15</v>
      </c>
    </row>
    <row r="25" spans="1:7" ht="15" x14ac:dyDescent="0.2">
      <c r="A25" s="583" t="s">
        <v>12402</v>
      </c>
      <c r="B25" s="605" t="s">
        <v>12403</v>
      </c>
      <c r="C25" s="606" t="s">
        <v>12375</v>
      </c>
      <c r="D25" s="607"/>
      <c r="E25" s="607">
        <v>3637.02</v>
      </c>
      <c r="F25" s="607">
        <v>3637.02</v>
      </c>
      <c r="G25" s="584">
        <v>15</v>
      </c>
    </row>
    <row r="26" spans="1:7" ht="15" x14ac:dyDescent="0.2">
      <c r="A26" s="583" t="s">
        <v>12404</v>
      </c>
      <c r="B26" s="605" t="s">
        <v>12405</v>
      </c>
      <c r="C26" s="606" t="s">
        <v>12375</v>
      </c>
      <c r="D26" s="607"/>
      <c r="E26" s="607">
        <v>1141.18</v>
      </c>
      <c r="F26" s="607">
        <v>1141.18</v>
      </c>
      <c r="G26" s="584">
        <v>15</v>
      </c>
    </row>
    <row r="27" spans="1:7" ht="15" x14ac:dyDescent="0.2">
      <c r="A27" s="583" t="s">
        <v>12406</v>
      </c>
      <c r="B27" s="605" t="s">
        <v>12407</v>
      </c>
      <c r="C27" s="606" t="s">
        <v>12375</v>
      </c>
      <c r="D27" s="607"/>
      <c r="E27" s="607">
        <v>1519.09</v>
      </c>
      <c r="F27" s="607">
        <v>1519.09</v>
      </c>
      <c r="G27" s="584">
        <v>15</v>
      </c>
    </row>
    <row r="28" spans="1:7" ht="15" x14ac:dyDescent="0.2">
      <c r="A28" s="583" t="s">
        <v>12408</v>
      </c>
      <c r="B28" s="605" t="s">
        <v>12409</v>
      </c>
      <c r="C28" s="606" t="s">
        <v>12375</v>
      </c>
      <c r="D28" s="607"/>
      <c r="E28" s="607">
        <v>1267.26</v>
      </c>
      <c r="F28" s="607">
        <v>1267.26</v>
      </c>
      <c r="G28" s="584">
        <v>15</v>
      </c>
    </row>
    <row r="29" spans="1:7" ht="15" x14ac:dyDescent="0.2">
      <c r="A29" s="583" t="s">
        <v>12410</v>
      </c>
      <c r="B29" s="605" t="s">
        <v>12411</v>
      </c>
      <c r="C29" s="606" t="s">
        <v>12375</v>
      </c>
      <c r="D29" s="607"/>
      <c r="E29" s="607">
        <v>1757.15</v>
      </c>
      <c r="F29" s="607">
        <v>1757.15</v>
      </c>
      <c r="G29" s="584">
        <v>15</v>
      </c>
    </row>
    <row r="30" spans="1:7" ht="15" x14ac:dyDescent="0.2">
      <c r="A30" s="583" t="s">
        <v>12412</v>
      </c>
      <c r="B30" s="605" t="s">
        <v>12413</v>
      </c>
      <c r="C30" s="606" t="s">
        <v>12375</v>
      </c>
      <c r="D30" s="607"/>
      <c r="E30" s="607">
        <v>2439.23</v>
      </c>
      <c r="F30" s="607">
        <v>2439.23</v>
      </c>
      <c r="G30" s="584">
        <v>15</v>
      </c>
    </row>
    <row r="31" spans="1:7" ht="15" x14ac:dyDescent="0.2">
      <c r="A31" s="583" t="s">
        <v>12414</v>
      </c>
      <c r="B31" s="605" t="s">
        <v>12415</v>
      </c>
      <c r="C31" s="606" t="s">
        <v>12375</v>
      </c>
      <c r="D31" s="607"/>
      <c r="E31" s="607">
        <v>3324.97</v>
      </c>
      <c r="F31" s="607">
        <v>3324.97</v>
      </c>
      <c r="G31" s="584">
        <v>15</v>
      </c>
    </row>
    <row r="32" spans="1:7" ht="15" x14ac:dyDescent="0.2">
      <c r="A32" s="583" t="s">
        <v>12416</v>
      </c>
      <c r="B32" s="605" t="s">
        <v>12417</v>
      </c>
      <c r="C32" s="606" t="s">
        <v>12375</v>
      </c>
      <c r="D32" s="607"/>
      <c r="E32" s="607">
        <v>2105.98</v>
      </c>
      <c r="F32" s="607">
        <v>2105.98</v>
      </c>
      <c r="G32" s="584">
        <v>15</v>
      </c>
    </row>
    <row r="33" spans="1:7" ht="15" x14ac:dyDescent="0.2">
      <c r="A33" s="583" t="s">
        <v>12418</v>
      </c>
      <c r="B33" s="605" t="s">
        <v>12419</v>
      </c>
      <c r="C33" s="606" t="s">
        <v>12375</v>
      </c>
      <c r="D33" s="607"/>
      <c r="E33" s="607">
        <v>2722.06</v>
      </c>
      <c r="F33" s="607">
        <v>2722.06</v>
      </c>
      <c r="G33" s="584">
        <v>15</v>
      </c>
    </row>
    <row r="34" spans="1:7" ht="15" x14ac:dyDescent="0.25">
      <c r="A34" s="583" t="s">
        <v>12420</v>
      </c>
      <c r="B34" s="605" t="s">
        <v>12421</v>
      </c>
      <c r="C34" s="606"/>
      <c r="D34" s="607"/>
      <c r="E34" s="607"/>
      <c r="F34" s="607"/>
      <c r="G34" s="582"/>
    </row>
    <row r="35" spans="1:7" ht="30" x14ac:dyDescent="0.2">
      <c r="A35" s="583" t="s">
        <v>12422</v>
      </c>
      <c r="B35" s="605" t="s">
        <v>12423</v>
      </c>
      <c r="C35" s="606" t="s">
        <v>12424</v>
      </c>
      <c r="D35" s="607">
        <v>1150.83</v>
      </c>
      <c r="E35" s="607"/>
      <c r="F35" s="607">
        <v>1150.83</v>
      </c>
      <c r="G35" s="584">
        <v>15</v>
      </c>
    </row>
    <row r="36" spans="1:7" ht="30" x14ac:dyDescent="0.2">
      <c r="A36" s="583" t="s">
        <v>20120</v>
      </c>
      <c r="B36" s="605" t="s">
        <v>20121</v>
      </c>
      <c r="C36" s="606" t="s">
        <v>12427</v>
      </c>
      <c r="D36" s="607">
        <v>7.0000000000000007E-2</v>
      </c>
      <c r="E36" s="607">
        <v>0.18</v>
      </c>
      <c r="F36" s="607">
        <v>0.25</v>
      </c>
      <c r="G36" s="584">
        <v>15</v>
      </c>
    </row>
    <row r="37" spans="1:7" ht="45" x14ac:dyDescent="0.2">
      <c r="A37" s="583" t="s">
        <v>12425</v>
      </c>
      <c r="B37" s="605" t="s">
        <v>12426</v>
      </c>
      <c r="C37" s="606" t="s">
        <v>12427</v>
      </c>
      <c r="D37" s="607">
        <v>0.41</v>
      </c>
      <c r="E37" s="607">
        <v>0.59</v>
      </c>
      <c r="F37" s="607">
        <v>1</v>
      </c>
      <c r="G37" s="584">
        <v>15</v>
      </c>
    </row>
    <row r="38" spans="1:7" ht="45" x14ac:dyDescent="0.2">
      <c r="A38" s="583" t="s">
        <v>12428</v>
      </c>
      <c r="B38" s="605" t="s">
        <v>12429</v>
      </c>
      <c r="C38" s="606" t="s">
        <v>12427</v>
      </c>
      <c r="D38" s="607">
        <v>0.32</v>
      </c>
      <c r="E38" s="607">
        <v>0.46</v>
      </c>
      <c r="F38" s="607">
        <v>0.78</v>
      </c>
      <c r="G38" s="584">
        <v>15</v>
      </c>
    </row>
    <row r="39" spans="1:7" ht="45" x14ac:dyDescent="0.2">
      <c r="A39" s="583" t="s">
        <v>12430</v>
      </c>
      <c r="B39" s="605" t="s">
        <v>12431</v>
      </c>
      <c r="C39" s="606" t="s">
        <v>12427</v>
      </c>
      <c r="D39" s="607">
        <v>0.27</v>
      </c>
      <c r="E39" s="607">
        <v>0.37</v>
      </c>
      <c r="F39" s="607">
        <v>0.64</v>
      </c>
      <c r="G39" s="584">
        <v>15</v>
      </c>
    </row>
    <row r="40" spans="1:7" ht="30" x14ac:dyDescent="0.2">
      <c r="A40" s="583" t="s">
        <v>12432</v>
      </c>
      <c r="B40" s="605" t="s">
        <v>12433</v>
      </c>
      <c r="C40" s="606" t="s">
        <v>12427</v>
      </c>
      <c r="D40" s="607">
        <v>0.37</v>
      </c>
      <c r="E40" s="607">
        <v>0.51</v>
      </c>
      <c r="F40" s="607">
        <v>0.88</v>
      </c>
      <c r="G40" s="584">
        <v>15</v>
      </c>
    </row>
    <row r="41" spans="1:7" ht="30" x14ac:dyDescent="0.2">
      <c r="A41" s="583" t="s">
        <v>12434</v>
      </c>
      <c r="B41" s="605" t="s">
        <v>12435</v>
      </c>
      <c r="C41" s="606" t="s">
        <v>12427</v>
      </c>
      <c r="D41" s="607">
        <v>0.17</v>
      </c>
      <c r="E41" s="607">
        <v>0.56999999999999995</v>
      </c>
      <c r="F41" s="607">
        <v>0.74</v>
      </c>
      <c r="G41" s="584">
        <v>15</v>
      </c>
    </row>
    <row r="42" spans="1:7" ht="30" x14ac:dyDescent="0.2">
      <c r="A42" s="583" t="s">
        <v>12436</v>
      </c>
      <c r="B42" s="605" t="s">
        <v>12437</v>
      </c>
      <c r="C42" s="606" t="s">
        <v>12427</v>
      </c>
      <c r="D42" s="607">
        <v>0.23</v>
      </c>
      <c r="E42" s="607">
        <v>0.32</v>
      </c>
      <c r="F42" s="607">
        <v>0.55000000000000004</v>
      </c>
      <c r="G42" s="584">
        <v>15</v>
      </c>
    </row>
    <row r="43" spans="1:7" ht="30" x14ac:dyDescent="0.2">
      <c r="A43" s="583" t="s">
        <v>12438</v>
      </c>
      <c r="B43" s="605" t="s">
        <v>12439</v>
      </c>
      <c r="C43" s="606" t="s">
        <v>12427</v>
      </c>
      <c r="D43" s="607">
        <v>0.32</v>
      </c>
      <c r="E43" s="607">
        <v>0.46</v>
      </c>
      <c r="F43" s="607">
        <v>0.78</v>
      </c>
      <c r="G43" s="584">
        <v>15</v>
      </c>
    </row>
    <row r="44" spans="1:7" ht="30" x14ac:dyDescent="0.2">
      <c r="A44" s="583" t="s">
        <v>12440</v>
      </c>
      <c r="B44" s="605" t="s">
        <v>12441</v>
      </c>
      <c r="C44" s="606" t="s">
        <v>12427</v>
      </c>
      <c r="D44" s="607">
        <v>0.28000000000000003</v>
      </c>
      <c r="E44" s="607">
        <v>0.4</v>
      </c>
      <c r="F44" s="607">
        <v>0.68</v>
      </c>
      <c r="G44" s="584">
        <v>15</v>
      </c>
    </row>
    <row r="45" spans="1:7" ht="30" x14ac:dyDescent="0.2">
      <c r="A45" s="583" t="s">
        <v>12442</v>
      </c>
      <c r="B45" s="605" t="s">
        <v>12443</v>
      </c>
      <c r="C45" s="606" t="s">
        <v>12427</v>
      </c>
      <c r="D45" s="607">
        <v>0.27</v>
      </c>
      <c r="E45" s="607">
        <v>0.38</v>
      </c>
      <c r="F45" s="607">
        <v>0.65</v>
      </c>
      <c r="G45" s="584">
        <v>15</v>
      </c>
    </row>
    <row r="46" spans="1:7" ht="45" x14ac:dyDescent="0.2">
      <c r="A46" s="583" t="s">
        <v>12444</v>
      </c>
      <c r="B46" s="605" t="s">
        <v>12445</v>
      </c>
      <c r="C46" s="606" t="s">
        <v>12427</v>
      </c>
      <c r="D46" s="607">
        <v>0.45</v>
      </c>
      <c r="E46" s="607">
        <v>0.63</v>
      </c>
      <c r="F46" s="607">
        <v>1.08</v>
      </c>
      <c r="G46" s="584">
        <v>15</v>
      </c>
    </row>
    <row r="47" spans="1:7" ht="45" x14ac:dyDescent="0.2">
      <c r="A47" s="583" t="s">
        <v>12446</v>
      </c>
      <c r="B47" s="605" t="s">
        <v>12447</v>
      </c>
      <c r="C47" s="606" t="s">
        <v>12427</v>
      </c>
      <c r="D47" s="607">
        <v>0.36</v>
      </c>
      <c r="E47" s="607">
        <v>0.5</v>
      </c>
      <c r="F47" s="607">
        <v>0.86</v>
      </c>
      <c r="G47" s="584">
        <v>15</v>
      </c>
    </row>
    <row r="48" spans="1:7" ht="45" x14ac:dyDescent="0.2">
      <c r="A48" s="583" t="s">
        <v>12448</v>
      </c>
      <c r="B48" s="605" t="s">
        <v>12449</v>
      </c>
      <c r="C48" s="606" t="s">
        <v>12427</v>
      </c>
      <c r="D48" s="607">
        <v>0.28000000000000003</v>
      </c>
      <c r="E48" s="607">
        <v>0.4</v>
      </c>
      <c r="F48" s="607">
        <v>0.68</v>
      </c>
      <c r="G48" s="584">
        <v>15</v>
      </c>
    </row>
    <row r="49" spans="1:7" ht="30" x14ac:dyDescent="0.2">
      <c r="A49" s="583" t="s">
        <v>12450</v>
      </c>
      <c r="B49" s="605" t="s">
        <v>12451</v>
      </c>
      <c r="C49" s="606" t="s">
        <v>12427</v>
      </c>
      <c r="D49" s="607">
        <v>0.37</v>
      </c>
      <c r="E49" s="607">
        <v>0.53</v>
      </c>
      <c r="F49" s="607">
        <v>0.9</v>
      </c>
      <c r="G49" s="584">
        <v>15</v>
      </c>
    </row>
    <row r="50" spans="1:7" ht="30" x14ac:dyDescent="0.2">
      <c r="A50" s="583" t="s">
        <v>12452</v>
      </c>
      <c r="B50" s="605" t="s">
        <v>12453</v>
      </c>
      <c r="C50" s="606" t="s">
        <v>12427</v>
      </c>
      <c r="D50" s="607">
        <v>0.31</v>
      </c>
      <c r="E50" s="607">
        <v>0.44</v>
      </c>
      <c r="F50" s="607">
        <v>0.75</v>
      </c>
      <c r="G50" s="584">
        <v>15</v>
      </c>
    </row>
    <row r="51" spans="1:7" ht="30" x14ac:dyDescent="0.2">
      <c r="A51" s="583" t="s">
        <v>12454</v>
      </c>
      <c r="B51" s="605" t="s">
        <v>12455</v>
      </c>
      <c r="C51" s="606" t="s">
        <v>12427</v>
      </c>
      <c r="D51" s="607">
        <v>0.26</v>
      </c>
      <c r="E51" s="607">
        <v>0.37</v>
      </c>
      <c r="F51" s="607">
        <v>0.63</v>
      </c>
      <c r="G51" s="584">
        <v>15</v>
      </c>
    </row>
    <row r="52" spans="1:7" ht="30" x14ac:dyDescent="0.2">
      <c r="A52" s="583" t="s">
        <v>12456</v>
      </c>
      <c r="B52" s="605" t="s">
        <v>12457</v>
      </c>
      <c r="C52" s="606" t="s">
        <v>12427</v>
      </c>
      <c r="D52" s="607">
        <v>0.44</v>
      </c>
      <c r="E52" s="607">
        <v>0.62</v>
      </c>
      <c r="F52" s="607">
        <v>1.06</v>
      </c>
      <c r="G52" s="584">
        <v>15</v>
      </c>
    </row>
    <row r="53" spans="1:7" ht="30" x14ac:dyDescent="0.2">
      <c r="A53" s="583" t="s">
        <v>12458</v>
      </c>
      <c r="B53" s="605" t="s">
        <v>12459</v>
      </c>
      <c r="C53" s="606" t="s">
        <v>12427</v>
      </c>
      <c r="D53" s="607">
        <v>0.28999999999999998</v>
      </c>
      <c r="E53" s="607">
        <v>0.41</v>
      </c>
      <c r="F53" s="607">
        <v>0.7</v>
      </c>
      <c r="G53" s="584">
        <v>15</v>
      </c>
    </row>
    <row r="54" spans="1:7" ht="30" x14ac:dyDescent="0.2">
      <c r="A54" s="583" t="s">
        <v>12460</v>
      </c>
      <c r="B54" s="605" t="s">
        <v>12461</v>
      </c>
      <c r="C54" s="606" t="s">
        <v>12427</v>
      </c>
      <c r="D54" s="607">
        <v>0.18</v>
      </c>
      <c r="E54" s="607">
        <v>0.44</v>
      </c>
      <c r="F54" s="607">
        <v>0.62</v>
      </c>
      <c r="G54" s="584">
        <v>15</v>
      </c>
    </row>
    <row r="55" spans="1:7" ht="30" x14ac:dyDescent="0.2">
      <c r="A55" s="583" t="s">
        <v>12462</v>
      </c>
      <c r="B55" s="605" t="s">
        <v>12463</v>
      </c>
      <c r="C55" s="606" t="s">
        <v>12427</v>
      </c>
      <c r="D55" s="607">
        <v>0.19</v>
      </c>
      <c r="E55" s="607">
        <v>0.25</v>
      </c>
      <c r="F55" s="607">
        <v>0.44</v>
      </c>
      <c r="G55" s="584">
        <v>15</v>
      </c>
    </row>
    <row r="56" spans="1:7" ht="30" x14ac:dyDescent="0.2">
      <c r="A56" s="583" t="s">
        <v>12464</v>
      </c>
      <c r="B56" s="605" t="s">
        <v>12465</v>
      </c>
      <c r="C56" s="606" t="s">
        <v>12427</v>
      </c>
      <c r="D56" s="607">
        <v>0.14000000000000001</v>
      </c>
      <c r="E56" s="607">
        <v>0.2</v>
      </c>
      <c r="F56" s="607">
        <v>0.34</v>
      </c>
      <c r="G56" s="584">
        <v>15</v>
      </c>
    </row>
    <row r="57" spans="1:7" ht="30" x14ac:dyDescent="0.2">
      <c r="A57" s="583" t="s">
        <v>12466</v>
      </c>
      <c r="B57" s="605" t="s">
        <v>12467</v>
      </c>
      <c r="C57" s="606" t="s">
        <v>12427</v>
      </c>
      <c r="D57" s="607">
        <v>0.1</v>
      </c>
      <c r="E57" s="607">
        <v>0.14000000000000001</v>
      </c>
      <c r="F57" s="607">
        <v>0.24</v>
      </c>
      <c r="G57" s="584">
        <v>15</v>
      </c>
    </row>
    <row r="58" spans="1:7" ht="30" x14ac:dyDescent="0.2">
      <c r="A58" s="583" t="s">
        <v>12468</v>
      </c>
      <c r="B58" s="605" t="s">
        <v>12469</v>
      </c>
      <c r="C58" s="606" t="s">
        <v>12427</v>
      </c>
      <c r="D58" s="607">
        <v>0.09</v>
      </c>
      <c r="E58" s="607">
        <v>0.12</v>
      </c>
      <c r="F58" s="607">
        <v>0.21</v>
      </c>
      <c r="G58" s="584">
        <v>15</v>
      </c>
    </row>
    <row r="59" spans="1:7" ht="30" x14ac:dyDescent="0.2">
      <c r="A59" s="583" t="s">
        <v>12470</v>
      </c>
      <c r="B59" s="605" t="s">
        <v>12471</v>
      </c>
      <c r="C59" s="606" t="s">
        <v>12472</v>
      </c>
      <c r="D59" s="607">
        <v>603.66999999999996</v>
      </c>
      <c r="E59" s="607">
        <v>752.76</v>
      </c>
      <c r="F59" s="607">
        <v>1356.43</v>
      </c>
      <c r="G59" s="584">
        <v>15</v>
      </c>
    </row>
    <row r="60" spans="1:7" ht="30" x14ac:dyDescent="0.2">
      <c r="A60" s="583" t="s">
        <v>12473</v>
      </c>
      <c r="B60" s="605" t="s">
        <v>12474</v>
      </c>
      <c r="C60" s="606" t="s">
        <v>12375</v>
      </c>
      <c r="D60" s="607">
        <v>711.95</v>
      </c>
      <c r="E60" s="607">
        <v>514.39</v>
      </c>
      <c r="F60" s="607">
        <v>1226.3399999999999</v>
      </c>
      <c r="G60" s="584">
        <v>15</v>
      </c>
    </row>
    <row r="61" spans="1:7" ht="15" x14ac:dyDescent="0.25">
      <c r="A61" s="583" t="s">
        <v>12475</v>
      </c>
      <c r="B61" s="605" t="s">
        <v>12476</v>
      </c>
      <c r="C61" s="606"/>
      <c r="D61" s="607"/>
      <c r="E61" s="607"/>
      <c r="F61" s="607"/>
      <c r="G61" s="582"/>
    </row>
    <row r="62" spans="1:7" ht="30" x14ac:dyDescent="0.2">
      <c r="A62" s="583" t="s">
        <v>12477</v>
      </c>
      <c r="B62" s="605" t="s">
        <v>12478</v>
      </c>
      <c r="C62" s="606" t="s">
        <v>12424</v>
      </c>
      <c r="D62" s="607">
        <v>1342.33</v>
      </c>
      <c r="E62" s="607"/>
      <c r="F62" s="607">
        <v>1342.33</v>
      </c>
      <c r="G62" s="584">
        <v>15</v>
      </c>
    </row>
    <row r="63" spans="1:7" ht="30" x14ac:dyDescent="0.2">
      <c r="A63" s="583" t="s">
        <v>12479</v>
      </c>
      <c r="B63" s="605" t="s">
        <v>12480</v>
      </c>
      <c r="C63" s="606" t="s">
        <v>12424</v>
      </c>
      <c r="D63" s="607">
        <v>6995.32</v>
      </c>
      <c r="E63" s="607"/>
      <c r="F63" s="607">
        <v>6995.32</v>
      </c>
      <c r="G63" s="584">
        <v>15</v>
      </c>
    </row>
    <row r="64" spans="1:7" ht="15" x14ac:dyDescent="0.2">
      <c r="A64" s="583" t="s">
        <v>12481</v>
      </c>
      <c r="B64" s="605" t="s">
        <v>12482</v>
      </c>
      <c r="C64" s="606" t="s">
        <v>12483</v>
      </c>
      <c r="D64" s="607">
        <v>104.58</v>
      </c>
      <c r="E64" s="607"/>
      <c r="F64" s="607">
        <v>104.58</v>
      </c>
      <c r="G64" s="584">
        <v>15</v>
      </c>
    </row>
    <row r="65" spans="1:7" ht="15" x14ac:dyDescent="0.2">
      <c r="A65" s="583" t="s">
        <v>12484</v>
      </c>
      <c r="B65" s="605" t="s">
        <v>12485</v>
      </c>
      <c r="C65" s="606" t="s">
        <v>12483</v>
      </c>
      <c r="D65" s="607">
        <v>91.32</v>
      </c>
      <c r="E65" s="607"/>
      <c r="F65" s="607">
        <v>91.32</v>
      </c>
      <c r="G65" s="584">
        <v>15</v>
      </c>
    </row>
    <row r="66" spans="1:7" ht="15" x14ac:dyDescent="0.2">
      <c r="A66" s="583" t="s">
        <v>12486</v>
      </c>
      <c r="B66" s="605" t="s">
        <v>12487</v>
      </c>
      <c r="C66" s="606" t="s">
        <v>12483</v>
      </c>
      <c r="D66" s="607">
        <v>412.79</v>
      </c>
      <c r="E66" s="607"/>
      <c r="F66" s="607">
        <v>412.79</v>
      </c>
      <c r="G66" s="584">
        <v>15</v>
      </c>
    </row>
    <row r="67" spans="1:7" ht="15" x14ac:dyDescent="0.2">
      <c r="A67" s="583" t="s">
        <v>12488</v>
      </c>
      <c r="B67" s="605" t="s">
        <v>12489</v>
      </c>
      <c r="C67" s="606" t="s">
        <v>12483</v>
      </c>
      <c r="D67" s="607">
        <v>653.01</v>
      </c>
      <c r="E67" s="607"/>
      <c r="F67" s="607">
        <v>653.01</v>
      </c>
      <c r="G67" s="584">
        <v>15</v>
      </c>
    </row>
    <row r="68" spans="1:7" ht="30" x14ac:dyDescent="0.2">
      <c r="A68" s="583" t="s">
        <v>12490</v>
      </c>
      <c r="B68" s="605" t="s">
        <v>12491</v>
      </c>
      <c r="C68" s="606" t="s">
        <v>12483</v>
      </c>
      <c r="D68" s="607">
        <v>101.61</v>
      </c>
      <c r="E68" s="607"/>
      <c r="F68" s="607">
        <v>101.61</v>
      </c>
      <c r="G68" s="584">
        <v>15</v>
      </c>
    </row>
    <row r="69" spans="1:7" ht="15" x14ac:dyDescent="0.25">
      <c r="A69" s="583" t="s">
        <v>12492</v>
      </c>
      <c r="B69" s="605" t="s">
        <v>12493</v>
      </c>
      <c r="C69" s="606"/>
      <c r="D69" s="607"/>
      <c r="E69" s="607"/>
      <c r="F69" s="607"/>
      <c r="G69" s="582"/>
    </row>
    <row r="70" spans="1:7" ht="30" x14ac:dyDescent="0.2">
      <c r="A70" s="583" t="s">
        <v>12494</v>
      </c>
      <c r="B70" s="605" t="s">
        <v>12495</v>
      </c>
      <c r="C70" s="606" t="s">
        <v>12424</v>
      </c>
      <c r="D70" s="607">
        <v>421.15</v>
      </c>
      <c r="E70" s="607"/>
      <c r="F70" s="607">
        <v>421.15</v>
      </c>
      <c r="G70" s="584">
        <v>15</v>
      </c>
    </row>
    <row r="71" spans="1:7" ht="15" x14ac:dyDescent="0.2">
      <c r="A71" s="583" t="s">
        <v>12496</v>
      </c>
      <c r="B71" s="605" t="s">
        <v>12497</v>
      </c>
      <c r="C71" s="606" t="s">
        <v>12427</v>
      </c>
      <c r="D71" s="607">
        <v>3.09</v>
      </c>
      <c r="E71" s="607">
        <v>6.81</v>
      </c>
      <c r="F71" s="607">
        <v>9.9</v>
      </c>
      <c r="G71" s="584">
        <v>15</v>
      </c>
    </row>
    <row r="72" spans="1:7" ht="15" x14ac:dyDescent="0.2">
      <c r="A72" s="583" t="s">
        <v>12498</v>
      </c>
      <c r="B72" s="605" t="s">
        <v>12499</v>
      </c>
      <c r="C72" s="606" t="s">
        <v>12427</v>
      </c>
      <c r="D72" s="607">
        <v>100.85</v>
      </c>
      <c r="E72" s="607">
        <v>50.35</v>
      </c>
      <c r="F72" s="607">
        <v>151.19999999999999</v>
      </c>
      <c r="G72" s="584">
        <v>15</v>
      </c>
    </row>
    <row r="73" spans="1:7" ht="30" x14ac:dyDescent="0.2">
      <c r="A73" s="583" t="s">
        <v>12500</v>
      </c>
      <c r="B73" s="605" t="s">
        <v>12501</v>
      </c>
      <c r="C73" s="606" t="s">
        <v>12427</v>
      </c>
      <c r="D73" s="607">
        <v>22.13</v>
      </c>
      <c r="E73" s="607">
        <v>48.01</v>
      </c>
      <c r="F73" s="607">
        <v>70.14</v>
      </c>
      <c r="G73" s="584">
        <v>15</v>
      </c>
    </row>
    <row r="74" spans="1:7" ht="15" x14ac:dyDescent="0.2">
      <c r="A74" s="583" t="s">
        <v>12502</v>
      </c>
      <c r="B74" s="605" t="s">
        <v>12503</v>
      </c>
      <c r="C74" s="606" t="s">
        <v>12427</v>
      </c>
      <c r="D74" s="607"/>
      <c r="E74" s="607">
        <v>34.07</v>
      </c>
      <c r="F74" s="607">
        <v>34.07</v>
      </c>
      <c r="G74" s="584">
        <v>15</v>
      </c>
    </row>
    <row r="75" spans="1:7" ht="15" x14ac:dyDescent="0.2">
      <c r="A75" s="583" t="s">
        <v>12504</v>
      </c>
      <c r="B75" s="605" t="s">
        <v>12505</v>
      </c>
      <c r="C75" s="606" t="s">
        <v>12483</v>
      </c>
      <c r="D75" s="607">
        <v>1.07</v>
      </c>
      <c r="E75" s="607">
        <v>5.03</v>
      </c>
      <c r="F75" s="607">
        <v>6.1</v>
      </c>
      <c r="G75" s="584">
        <v>15</v>
      </c>
    </row>
    <row r="76" spans="1:7" ht="30" x14ac:dyDescent="0.2">
      <c r="A76" s="583" t="s">
        <v>12506</v>
      </c>
      <c r="B76" s="605" t="s">
        <v>12507</v>
      </c>
      <c r="C76" s="606" t="s">
        <v>12508</v>
      </c>
      <c r="D76" s="607"/>
      <c r="E76" s="607">
        <v>514.15</v>
      </c>
      <c r="F76" s="607">
        <v>514.15</v>
      </c>
      <c r="G76" s="584">
        <v>15</v>
      </c>
    </row>
    <row r="77" spans="1:7" ht="15" x14ac:dyDescent="0.2">
      <c r="A77" s="583" t="s">
        <v>12509</v>
      </c>
      <c r="B77" s="605" t="s">
        <v>20122</v>
      </c>
      <c r="C77" s="606" t="s">
        <v>12483</v>
      </c>
      <c r="D77" s="607">
        <v>270.07</v>
      </c>
      <c r="E77" s="607"/>
      <c r="F77" s="607">
        <v>270.07</v>
      </c>
      <c r="G77" s="584">
        <v>15</v>
      </c>
    </row>
    <row r="78" spans="1:7" ht="15" x14ac:dyDescent="0.2">
      <c r="A78" s="583" t="s">
        <v>12510</v>
      </c>
      <c r="B78" s="605" t="s">
        <v>20123</v>
      </c>
      <c r="C78" s="606" t="s">
        <v>12483</v>
      </c>
      <c r="D78" s="607">
        <v>272.39999999999998</v>
      </c>
      <c r="E78" s="607"/>
      <c r="F78" s="607">
        <v>272.39999999999998</v>
      </c>
      <c r="G78" s="584">
        <v>15</v>
      </c>
    </row>
    <row r="79" spans="1:7" ht="15" x14ac:dyDescent="0.2">
      <c r="A79" s="583" t="s">
        <v>12511</v>
      </c>
      <c r="B79" s="605" t="s">
        <v>20124</v>
      </c>
      <c r="C79" s="606" t="s">
        <v>12483</v>
      </c>
      <c r="D79" s="607">
        <v>377.36</v>
      </c>
      <c r="E79" s="607"/>
      <c r="F79" s="607">
        <v>377.36</v>
      </c>
      <c r="G79" s="584">
        <v>15</v>
      </c>
    </row>
    <row r="80" spans="1:7" ht="15" x14ac:dyDescent="0.2">
      <c r="A80" s="583" t="s">
        <v>12512</v>
      </c>
      <c r="B80" s="605" t="s">
        <v>20125</v>
      </c>
      <c r="C80" s="606" t="s">
        <v>12483</v>
      </c>
      <c r="D80" s="607">
        <v>387.85</v>
      </c>
      <c r="E80" s="607"/>
      <c r="F80" s="607">
        <v>387.85</v>
      </c>
      <c r="G80" s="584">
        <v>15</v>
      </c>
    </row>
    <row r="81" spans="1:7" ht="30" x14ac:dyDescent="0.2">
      <c r="A81" s="583" t="s">
        <v>12513</v>
      </c>
      <c r="B81" s="605" t="s">
        <v>12514</v>
      </c>
      <c r="C81" s="606" t="s">
        <v>12424</v>
      </c>
      <c r="D81" s="607">
        <v>227.04</v>
      </c>
      <c r="E81" s="607"/>
      <c r="F81" s="607">
        <v>227.04</v>
      </c>
      <c r="G81" s="584">
        <v>15</v>
      </c>
    </row>
    <row r="82" spans="1:7" ht="30" x14ac:dyDescent="0.2">
      <c r="A82" s="583" t="s">
        <v>12515</v>
      </c>
      <c r="B82" s="605" t="s">
        <v>12516</v>
      </c>
      <c r="C82" s="606" t="s">
        <v>12375</v>
      </c>
      <c r="D82" s="607">
        <v>13.6</v>
      </c>
      <c r="E82" s="607"/>
      <c r="F82" s="607">
        <v>13.6</v>
      </c>
      <c r="G82" s="584">
        <v>15</v>
      </c>
    </row>
    <row r="83" spans="1:7" ht="30" x14ac:dyDescent="0.2">
      <c r="A83" s="583" t="s">
        <v>12517</v>
      </c>
      <c r="B83" s="605" t="s">
        <v>12518</v>
      </c>
      <c r="C83" s="606" t="s">
        <v>12375</v>
      </c>
      <c r="D83" s="607">
        <v>15.81</v>
      </c>
      <c r="E83" s="607"/>
      <c r="F83" s="607">
        <v>15.81</v>
      </c>
      <c r="G83" s="584">
        <v>15</v>
      </c>
    </row>
    <row r="84" spans="1:7" ht="30" x14ac:dyDescent="0.2">
      <c r="A84" s="583" t="s">
        <v>12519</v>
      </c>
      <c r="B84" s="605" t="s">
        <v>12520</v>
      </c>
      <c r="C84" s="606" t="s">
        <v>12375</v>
      </c>
      <c r="D84" s="607">
        <v>16.309999999999999</v>
      </c>
      <c r="E84" s="607"/>
      <c r="F84" s="607">
        <v>16.309999999999999</v>
      </c>
      <c r="G84" s="584">
        <v>15</v>
      </c>
    </row>
    <row r="85" spans="1:7" ht="30" x14ac:dyDescent="0.2">
      <c r="A85" s="583" t="s">
        <v>12521</v>
      </c>
      <c r="B85" s="605" t="s">
        <v>12522</v>
      </c>
      <c r="C85" s="606" t="s">
        <v>12375</v>
      </c>
      <c r="D85" s="607">
        <v>21.13</v>
      </c>
      <c r="E85" s="607"/>
      <c r="F85" s="607">
        <v>21.13</v>
      </c>
      <c r="G85" s="584">
        <v>15</v>
      </c>
    </row>
    <row r="86" spans="1:7" ht="30" x14ac:dyDescent="0.2">
      <c r="A86" s="583" t="s">
        <v>12523</v>
      </c>
      <c r="B86" s="605" t="s">
        <v>12524</v>
      </c>
      <c r="C86" s="606" t="s">
        <v>12375</v>
      </c>
      <c r="D86" s="607">
        <v>21.92</v>
      </c>
      <c r="E86" s="607"/>
      <c r="F86" s="607">
        <v>21.92</v>
      </c>
      <c r="G86" s="584">
        <v>15</v>
      </c>
    </row>
    <row r="87" spans="1:7" ht="30" x14ac:dyDescent="0.2">
      <c r="A87" s="583" t="s">
        <v>12525</v>
      </c>
      <c r="B87" s="605" t="s">
        <v>12526</v>
      </c>
      <c r="C87" s="606" t="s">
        <v>12375</v>
      </c>
      <c r="D87" s="607">
        <v>25.63</v>
      </c>
      <c r="E87" s="607"/>
      <c r="F87" s="607">
        <v>25.63</v>
      </c>
      <c r="G87" s="584">
        <v>15</v>
      </c>
    </row>
    <row r="88" spans="1:7" ht="30" x14ac:dyDescent="0.2">
      <c r="A88" s="583" t="s">
        <v>12527</v>
      </c>
      <c r="B88" s="605" t="s">
        <v>12528</v>
      </c>
      <c r="C88" s="606" t="s">
        <v>12375</v>
      </c>
      <c r="D88" s="607">
        <v>27.79</v>
      </c>
      <c r="E88" s="607"/>
      <c r="F88" s="607">
        <v>27.79</v>
      </c>
      <c r="G88" s="584">
        <v>15</v>
      </c>
    </row>
    <row r="89" spans="1:7" ht="30" x14ac:dyDescent="0.2">
      <c r="A89" s="583" t="s">
        <v>12529</v>
      </c>
      <c r="B89" s="605" t="s">
        <v>12530</v>
      </c>
      <c r="C89" s="606" t="s">
        <v>12375</v>
      </c>
      <c r="D89" s="607">
        <v>27.31</v>
      </c>
      <c r="E89" s="607"/>
      <c r="F89" s="607">
        <v>27.31</v>
      </c>
      <c r="G89" s="584">
        <v>15</v>
      </c>
    </row>
    <row r="90" spans="1:7" ht="30" x14ac:dyDescent="0.2">
      <c r="A90" s="583" t="s">
        <v>12531</v>
      </c>
      <c r="B90" s="605" t="s">
        <v>12532</v>
      </c>
      <c r="C90" s="606" t="s">
        <v>12375</v>
      </c>
      <c r="D90" s="607">
        <v>30.14</v>
      </c>
      <c r="E90" s="607"/>
      <c r="F90" s="607">
        <v>30.14</v>
      </c>
      <c r="G90" s="584">
        <v>15</v>
      </c>
    </row>
    <row r="91" spans="1:7" ht="30" x14ac:dyDescent="0.2">
      <c r="A91" s="583" t="s">
        <v>12533</v>
      </c>
      <c r="B91" s="605" t="s">
        <v>12534</v>
      </c>
      <c r="C91" s="606" t="s">
        <v>12375</v>
      </c>
      <c r="D91" s="607">
        <v>31.4</v>
      </c>
      <c r="E91" s="607"/>
      <c r="F91" s="607">
        <v>31.4</v>
      </c>
      <c r="G91" s="584">
        <v>15</v>
      </c>
    </row>
    <row r="92" spans="1:7" ht="30" x14ac:dyDescent="0.2">
      <c r="A92" s="583" t="s">
        <v>12535</v>
      </c>
      <c r="B92" s="605" t="s">
        <v>12536</v>
      </c>
      <c r="C92" s="606" t="s">
        <v>12375</v>
      </c>
      <c r="D92" s="607">
        <v>37.04</v>
      </c>
      <c r="E92" s="607"/>
      <c r="F92" s="607">
        <v>37.04</v>
      </c>
      <c r="G92" s="584">
        <v>15</v>
      </c>
    </row>
    <row r="93" spans="1:7" ht="15" x14ac:dyDescent="0.2">
      <c r="A93" s="583" t="s">
        <v>12537</v>
      </c>
      <c r="B93" s="605" t="s">
        <v>20126</v>
      </c>
      <c r="C93" s="606" t="s">
        <v>12483</v>
      </c>
      <c r="D93" s="607">
        <v>272.73</v>
      </c>
      <c r="E93" s="607"/>
      <c r="F93" s="607">
        <v>272.73</v>
      </c>
      <c r="G93" s="584">
        <v>15</v>
      </c>
    </row>
    <row r="94" spans="1:7" ht="15" x14ac:dyDescent="0.2">
      <c r="A94" s="583" t="s">
        <v>12538</v>
      </c>
      <c r="B94" s="605" t="s">
        <v>20127</v>
      </c>
      <c r="C94" s="606" t="s">
        <v>12483</v>
      </c>
      <c r="D94" s="607">
        <v>411.12</v>
      </c>
      <c r="E94" s="607"/>
      <c r="F94" s="607">
        <v>411.12</v>
      </c>
      <c r="G94" s="584">
        <v>15</v>
      </c>
    </row>
    <row r="95" spans="1:7" ht="15" x14ac:dyDescent="0.2">
      <c r="A95" s="583" t="s">
        <v>12539</v>
      </c>
      <c r="B95" s="605" t="s">
        <v>20128</v>
      </c>
      <c r="C95" s="606" t="s">
        <v>12483</v>
      </c>
      <c r="D95" s="607">
        <v>416.42</v>
      </c>
      <c r="E95" s="607"/>
      <c r="F95" s="607">
        <v>416.42</v>
      </c>
      <c r="G95" s="584">
        <v>15</v>
      </c>
    </row>
    <row r="96" spans="1:7" ht="15" x14ac:dyDescent="0.2">
      <c r="A96" s="583" t="s">
        <v>12540</v>
      </c>
      <c r="B96" s="605" t="s">
        <v>20129</v>
      </c>
      <c r="C96" s="606" t="s">
        <v>12483</v>
      </c>
      <c r="D96" s="607">
        <v>440.28</v>
      </c>
      <c r="E96" s="607"/>
      <c r="F96" s="607">
        <v>440.28</v>
      </c>
      <c r="G96" s="584">
        <v>15</v>
      </c>
    </row>
    <row r="97" spans="1:7" ht="15" x14ac:dyDescent="0.2">
      <c r="A97" s="583" t="s">
        <v>12541</v>
      </c>
      <c r="B97" s="605" t="s">
        <v>20130</v>
      </c>
      <c r="C97" s="606" t="s">
        <v>12483</v>
      </c>
      <c r="D97" s="607">
        <v>461.56</v>
      </c>
      <c r="E97" s="607"/>
      <c r="F97" s="607">
        <v>461.56</v>
      </c>
      <c r="G97" s="584">
        <v>15</v>
      </c>
    </row>
    <row r="98" spans="1:7" ht="15" x14ac:dyDescent="0.2">
      <c r="A98" s="583" t="s">
        <v>12542</v>
      </c>
      <c r="B98" s="605" t="s">
        <v>20131</v>
      </c>
      <c r="C98" s="606" t="s">
        <v>12483</v>
      </c>
      <c r="D98" s="607">
        <v>591.46</v>
      </c>
      <c r="E98" s="607"/>
      <c r="F98" s="607">
        <v>591.46</v>
      </c>
      <c r="G98" s="584">
        <v>15</v>
      </c>
    </row>
    <row r="99" spans="1:7" ht="15" x14ac:dyDescent="0.2">
      <c r="A99" s="583" t="s">
        <v>12543</v>
      </c>
      <c r="B99" s="605" t="s">
        <v>12544</v>
      </c>
      <c r="C99" s="606" t="s">
        <v>12483</v>
      </c>
      <c r="D99" s="607">
        <v>226.39</v>
      </c>
      <c r="E99" s="607"/>
      <c r="F99" s="607">
        <v>226.39</v>
      </c>
      <c r="G99" s="584">
        <v>15</v>
      </c>
    </row>
    <row r="100" spans="1:7" ht="30" x14ac:dyDescent="0.2">
      <c r="A100" s="583" t="s">
        <v>12545</v>
      </c>
      <c r="B100" s="605" t="s">
        <v>12546</v>
      </c>
      <c r="C100" s="606" t="s">
        <v>12424</v>
      </c>
      <c r="D100" s="607">
        <v>1629.92</v>
      </c>
      <c r="E100" s="607">
        <v>4622.41</v>
      </c>
      <c r="F100" s="607">
        <v>6252.33</v>
      </c>
      <c r="G100" s="584">
        <v>15</v>
      </c>
    </row>
    <row r="101" spans="1:7" ht="30" x14ac:dyDescent="0.2">
      <c r="A101" s="583" t="s">
        <v>12547</v>
      </c>
      <c r="B101" s="605" t="s">
        <v>12548</v>
      </c>
      <c r="C101" s="606" t="s">
        <v>12427</v>
      </c>
      <c r="D101" s="607">
        <v>7.49</v>
      </c>
      <c r="E101" s="607">
        <v>49.21</v>
      </c>
      <c r="F101" s="607">
        <v>56.7</v>
      </c>
      <c r="G101" s="584">
        <v>15</v>
      </c>
    </row>
    <row r="102" spans="1:7" ht="30" x14ac:dyDescent="0.2">
      <c r="A102" s="583" t="s">
        <v>12549</v>
      </c>
      <c r="B102" s="605" t="s">
        <v>12550</v>
      </c>
      <c r="C102" s="606" t="s">
        <v>12427</v>
      </c>
      <c r="D102" s="607">
        <v>163.19</v>
      </c>
      <c r="E102" s="607">
        <v>350.18</v>
      </c>
      <c r="F102" s="607">
        <v>513.37</v>
      </c>
      <c r="G102" s="584">
        <v>15</v>
      </c>
    </row>
    <row r="103" spans="1:7" ht="15" x14ac:dyDescent="0.25">
      <c r="A103" s="583" t="s">
        <v>12551</v>
      </c>
      <c r="B103" s="605" t="s">
        <v>12552</v>
      </c>
      <c r="C103" s="606"/>
      <c r="D103" s="607"/>
      <c r="E103" s="607"/>
      <c r="F103" s="607"/>
      <c r="G103" s="582"/>
    </row>
    <row r="104" spans="1:7" ht="30" x14ac:dyDescent="0.2">
      <c r="A104" s="583" t="s">
        <v>12553</v>
      </c>
      <c r="B104" s="605" t="s">
        <v>12554</v>
      </c>
      <c r="C104" s="606" t="s">
        <v>12375</v>
      </c>
      <c r="D104" s="607">
        <v>196.55</v>
      </c>
      <c r="E104" s="607">
        <v>10213.450000000001</v>
      </c>
      <c r="F104" s="607">
        <v>10410</v>
      </c>
      <c r="G104" s="584">
        <v>15</v>
      </c>
    </row>
    <row r="105" spans="1:7" ht="15" x14ac:dyDescent="0.2">
      <c r="A105" s="583" t="s">
        <v>12555</v>
      </c>
      <c r="B105" s="605" t="s">
        <v>12556</v>
      </c>
      <c r="C105" s="606" t="s">
        <v>12375</v>
      </c>
      <c r="D105" s="607">
        <v>196.55</v>
      </c>
      <c r="E105" s="607">
        <v>13680.99</v>
      </c>
      <c r="F105" s="607">
        <v>13877.54</v>
      </c>
      <c r="G105" s="584">
        <v>15</v>
      </c>
    </row>
    <row r="106" spans="1:7" ht="15" x14ac:dyDescent="0.2">
      <c r="A106" s="583" t="s">
        <v>12557</v>
      </c>
      <c r="B106" s="605" t="s">
        <v>12558</v>
      </c>
      <c r="C106" s="606" t="s">
        <v>12375</v>
      </c>
      <c r="D106" s="607">
        <v>196.55</v>
      </c>
      <c r="E106" s="607">
        <v>12105.6</v>
      </c>
      <c r="F106" s="607">
        <v>12302.15</v>
      </c>
      <c r="G106" s="584">
        <v>15</v>
      </c>
    </row>
    <row r="107" spans="1:7" ht="15" x14ac:dyDescent="0.2">
      <c r="A107" s="583" t="s">
        <v>12559</v>
      </c>
      <c r="B107" s="605" t="s">
        <v>12560</v>
      </c>
      <c r="C107" s="606" t="s">
        <v>12375</v>
      </c>
      <c r="D107" s="607">
        <v>569.29999999999995</v>
      </c>
      <c r="E107" s="607">
        <v>28190.53</v>
      </c>
      <c r="F107" s="607">
        <v>28759.83</v>
      </c>
      <c r="G107" s="584">
        <v>15</v>
      </c>
    </row>
    <row r="108" spans="1:7" ht="15" x14ac:dyDescent="0.2">
      <c r="A108" s="583" t="s">
        <v>12561</v>
      </c>
      <c r="B108" s="605" t="s">
        <v>12562</v>
      </c>
      <c r="C108" s="606" t="s">
        <v>12375</v>
      </c>
      <c r="D108" s="607">
        <v>569.29999999999995</v>
      </c>
      <c r="E108" s="607">
        <v>43257.71</v>
      </c>
      <c r="F108" s="607">
        <v>43827.01</v>
      </c>
      <c r="G108" s="584">
        <v>15</v>
      </c>
    </row>
    <row r="109" spans="1:7" ht="30" x14ac:dyDescent="0.2">
      <c r="A109" s="583" t="s">
        <v>12563</v>
      </c>
      <c r="B109" s="605" t="s">
        <v>12564</v>
      </c>
      <c r="C109" s="606" t="s">
        <v>12375</v>
      </c>
      <c r="D109" s="607">
        <v>569.29999999999995</v>
      </c>
      <c r="E109" s="607">
        <v>17148.560000000001</v>
      </c>
      <c r="F109" s="607">
        <v>17717.86</v>
      </c>
      <c r="G109" s="584">
        <v>15</v>
      </c>
    </row>
    <row r="110" spans="1:7" ht="15" x14ac:dyDescent="0.2">
      <c r="A110" s="583" t="s">
        <v>12565</v>
      </c>
      <c r="B110" s="605" t="s">
        <v>12566</v>
      </c>
      <c r="C110" s="606" t="s">
        <v>12375</v>
      </c>
      <c r="D110" s="607">
        <v>462.8</v>
      </c>
      <c r="E110" s="607">
        <v>20582.259999999998</v>
      </c>
      <c r="F110" s="607">
        <v>21045.06</v>
      </c>
      <c r="G110" s="584">
        <v>15</v>
      </c>
    </row>
    <row r="111" spans="1:7" ht="30" x14ac:dyDescent="0.2">
      <c r="A111" s="583" t="s">
        <v>12567</v>
      </c>
      <c r="B111" s="605" t="s">
        <v>12568</v>
      </c>
      <c r="C111" s="606" t="s">
        <v>12375</v>
      </c>
      <c r="D111" s="607">
        <v>281.75</v>
      </c>
      <c r="E111" s="607">
        <v>33337.129999999997</v>
      </c>
      <c r="F111" s="607">
        <v>33618.879999999997</v>
      </c>
      <c r="G111" s="584">
        <v>15</v>
      </c>
    </row>
    <row r="112" spans="1:7" ht="15" x14ac:dyDescent="0.25">
      <c r="A112" s="583" t="s">
        <v>12569</v>
      </c>
      <c r="B112" s="605" t="s">
        <v>12570</v>
      </c>
      <c r="C112" s="606"/>
      <c r="D112" s="607"/>
      <c r="E112" s="607"/>
      <c r="F112" s="607"/>
      <c r="G112" s="582"/>
    </row>
    <row r="113" spans="1:7" ht="45" x14ac:dyDescent="0.2">
      <c r="A113" s="583" t="s">
        <v>12571</v>
      </c>
      <c r="B113" s="605" t="s">
        <v>12572</v>
      </c>
      <c r="C113" s="606" t="s">
        <v>12424</v>
      </c>
      <c r="D113" s="607">
        <v>8405.0300000000007</v>
      </c>
      <c r="E113" s="607"/>
      <c r="F113" s="607">
        <v>8405.0300000000007</v>
      </c>
      <c r="G113" s="584">
        <v>15</v>
      </c>
    </row>
    <row r="114" spans="1:7" ht="45" x14ac:dyDescent="0.2">
      <c r="A114" s="583" t="s">
        <v>12573</v>
      </c>
      <c r="B114" s="605" t="s">
        <v>12574</v>
      </c>
      <c r="C114" s="606" t="s">
        <v>12424</v>
      </c>
      <c r="D114" s="607">
        <v>13648.77</v>
      </c>
      <c r="E114" s="607"/>
      <c r="F114" s="607">
        <v>13648.77</v>
      </c>
      <c r="G114" s="584">
        <v>15</v>
      </c>
    </row>
    <row r="115" spans="1:7" ht="45" x14ac:dyDescent="0.2">
      <c r="A115" s="583" t="s">
        <v>12575</v>
      </c>
      <c r="B115" s="605" t="s">
        <v>12576</v>
      </c>
      <c r="C115" s="606" t="s">
        <v>12424</v>
      </c>
      <c r="D115" s="607">
        <v>13560.03</v>
      </c>
      <c r="E115" s="607"/>
      <c r="F115" s="607">
        <v>13560.03</v>
      </c>
      <c r="G115" s="584">
        <v>15</v>
      </c>
    </row>
    <row r="116" spans="1:7" ht="30" x14ac:dyDescent="0.2">
      <c r="A116" s="583" t="s">
        <v>12577</v>
      </c>
      <c r="B116" s="605" t="s">
        <v>12578</v>
      </c>
      <c r="C116" s="606" t="s">
        <v>12483</v>
      </c>
      <c r="D116" s="607">
        <v>732.99</v>
      </c>
      <c r="E116" s="607"/>
      <c r="F116" s="607">
        <v>732.99</v>
      </c>
      <c r="G116" s="584">
        <v>15</v>
      </c>
    </row>
    <row r="117" spans="1:7" ht="30" x14ac:dyDescent="0.2">
      <c r="A117" s="583" t="s">
        <v>12579</v>
      </c>
      <c r="B117" s="605" t="s">
        <v>12580</v>
      </c>
      <c r="C117" s="606" t="s">
        <v>12483</v>
      </c>
      <c r="D117" s="607">
        <v>517.99</v>
      </c>
      <c r="E117" s="607"/>
      <c r="F117" s="607">
        <v>517.99</v>
      </c>
      <c r="G117" s="584">
        <v>15</v>
      </c>
    </row>
    <row r="118" spans="1:7" ht="30" x14ac:dyDescent="0.2">
      <c r="A118" s="583" t="s">
        <v>12581</v>
      </c>
      <c r="B118" s="605" t="s">
        <v>12582</v>
      </c>
      <c r="C118" s="606" t="s">
        <v>12483</v>
      </c>
      <c r="D118" s="607">
        <v>1288.52</v>
      </c>
      <c r="E118" s="607"/>
      <c r="F118" s="607">
        <v>1288.52</v>
      </c>
      <c r="G118" s="584">
        <v>15</v>
      </c>
    </row>
    <row r="119" spans="1:7" ht="30" x14ac:dyDescent="0.2">
      <c r="A119" s="583" t="s">
        <v>12583</v>
      </c>
      <c r="B119" s="605" t="s">
        <v>12584</v>
      </c>
      <c r="C119" s="606" t="s">
        <v>12483</v>
      </c>
      <c r="D119" s="607">
        <v>1394.38</v>
      </c>
      <c r="E119" s="607"/>
      <c r="F119" s="607">
        <v>1394.38</v>
      </c>
      <c r="G119" s="584">
        <v>15</v>
      </c>
    </row>
    <row r="120" spans="1:7" ht="30" x14ac:dyDescent="0.2">
      <c r="A120" s="583" t="s">
        <v>12585</v>
      </c>
      <c r="B120" s="605" t="s">
        <v>12586</v>
      </c>
      <c r="C120" s="606" t="s">
        <v>12483</v>
      </c>
      <c r="D120" s="607">
        <v>1733.69</v>
      </c>
      <c r="E120" s="607"/>
      <c r="F120" s="607">
        <v>1733.69</v>
      </c>
      <c r="G120" s="584">
        <v>15</v>
      </c>
    </row>
    <row r="121" spans="1:7" ht="30" x14ac:dyDescent="0.2">
      <c r="A121" s="583" t="s">
        <v>12587</v>
      </c>
      <c r="B121" s="605" t="s">
        <v>12588</v>
      </c>
      <c r="C121" s="606" t="s">
        <v>12483</v>
      </c>
      <c r="D121" s="607">
        <v>2219.14</v>
      </c>
      <c r="E121" s="607"/>
      <c r="F121" s="607">
        <v>2219.14</v>
      </c>
      <c r="G121" s="584">
        <v>15</v>
      </c>
    </row>
    <row r="122" spans="1:7" ht="30" x14ac:dyDescent="0.2">
      <c r="A122" s="583" t="s">
        <v>12589</v>
      </c>
      <c r="B122" s="605" t="s">
        <v>12590</v>
      </c>
      <c r="C122" s="606" t="s">
        <v>12483</v>
      </c>
      <c r="D122" s="607">
        <v>2510.5</v>
      </c>
      <c r="E122" s="607"/>
      <c r="F122" s="607">
        <v>2510.5</v>
      </c>
      <c r="G122" s="584">
        <v>15</v>
      </c>
    </row>
    <row r="123" spans="1:7" ht="30" x14ac:dyDescent="0.2">
      <c r="A123" s="583" t="s">
        <v>12591</v>
      </c>
      <c r="B123" s="605" t="s">
        <v>12592</v>
      </c>
      <c r="C123" s="606" t="s">
        <v>12483</v>
      </c>
      <c r="D123" s="607">
        <v>2703.52</v>
      </c>
      <c r="E123" s="607"/>
      <c r="F123" s="607">
        <v>2703.52</v>
      </c>
      <c r="G123" s="584">
        <v>15</v>
      </c>
    </row>
    <row r="124" spans="1:7" ht="30" x14ac:dyDescent="0.2">
      <c r="A124" s="583" t="s">
        <v>12593</v>
      </c>
      <c r="B124" s="605" t="s">
        <v>12594</v>
      </c>
      <c r="C124" s="606" t="s">
        <v>12483</v>
      </c>
      <c r="D124" s="607">
        <v>3295.88</v>
      </c>
      <c r="E124" s="607"/>
      <c r="F124" s="607">
        <v>3295.88</v>
      </c>
      <c r="G124" s="584">
        <v>15</v>
      </c>
    </row>
    <row r="125" spans="1:7" ht="30" x14ac:dyDescent="0.2">
      <c r="A125" s="583" t="s">
        <v>12595</v>
      </c>
      <c r="B125" s="605" t="s">
        <v>12596</v>
      </c>
      <c r="C125" s="606" t="s">
        <v>12483</v>
      </c>
      <c r="D125" s="607">
        <v>391.47</v>
      </c>
      <c r="E125" s="607"/>
      <c r="F125" s="607">
        <v>391.47</v>
      </c>
      <c r="G125" s="584">
        <v>15</v>
      </c>
    </row>
    <row r="126" spans="1:7" ht="30" x14ac:dyDescent="0.2">
      <c r="A126" s="583" t="s">
        <v>12597</v>
      </c>
      <c r="B126" s="605" t="s">
        <v>12598</v>
      </c>
      <c r="C126" s="606" t="s">
        <v>12483</v>
      </c>
      <c r="D126" s="607">
        <v>1870.52</v>
      </c>
      <c r="E126" s="607"/>
      <c r="F126" s="607">
        <v>1870.52</v>
      </c>
      <c r="G126" s="584">
        <v>15</v>
      </c>
    </row>
    <row r="127" spans="1:7" ht="30" x14ac:dyDescent="0.2">
      <c r="A127" s="583" t="s">
        <v>12599</v>
      </c>
      <c r="B127" s="605" t="s">
        <v>12600</v>
      </c>
      <c r="C127" s="606" t="s">
        <v>12483</v>
      </c>
      <c r="D127" s="607">
        <v>7341.72</v>
      </c>
      <c r="E127" s="607"/>
      <c r="F127" s="607">
        <v>7341.72</v>
      </c>
      <c r="G127" s="584">
        <v>15</v>
      </c>
    </row>
    <row r="128" spans="1:7" ht="30" x14ac:dyDescent="0.2">
      <c r="A128" s="583" t="s">
        <v>12601</v>
      </c>
      <c r="B128" s="605" t="s">
        <v>12602</v>
      </c>
      <c r="C128" s="606" t="s">
        <v>12483</v>
      </c>
      <c r="D128" s="607">
        <v>380.44</v>
      </c>
      <c r="E128" s="607"/>
      <c r="F128" s="607">
        <v>380.44</v>
      </c>
      <c r="G128" s="584">
        <v>15</v>
      </c>
    </row>
    <row r="129" spans="1:7" ht="30" x14ac:dyDescent="0.2">
      <c r="A129" s="583" t="s">
        <v>12603</v>
      </c>
      <c r="B129" s="605" t="s">
        <v>12604</v>
      </c>
      <c r="C129" s="606" t="s">
        <v>12483</v>
      </c>
      <c r="D129" s="607">
        <v>495.41</v>
      </c>
      <c r="E129" s="607"/>
      <c r="F129" s="607">
        <v>495.41</v>
      </c>
      <c r="G129" s="584">
        <v>15</v>
      </c>
    </row>
    <row r="130" spans="1:7" ht="30" x14ac:dyDescent="0.2">
      <c r="A130" s="583" t="s">
        <v>12605</v>
      </c>
      <c r="B130" s="605" t="s">
        <v>12606</v>
      </c>
      <c r="C130" s="606" t="s">
        <v>12483</v>
      </c>
      <c r="D130" s="607">
        <v>591.66</v>
      </c>
      <c r="E130" s="607"/>
      <c r="F130" s="607">
        <v>591.66</v>
      </c>
      <c r="G130" s="584">
        <v>15</v>
      </c>
    </row>
    <row r="131" spans="1:7" ht="30" x14ac:dyDescent="0.2">
      <c r="A131" s="583" t="s">
        <v>12607</v>
      </c>
      <c r="B131" s="605" t="s">
        <v>12608</v>
      </c>
      <c r="C131" s="606" t="s">
        <v>12483</v>
      </c>
      <c r="D131" s="607">
        <v>340.4</v>
      </c>
      <c r="E131" s="607"/>
      <c r="F131" s="607">
        <v>340.4</v>
      </c>
      <c r="G131" s="584">
        <v>15</v>
      </c>
    </row>
    <row r="132" spans="1:7" ht="30" x14ac:dyDescent="0.2">
      <c r="A132" s="583" t="s">
        <v>12609</v>
      </c>
      <c r="B132" s="605" t="s">
        <v>12610</v>
      </c>
      <c r="C132" s="606" t="s">
        <v>12483</v>
      </c>
      <c r="D132" s="607">
        <v>562.33000000000004</v>
      </c>
      <c r="E132" s="607"/>
      <c r="F132" s="607">
        <v>562.33000000000004</v>
      </c>
      <c r="G132" s="584">
        <v>15</v>
      </c>
    </row>
    <row r="133" spans="1:7" ht="30" x14ac:dyDescent="0.2">
      <c r="A133" s="583" t="s">
        <v>12611</v>
      </c>
      <c r="B133" s="605" t="s">
        <v>12612</v>
      </c>
      <c r="C133" s="606" t="s">
        <v>12483</v>
      </c>
      <c r="D133" s="607">
        <v>829.02</v>
      </c>
      <c r="E133" s="607"/>
      <c r="F133" s="607">
        <v>829.02</v>
      </c>
      <c r="G133" s="584">
        <v>15</v>
      </c>
    </row>
    <row r="134" spans="1:7" ht="30" x14ac:dyDescent="0.2">
      <c r="A134" s="583" t="s">
        <v>12613</v>
      </c>
      <c r="B134" s="605" t="s">
        <v>12614</v>
      </c>
      <c r="C134" s="606" t="s">
        <v>12483</v>
      </c>
      <c r="D134" s="607">
        <v>2100.4899999999998</v>
      </c>
      <c r="E134" s="607"/>
      <c r="F134" s="607">
        <v>2100.4899999999998</v>
      </c>
      <c r="G134" s="584">
        <v>15</v>
      </c>
    </row>
    <row r="135" spans="1:7" ht="30" x14ac:dyDescent="0.2">
      <c r="A135" s="583" t="s">
        <v>12615</v>
      </c>
      <c r="B135" s="605" t="s">
        <v>12616</v>
      </c>
      <c r="C135" s="606" t="s">
        <v>12483</v>
      </c>
      <c r="D135" s="607">
        <v>2669.94</v>
      </c>
      <c r="E135" s="607"/>
      <c r="F135" s="607">
        <v>2669.94</v>
      </c>
      <c r="G135" s="584">
        <v>15</v>
      </c>
    </row>
    <row r="136" spans="1:7" ht="30" x14ac:dyDescent="0.2">
      <c r="A136" s="583" t="s">
        <v>12617</v>
      </c>
      <c r="B136" s="605" t="s">
        <v>12618</v>
      </c>
      <c r="C136" s="606" t="s">
        <v>12483</v>
      </c>
      <c r="D136" s="607">
        <v>3017.1</v>
      </c>
      <c r="E136" s="607"/>
      <c r="F136" s="607">
        <v>3017.1</v>
      </c>
      <c r="G136" s="584">
        <v>15</v>
      </c>
    </row>
    <row r="137" spans="1:7" ht="30" x14ac:dyDescent="0.2">
      <c r="A137" s="583" t="s">
        <v>12619</v>
      </c>
      <c r="B137" s="605" t="s">
        <v>12620</v>
      </c>
      <c r="C137" s="606" t="s">
        <v>12483</v>
      </c>
      <c r="D137" s="607">
        <v>831.54</v>
      </c>
      <c r="E137" s="607"/>
      <c r="F137" s="607">
        <v>831.54</v>
      </c>
      <c r="G137" s="584">
        <v>15</v>
      </c>
    </row>
    <row r="138" spans="1:7" ht="30" x14ac:dyDescent="0.2">
      <c r="A138" s="583" t="s">
        <v>12621</v>
      </c>
      <c r="B138" s="605" t="s">
        <v>12622</v>
      </c>
      <c r="C138" s="606" t="s">
        <v>12483</v>
      </c>
      <c r="D138" s="607">
        <v>459.29</v>
      </c>
      <c r="E138" s="607"/>
      <c r="F138" s="607">
        <v>459.29</v>
      </c>
      <c r="G138" s="584">
        <v>15</v>
      </c>
    </row>
    <row r="139" spans="1:7" ht="30" x14ac:dyDescent="0.2">
      <c r="A139" s="583" t="s">
        <v>12623</v>
      </c>
      <c r="B139" s="605" t="s">
        <v>12624</v>
      </c>
      <c r="C139" s="606" t="s">
        <v>12483</v>
      </c>
      <c r="D139" s="607">
        <v>856.79</v>
      </c>
      <c r="E139" s="607"/>
      <c r="F139" s="607">
        <v>856.79</v>
      </c>
      <c r="G139" s="584">
        <v>15</v>
      </c>
    </row>
    <row r="140" spans="1:7" ht="30" x14ac:dyDescent="0.2">
      <c r="A140" s="583" t="s">
        <v>12625</v>
      </c>
      <c r="B140" s="605" t="s">
        <v>12626</v>
      </c>
      <c r="C140" s="606" t="s">
        <v>12483</v>
      </c>
      <c r="D140" s="607">
        <v>868.29</v>
      </c>
      <c r="E140" s="607"/>
      <c r="F140" s="607">
        <v>868.29</v>
      </c>
      <c r="G140" s="584">
        <v>15</v>
      </c>
    </row>
    <row r="141" spans="1:7" ht="30" x14ac:dyDescent="0.2">
      <c r="A141" s="583" t="s">
        <v>12627</v>
      </c>
      <c r="B141" s="605" t="s">
        <v>12628</v>
      </c>
      <c r="C141" s="606" t="s">
        <v>12483</v>
      </c>
      <c r="D141" s="607">
        <v>648.99</v>
      </c>
      <c r="E141" s="607"/>
      <c r="F141" s="607">
        <v>648.99</v>
      </c>
      <c r="G141" s="584">
        <v>15</v>
      </c>
    </row>
    <row r="142" spans="1:7" ht="30" x14ac:dyDescent="0.2">
      <c r="A142" s="583" t="s">
        <v>12629</v>
      </c>
      <c r="B142" s="605" t="s">
        <v>12630</v>
      </c>
      <c r="C142" s="606" t="s">
        <v>12483</v>
      </c>
      <c r="D142" s="607">
        <v>977.87</v>
      </c>
      <c r="E142" s="607"/>
      <c r="F142" s="607">
        <v>977.87</v>
      </c>
      <c r="G142" s="584">
        <v>15</v>
      </c>
    </row>
    <row r="143" spans="1:7" ht="30" x14ac:dyDescent="0.2">
      <c r="A143" s="583" t="s">
        <v>12631</v>
      </c>
      <c r="B143" s="605" t="s">
        <v>12632</v>
      </c>
      <c r="C143" s="606" t="s">
        <v>12483</v>
      </c>
      <c r="D143" s="607">
        <v>2805.99</v>
      </c>
      <c r="E143" s="607"/>
      <c r="F143" s="607">
        <v>2805.99</v>
      </c>
      <c r="G143" s="584">
        <v>15</v>
      </c>
    </row>
    <row r="144" spans="1:7" ht="30" x14ac:dyDescent="0.2">
      <c r="A144" s="583" t="s">
        <v>12633</v>
      </c>
      <c r="B144" s="605" t="s">
        <v>12634</v>
      </c>
      <c r="C144" s="606" t="s">
        <v>12483</v>
      </c>
      <c r="D144" s="607">
        <v>1920.63</v>
      </c>
      <c r="E144" s="607"/>
      <c r="F144" s="607">
        <v>1920.63</v>
      </c>
      <c r="G144" s="584">
        <v>15</v>
      </c>
    </row>
    <row r="145" spans="1:7" ht="30" x14ac:dyDescent="0.2">
      <c r="A145" s="583" t="s">
        <v>12635</v>
      </c>
      <c r="B145" s="605" t="s">
        <v>12636</v>
      </c>
      <c r="C145" s="606" t="s">
        <v>12483</v>
      </c>
      <c r="D145" s="607">
        <v>2188.08</v>
      </c>
      <c r="E145" s="607"/>
      <c r="F145" s="607">
        <v>2188.08</v>
      </c>
      <c r="G145" s="584">
        <v>15</v>
      </c>
    </row>
    <row r="146" spans="1:7" ht="30" x14ac:dyDescent="0.2">
      <c r="A146" s="583" t="s">
        <v>12637</v>
      </c>
      <c r="B146" s="605" t="s">
        <v>12638</v>
      </c>
      <c r="C146" s="606" t="s">
        <v>12483</v>
      </c>
      <c r="D146" s="607">
        <v>2726.84</v>
      </c>
      <c r="E146" s="607"/>
      <c r="F146" s="607">
        <v>2726.84</v>
      </c>
      <c r="G146" s="584">
        <v>15</v>
      </c>
    </row>
    <row r="147" spans="1:7" ht="30" x14ac:dyDescent="0.2">
      <c r="A147" s="583" t="s">
        <v>12639</v>
      </c>
      <c r="B147" s="605" t="s">
        <v>12640</v>
      </c>
      <c r="C147" s="606" t="s">
        <v>12483</v>
      </c>
      <c r="D147" s="607">
        <v>2691.93</v>
      </c>
      <c r="E147" s="607"/>
      <c r="F147" s="607">
        <v>2691.93</v>
      </c>
      <c r="G147" s="584">
        <v>15</v>
      </c>
    </row>
    <row r="148" spans="1:7" ht="30" x14ac:dyDescent="0.2">
      <c r="A148" s="583" t="s">
        <v>12641</v>
      </c>
      <c r="B148" s="605" t="s">
        <v>12642</v>
      </c>
      <c r="C148" s="606" t="s">
        <v>12483</v>
      </c>
      <c r="D148" s="607">
        <v>498.26</v>
      </c>
      <c r="E148" s="607"/>
      <c r="F148" s="607">
        <v>498.26</v>
      </c>
      <c r="G148" s="584">
        <v>15</v>
      </c>
    </row>
    <row r="149" spans="1:7" ht="30" x14ac:dyDescent="0.2">
      <c r="A149" s="583" t="s">
        <v>12643</v>
      </c>
      <c r="B149" s="605" t="s">
        <v>12644</v>
      </c>
      <c r="C149" s="606" t="s">
        <v>12483</v>
      </c>
      <c r="D149" s="607">
        <v>909.33</v>
      </c>
      <c r="E149" s="607"/>
      <c r="F149" s="607">
        <v>909.33</v>
      </c>
      <c r="G149" s="584">
        <v>15</v>
      </c>
    </row>
    <row r="150" spans="1:7" ht="30" x14ac:dyDescent="0.2">
      <c r="A150" s="583" t="s">
        <v>12645</v>
      </c>
      <c r="B150" s="605" t="s">
        <v>12646</v>
      </c>
      <c r="C150" s="606" t="s">
        <v>12483</v>
      </c>
      <c r="D150" s="607">
        <v>1297.0899999999999</v>
      </c>
      <c r="E150" s="607"/>
      <c r="F150" s="607">
        <v>1297.0899999999999</v>
      </c>
      <c r="G150" s="584">
        <v>15</v>
      </c>
    </row>
    <row r="151" spans="1:7" ht="30" x14ac:dyDescent="0.2">
      <c r="A151" s="583" t="s">
        <v>12647</v>
      </c>
      <c r="B151" s="605" t="s">
        <v>12648</v>
      </c>
      <c r="C151" s="606" t="s">
        <v>12483</v>
      </c>
      <c r="D151" s="607">
        <v>1571.97</v>
      </c>
      <c r="E151" s="607"/>
      <c r="F151" s="607">
        <v>1571.97</v>
      </c>
      <c r="G151" s="584">
        <v>15</v>
      </c>
    </row>
    <row r="152" spans="1:7" ht="30" x14ac:dyDescent="0.2">
      <c r="A152" s="583" t="s">
        <v>12649</v>
      </c>
      <c r="B152" s="605" t="s">
        <v>12650</v>
      </c>
      <c r="C152" s="606" t="s">
        <v>12483</v>
      </c>
      <c r="D152" s="607">
        <v>2808.78</v>
      </c>
      <c r="E152" s="607"/>
      <c r="F152" s="607">
        <v>2808.78</v>
      </c>
      <c r="G152" s="584">
        <v>15</v>
      </c>
    </row>
    <row r="153" spans="1:7" ht="30" x14ac:dyDescent="0.2">
      <c r="A153" s="583" t="s">
        <v>12651</v>
      </c>
      <c r="B153" s="605" t="s">
        <v>12652</v>
      </c>
      <c r="C153" s="606" t="s">
        <v>12483</v>
      </c>
      <c r="D153" s="607">
        <v>1123.7</v>
      </c>
      <c r="E153" s="607"/>
      <c r="F153" s="607">
        <v>1123.7</v>
      </c>
      <c r="G153" s="584">
        <v>15</v>
      </c>
    </row>
    <row r="154" spans="1:7" ht="15" x14ac:dyDescent="0.2">
      <c r="A154" s="583" t="s">
        <v>12653</v>
      </c>
      <c r="B154" s="605" t="s">
        <v>12654</v>
      </c>
      <c r="C154" s="606" t="s">
        <v>12508</v>
      </c>
      <c r="D154" s="607">
        <v>1809.56</v>
      </c>
      <c r="E154" s="607"/>
      <c r="F154" s="607">
        <v>1809.56</v>
      </c>
      <c r="G154" s="584">
        <v>15</v>
      </c>
    </row>
    <row r="155" spans="1:7" ht="15" x14ac:dyDescent="0.2">
      <c r="A155" s="583" t="s">
        <v>12655</v>
      </c>
      <c r="B155" s="605" t="s">
        <v>12656</v>
      </c>
      <c r="C155" s="606" t="s">
        <v>12508</v>
      </c>
      <c r="D155" s="607">
        <v>2350.09</v>
      </c>
      <c r="E155" s="607"/>
      <c r="F155" s="607">
        <v>2350.09</v>
      </c>
      <c r="G155" s="584">
        <v>15</v>
      </c>
    </row>
    <row r="156" spans="1:7" ht="15" x14ac:dyDescent="0.2">
      <c r="A156" s="583" t="s">
        <v>12657</v>
      </c>
      <c r="B156" s="605" t="s">
        <v>12658</v>
      </c>
      <c r="C156" s="606" t="s">
        <v>12483</v>
      </c>
      <c r="D156" s="607">
        <v>92.06</v>
      </c>
      <c r="E156" s="607"/>
      <c r="F156" s="607">
        <v>92.06</v>
      </c>
      <c r="G156" s="584">
        <v>15</v>
      </c>
    </row>
    <row r="157" spans="1:7" ht="15" x14ac:dyDescent="0.2">
      <c r="A157" s="583" t="s">
        <v>12659</v>
      </c>
      <c r="B157" s="605" t="s">
        <v>12660</v>
      </c>
      <c r="C157" s="606" t="s">
        <v>12483</v>
      </c>
      <c r="D157" s="607">
        <v>216.01</v>
      </c>
      <c r="E157" s="607"/>
      <c r="F157" s="607">
        <v>216.01</v>
      </c>
      <c r="G157" s="584">
        <v>15</v>
      </c>
    </row>
    <row r="158" spans="1:7" ht="45" x14ac:dyDescent="0.2">
      <c r="A158" s="583" t="s">
        <v>12661</v>
      </c>
      <c r="B158" s="605" t="s">
        <v>12662</v>
      </c>
      <c r="C158" s="606" t="s">
        <v>12424</v>
      </c>
      <c r="D158" s="607">
        <v>4162.97</v>
      </c>
      <c r="E158" s="607"/>
      <c r="F158" s="607">
        <v>4162.97</v>
      </c>
      <c r="G158" s="584">
        <v>15</v>
      </c>
    </row>
    <row r="159" spans="1:7" ht="15" x14ac:dyDescent="0.2">
      <c r="A159" s="583" t="s">
        <v>12663</v>
      </c>
      <c r="B159" s="605" t="s">
        <v>12664</v>
      </c>
      <c r="C159" s="606" t="s">
        <v>12665</v>
      </c>
      <c r="D159" s="607">
        <v>551.32000000000005</v>
      </c>
      <c r="E159" s="607"/>
      <c r="F159" s="607">
        <v>551.32000000000005</v>
      </c>
      <c r="G159" s="584">
        <v>15</v>
      </c>
    </row>
    <row r="160" spans="1:7" ht="30" x14ac:dyDescent="0.2">
      <c r="A160" s="583" t="s">
        <v>12666</v>
      </c>
      <c r="B160" s="605" t="s">
        <v>12667</v>
      </c>
      <c r="C160" s="606" t="s">
        <v>12665</v>
      </c>
      <c r="D160" s="607">
        <v>407.77</v>
      </c>
      <c r="E160" s="607"/>
      <c r="F160" s="607">
        <v>407.77</v>
      </c>
      <c r="G160" s="584">
        <v>15</v>
      </c>
    </row>
    <row r="161" spans="1:7" ht="15" x14ac:dyDescent="0.2">
      <c r="A161" s="583" t="s">
        <v>12668</v>
      </c>
      <c r="B161" s="605" t="s">
        <v>12669</v>
      </c>
      <c r="C161" s="606" t="s">
        <v>12665</v>
      </c>
      <c r="D161" s="607">
        <v>371.6</v>
      </c>
      <c r="E161" s="607"/>
      <c r="F161" s="607">
        <v>371.6</v>
      </c>
      <c r="G161" s="584">
        <v>15</v>
      </c>
    </row>
    <row r="162" spans="1:7" ht="15" x14ac:dyDescent="0.2">
      <c r="A162" s="583" t="s">
        <v>12670</v>
      </c>
      <c r="B162" s="605" t="s">
        <v>12671</v>
      </c>
      <c r="C162" s="606" t="s">
        <v>12665</v>
      </c>
      <c r="D162" s="607">
        <v>349.24</v>
      </c>
      <c r="E162" s="607"/>
      <c r="F162" s="607">
        <v>349.24</v>
      </c>
      <c r="G162" s="584">
        <v>15</v>
      </c>
    </row>
    <row r="163" spans="1:7" ht="15" x14ac:dyDescent="0.2">
      <c r="A163" s="583" t="s">
        <v>12672</v>
      </c>
      <c r="B163" s="605" t="s">
        <v>12673</v>
      </c>
      <c r="C163" s="606" t="s">
        <v>12375</v>
      </c>
      <c r="D163" s="607">
        <v>3391.26</v>
      </c>
      <c r="E163" s="607"/>
      <c r="F163" s="607">
        <v>3391.26</v>
      </c>
      <c r="G163" s="584">
        <v>15</v>
      </c>
    </row>
    <row r="164" spans="1:7" ht="30" x14ac:dyDescent="0.2">
      <c r="A164" s="583" t="s">
        <v>12674</v>
      </c>
      <c r="B164" s="605" t="s">
        <v>12675</v>
      </c>
      <c r="C164" s="606" t="s">
        <v>12676</v>
      </c>
      <c r="D164" s="607">
        <v>3115.05</v>
      </c>
      <c r="E164" s="607"/>
      <c r="F164" s="607">
        <v>3115.05</v>
      </c>
      <c r="G164" s="584">
        <v>15</v>
      </c>
    </row>
    <row r="165" spans="1:7" ht="30" x14ac:dyDescent="0.2">
      <c r="A165" s="583" t="s">
        <v>12677</v>
      </c>
      <c r="B165" s="605" t="s">
        <v>12678</v>
      </c>
      <c r="C165" s="606" t="s">
        <v>12375</v>
      </c>
      <c r="D165" s="607">
        <v>352.65</v>
      </c>
      <c r="E165" s="607"/>
      <c r="F165" s="607">
        <v>352.65</v>
      </c>
      <c r="G165" s="584">
        <v>15</v>
      </c>
    </row>
    <row r="166" spans="1:7" ht="30" x14ac:dyDescent="0.2">
      <c r="A166" s="583" t="s">
        <v>12679</v>
      </c>
      <c r="B166" s="605" t="s">
        <v>12680</v>
      </c>
      <c r="C166" s="606" t="s">
        <v>12508</v>
      </c>
      <c r="D166" s="607">
        <v>3034.56</v>
      </c>
      <c r="E166" s="607"/>
      <c r="F166" s="607">
        <v>3034.56</v>
      </c>
      <c r="G166" s="584">
        <v>15</v>
      </c>
    </row>
    <row r="167" spans="1:7" ht="30" x14ac:dyDescent="0.2">
      <c r="A167" s="583" t="s">
        <v>12681</v>
      </c>
      <c r="B167" s="605" t="s">
        <v>12682</v>
      </c>
      <c r="C167" s="606" t="s">
        <v>12375</v>
      </c>
      <c r="D167" s="607">
        <v>1173.18</v>
      </c>
      <c r="E167" s="607">
        <v>591.26</v>
      </c>
      <c r="F167" s="607">
        <v>1764.44</v>
      </c>
      <c r="G167" s="584">
        <v>15</v>
      </c>
    </row>
    <row r="168" spans="1:7" ht="15" x14ac:dyDescent="0.2">
      <c r="A168" s="583" t="s">
        <v>12683</v>
      </c>
      <c r="B168" s="605" t="s">
        <v>12684</v>
      </c>
      <c r="C168" s="606" t="s">
        <v>12375</v>
      </c>
      <c r="D168" s="607">
        <v>1150.01</v>
      </c>
      <c r="E168" s="607"/>
      <c r="F168" s="607">
        <v>1150.01</v>
      </c>
      <c r="G168" s="584">
        <v>15</v>
      </c>
    </row>
    <row r="169" spans="1:7" ht="15" x14ac:dyDescent="0.2">
      <c r="A169" s="583" t="s">
        <v>12685</v>
      </c>
      <c r="B169" s="605" t="s">
        <v>12686</v>
      </c>
      <c r="C169" s="606" t="s">
        <v>12375</v>
      </c>
      <c r="D169" s="607">
        <v>4397.8100000000004</v>
      </c>
      <c r="E169" s="607"/>
      <c r="F169" s="607">
        <v>4397.8100000000004</v>
      </c>
      <c r="G169" s="584">
        <v>15</v>
      </c>
    </row>
    <row r="170" spans="1:7" ht="15" x14ac:dyDescent="0.2">
      <c r="A170" s="583" t="s">
        <v>12687</v>
      </c>
      <c r="B170" s="605" t="s">
        <v>12688</v>
      </c>
      <c r="C170" s="606" t="s">
        <v>12375</v>
      </c>
      <c r="D170" s="607">
        <v>4948.4399999999996</v>
      </c>
      <c r="E170" s="607"/>
      <c r="F170" s="607">
        <v>4948.4399999999996</v>
      </c>
      <c r="G170" s="584">
        <v>15</v>
      </c>
    </row>
    <row r="171" spans="1:7" ht="15" x14ac:dyDescent="0.2">
      <c r="A171" s="583" t="s">
        <v>12689</v>
      </c>
      <c r="B171" s="605" t="s">
        <v>12690</v>
      </c>
      <c r="C171" s="606" t="s">
        <v>12375</v>
      </c>
      <c r="D171" s="607">
        <v>16190.81</v>
      </c>
      <c r="E171" s="607"/>
      <c r="F171" s="607">
        <v>16190.81</v>
      </c>
      <c r="G171" s="584">
        <v>15</v>
      </c>
    </row>
    <row r="172" spans="1:7" ht="15" x14ac:dyDescent="0.25">
      <c r="A172" s="583" t="s">
        <v>12691</v>
      </c>
      <c r="B172" s="605" t="s">
        <v>12692</v>
      </c>
      <c r="C172" s="606"/>
      <c r="D172" s="607"/>
      <c r="E172" s="607"/>
      <c r="F172" s="607"/>
      <c r="G172" s="582"/>
    </row>
    <row r="173" spans="1:7" ht="15" x14ac:dyDescent="0.25">
      <c r="A173" s="583" t="s">
        <v>12693</v>
      </c>
      <c r="B173" s="605" t="s">
        <v>12694</v>
      </c>
      <c r="C173" s="606"/>
      <c r="D173" s="607"/>
      <c r="E173" s="607"/>
      <c r="F173" s="607"/>
      <c r="G173" s="582"/>
    </row>
    <row r="174" spans="1:7" ht="15" x14ac:dyDescent="0.2">
      <c r="A174" s="583" t="s">
        <v>12695</v>
      </c>
      <c r="B174" s="605" t="s">
        <v>12696</v>
      </c>
      <c r="C174" s="606" t="s">
        <v>12427</v>
      </c>
      <c r="D174" s="607">
        <v>417.82</v>
      </c>
      <c r="E174" s="607">
        <v>145.49</v>
      </c>
      <c r="F174" s="607">
        <v>563.30999999999995</v>
      </c>
      <c r="G174" s="584">
        <v>15</v>
      </c>
    </row>
    <row r="175" spans="1:7" ht="15" x14ac:dyDescent="0.2">
      <c r="A175" s="583" t="s">
        <v>12697</v>
      </c>
      <c r="B175" s="605" t="s">
        <v>12698</v>
      </c>
      <c r="C175" s="606" t="s">
        <v>12427</v>
      </c>
      <c r="D175" s="607">
        <v>699.22</v>
      </c>
      <c r="E175" s="607">
        <v>367.34</v>
      </c>
      <c r="F175" s="607">
        <v>1066.56</v>
      </c>
      <c r="G175" s="584">
        <v>15</v>
      </c>
    </row>
    <row r="176" spans="1:7" ht="30" x14ac:dyDescent="0.2">
      <c r="A176" s="583" t="s">
        <v>12699</v>
      </c>
      <c r="B176" s="605" t="s">
        <v>12700</v>
      </c>
      <c r="C176" s="606" t="s">
        <v>12701</v>
      </c>
      <c r="D176" s="607">
        <v>1249.3399999999999</v>
      </c>
      <c r="E176" s="607"/>
      <c r="F176" s="607">
        <v>1249.3399999999999</v>
      </c>
      <c r="G176" s="584">
        <v>15</v>
      </c>
    </row>
    <row r="177" spans="1:7" ht="15" x14ac:dyDescent="0.2">
      <c r="A177" s="583" t="s">
        <v>12702</v>
      </c>
      <c r="B177" s="605" t="s">
        <v>12703</v>
      </c>
      <c r="C177" s="606" t="s">
        <v>12427</v>
      </c>
      <c r="D177" s="607">
        <v>16.23</v>
      </c>
      <c r="E177" s="607">
        <v>8.0299999999999994</v>
      </c>
      <c r="F177" s="607">
        <v>24.26</v>
      </c>
      <c r="G177" s="584">
        <v>15</v>
      </c>
    </row>
    <row r="178" spans="1:7" ht="15" x14ac:dyDescent="0.25">
      <c r="A178" s="583" t="s">
        <v>12704</v>
      </c>
      <c r="B178" s="605" t="s">
        <v>12705</v>
      </c>
      <c r="C178" s="606"/>
      <c r="D178" s="607"/>
      <c r="E178" s="607"/>
      <c r="F178" s="607"/>
      <c r="G178" s="582"/>
    </row>
    <row r="179" spans="1:7" ht="30" x14ac:dyDescent="0.2">
      <c r="A179" s="583" t="s">
        <v>12706</v>
      </c>
      <c r="B179" s="605" t="s">
        <v>12707</v>
      </c>
      <c r="C179" s="606" t="s">
        <v>21846</v>
      </c>
      <c r="D179" s="607">
        <v>899.67</v>
      </c>
      <c r="E179" s="607">
        <v>92.75</v>
      </c>
      <c r="F179" s="607">
        <v>992.42</v>
      </c>
      <c r="G179" s="584">
        <v>15</v>
      </c>
    </row>
    <row r="180" spans="1:7" ht="30" x14ac:dyDescent="0.2">
      <c r="A180" s="583" t="s">
        <v>12708</v>
      </c>
      <c r="B180" s="605" t="s">
        <v>12709</v>
      </c>
      <c r="C180" s="606" t="s">
        <v>21846</v>
      </c>
      <c r="D180" s="607">
        <v>1408.98</v>
      </c>
      <c r="E180" s="607">
        <v>155.52000000000001</v>
      </c>
      <c r="F180" s="607">
        <v>1564.5</v>
      </c>
      <c r="G180" s="584">
        <v>15</v>
      </c>
    </row>
    <row r="181" spans="1:7" ht="45" x14ac:dyDescent="0.2">
      <c r="A181" s="583" t="s">
        <v>12710</v>
      </c>
      <c r="B181" s="605" t="s">
        <v>12711</v>
      </c>
      <c r="C181" s="606" t="s">
        <v>21846</v>
      </c>
      <c r="D181" s="607">
        <v>1348.87</v>
      </c>
      <c r="E181" s="607">
        <v>155.52000000000001</v>
      </c>
      <c r="F181" s="607">
        <v>1504.39</v>
      </c>
      <c r="G181" s="584">
        <v>15</v>
      </c>
    </row>
    <row r="182" spans="1:7" ht="15" x14ac:dyDescent="0.2">
      <c r="A182" s="583" t="s">
        <v>12712</v>
      </c>
      <c r="B182" s="605" t="s">
        <v>12713</v>
      </c>
      <c r="C182" s="606" t="s">
        <v>21846</v>
      </c>
      <c r="D182" s="607">
        <v>888.63</v>
      </c>
      <c r="E182" s="607">
        <v>92.75</v>
      </c>
      <c r="F182" s="607">
        <v>981.38</v>
      </c>
      <c r="G182" s="584">
        <v>15</v>
      </c>
    </row>
    <row r="183" spans="1:7" ht="15" x14ac:dyDescent="0.2">
      <c r="A183" s="583" t="s">
        <v>12714</v>
      </c>
      <c r="B183" s="605" t="s">
        <v>12715</v>
      </c>
      <c r="C183" s="606" t="s">
        <v>21846</v>
      </c>
      <c r="D183" s="607">
        <v>951.57</v>
      </c>
      <c r="E183" s="607">
        <v>30.91</v>
      </c>
      <c r="F183" s="607">
        <v>982.48</v>
      </c>
      <c r="G183" s="584">
        <v>15</v>
      </c>
    </row>
    <row r="184" spans="1:7" ht="15" x14ac:dyDescent="0.25">
      <c r="A184" s="583" t="s">
        <v>12716</v>
      </c>
      <c r="B184" s="605" t="s">
        <v>12717</v>
      </c>
      <c r="C184" s="606"/>
      <c r="D184" s="607"/>
      <c r="E184" s="607"/>
      <c r="F184" s="607"/>
      <c r="G184" s="582"/>
    </row>
    <row r="185" spans="1:7" ht="15" x14ac:dyDescent="0.2">
      <c r="A185" s="583" t="s">
        <v>12718</v>
      </c>
      <c r="B185" s="605" t="s">
        <v>12719</v>
      </c>
      <c r="C185" s="606" t="s">
        <v>2</v>
      </c>
      <c r="D185" s="607">
        <v>0.57999999999999996</v>
      </c>
      <c r="E185" s="607">
        <v>2.27</v>
      </c>
      <c r="F185" s="607">
        <v>2.85</v>
      </c>
      <c r="G185" s="584">
        <v>15</v>
      </c>
    </row>
    <row r="186" spans="1:7" ht="15" x14ac:dyDescent="0.2">
      <c r="A186" s="583" t="s">
        <v>12720</v>
      </c>
      <c r="B186" s="605" t="s">
        <v>12721</v>
      </c>
      <c r="C186" s="606" t="s">
        <v>2</v>
      </c>
      <c r="D186" s="607">
        <v>5.47</v>
      </c>
      <c r="E186" s="607">
        <v>22.42</v>
      </c>
      <c r="F186" s="607">
        <v>27.89</v>
      </c>
      <c r="G186" s="584">
        <v>15</v>
      </c>
    </row>
    <row r="187" spans="1:7" ht="30" x14ac:dyDescent="0.2">
      <c r="A187" s="583" t="s">
        <v>12722</v>
      </c>
      <c r="B187" s="605" t="s">
        <v>12723</v>
      </c>
      <c r="C187" s="606" t="s">
        <v>2</v>
      </c>
      <c r="D187" s="607">
        <v>13.65</v>
      </c>
      <c r="E187" s="607">
        <v>33.4</v>
      </c>
      <c r="F187" s="607">
        <v>47.05</v>
      </c>
      <c r="G187" s="584">
        <v>15</v>
      </c>
    </row>
    <row r="188" spans="1:7" ht="15" x14ac:dyDescent="0.2">
      <c r="A188" s="583" t="s">
        <v>12724</v>
      </c>
      <c r="B188" s="605" t="s">
        <v>12725</v>
      </c>
      <c r="C188" s="606" t="s">
        <v>2</v>
      </c>
      <c r="D188" s="607">
        <v>47.84</v>
      </c>
      <c r="E188" s="607">
        <v>60.57</v>
      </c>
      <c r="F188" s="607">
        <v>108.41</v>
      </c>
      <c r="G188" s="584">
        <v>15</v>
      </c>
    </row>
    <row r="189" spans="1:7" ht="15" x14ac:dyDescent="0.2">
      <c r="A189" s="583" t="s">
        <v>12726</v>
      </c>
      <c r="B189" s="605" t="s">
        <v>12727</v>
      </c>
      <c r="C189" s="606" t="s">
        <v>2</v>
      </c>
      <c r="D189" s="607">
        <v>47.84</v>
      </c>
      <c r="E189" s="607">
        <v>60.17</v>
      </c>
      <c r="F189" s="607">
        <v>108.01</v>
      </c>
      <c r="G189" s="584">
        <v>15</v>
      </c>
    </row>
    <row r="190" spans="1:7" ht="30" x14ac:dyDescent="0.2">
      <c r="A190" s="583" t="s">
        <v>12728</v>
      </c>
      <c r="B190" s="605" t="s">
        <v>12729</v>
      </c>
      <c r="C190" s="606" t="s">
        <v>12730</v>
      </c>
      <c r="D190" s="607">
        <v>44.89</v>
      </c>
      <c r="E190" s="607">
        <v>1.1399999999999999</v>
      </c>
      <c r="F190" s="607">
        <v>46.03</v>
      </c>
      <c r="G190" s="584">
        <v>15</v>
      </c>
    </row>
    <row r="191" spans="1:7" ht="15" x14ac:dyDescent="0.2">
      <c r="A191" s="583" t="s">
        <v>12731</v>
      </c>
      <c r="B191" s="605" t="s">
        <v>12732</v>
      </c>
      <c r="C191" s="606" t="s">
        <v>12427</v>
      </c>
      <c r="D191" s="607">
        <v>13.31</v>
      </c>
      <c r="E191" s="607">
        <v>4.54</v>
      </c>
      <c r="F191" s="607">
        <v>17.850000000000001</v>
      </c>
      <c r="G191" s="584">
        <v>15</v>
      </c>
    </row>
    <row r="192" spans="1:7" ht="15" x14ac:dyDescent="0.2">
      <c r="A192" s="583" t="s">
        <v>12733</v>
      </c>
      <c r="B192" s="605" t="s">
        <v>12734</v>
      </c>
      <c r="C192" s="606" t="s">
        <v>12427</v>
      </c>
      <c r="D192" s="607">
        <v>80.790000000000006</v>
      </c>
      <c r="E192" s="607">
        <v>43.32</v>
      </c>
      <c r="F192" s="607">
        <v>124.11</v>
      </c>
      <c r="G192" s="584">
        <v>15</v>
      </c>
    </row>
    <row r="193" spans="1:7" ht="15" x14ac:dyDescent="0.2">
      <c r="A193" s="583" t="s">
        <v>12735</v>
      </c>
      <c r="B193" s="605" t="s">
        <v>12736</v>
      </c>
      <c r="C193" s="606" t="s">
        <v>12427</v>
      </c>
      <c r="D193" s="607">
        <v>87.4</v>
      </c>
      <c r="E193" s="607">
        <v>43.32</v>
      </c>
      <c r="F193" s="607">
        <v>130.72</v>
      </c>
      <c r="G193" s="584">
        <v>15</v>
      </c>
    </row>
    <row r="194" spans="1:7" ht="30" x14ac:dyDescent="0.2">
      <c r="A194" s="583" t="s">
        <v>21963</v>
      </c>
      <c r="B194" s="605" t="s">
        <v>21964</v>
      </c>
      <c r="C194" s="606" t="s">
        <v>12427</v>
      </c>
      <c r="D194" s="607">
        <v>63.18</v>
      </c>
      <c r="E194" s="607">
        <v>91.55</v>
      </c>
      <c r="F194" s="607">
        <v>154.72999999999999</v>
      </c>
      <c r="G194" s="584">
        <v>15</v>
      </c>
    </row>
    <row r="195" spans="1:7" ht="15" x14ac:dyDescent="0.2">
      <c r="A195" s="583" t="s">
        <v>21965</v>
      </c>
      <c r="B195" s="605" t="s">
        <v>21966</v>
      </c>
      <c r="C195" s="606" t="s">
        <v>12427</v>
      </c>
      <c r="D195" s="607">
        <v>182.87</v>
      </c>
      <c r="E195" s="607">
        <v>91.55</v>
      </c>
      <c r="F195" s="607">
        <v>274.42</v>
      </c>
      <c r="G195" s="584">
        <v>15</v>
      </c>
    </row>
    <row r="196" spans="1:7" ht="30" x14ac:dyDescent="0.2">
      <c r="A196" s="583" t="s">
        <v>12737</v>
      </c>
      <c r="B196" s="605" t="s">
        <v>12738</v>
      </c>
      <c r="C196" s="606" t="s">
        <v>12508</v>
      </c>
      <c r="D196" s="607">
        <v>53.78</v>
      </c>
      <c r="E196" s="607">
        <v>49.99</v>
      </c>
      <c r="F196" s="607">
        <v>103.77</v>
      </c>
      <c r="G196" s="584">
        <v>15</v>
      </c>
    </row>
    <row r="197" spans="1:7" ht="15" x14ac:dyDescent="0.25">
      <c r="A197" s="583" t="s">
        <v>12739</v>
      </c>
      <c r="B197" s="605" t="s">
        <v>12740</v>
      </c>
      <c r="C197" s="606"/>
      <c r="D197" s="607"/>
      <c r="E197" s="607"/>
      <c r="F197" s="607"/>
      <c r="G197" s="582"/>
    </row>
    <row r="198" spans="1:7" ht="30" x14ac:dyDescent="0.2">
      <c r="A198" s="583" t="s">
        <v>12741</v>
      </c>
      <c r="B198" s="605" t="s">
        <v>12742</v>
      </c>
      <c r="C198" s="606" t="s">
        <v>12483</v>
      </c>
      <c r="D198" s="607"/>
      <c r="E198" s="607">
        <v>13.83</v>
      </c>
      <c r="F198" s="607">
        <v>13.83</v>
      </c>
      <c r="G198" s="584">
        <v>15</v>
      </c>
    </row>
    <row r="199" spans="1:7" ht="30" x14ac:dyDescent="0.2">
      <c r="A199" s="583" t="s">
        <v>12743</v>
      </c>
      <c r="B199" s="605" t="s">
        <v>12744</v>
      </c>
      <c r="C199" s="606" t="s">
        <v>12483</v>
      </c>
      <c r="D199" s="607"/>
      <c r="E199" s="607">
        <v>34.909999999999997</v>
      </c>
      <c r="F199" s="607">
        <v>34.909999999999997</v>
      </c>
      <c r="G199" s="584">
        <v>15</v>
      </c>
    </row>
    <row r="200" spans="1:7" ht="30" x14ac:dyDescent="0.2">
      <c r="A200" s="583" t="s">
        <v>12745</v>
      </c>
      <c r="B200" s="605" t="s">
        <v>12746</v>
      </c>
      <c r="C200" s="606" t="s">
        <v>12427</v>
      </c>
      <c r="D200" s="607"/>
      <c r="E200" s="607">
        <v>13.83</v>
      </c>
      <c r="F200" s="607">
        <v>13.83</v>
      </c>
      <c r="G200" s="584">
        <v>15</v>
      </c>
    </row>
    <row r="201" spans="1:7" ht="30" x14ac:dyDescent="0.2">
      <c r="A201" s="583" t="s">
        <v>12747</v>
      </c>
      <c r="B201" s="605" t="s">
        <v>12748</v>
      </c>
      <c r="C201" s="606" t="s">
        <v>12427</v>
      </c>
      <c r="D201" s="607"/>
      <c r="E201" s="607">
        <v>34.909999999999997</v>
      </c>
      <c r="F201" s="607">
        <v>34.909999999999997</v>
      </c>
      <c r="G201" s="584">
        <v>15</v>
      </c>
    </row>
    <row r="202" spans="1:7" ht="30" x14ac:dyDescent="0.2">
      <c r="A202" s="583" t="s">
        <v>12749</v>
      </c>
      <c r="B202" s="605" t="s">
        <v>12750</v>
      </c>
      <c r="C202" s="606" t="s">
        <v>12701</v>
      </c>
      <c r="D202" s="607">
        <v>2219.3200000000002</v>
      </c>
      <c r="E202" s="607"/>
      <c r="F202" s="607">
        <v>2219.3200000000002</v>
      </c>
      <c r="G202" s="584">
        <v>15</v>
      </c>
    </row>
    <row r="203" spans="1:7" ht="15" x14ac:dyDescent="0.2">
      <c r="A203" s="583" t="s">
        <v>12751</v>
      </c>
      <c r="B203" s="605" t="s">
        <v>12752</v>
      </c>
      <c r="C203" s="606" t="s">
        <v>12753</v>
      </c>
      <c r="D203" s="607">
        <v>23.39</v>
      </c>
      <c r="E203" s="607">
        <v>5.45</v>
      </c>
      <c r="F203" s="607">
        <v>28.84</v>
      </c>
      <c r="G203" s="584">
        <v>15</v>
      </c>
    </row>
    <row r="204" spans="1:7" ht="30" x14ac:dyDescent="0.2">
      <c r="A204" s="583" t="s">
        <v>12754</v>
      </c>
      <c r="B204" s="605" t="s">
        <v>12755</v>
      </c>
      <c r="C204" s="606" t="s">
        <v>12730</v>
      </c>
      <c r="D204" s="607">
        <v>19.93</v>
      </c>
      <c r="E204" s="607">
        <v>5.45</v>
      </c>
      <c r="F204" s="607">
        <v>25.38</v>
      </c>
      <c r="G204" s="584">
        <v>15</v>
      </c>
    </row>
    <row r="205" spans="1:7" ht="15" x14ac:dyDescent="0.25">
      <c r="A205" s="583" t="s">
        <v>12756</v>
      </c>
      <c r="B205" s="605" t="s">
        <v>12757</v>
      </c>
      <c r="C205" s="606"/>
      <c r="D205" s="607"/>
      <c r="E205" s="607"/>
      <c r="F205" s="607"/>
      <c r="G205" s="582"/>
    </row>
    <row r="206" spans="1:7" ht="30" x14ac:dyDescent="0.2">
      <c r="A206" s="583" t="s">
        <v>12758</v>
      </c>
      <c r="B206" s="605" t="s">
        <v>12759</v>
      </c>
      <c r="C206" s="606" t="s">
        <v>12701</v>
      </c>
      <c r="D206" s="607">
        <v>10063.15</v>
      </c>
      <c r="E206" s="607">
        <v>3861.9</v>
      </c>
      <c r="F206" s="607">
        <v>13925.05</v>
      </c>
      <c r="G206" s="584">
        <v>15</v>
      </c>
    </row>
    <row r="207" spans="1:7" ht="30" x14ac:dyDescent="0.2">
      <c r="A207" s="583" t="s">
        <v>12760</v>
      </c>
      <c r="B207" s="605" t="s">
        <v>12761</v>
      </c>
      <c r="C207" s="606" t="s">
        <v>12701</v>
      </c>
      <c r="D207" s="607">
        <v>18255.63</v>
      </c>
      <c r="E207" s="607">
        <v>3861.9</v>
      </c>
      <c r="F207" s="607">
        <v>22117.53</v>
      </c>
      <c r="G207" s="584">
        <v>15</v>
      </c>
    </row>
    <row r="208" spans="1:7" ht="15" x14ac:dyDescent="0.25">
      <c r="A208" s="583" t="s">
        <v>12762</v>
      </c>
      <c r="B208" s="605" t="s">
        <v>12763</v>
      </c>
      <c r="C208" s="606"/>
      <c r="D208" s="607"/>
      <c r="E208" s="607"/>
      <c r="F208" s="607"/>
      <c r="G208" s="582"/>
    </row>
    <row r="209" spans="1:7" ht="15" x14ac:dyDescent="0.2">
      <c r="A209" s="583" t="s">
        <v>12342</v>
      </c>
      <c r="B209" s="605" t="s">
        <v>12764</v>
      </c>
      <c r="C209" s="606" t="s">
        <v>2</v>
      </c>
      <c r="D209" s="607">
        <v>820.57</v>
      </c>
      <c r="E209" s="607">
        <v>104.34</v>
      </c>
      <c r="F209" s="607">
        <v>924.91</v>
      </c>
      <c r="G209" s="584">
        <v>15</v>
      </c>
    </row>
    <row r="210" spans="1:7" ht="15" x14ac:dyDescent="0.2">
      <c r="A210" s="583" t="s">
        <v>10</v>
      </c>
      <c r="B210" s="605" t="s">
        <v>12765</v>
      </c>
      <c r="C210" s="606" t="s">
        <v>2</v>
      </c>
      <c r="D210" s="607">
        <v>414.53</v>
      </c>
      <c r="E210" s="607">
        <v>29.39</v>
      </c>
      <c r="F210" s="607">
        <v>443.92</v>
      </c>
      <c r="G210" s="584">
        <v>15</v>
      </c>
    </row>
    <row r="211" spans="1:7" ht="15" x14ac:dyDescent="0.2">
      <c r="A211" s="583" t="s">
        <v>12766</v>
      </c>
      <c r="B211" s="605" t="s">
        <v>12767</v>
      </c>
      <c r="C211" s="606" t="s">
        <v>2</v>
      </c>
      <c r="D211" s="607">
        <v>150.56</v>
      </c>
      <c r="E211" s="607">
        <v>59.57</v>
      </c>
      <c r="F211" s="607">
        <v>210.13</v>
      </c>
      <c r="G211" s="584">
        <v>15</v>
      </c>
    </row>
    <row r="212" spans="1:7" ht="15" x14ac:dyDescent="0.25">
      <c r="A212" s="583" t="s">
        <v>12768</v>
      </c>
      <c r="B212" s="605" t="s">
        <v>12769</v>
      </c>
      <c r="C212" s="606"/>
      <c r="D212" s="607"/>
      <c r="E212" s="607"/>
      <c r="F212" s="607"/>
      <c r="G212" s="582"/>
    </row>
    <row r="213" spans="1:7" ht="45" x14ac:dyDescent="0.2">
      <c r="A213" s="583" t="s">
        <v>12356</v>
      </c>
      <c r="B213" s="605" t="s">
        <v>12770</v>
      </c>
      <c r="C213" s="606" t="s">
        <v>2</v>
      </c>
      <c r="D213" s="607">
        <v>2.66</v>
      </c>
      <c r="E213" s="607">
        <v>5.68</v>
      </c>
      <c r="F213" s="607">
        <v>8.34</v>
      </c>
      <c r="G213" s="584">
        <v>15</v>
      </c>
    </row>
    <row r="214" spans="1:7" ht="45" x14ac:dyDescent="0.2">
      <c r="A214" s="583" t="s">
        <v>12771</v>
      </c>
      <c r="B214" s="605" t="s">
        <v>12772</v>
      </c>
      <c r="C214" s="606" t="s">
        <v>12427</v>
      </c>
      <c r="D214" s="607">
        <v>5.0999999999999996</v>
      </c>
      <c r="E214" s="607">
        <v>0.18</v>
      </c>
      <c r="F214" s="607">
        <v>5.28</v>
      </c>
      <c r="G214" s="584">
        <v>15</v>
      </c>
    </row>
    <row r="215" spans="1:7" ht="45" x14ac:dyDescent="0.2">
      <c r="A215" s="583" t="s">
        <v>12773</v>
      </c>
      <c r="B215" s="605" t="s">
        <v>12774</v>
      </c>
      <c r="C215" s="606" t="s">
        <v>12427</v>
      </c>
      <c r="D215" s="607">
        <v>5.61</v>
      </c>
      <c r="E215" s="607">
        <v>0.18</v>
      </c>
      <c r="F215" s="607">
        <v>5.79</v>
      </c>
      <c r="G215" s="584">
        <v>15</v>
      </c>
    </row>
    <row r="216" spans="1:7" ht="15" x14ac:dyDescent="0.2">
      <c r="A216" s="583" t="s">
        <v>12775</v>
      </c>
      <c r="B216" s="605" t="s">
        <v>12776</v>
      </c>
      <c r="C216" s="606" t="s">
        <v>12508</v>
      </c>
      <c r="D216" s="607">
        <v>68.36</v>
      </c>
      <c r="E216" s="607">
        <v>10.220000000000001</v>
      </c>
      <c r="F216" s="607">
        <v>78.58</v>
      </c>
      <c r="G216" s="584">
        <v>15</v>
      </c>
    </row>
    <row r="217" spans="1:7" ht="30" x14ac:dyDescent="0.2">
      <c r="A217" s="583" t="s">
        <v>12777</v>
      </c>
      <c r="B217" s="605" t="s">
        <v>12778</v>
      </c>
      <c r="C217" s="606" t="s">
        <v>12508</v>
      </c>
      <c r="D217" s="607">
        <v>80.52</v>
      </c>
      <c r="E217" s="607">
        <v>12.04</v>
      </c>
      <c r="F217" s="607">
        <v>92.56</v>
      </c>
      <c r="G217" s="584">
        <v>15</v>
      </c>
    </row>
    <row r="218" spans="1:7" ht="15" x14ac:dyDescent="0.25">
      <c r="A218" s="583" t="s">
        <v>12779</v>
      </c>
      <c r="B218" s="605" t="s">
        <v>12780</v>
      </c>
      <c r="C218" s="606"/>
      <c r="D218" s="607"/>
      <c r="E218" s="607"/>
      <c r="F218" s="607"/>
      <c r="G218" s="582"/>
    </row>
    <row r="219" spans="1:7" ht="15" x14ac:dyDescent="0.2">
      <c r="A219" s="583" t="s">
        <v>12781</v>
      </c>
      <c r="B219" s="605" t="s">
        <v>12782</v>
      </c>
      <c r="C219" s="606" t="s">
        <v>2</v>
      </c>
      <c r="D219" s="607">
        <v>11.31</v>
      </c>
      <c r="E219" s="607">
        <v>6.54</v>
      </c>
      <c r="F219" s="607">
        <v>17.850000000000001</v>
      </c>
      <c r="G219" s="584">
        <v>15</v>
      </c>
    </row>
    <row r="220" spans="1:7" ht="15" x14ac:dyDescent="0.2">
      <c r="A220" s="583" t="s">
        <v>12783</v>
      </c>
      <c r="B220" s="605" t="s">
        <v>12784</v>
      </c>
      <c r="C220" s="606" t="s">
        <v>20358</v>
      </c>
      <c r="D220" s="607">
        <v>1.02</v>
      </c>
      <c r="E220" s="607">
        <v>0.46</v>
      </c>
      <c r="F220" s="607">
        <v>1.48</v>
      </c>
      <c r="G220" s="584">
        <v>15</v>
      </c>
    </row>
    <row r="221" spans="1:7" ht="15" x14ac:dyDescent="0.2">
      <c r="A221" s="583" t="s">
        <v>12785</v>
      </c>
      <c r="B221" s="605" t="s">
        <v>12786</v>
      </c>
      <c r="C221" s="606" t="s">
        <v>20358</v>
      </c>
      <c r="D221" s="607">
        <v>1.02</v>
      </c>
      <c r="E221" s="607">
        <v>0.46</v>
      </c>
      <c r="F221" s="607">
        <v>1.48</v>
      </c>
      <c r="G221" s="584">
        <v>15</v>
      </c>
    </row>
    <row r="222" spans="1:7" ht="15" x14ac:dyDescent="0.2">
      <c r="A222" s="583" t="s">
        <v>12787</v>
      </c>
      <c r="B222" s="605" t="s">
        <v>12788</v>
      </c>
      <c r="C222" s="606" t="s">
        <v>2</v>
      </c>
      <c r="D222" s="607">
        <v>0.91</v>
      </c>
      <c r="E222" s="607">
        <v>0.93</v>
      </c>
      <c r="F222" s="607">
        <v>1.84</v>
      </c>
      <c r="G222" s="584">
        <v>15</v>
      </c>
    </row>
    <row r="223" spans="1:7" ht="15" x14ac:dyDescent="0.25">
      <c r="A223" s="583" t="s">
        <v>12789</v>
      </c>
      <c r="B223" s="605" t="s">
        <v>12790</v>
      </c>
      <c r="C223" s="606"/>
      <c r="D223" s="607"/>
      <c r="E223" s="607"/>
      <c r="F223" s="607"/>
      <c r="G223" s="582"/>
    </row>
    <row r="224" spans="1:7" ht="15" x14ac:dyDescent="0.25">
      <c r="A224" s="583" t="s">
        <v>12791</v>
      </c>
      <c r="B224" s="605" t="s">
        <v>12792</v>
      </c>
      <c r="C224" s="606"/>
      <c r="D224" s="607"/>
      <c r="E224" s="607"/>
      <c r="F224" s="607"/>
      <c r="G224" s="582"/>
    </row>
    <row r="225" spans="1:7" ht="15" x14ac:dyDescent="0.2">
      <c r="A225" s="583" t="s">
        <v>12793</v>
      </c>
      <c r="B225" s="605" t="s">
        <v>12794</v>
      </c>
      <c r="C225" s="606" t="s">
        <v>12508</v>
      </c>
      <c r="D225" s="607"/>
      <c r="E225" s="607">
        <v>249.81</v>
      </c>
      <c r="F225" s="607">
        <v>249.81</v>
      </c>
      <c r="G225" s="584">
        <v>15</v>
      </c>
    </row>
    <row r="226" spans="1:7" ht="15" x14ac:dyDescent="0.2">
      <c r="A226" s="583" t="s">
        <v>12795</v>
      </c>
      <c r="B226" s="605" t="s">
        <v>12796</v>
      </c>
      <c r="C226" s="606" t="s">
        <v>12508</v>
      </c>
      <c r="D226" s="607"/>
      <c r="E226" s="607">
        <v>454.2</v>
      </c>
      <c r="F226" s="607">
        <v>454.2</v>
      </c>
      <c r="G226" s="584">
        <v>15</v>
      </c>
    </row>
    <row r="227" spans="1:7" ht="30" x14ac:dyDescent="0.2">
      <c r="A227" s="583" t="s">
        <v>12797</v>
      </c>
      <c r="B227" s="605" t="s">
        <v>12798</v>
      </c>
      <c r="C227" s="606" t="s">
        <v>12427</v>
      </c>
      <c r="D227" s="607"/>
      <c r="E227" s="607">
        <v>34.07</v>
      </c>
      <c r="F227" s="607">
        <v>34.07</v>
      </c>
      <c r="G227" s="584">
        <v>15</v>
      </c>
    </row>
    <row r="228" spans="1:7" ht="45" x14ac:dyDescent="0.2">
      <c r="A228" s="583" t="s">
        <v>12799</v>
      </c>
      <c r="B228" s="605" t="s">
        <v>12800</v>
      </c>
      <c r="C228" s="606" t="s">
        <v>12508</v>
      </c>
      <c r="D228" s="607">
        <v>454.72</v>
      </c>
      <c r="E228" s="607">
        <v>136.26</v>
      </c>
      <c r="F228" s="607">
        <v>590.98</v>
      </c>
      <c r="G228" s="584">
        <v>15</v>
      </c>
    </row>
    <row r="229" spans="1:7" ht="30" x14ac:dyDescent="0.2">
      <c r="A229" s="583" t="s">
        <v>12801</v>
      </c>
      <c r="B229" s="605" t="s">
        <v>12802</v>
      </c>
      <c r="C229" s="606" t="s">
        <v>12508</v>
      </c>
      <c r="D229" s="607">
        <v>433.58</v>
      </c>
      <c r="E229" s="607">
        <v>136.26</v>
      </c>
      <c r="F229" s="607">
        <v>569.84</v>
      </c>
      <c r="G229" s="584">
        <v>15</v>
      </c>
    </row>
    <row r="230" spans="1:7" ht="45" x14ac:dyDescent="0.2">
      <c r="A230" s="583" t="s">
        <v>12803</v>
      </c>
      <c r="B230" s="605" t="s">
        <v>12804</v>
      </c>
      <c r="C230" s="606" t="s">
        <v>12508</v>
      </c>
      <c r="D230" s="607">
        <v>237.93</v>
      </c>
      <c r="E230" s="607">
        <v>90.84</v>
      </c>
      <c r="F230" s="607">
        <v>328.77</v>
      </c>
      <c r="G230" s="584">
        <v>15</v>
      </c>
    </row>
    <row r="231" spans="1:7" ht="30" x14ac:dyDescent="0.2">
      <c r="A231" s="583" t="s">
        <v>12805</v>
      </c>
      <c r="B231" s="605" t="s">
        <v>12806</v>
      </c>
      <c r="C231" s="606" t="s">
        <v>12508</v>
      </c>
      <c r="D231" s="607">
        <v>216.79</v>
      </c>
      <c r="E231" s="607">
        <v>90.84</v>
      </c>
      <c r="F231" s="607">
        <v>307.63</v>
      </c>
      <c r="G231" s="584">
        <v>15</v>
      </c>
    </row>
    <row r="232" spans="1:7" ht="45" x14ac:dyDescent="0.2">
      <c r="A232" s="583" t="s">
        <v>12807</v>
      </c>
      <c r="B232" s="605" t="s">
        <v>12808</v>
      </c>
      <c r="C232" s="606" t="s">
        <v>12427</v>
      </c>
      <c r="D232" s="607">
        <v>23.33</v>
      </c>
      <c r="E232" s="607">
        <v>9.08</v>
      </c>
      <c r="F232" s="607">
        <v>32.409999999999997</v>
      </c>
      <c r="G232" s="584">
        <v>15</v>
      </c>
    </row>
    <row r="233" spans="1:7" ht="30" x14ac:dyDescent="0.2">
      <c r="A233" s="583" t="s">
        <v>12809</v>
      </c>
      <c r="B233" s="605" t="s">
        <v>12810</v>
      </c>
      <c r="C233" s="606" t="s">
        <v>12427</v>
      </c>
      <c r="D233" s="607">
        <v>21.68</v>
      </c>
      <c r="E233" s="607">
        <v>9.08</v>
      </c>
      <c r="F233" s="607">
        <v>30.76</v>
      </c>
      <c r="G233" s="584">
        <v>15</v>
      </c>
    </row>
    <row r="234" spans="1:7" ht="45" x14ac:dyDescent="0.2">
      <c r="A234" s="583" t="s">
        <v>12811</v>
      </c>
      <c r="B234" s="605" t="s">
        <v>12812</v>
      </c>
      <c r="C234" s="606" t="s">
        <v>12508</v>
      </c>
      <c r="D234" s="607">
        <v>233.25</v>
      </c>
      <c r="E234" s="607">
        <v>90.84</v>
      </c>
      <c r="F234" s="607">
        <v>324.08999999999997</v>
      </c>
      <c r="G234" s="584">
        <v>15</v>
      </c>
    </row>
    <row r="235" spans="1:7" ht="30" x14ac:dyDescent="0.2">
      <c r="A235" s="583" t="s">
        <v>12813</v>
      </c>
      <c r="B235" s="605" t="s">
        <v>12814</v>
      </c>
      <c r="C235" s="606" t="s">
        <v>12508</v>
      </c>
      <c r="D235" s="607">
        <v>216.79</v>
      </c>
      <c r="E235" s="607">
        <v>90.84</v>
      </c>
      <c r="F235" s="607">
        <v>307.63</v>
      </c>
      <c r="G235" s="584">
        <v>15</v>
      </c>
    </row>
    <row r="236" spans="1:7" ht="15" x14ac:dyDescent="0.25">
      <c r="A236" s="583" t="s">
        <v>12815</v>
      </c>
      <c r="B236" s="605" t="s">
        <v>12816</v>
      </c>
      <c r="C236" s="606"/>
      <c r="D236" s="607"/>
      <c r="E236" s="607"/>
      <c r="F236" s="607"/>
      <c r="G236" s="582"/>
    </row>
    <row r="237" spans="1:7" ht="15" x14ac:dyDescent="0.2">
      <c r="A237" s="583" t="s">
        <v>12817</v>
      </c>
      <c r="B237" s="605" t="s">
        <v>12818</v>
      </c>
      <c r="C237" s="606" t="s">
        <v>12508</v>
      </c>
      <c r="D237" s="607"/>
      <c r="E237" s="607">
        <v>136.26</v>
      </c>
      <c r="F237" s="607">
        <v>136.26</v>
      </c>
      <c r="G237" s="584">
        <v>15</v>
      </c>
    </row>
    <row r="238" spans="1:7" ht="30" x14ac:dyDescent="0.2">
      <c r="A238" s="583" t="s">
        <v>12819</v>
      </c>
      <c r="B238" s="605" t="s">
        <v>12820</v>
      </c>
      <c r="C238" s="606" t="s">
        <v>12508</v>
      </c>
      <c r="D238" s="607"/>
      <c r="E238" s="607">
        <v>90.84</v>
      </c>
      <c r="F238" s="607">
        <v>90.84</v>
      </c>
      <c r="G238" s="584">
        <v>15</v>
      </c>
    </row>
    <row r="239" spans="1:7" ht="15" x14ac:dyDescent="0.25">
      <c r="A239" s="583" t="s">
        <v>12821</v>
      </c>
      <c r="B239" s="605" t="s">
        <v>12822</v>
      </c>
      <c r="C239" s="606"/>
      <c r="D239" s="607"/>
      <c r="E239" s="607"/>
      <c r="F239" s="607"/>
      <c r="G239" s="582"/>
    </row>
    <row r="240" spans="1:7" ht="15" x14ac:dyDescent="0.2">
      <c r="A240" s="583" t="s">
        <v>12823</v>
      </c>
      <c r="B240" s="605" t="s">
        <v>12824</v>
      </c>
      <c r="C240" s="606" t="s">
        <v>12427</v>
      </c>
      <c r="D240" s="607"/>
      <c r="E240" s="607">
        <v>3.41</v>
      </c>
      <c r="F240" s="607">
        <v>3.41</v>
      </c>
      <c r="G240" s="584">
        <v>15</v>
      </c>
    </row>
    <row r="241" spans="1:7" ht="30" x14ac:dyDescent="0.2">
      <c r="A241" s="583" t="s">
        <v>12825</v>
      </c>
      <c r="B241" s="605" t="s">
        <v>12826</v>
      </c>
      <c r="C241" s="606" t="s">
        <v>12427</v>
      </c>
      <c r="D241" s="607"/>
      <c r="E241" s="607">
        <v>6.81</v>
      </c>
      <c r="F241" s="607">
        <v>6.81</v>
      </c>
      <c r="G241" s="584">
        <v>15</v>
      </c>
    </row>
    <row r="242" spans="1:7" ht="15" x14ac:dyDescent="0.2">
      <c r="A242" s="583" t="s">
        <v>12827</v>
      </c>
      <c r="B242" s="605" t="s">
        <v>12828</v>
      </c>
      <c r="C242" s="606" t="s">
        <v>12427</v>
      </c>
      <c r="D242" s="607"/>
      <c r="E242" s="607">
        <v>11.36</v>
      </c>
      <c r="F242" s="607">
        <v>11.36</v>
      </c>
      <c r="G242" s="584">
        <v>15</v>
      </c>
    </row>
    <row r="243" spans="1:7" ht="15" x14ac:dyDescent="0.25">
      <c r="A243" s="583" t="s">
        <v>12829</v>
      </c>
      <c r="B243" s="605" t="s">
        <v>12830</v>
      </c>
      <c r="C243" s="606"/>
      <c r="D243" s="607"/>
      <c r="E243" s="607"/>
      <c r="F243" s="607"/>
      <c r="G243" s="582"/>
    </row>
    <row r="244" spans="1:7" ht="15" x14ac:dyDescent="0.2">
      <c r="A244" s="583" t="s">
        <v>12831</v>
      </c>
      <c r="B244" s="605" t="s">
        <v>12832</v>
      </c>
      <c r="C244" s="606" t="s">
        <v>12427</v>
      </c>
      <c r="D244" s="607"/>
      <c r="E244" s="607">
        <v>13.63</v>
      </c>
      <c r="F244" s="607">
        <v>13.63</v>
      </c>
      <c r="G244" s="584">
        <v>15</v>
      </c>
    </row>
    <row r="245" spans="1:7" ht="30" x14ac:dyDescent="0.2">
      <c r="A245" s="583" t="s">
        <v>12833</v>
      </c>
      <c r="B245" s="605" t="s">
        <v>12834</v>
      </c>
      <c r="C245" s="606" t="s">
        <v>12427</v>
      </c>
      <c r="D245" s="607"/>
      <c r="E245" s="607">
        <v>11.36</v>
      </c>
      <c r="F245" s="607">
        <v>11.36</v>
      </c>
      <c r="G245" s="584">
        <v>15</v>
      </c>
    </row>
    <row r="246" spans="1:7" ht="30" x14ac:dyDescent="0.2">
      <c r="A246" s="583" t="s">
        <v>12835</v>
      </c>
      <c r="B246" s="605" t="s">
        <v>12836</v>
      </c>
      <c r="C246" s="606" t="s">
        <v>12483</v>
      </c>
      <c r="D246" s="607"/>
      <c r="E246" s="607">
        <v>3.41</v>
      </c>
      <c r="F246" s="607">
        <v>3.41</v>
      </c>
      <c r="G246" s="584">
        <v>15</v>
      </c>
    </row>
    <row r="247" spans="1:7" ht="15" x14ac:dyDescent="0.25">
      <c r="A247" s="583" t="s">
        <v>12837</v>
      </c>
      <c r="B247" s="605" t="s">
        <v>12838</v>
      </c>
      <c r="C247" s="606"/>
      <c r="D247" s="607"/>
      <c r="E247" s="607"/>
      <c r="F247" s="607"/>
      <c r="G247" s="582"/>
    </row>
    <row r="248" spans="1:7" ht="15" x14ac:dyDescent="0.2">
      <c r="A248" s="583" t="s">
        <v>12839</v>
      </c>
      <c r="B248" s="605" t="s">
        <v>12840</v>
      </c>
      <c r="C248" s="606" t="s">
        <v>12427</v>
      </c>
      <c r="D248" s="607"/>
      <c r="E248" s="607">
        <v>9.08</v>
      </c>
      <c r="F248" s="607">
        <v>9.08</v>
      </c>
      <c r="G248" s="584">
        <v>15</v>
      </c>
    </row>
    <row r="249" spans="1:7" ht="15" x14ac:dyDescent="0.25">
      <c r="A249" s="583" t="s">
        <v>12841</v>
      </c>
      <c r="B249" s="605" t="s">
        <v>12842</v>
      </c>
      <c r="C249" s="606"/>
      <c r="D249" s="607"/>
      <c r="E249" s="607"/>
      <c r="F249" s="607"/>
      <c r="G249" s="582"/>
    </row>
    <row r="250" spans="1:7" ht="45" x14ac:dyDescent="0.2">
      <c r="A250" s="583" t="s">
        <v>12843</v>
      </c>
      <c r="B250" s="605" t="s">
        <v>12844</v>
      </c>
      <c r="C250" s="606" t="s">
        <v>12427</v>
      </c>
      <c r="D250" s="607">
        <v>16.95</v>
      </c>
      <c r="E250" s="607">
        <v>11.36</v>
      </c>
      <c r="F250" s="607">
        <v>28.31</v>
      </c>
      <c r="G250" s="584">
        <v>15</v>
      </c>
    </row>
    <row r="251" spans="1:7" ht="45" x14ac:dyDescent="0.2">
      <c r="A251" s="583" t="s">
        <v>12845</v>
      </c>
      <c r="B251" s="605" t="s">
        <v>12846</v>
      </c>
      <c r="C251" s="606" t="s">
        <v>12427</v>
      </c>
      <c r="D251" s="607">
        <v>1.55</v>
      </c>
      <c r="E251" s="607">
        <v>11.36</v>
      </c>
      <c r="F251" s="607">
        <v>12.91</v>
      </c>
      <c r="G251" s="584">
        <v>15</v>
      </c>
    </row>
    <row r="252" spans="1:7" ht="15" x14ac:dyDescent="0.25">
      <c r="A252" s="583" t="s">
        <v>12847</v>
      </c>
      <c r="B252" s="605" t="s">
        <v>12848</v>
      </c>
      <c r="C252" s="606"/>
      <c r="D252" s="607"/>
      <c r="E252" s="607"/>
      <c r="F252" s="607"/>
      <c r="G252" s="582"/>
    </row>
    <row r="253" spans="1:7" ht="45" x14ac:dyDescent="0.2">
      <c r="A253" s="583" t="s">
        <v>12849</v>
      </c>
      <c r="B253" s="605" t="s">
        <v>12850</v>
      </c>
      <c r="C253" s="606" t="s">
        <v>2</v>
      </c>
      <c r="D253" s="607">
        <v>23.95</v>
      </c>
      <c r="E253" s="607">
        <v>4.54</v>
      </c>
      <c r="F253" s="607">
        <v>28.49</v>
      </c>
      <c r="G253" s="584">
        <v>15</v>
      </c>
    </row>
    <row r="254" spans="1:7" ht="30" x14ac:dyDescent="0.2">
      <c r="A254" s="583" t="s">
        <v>12851</v>
      </c>
      <c r="B254" s="605" t="s">
        <v>12852</v>
      </c>
      <c r="C254" s="606" t="s">
        <v>2</v>
      </c>
      <c r="D254" s="607">
        <v>21.68</v>
      </c>
      <c r="E254" s="607">
        <v>4.54</v>
      </c>
      <c r="F254" s="607">
        <v>26.22</v>
      </c>
      <c r="G254" s="584">
        <v>15</v>
      </c>
    </row>
    <row r="255" spans="1:7" ht="45" x14ac:dyDescent="0.2">
      <c r="A255" s="583" t="s">
        <v>12853</v>
      </c>
      <c r="B255" s="605" t="s">
        <v>12854</v>
      </c>
      <c r="C255" s="606" t="s">
        <v>2</v>
      </c>
      <c r="D255" s="607">
        <v>10.95</v>
      </c>
      <c r="E255" s="607">
        <v>1.59</v>
      </c>
      <c r="F255" s="607">
        <v>12.54</v>
      </c>
      <c r="G255" s="584">
        <v>15</v>
      </c>
    </row>
    <row r="256" spans="1:7" ht="30" x14ac:dyDescent="0.2">
      <c r="A256" s="583" t="s">
        <v>12855</v>
      </c>
      <c r="B256" s="605" t="s">
        <v>12856</v>
      </c>
      <c r="C256" s="606" t="s">
        <v>2</v>
      </c>
      <c r="D256" s="607">
        <v>8.3800000000000008</v>
      </c>
      <c r="E256" s="607">
        <v>1.59</v>
      </c>
      <c r="F256" s="607">
        <v>9.9700000000000006</v>
      </c>
      <c r="G256" s="584">
        <v>15</v>
      </c>
    </row>
    <row r="257" spans="1:7" ht="45" x14ac:dyDescent="0.2">
      <c r="A257" s="583" t="s">
        <v>12857</v>
      </c>
      <c r="B257" s="605" t="s">
        <v>12858</v>
      </c>
      <c r="C257" s="606" t="s">
        <v>2</v>
      </c>
      <c r="D257" s="607">
        <v>14.26</v>
      </c>
      <c r="E257" s="607">
        <v>0.68</v>
      </c>
      <c r="F257" s="607">
        <v>14.94</v>
      </c>
      <c r="G257" s="584">
        <v>15</v>
      </c>
    </row>
    <row r="258" spans="1:7" ht="15" x14ac:dyDescent="0.25">
      <c r="A258" s="583" t="s">
        <v>12859</v>
      </c>
      <c r="B258" s="605" t="s">
        <v>12860</v>
      </c>
      <c r="C258" s="606"/>
      <c r="D258" s="607"/>
      <c r="E258" s="607"/>
      <c r="F258" s="607"/>
      <c r="G258" s="582"/>
    </row>
    <row r="259" spans="1:7" ht="30" x14ac:dyDescent="0.2">
      <c r="A259" s="583" t="s">
        <v>12861</v>
      </c>
      <c r="B259" s="605" t="s">
        <v>12862</v>
      </c>
      <c r="C259" s="606" t="s">
        <v>2</v>
      </c>
      <c r="D259" s="607"/>
      <c r="E259" s="607">
        <v>11.81</v>
      </c>
      <c r="F259" s="607">
        <v>11.81</v>
      </c>
      <c r="G259" s="584">
        <v>15</v>
      </c>
    </row>
    <row r="260" spans="1:7" ht="30" x14ac:dyDescent="0.2">
      <c r="A260" s="583" t="s">
        <v>12863</v>
      </c>
      <c r="B260" s="605" t="s">
        <v>12864</v>
      </c>
      <c r="C260" s="606" t="s">
        <v>2</v>
      </c>
      <c r="D260" s="607"/>
      <c r="E260" s="607">
        <v>6.81</v>
      </c>
      <c r="F260" s="607">
        <v>6.81</v>
      </c>
      <c r="G260" s="584">
        <v>15</v>
      </c>
    </row>
    <row r="261" spans="1:7" ht="30" x14ac:dyDescent="0.2">
      <c r="A261" s="583" t="s">
        <v>12865</v>
      </c>
      <c r="B261" s="605" t="s">
        <v>12866</v>
      </c>
      <c r="C261" s="606" t="s">
        <v>2</v>
      </c>
      <c r="D261" s="607"/>
      <c r="E261" s="607">
        <v>6.81</v>
      </c>
      <c r="F261" s="607">
        <v>6.81</v>
      </c>
      <c r="G261" s="584">
        <v>15</v>
      </c>
    </row>
    <row r="262" spans="1:7" ht="30" x14ac:dyDescent="0.2">
      <c r="A262" s="583" t="s">
        <v>12867</v>
      </c>
      <c r="B262" s="605" t="s">
        <v>12868</v>
      </c>
      <c r="C262" s="606" t="s">
        <v>2</v>
      </c>
      <c r="D262" s="607"/>
      <c r="E262" s="607">
        <v>7.49</v>
      </c>
      <c r="F262" s="607">
        <v>7.49</v>
      </c>
      <c r="G262" s="584">
        <v>15</v>
      </c>
    </row>
    <row r="263" spans="1:7" ht="15" x14ac:dyDescent="0.25">
      <c r="A263" s="583" t="s">
        <v>12869</v>
      </c>
      <c r="B263" s="605" t="s">
        <v>12870</v>
      </c>
      <c r="C263" s="606"/>
      <c r="D263" s="607"/>
      <c r="E263" s="607"/>
      <c r="F263" s="607"/>
      <c r="G263" s="582"/>
    </row>
    <row r="264" spans="1:7" ht="15" x14ac:dyDescent="0.2">
      <c r="A264" s="583" t="s">
        <v>12871</v>
      </c>
      <c r="B264" s="605" t="s">
        <v>12872</v>
      </c>
      <c r="C264" s="606" t="s">
        <v>12427</v>
      </c>
      <c r="D264" s="607"/>
      <c r="E264" s="607">
        <v>18.27</v>
      </c>
      <c r="F264" s="607">
        <v>18.27</v>
      </c>
      <c r="G264" s="584">
        <v>15</v>
      </c>
    </row>
    <row r="265" spans="1:7" ht="30" x14ac:dyDescent="0.2">
      <c r="A265" s="583" t="s">
        <v>12873</v>
      </c>
      <c r="B265" s="605" t="s">
        <v>12874</v>
      </c>
      <c r="C265" s="606" t="s">
        <v>12427</v>
      </c>
      <c r="D265" s="607"/>
      <c r="E265" s="607">
        <v>21.92</v>
      </c>
      <c r="F265" s="607">
        <v>21.92</v>
      </c>
      <c r="G265" s="584">
        <v>15</v>
      </c>
    </row>
    <row r="266" spans="1:7" ht="30" x14ac:dyDescent="0.2">
      <c r="A266" s="583" t="s">
        <v>12875</v>
      </c>
      <c r="B266" s="605" t="s">
        <v>12876</v>
      </c>
      <c r="C266" s="606" t="s">
        <v>12483</v>
      </c>
      <c r="D266" s="607"/>
      <c r="E266" s="607">
        <v>7.3</v>
      </c>
      <c r="F266" s="607">
        <v>7.3</v>
      </c>
      <c r="G266" s="584">
        <v>15</v>
      </c>
    </row>
    <row r="267" spans="1:7" ht="15" x14ac:dyDescent="0.25">
      <c r="A267" s="583" t="s">
        <v>12877</v>
      </c>
      <c r="B267" s="605" t="s">
        <v>12878</v>
      </c>
      <c r="C267" s="606"/>
      <c r="D267" s="607"/>
      <c r="E267" s="607"/>
      <c r="F267" s="607"/>
      <c r="G267" s="582"/>
    </row>
    <row r="268" spans="1:7" ht="15" x14ac:dyDescent="0.2">
      <c r="A268" s="583" t="s">
        <v>12879</v>
      </c>
      <c r="B268" s="605" t="s">
        <v>12880</v>
      </c>
      <c r="C268" s="606" t="s">
        <v>12483</v>
      </c>
      <c r="D268" s="607">
        <v>0.08</v>
      </c>
      <c r="E268" s="607">
        <v>1.66</v>
      </c>
      <c r="F268" s="607">
        <v>1.74</v>
      </c>
      <c r="G268" s="584">
        <v>15</v>
      </c>
    </row>
    <row r="269" spans="1:7" ht="30" x14ac:dyDescent="0.2">
      <c r="A269" s="583" t="s">
        <v>12881</v>
      </c>
      <c r="B269" s="605" t="s">
        <v>12882</v>
      </c>
      <c r="C269" s="606" t="s">
        <v>12483</v>
      </c>
      <c r="D269" s="607">
        <v>0.95</v>
      </c>
      <c r="E269" s="607">
        <v>1.66</v>
      </c>
      <c r="F269" s="607">
        <v>2.61</v>
      </c>
      <c r="G269" s="584">
        <v>15</v>
      </c>
    </row>
    <row r="270" spans="1:7" ht="30" x14ac:dyDescent="0.2">
      <c r="A270" s="583" t="s">
        <v>12883</v>
      </c>
      <c r="B270" s="605" t="s">
        <v>12884</v>
      </c>
      <c r="C270" s="606" t="s">
        <v>12427</v>
      </c>
      <c r="D270" s="607">
        <v>4.7300000000000004</v>
      </c>
      <c r="E270" s="607">
        <v>13.25</v>
      </c>
      <c r="F270" s="607">
        <v>17.98</v>
      </c>
      <c r="G270" s="584">
        <v>15</v>
      </c>
    </row>
    <row r="271" spans="1:7" ht="30" x14ac:dyDescent="0.2">
      <c r="A271" s="583" t="s">
        <v>12885</v>
      </c>
      <c r="B271" s="605" t="s">
        <v>12886</v>
      </c>
      <c r="C271" s="606" t="s">
        <v>12427</v>
      </c>
      <c r="D271" s="607">
        <v>0.39</v>
      </c>
      <c r="E271" s="607">
        <v>9.94</v>
      </c>
      <c r="F271" s="607">
        <v>10.33</v>
      </c>
      <c r="G271" s="584">
        <v>15</v>
      </c>
    </row>
    <row r="272" spans="1:7" ht="15" x14ac:dyDescent="0.2">
      <c r="A272" s="583" t="s">
        <v>12887</v>
      </c>
      <c r="B272" s="605" t="s">
        <v>12888</v>
      </c>
      <c r="C272" s="606" t="s">
        <v>12427</v>
      </c>
      <c r="D272" s="607">
        <v>4.7300000000000004</v>
      </c>
      <c r="E272" s="607">
        <v>9.94</v>
      </c>
      <c r="F272" s="607">
        <v>14.67</v>
      </c>
      <c r="G272" s="584">
        <v>15</v>
      </c>
    </row>
    <row r="273" spans="1:7" ht="15" x14ac:dyDescent="0.2">
      <c r="A273" s="583" t="s">
        <v>12889</v>
      </c>
      <c r="B273" s="605" t="s">
        <v>12890</v>
      </c>
      <c r="C273" s="606" t="s">
        <v>12427</v>
      </c>
      <c r="D273" s="607">
        <v>0.39</v>
      </c>
      <c r="E273" s="607">
        <v>6.62</v>
      </c>
      <c r="F273" s="607">
        <v>7.01</v>
      </c>
      <c r="G273" s="584">
        <v>15</v>
      </c>
    </row>
    <row r="274" spans="1:7" ht="15" x14ac:dyDescent="0.25">
      <c r="A274" s="583" t="s">
        <v>12891</v>
      </c>
      <c r="B274" s="605" t="s">
        <v>12892</v>
      </c>
      <c r="C274" s="606"/>
      <c r="D274" s="607"/>
      <c r="E274" s="607"/>
      <c r="F274" s="607"/>
      <c r="G274" s="582"/>
    </row>
    <row r="275" spans="1:7" ht="15" x14ac:dyDescent="0.2">
      <c r="A275" s="583" t="s">
        <v>12893</v>
      </c>
      <c r="B275" s="605" t="s">
        <v>12894</v>
      </c>
      <c r="C275" s="606" t="s">
        <v>12427</v>
      </c>
      <c r="D275" s="607">
        <v>97.73</v>
      </c>
      <c r="E275" s="607"/>
      <c r="F275" s="607">
        <v>97.73</v>
      </c>
      <c r="G275" s="584">
        <v>15</v>
      </c>
    </row>
    <row r="276" spans="1:7" ht="15" x14ac:dyDescent="0.2">
      <c r="A276" s="583" t="s">
        <v>12895</v>
      </c>
      <c r="B276" s="605" t="s">
        <v>12896</v>
      </c>
      <c r="C276" s="606" t="s">
        <v>12375</v>
      </c>
      <c r="D276" s="607">
        <v>3.85</v>
      </c>
      <c r="E276" s="607">
        <v>10.07</v>
      </c>
      <c r="F276" s="607">
        <v>13.92</v>
      </c>
      <c r="G276" s="584">
        <v>15</v>
      </c>
    </row>
    <row r="277" spans="1:7" ht="15" x14ac:dyDescent="0.25">
      <c r="A277" s="583" t="s">
        <v>12897</v>
      </c>
      <c r="B277" s="605" t="s">
        <v>12898</v>
      </c>
      <c r="C277" s="606"/>
      <c r="D277" s="607"/>
      <c r="E277" s="607"/>
      <c r="F277" s="607"/>
      <c r="G277" s="582"/>
    </row>
    <row r="278" spans="1:7" ht="15" x14ac:dyDescent="0.25">
      <c r="A278" s="583" t="s">
        <v>12899</v>
      </c>
      <c r="B278" s="605" t="s">
        <v>12900</v>
      </c>
      <c r="C278" s="606"/>
      <c r="D278" s="607"/>
      <c r="E278" s="607"/>
      <c r="F278" s="607"/>
      <c r="G278" s="582"/>
    </row>
    <row r="279" spans="1:7" ht="30" x14ac:dyDescent="0.2">
      <c r="A279" s="583" t="s">
        <v>12901</v>
      </c>
      <c r="B279" s="605" t="s">
        <v>12902</v>
      </c>
      <c r="C279" s="606" t="s">
        <v>12427</v>
      </c>
      <c r="D279" s="607"/>
      <c r="E279" s="607">
        <v>41.46</v>
      </c>
      <c r="F279" s="607">
        <v>41.46</v>
      </c>
      <c r="G279" s="584">
        <v>15</v>
      </c>
    </row>
    <row r="280" spans="1:7" ht="30" x14ac:dyDescent="0.2">
      <c r="A280" s="583" t="s">
        <v>12903</v>
      </c>
      <c r="B280" s="605" t="s">
        <v>12904</v>
      </c>
      <c r="C280" s="606" t="s">
        <v>12427</v>
      </c>
      <c r="D280" s="607"/>
      <c r="E280" s="607">
        <v>35.93</v>
      </c>
      <c r="F280" s="607">
        <v>35.93</v>
      </c>
      <c r="G280" s="584">
        <v>15</v>
      </c>
    </row>
    <row r="281" spans="1:7" ht="30" x14ac:dyDescent="0.2">
      <c r="A281" s="583" t="s">
        <v>12905</v>
      </c>
      <c r="B281" s="605" t="s">
        <v>12906</v>
      </c>
      <c r="C281" s="606" t="s">
        <v>12427</v>
      </c>
      <c r="D281" s="607"/>
      <c r="E281" s="607">
        <v>22.11</v>
      </c>
      <c r="F281" s="607">
        <v>22.11</v>
      </c>
      <c r="G281" s="584">
        <v>15</v>
      </c>
    </row>
    <row r="282" spans="1:7" ht="30" x14ac:dyDescent="0.2">
      <c r="A282" s="583" t="s">
        <v>12907</v>
      </c>
      <c r="B282" s="605" t="s">
        <v>12908</v>
      </c>
      <c r="C282" s="606" t="s">
        <v>12427</v>
      </c>
      <c r="D282" s="607">
        <v>2.63</v>
      </c>
      <c r="E282" s="607">
        <v>0.77</v>
      </c>
      <c r="F282" s="607">
        <v>3.4</v>
      </c>
      <c r="G282" s="584">
        <v>15</v>
      </c>
    </row>
    <row r="283" spans="1:7" ht="30" x14ac:dyDescent="0.2">
      <c r="A283" s="583" t="s">
        <v>12909</v>
      </c>
      <c r="B283" s="605" t="s">
        <v>12910</v>
      </c>
      <c r="C283" s="606" t="s">
        <v>12483</v>
      </c>
      <c r="D283" s="607"/>
      <c r="E283" s="607">
        <v>4.79</v>
      </c>
      <c r="F283" s="607">
        <v>4.79</v>
      </c>
      <c r="G283" s="584">
        <v>15</v>
      </c>
    </row>
    <row r="284" spans="1:7" ht="15" x14ac:dyDescent="0.2">
      <c r="A284" s="583" t="s">
        <v>12911</v>
      </c>
      <c r="B284" s="605" t="s">
        <v>12912</v>
      </c>
      <c r="C284" s="606" t="s">
        <v>12483</v>
      </c>
      <c r="D284" s="607"/>
      <c r="E284" s="607">
        <v>14.08</v>
      </c>
      <c r="F284" s="607">
        <v>14.08</v>
      </c>
      <c r="G284" s="584">
        <v>15</v>
      </c>
    </row>
    <row r="285" spans="1:7" ht="30" x14ac:dyDescent="0.25">
      <c r="A285" s="583" t="s">
        <v>12913</v>
      </c>
      <c r="B285" s="605" t="s">
        <v>12914</v>
      </c>
      <c r="C285" s="606"/>
      <c r="D285" s="607"/>
      <c r="E285" s="607"/>
      <c r="F285" s="607"/>
      <c r="G285" s="582"/>
    </row>
    <row r="286" spans="1:7" ht="15" x14ac:dyDescent="0.2">
      <c r="A286" s="583" t="s">
        <v>12915</v>
      </c>
      <c r="B286" s="605" t="s">
        <v>12916</v>
      </c>
      <c r="C286" s="606" t="s">
        <v>12483</v>
      </c>
      <c r="D286" s="607"/>
      <c r="E286" s="607">
        <v>1.51</v>
      </c>
      <c r="F286" s="607">
        <v>1.51</v>
      </c>
      <c r="G286" s="584">
        <v>15</v>
      </c>
    </row>
    <row r="287" spans="1:7" ht="30" x14ac:dyDescent="0.2">
      <c r="A287" s="583" t="s">
        <v>12917</v>
      </c>
      <c r="B287" s="605" t="s">
        <v>12918</v>
      </c>
      <c r="C287" s="606" t="s">
        <v>12483</v>
      </c>
      <c r="D287" s="607"/>
      <c r="E287" s="607">
        <v>5.03</v>
      </c>
      <c r="F287" s="607">
        <v>5.03</v>
      </c>
      <c r="G287" s="584">
        <v>15</v>
      </c>
    </row>
    <row r="288" spans="1:7" ht="15" x14ac:dyDescent="0.2">
      <c r="A288" s="583" t="s">
        <v>12919</v>
      </c>
      <c r="B288" s="605" t="s">
        <v>12920</v>
      </c>
      <c r="C288" s="606" t="s">
        <v>12427</v>
      </c>
      <c r="D288" s="607"/>
      <c r="E288" s="607">
        <v>27.69</v>
      </c>
      <c r="F288" s="607">
        <v>27.69</v>
      </c>
      <c r="G288" s="584">
        <v>15</v>
      </c>
    </row>
    <row r="289" spans="1:7" ht="30" x14ac:dyDescent="0.2">
      <c r="A289" s="583" t="s">
        <v>12921</v>
      </c>
      <c r="B289" s="605" t="s">
        <v>12922</v>
      </c>
      <c r="C289" s="606" t="s">
        <v>12427</v>
      </c>
      <c r="D289" s="607"/>
      <c r="E289" s="607">
        <v>22.66</v>
      </c>
      <c r="F289" s="607">
        <v>22.66</v>
      </c>
      <c r="G289" s="584">
        <v>15</v>
      </c>
    </row>
    <row r="290" spans="1:7" ht="30" x14ac:dyDescent="0.2">
      <c r="A290" s="583" t="s">
        <v>12923</v>
      </c>
      <c r="B290" s="605" t="s">
        <v>12924</v>
      </c>
      <c r="C290" s="606" t="s">
        <v>12427</v>
      </c>
      <c r="D290" s="607"/>
      <c r="E290" s="607">
        <v>20.14</v>
      </c>
      <c r="F290" s="607">
        <v>20.14</v>
      </c>
      <c r="G290" s="584">
        <v>15</v>
      </c>
    </row>
    <row r="291" spans="1:7" ht="30" x14ac:dyDescent="0.2">
      <c r="A291" s="583" t="s">
        <v>12925</v>
      </c>
      <c r="B291" s="605" t="s">
        <v>12926</v>
      </c>
      <c r="C291" s="606" t="s">
        <v>12427</v>
      </c>
      <c r="D291" s="607"/>
      <c r="E291" s="607">
        <v>15.1</v>
      </c>
      <c r="F291" s="607">
        <v>15.1</v>
      </c>
      <c r="G291" s="584">
        <v>15</v>
      </c>
    </row>
    <row r="292" spans="1:7" ht="15" x14ac:dyDescent="0.2">
      <c r="A292" s="583" t="s">
        <v>12927</v>
      </c>
      <c r="B292" s="605" t="s">
        <v>12928</v>
      </c>
      <c r="C292" s="606" t="s">
        <v>12929</v>
      </c>
      <c r="D292" s="607">
        <v>2.5299999999999998</v>
      </c>
      <c r="E292" s="607"/>
      <c r="F292" s="607">
        <v>2.5299999999999998</v>
      </c>
      <c r="G292" s="584">
        <v>15</v>
      </c>
    </row>
    <row r="293" spans="1:7" ht="15" x14ac:dyDescent="0.25">
      <c r="A293" s="583" t="s">
        <v>12930</v>
      </c>
      <c r="B293" s="605" t="s">
        <v>12931</v>
      </c>
      <c r="C293" s="606"/>
      <c r="D293" s="607"/>
      <c r="E293" s="607"/>
      <c r="F293" s="607"/>
      <c r="G293" s="582"/>
    </row>
    <row r="294" spans="1:7" ht="15" x14ac:dyDescent="0.2">
      <c r="A294" s="583" t="s">
        <v>12932</v>
      </c>
      <c r="B294" s="605" t="s">
        <v>12933</v>
      </c>
      <c r="C294" s="606" t="s">
        <v>12427</v>
      </c>
      <c r="D294" s="607"/>
      <c r="E294" s="607">
        <v>18.170000000000002</v>
      </c>
      <c r="F294" s="607">
        <v>18.170000000000002</v>
      </c>
      <c r="G294" s="584">
        <v>15</v>
      </c>
    </row>
    <row r="295" spans="1:7" ht="30" x14ac:dyDescent="0.2">
      <c r="A295" s="583" t="s">
        <v>12934</v>
      </c>
      <c r="B295" s="605" t="s">
        <v>12935</v>
      </c>
      <c r="C295" s="606" t="s">
        <v>12427</v>
      </c>
      <c r="D295" s="607"/>
      <c r="E295" s="607">
        <v>9.08</v>
      </c>
      <c r="F295" s="607">
        <v>9.08</v>
      </c>
      <c r="G295" s="584">
        <v>15</v>
      </c>
    </row>
    <row r="296" spans="1:7" ht="15" x14ac:dyDescent="0.2">
      <c r="A296" s="583" t="s">
        <v>12936</v>
      </c>
      <c r="B296" s="605" t="s">
        <v>12937</v>
      </c>
      <c r="C296" s="606" t="s">
        <v>12483</v>
      </c>
      <c r="D296" s="607"/>
      <c r="E296" s="607">
        <v>6.81</v>
      </c>
      <c r="F296" s="607">
        <v>6.81</v>
      </c>
      <c r="G296" s="584">
        <v>15</v>
      </c>
    </row>
    <row r="297" spans="1:7" ht="15" x14ac:dyDescent="0.2">
      <c r="A297" s="583" t="s">
        <v>12938</v>
      </c>
      <c r="B297" s="605" t="s">
        <v>12939</v>
      </c>
      <c r="C297" s="606" t="s">
        <v>12483</v>
      </c>
      <c r="D297" s="607"/>
      <c r="E297" s="607">
        <v>11.36</v>
      </c>
      <c r="F297" s="607">
        <v>11.36</v>
      </c>
      <c r="G297" s="584">
        <v>15</v>
      </c>
    </row>
    <row r="298" spans="1:7" ht="30" x14ac:dyDescent="0.2">
      <c r="A298" s="583" t="s">
        <v>12940</v>
      </c>
      <c r="B298" s="605" t="s">
        <v>12941</v>
      </c>
      <c r="C298" s="606" t="s">
        <v>12427</v>
      </c>
      <c r="D298" s="607"/>
      <c r="E298" s="607">
        <v>13.82</v>
      </c>
      <c r="F298" s="607">
        <v>13.82</v>
      </c>
      <c r="G298" s="584">
        <v>15</v>
      </c>
    </row>
    <row r="299" spans="1:7" ht="15" x14ac:dyDescent="0.25">
      <c r="A299" s="583" t="s">
        <v>12942</v>
      </c>
      <c r="B299" s="605" t="s">
        <v>12943</v>
      </c>
      <c r="C299" s="606"/>
      <c r="D299" s="607"/>
      <c r="E299" s="607"/>
      <c r="F299" s="607"/>
      <c r="G299" s="582"/>
    </row>
    <row r="300" spans="1:7" ht="30" x14ac:dyDescent="0.2">
      <c r="A300" s="583" t="s">
        <v>12944</v>
      </c>
      <c r="B300" s="605" t="s">
        <v>12945</v>
      </c>
      <c r="C300" s="606" t="s">
        <v>12427</v>
      </c>
      <c r="D300" s="607"/>
      <c r="E300" s="607">
        <v>48.58</v>
      </c>
      <c r="F300" s="607">
        <v>48.58</v>
      </c>
      <c r="G300" s="584">
        <v>15</v>
      </c>
    </row>
    <row r="301" spans="1:7" ht="30" x14ac:dyDescent="0.2">
      <c r="A301" s="583" t="s">
        <v>12946</v>
      </c>
      <c r="B301" s="605" t="s">
        <v>12947</v>
      </c>
      <c r="C301" s="606" t="s">
        <v>12427</v>
      </c>
      <c r="D301" s="607"/>
      <c r="E301" s="607">
        <v>29.52</v>
      </c>
      <c r="F301" s="607">
        <v>29.52</v>
      </c>
      <c r="G301" s="584">
        <v>15</v>
      </c>
    </row>
    <row r="302" spans="1:7" ht="15" x14ac:dyDescent="0.2">
      <c r="A302" s="583" t="s">
        <v>12948</v>
      </c>
      <c r="B302" s="605" t="s">
        <v>12949</v>
      </c>
      <c r="C302" s="606" t="s">
        <v>12483</v>
      </c>
      <c r="D302" s="607"/>
      <c r="E302" s="607">
        <v>20.440000000000001</v>
      </c>
      <c r="F302" s="607">
        <v>20.440000000000001</v>
      </c>
      <c r="G302" s="584">
        <v>15</v>
      </c>
    </row>
    <row r="303" spans="1:7" ht="15" x14ac:dyDescent="0.2">
      <c r="A303" s="583" t="s">
        <v>12950</v>
      </c>
      <c r="B303" s="605" t="s">
        <v>12951</v>
      </c>
      <c r="C303" s="606" t="s">
        <v>12483</v>
      </c>
      <c r="D303" s="607"/>
      <c r="E303" s="607">
        <v>22.71</v>
      </c>
      <c r="F303" s="607">
        <v>22.71</v>
      </c>
      <c r="G303" s="584">
        <v>15</v>
      </c>
    </row>
    <row r="304" spans="1:7" ht="15" x14ac:dyDescent="0.2">
      <c r="A304" s="583" t="s">
        <v>12952</v>
      </c>
      <c r="B304" s="605" t="s">
        <v>12953</v>
      </c>
      <c r="C304" s="606" t="s">
        <v>12483</v>
      </c>
      <c r="D304" s="607"/>
      <c r="E304" s="607">
        <v>18.170000000000002</v>
      </c>
      <c r="F304" s="607">
        <v>18.170000000000002</v>
      </c>
      <c r="G304" s="584">
        <v>15</v>
      </c>
    </row>
    <row r="305" spans="1:7" ht="15" x14ac:dyDescent="0.25">
      <c r="A305" s="583" t="s">
        <v>12954</v>
      </c>
      <c r="B305" s="605" t="s">
        <v>12955</v>
      </c>
      <c r="C305" s="606"/>
      <c r="D305" s="607"/>
      <c r="E305" s="607"/>
      <c r="F305" s="607"/>
      <c r="G305" s="582"/>
    </row>
    <row r="306" spans="1:7" ht="15" x14ac:dyDescent="0.2">
      <c r="A306" s="583" t="s">
        <v>12956</v>
      </c>
      <c r="B306" s="605" t="s">
        <v>12957</v>
      </c>
      <c r="C306" s="606" t="s">
        <v>12427</v>
      </c>
      <c r="D306" s="607"/>
      <c r="E306" s="607">
        <v>63.69</v>
      </c>
      <c r="F306" s="607">
        <v>63.69</v>
      </c>
      <c r="G306" s="584">
        <v>15</v>
      </c>
    </row>
    <row r="307" spans="1:7" ht="15" x14ac:dyDescent="0.2">
      <c r="A307" s="583" t="s">
        <v>12958</v>
      </c>
      <c r="B307" s="605" t="s">
        <v>12959</v>
      </c>
      <c r="C307" s="606" t="s">
        <v>12427</v>
      </c>
      <c r="D307" s="607"/>
      <c r="E307" s="607">
        <v>13.63</v>
      </c>
      <c r="F307" s="607">
        <v>13.63</v>
      </c>
      <c r="G307" s="584">
        <v>15</v>
      </c>
    </row>
    <row r="308" spans="1:7" ht="15" x14ac:dyDescent="0.2">
      <c r="A308" s="583" t="s">
        <v>12960</v>
      </c>
      <c r="B308" s="605" t="s">
        <v>12961</v>
      </c>
      <c r="C308" s="606" t="s">
        <v>12427</v>
      </c>
      <c r="D308" s="607"/>
      <c r="E308" s="607">
        <v>17.62</v>
      </c>
      <c r="F308" s="607">
        <v>17.62</v>
      </c>
      <c r="G308" s="584">
        <v>15</v>
      </c>
    </row>
    <row r="309" spans="1:7" ht="15" x14ac:dyDescent="0.2">
      <c r="A309" s="583" t="s">
        <v>12962</v>
      </c>
      <c r="B309" s="605" t="s">
        <v>12963</v>
      </c>
      <c r="C309" s="606" t="s">
        <v>12427</v>
      </c>
      <c r="D309" s="607"/>
      <c r="E309" s="607">
        <v>30.21</v>
      </c>
      <c r="F309" s="607">
        <v>30.21</v>
      </c>
      <c r="G309" s="584">
        <v>15</v>
      </c>
    </row>
    <row r="310" spans="1:7" ht="15" x14ac:dyDescent="0.2">
      <c r="A310" s="583" t="s">
        <v>12964</v>
      </c>
      <c r="B310" s="605" t="s">
        <v>12965</v>
      </c>
      <c r="C310" s="606" t="s">
        <v>12483</v>
      </c>
      <c r="D310" s="607"/>
      <c r="E310" s="607">
        <v>15.1</v>
      </c>
      <c r="F310" s="607">
        <v>15.1</v>
      </c>
      <c r="G310" s="584">
        <v>15</v>
      </c>
    </row>
    <row r="311" spans="1:7" ht="15" x14ac:dyDescent="0.2">
      <c r="A311" s="583" t="s">
        <v>12966</v>
      </c>
      <c r="B311" s="605" t="s">
        <v>12967</v>
      </c>
      <c r="C311" s="606" t="s">
        <v>12483</v>
      </c>
      <c r="D311" s="607"/>
      <c r="E311" s="607">
        <v>3.41</v>
      </c>
      <c r="F311" s="607">
        <v>3.41</v>
      </c>
      <c r="G311" s="584">
        <v>15</v>
      </c>
    </row>
    <row r="312" spans="1:7" ht="15" x14ac:dyDescent="0.25">
      <c r="A312" s="583" t="s">
        <v>12968</v>
      </c>
      <c r="B312" s="605" t="s">
        <v>12969</v>
      </c>
      <c r="C312" s="606"/>
      <c r="D312" s="607"/>
      <c r="E312" s="607"/>
      <c r="F312" s="607"/>
      <c r="G312" s="582"/>
    </row>
    <row r="313" spans="1:7" ht="15" x14ac:dyDescent="0.2">
      <c r="A313" s="583" t="s">
        <v>12970</v>
      </c>
      <c r="B313" s="605" t="s">
        <v>12971</v>
      </c>
      <c r="C313" s="606" t="s">
        <v>12427</v>
      </c>
      <c r="D313" s="607"/>
      <c r="E313" s="607">
        <v>63.69</v>
      </c>
      <c r="F313" s="607">
        <v>63.69</v>
      </c>
      <c r="G313" s="584">
        <v>15</v>
      </c>
    </row>
    <row r="314" spans="1:7" ht="15" x14ac:dyDescent="0.2">
      <c r="A314" s="583" t="s">
        <v>12972</v>
      </c>
      <c r="B314" s="605" t="s">
        <v>12973</v>
      </c>
      <c r="C314" s="606" t="s">
        <v>12427</v>
      </c>
      <c r="D314" s="607"/>
      <c r="E314" s="607">
        <v>5.03</v>
      </c>
      <c r="F314" s="607">
        <v>5.03</v>
      </c>
      <c r="G314" s="584">
        <v>15</v>
      </c>
    </row>
    <row r="315" spans="1:7" ht="15" x14ac:dyDescent="0.2">
      <c r="A315" s="583" t="s">
        <v>12974</v>
      </c>
      <c r="B315" s="605" t="s">
        <v>12975</v>
      </c>
      <c r="C315" s="606" t="s">
        <v>12483</v>
      </c>
      <c r="D315" s="607"/>
      <c r="E315" s="607">
        <v>4.68</v>
      </c>
      <c r="F315" s="607">
        <v>4.68</v>
      </c>
      <c r="G315" s="584">
        <v>15</v>
      </c>
    </row>
    <row r="316" spans="1:7" ht="15" x14ac:dyDescent="0.2">
      <c r="A316" s="583" t="s">
        <v>12976</v>
      </c>
      <c r="B316" s="605" t="s">
        <v>12977</v>
      </c>
      <c r="C316" s="606" t="s">
        <v>12483</v>
      </c>
      <c r="D316" s="607"/>
      <c r="E316" s="607">
        <v>1.1399999999999999</v>
      </c>
      <c r="F316" s="607">
        <v>1.1399999999999999</v>
      </c>
      <c r="G316" s="584">
        <v>15</v>
      </c>
    </row>
    <row r="317" spans="1:7" ht="30" x14ac:dyDescent="0.2">
      <c r="A317" s="583" t="s">
        <v>12978</v>
      </c>
      <c r="B317" s="605" t="s">
        <v>12979</v>
      </c>
      <c r="C317" s="606" t="s">
        <v>12427</v>
      </c>
      <c r="D317" s="607"/>
      <c r="E317" s="607">
        <v>55.16</v>
      </c>
      <c r="F317" s="607">
        <v>55.16</v>
      </c>
      <c r="G317" s="584">
        <v>15</v>
      </c>
    </row>
    <row r="318" spans="1:7" ht="15" x14ac:dyDescent="0.25">
      <c r="A318" s="583" t="s">
        <v>12980</v>
      </c>
      <c r="B318" s="605" t="s">
        <v>12981</v>
      </c>
      <c r="C318" s="606"/>
      <c r="D318" s="607"/>
      <c r="E318" s="607"/>
      <c r="F318" s="607"/>
      <c r="G318" s="582"/>
    </row>
    <row r="319" spans="1:7" ht="15" x14ac:dyDescent="0.2">
      <c r="A319" s="583" t="s">
        <v>12982</v>
      </c>
      <c r="B319" s="605" t="s">
        <v>12983</v>
      </c>
      <c r="C319" s="606" t="s">
        <v>12427</v>
      </c>
      <c r="D319" s="607"/>
      <c r="E319" s="607">
        <v>14.1</v>
      </c>
      <c r="F319" s="607">
        <v>14.1</v>
      </c>
      <c r="G319" s="584">
        <v>15</v>
      </c>
    </row>
    <row r="320" spans="1:7" ht="15" x14ac:dyDescent="0.2">
      <c r="A320" s="583" t="s">
        <v>12984</v>
      </c>
      <c r="B320" s="605" t="s">
        <v>12985</v>
      </c>
      <c r="C320" s="606" t="s">
        <v>12427</v>
      </c>
      <c r="D320" s="607"/>
      <c r="E320" s="607">
        <v>7.56</v>
      </c>
      <c r="F320" s="607">
        <v>7.56</v>
      </c>
      <c r="G320" s="584">
        <v>15</v>
      </c>
    </row>
    <row r="321" spans="1:7" ht="15" x14ac:dyDescent="0.2">
      <c r="A321" s="583" t="s">
        <v>12986</v>
      </c>
      <c r="B321" s="605" t="s">
        <v>12987</v>
      </c>
      <c r="C321" s="606" t="s">
        <v>12427</v>
      </c>
      <c r="D321" s="607"/>
      <c r="E321" s="607">
        <v>5.68</v>
      </c>
      <c r="F321" s="607">
        <v>5.68</v>
      </c>
      <c r="G321" s="584">
        <v>15</v>
      </c>
    </row>
    <row r="322" spans="1:7" ht="15" x14ac:dyDescent="0.25">
      <c r="A322" s="583" t="s">
        <v>12988</v>
      </c>
      <c r="B322" s="605" t="s">
        <v>12989</v>
      </c>
      <c r="C322" s="606"/>
      <c r="D322" s="607"/>
      <c r="E322" s="607"/>
      <c r="F322" s="607"/>
      <c r="G322" s="582"/>
    </row>
    <row r="323" spans="1:7" ht="15" x14ac:dyDescent="0.2">
      <c r="A323" s="583" t="s">
        <v>12990</v>
      </c>
      <c r="B323" s="605" t="s">
        <v>12991</v>
      </c>
      <c r="C323" s="606" t="s">
        <v>12375</v>
      </c>
      <c r="D323" s="607"/>
      <c r="E323" s="607">
        <v>25.18</v>
      </c>
      <c r="F323" s="607">
        <v>25.18</v>
      </c>
      <c r="G323" s="584">
        <v>15</v>
      </c>
    </row>
    <row r="324" spans="1:7" ht="30" x14ac:dyDescent="0.2">
      <c r="A324" s="583" t="s">
        <v>12992</v>
      </c>
      <c r="B324" s="605" t="s">
        <v>12993</v>
      </c>
      <c r="C324" s="606" t="s">
        <v>12483</v>
      </c>
      <c r="D324" s="607"/>
      <c r="E324" s="607">
        <v>1.93</v>
      </c>
      <c r="F324" s="607">
        <v>1.93</v>
      </c>
      <c r="G324" s="584">
        <v>15</v>
      </c>
    </row>
    <row r="325" spans="1:7" ht="30" x14ac:dyDescent="0.2">
      <c r="A325" s="583" t="s">
        <v>12994</v>
      </c>
      <c r="B325" s="605" t="s">
        <v>12995</v>
      </c>
      <c r="C325" s="606" t="s">
        <v>12483</v>
      </c>
      <c r="D325" s="607"/>
      <c r="E325" s="607">
        <v>15.1</v>
      </c>
      <c r="F325" s="607">
        <v>15.1</v>
      </c>
      <c r="G325" s="584">
        <v>15</v>
      </c>
    </row>
    <row r="326" spans="1:7" ht="30" x14ac:dyDescent="0.2">
      <c r="A326" s="583" t="s">
        <v>12996</v>
      </c>
      <c r="B326" s="605" t="s">
        <v>12997</v>
      </c>
      <c r="C326" s="606" t="s">
        <v>12427</v>
      </c>
      <c r="D326" s="607"/>
      <c r="E326" s="607">
        <v>6.81</v>
      </c>
      <c r="F326" s="607">
        <v>6.81</v>
      </c>
      <c r="G326" s="584">
        <v>15</v>
      </c>
    </row>
    <row r="327" spans="1:7" ht="15" x14ac:dyDescent="0.2">
      <c r="A327" s="583" t="s">
        <v>12998</v>
      </c>
      <c r="B327" s="605" t="s">
        <v>12999</v>
      </c>
      <c r="C327" s="606" t="s">
        <v>12427</v>
      </c>
      <c r="D327" s="607"/>
      <c r="E327" s="607">
        <v>22.66</v>
      </c>
      <c r="F327" s="607">
        <v>22.66</v>
      </c>
      <c r="G327" s="584">
        <v>15</v>
      </c>
    </row>
    <row r="328" spans="1:7" ht="15" x14ac:dyDescent="0.25">
      <c r="A328" s="583" t="s">
        <v>13000</v>
      </c>
      <c r="B328" s="605" t="s">
        <v>13001</v>
      </c>
      <c r="C328" s="606"/>
      <c r="D328" s="607"/>
      <c r="E328" s="607"/>
      <c r="F328" s="607"/>
      <c r="G328" s="582"/>
    </row>
    <row r="329" spans="1:7" ht="15" x14ac:dyDescent="0.2">
      <c r="A329" s="583" t="s">
        <v>13002</v>
      </c>
      <c r="B329" s="605" t="s">
        <v>13003</v>
      </c>
      <c r="C329" s="606" t="s">
        <v>12427</v>
      </c>
      <c r="D329" s="607"/>
      <c r="E329" s="607">
        <v>35.25</v>
      </c>
      <c r="F329" s="607">
        <v>35.25</v>
      </c>
      <c r="G329" s="584">
        <v>15</v>
      </c>
    </row>
    <row r="330" spans="1:7" ht="15" x14ac:dyDescent="0.2">
      <c r="A330" s="583" t="s">
        <v>13004</v>
      </c>
      <c r="B330" s="605" t="s">
        <v>13005</v>
      </c>
      <c r="C330" s="606" t="s">
        <v>12375</v>
      </c>
      <c r="D330" s="607"/>
      <c r="E330" s="607">
        <v>29.39</v>
      </c>
      <c r="F330" s="607">
        <v>29.39</v>
      </c>
      <c r="G330" s="584">
        <v>15</v>
      </c>
    </row>
    <row r="331" spans="1:7" ht="30" x14ac:dyDescent="0.2">
      <c r="A331" s="583" t="s">
        <v>13006</v>
      </c>
      <c r="B331" s="605" t="s">
        <v>13007</v>
      </c>
      <c r="C331" s="606" t="s">
        <v>12483</v>
      </c>
      <c r="D331" s="607"/>
      <c r="E331" s="607">
        <v>12.08</v>
      </c>
      <c r="F331" s="607">
        <v>12.08</v>
      </c>
      <c r="G331" s="584">
        <v>15</v>
      </c>
    </row>
    <row r="332" spans="1:7" ht="30" x14ac:dyDescent="0.2">
      <c r="A332" s="583" t="s">
        <v>13008</v>
      </c>
      <c r="B332" s="605" t="s">
        <v>13009</v>
      </c>
      <c r="C332" s="606" t="s">
        <v>12483</v>
      </c>
      <c r="D332" s="607"/>
      <c r="E332" s="607">
        <v>8.2899999999999991</v>
      </c>
      <c r="F332" s="607">
        <v>8.2899999999999991</v>
      </c>
      <c r="G332" s="584">
        <v>15</v>
      </c>
    </row>
    <row r="333" spans="1:7" ht="15" x14ac:dyDescent="0.2">
      <c r="A333" s="583" t="s">
        <v>13010</v>
      </c>
      <c r="B333" s="605" t="s">
        <v>13011</v>
      </c>
      <c r="C333" s="606" t="s">
        <v>12427</v>
      </c>
      <c r="D333" s="607"/>
      <c r="E333" s="607">
        <v>35.25</v>
      </c>
      <c r="F333" s="607">
        <v>35.25</v>
      </c>
      <c r="G333" s="584">
        <v>15</v>
      </c>
    </row>
    <row r="334" spans="1:7" ht="15" x14ac:dyDescent="0.2">
      <c r="A334" s="583" t="s">
        <v>13012</v>
      </c>
      <c r="B334" s="605" t="s">
        <v>13013</v>
      </c>
      <c r="C334" s="606" t="s">
        <v>12483</v>
      </c>
      <c r="D334" s="607"/>
      <c r="E334" s="607">
        <v>40.28</v>
      </c>
      <c r="F334" s="607">
        <v>40.28</v>
      </c>
      <c r="G334" s="584">
        <v>15</v>
      </c>
    </row>
    <row r="335" spans="1:7" ht="30" x14ac:dyDescent="0.2">
      <c r="A335" s="583" t="s">
        <v>13014</v>
      </c>
      <c r="B335" s="605" t="s">
        <v>13015</v>
      </c>
      <c r="C335" s="606" t="s">
        <v>12375</v>
      </c>
      <c r="D335" s="607"/>
      <c r="E335" s="607">
        <v>29.52</v>
      </c>
      <c r="F335" s="607">
        <v>29.52</v>
      </c>
      <c r="G335" s="584">
        <v>15</v>
      </c>
    </row>
    <row r="336" spans="1:7" ht="15" x14ac:dyDescent="0.2">
      <c r="A336" s="583" t="s">
        <v>13016</v>
      </c>
      <c r="B336" s="605" t="s">
        <v>13017</v>
      </c>
      <c r="C336" s="606" t="s">
        <v>12427</v>
      </c>
      <c r="D336" s="607"/>
      <c r="E336" s="607">
        <v>4.79</v>
      </c>
      <c r="F336" s="607">
        <v>4.79</v>
      </c>
      <c r="G336" s="584">
        <v>15</v>
      </c>
    </row>
    <row r="337" spans="1:7" ht="15" x14ac:dyDescent="0.25">
      <c r="A337" s="583" t="s">
        <v>13018</v>
      </c>
      <c r="B337" s="605" t="s">
        <v>13019</v>
      </c>
      <c r="C337" s="606"/>
      <c r="D337" s="607"/>
      <c r="E337" s="607"/>
      <c r="F337" s="607"/>
      <c r="G337" s="582"/>
    </row>
    <row r="338" spans="1:7" ht="15" x14ac:dyDescent="0.2">
      <c r="A338" s="583" t="s">
        <v>13020</v>
      </c>
      <c r="B338" s="605" t="s">
        <v>13021</v>
      </c>
      <c r="C338" s="606" t="s">
        <v>12375</v>
      </c>
      <c r="D338" s="607"/>
      <c r="E338" s="607">
        <v>13.82</v>
      </c>
      <c r="F338" s="607">
        <v>13.82</v>
      </c>
      <c r="G338" s="584">
        <v>15</v>
      </c>
    </row>
    <row r="339" spans="1:7" ht="15" x14ac:dyDescent="0.2">
      <c r="A339" s="583" t="s">
        <v>13022</v>
      </c>
      <c r="B339" s="605" t="s">
        <v>13023</v>
      </c>
      <c r="C339" s="606" t="s">
        <v>12375</v>
      </c>
      <c r="D339" s="607"/>
      <c r="E339" s="607">
        <v>5.53</v>
      </c>
      <c r="F339" s="607">
        <v>5.53</v>
      </c>
      <c r="G339" s="584">
        <v>15</v>
      </c>
    </row>
    <row r="340" spans="1:7" ht="15" x14ac:dyDescent="0.2">
      <c r="A340" s="583" t="s">
        <v>13024</v>
      </c>
      <c r="B340" s="605" t="s">
        <v>13025</v>
      </c>
      <c r="C340" s="606" t="s">
        <v>12375</v>
      </c>
      <c r="D340" s="607"/>
      <c r="E340" s="607">
        <v>2.76</v>
      </c>
      <c r="F340" s="607">
        <v>2.76</v>
      </c>
      <c r="G340" s="584">
        <v>15</v>
      </c>
    </row>
    <row r="341" spans="1:7" ht="30" x14ac:dyDescent="0.2">
      <c r="A341" s="583" t="s">
        <v>13026</v>
      </c>
      <c r="B341" s="605" t="s">
        <v>13027</v>
      </c>
      <c r="C341" s="606" t="s">
        <v>12375</v>
      </c>
      <c r="D341" s="607"/>
      <c r="E341" s="607">
        <v>21.64</v>
      </c>
      <c r="F341" s="607">
        <v>21.64</v>
      </c>
      <c r="G341" s="584">
        <v>15</v>
      </c>
    </row>
    <row r="342" spans="1:7" ht="15" x14ac:dyDescent="0.25">
      <c r="A342" s="583" t="s">
        <v>13028</v>
      </c>
      <c r="B342" s="605" t="s">
        <v>13029</v>
      </c>
      <c r="C342" s="606"/>
      <c r="D342" s="607"/>
      <c r="E342" s="607"/>
      <c r="F342" s="607"/>
      <c r="G342" s="582"/>
    </row>
    <row r="343" spans="1:7" ht="15" x14ac:dyDescent="0.2">
      <c r="A343" s="583" t="s">
        <v>13030</v>
      </c>
      <c r="B343" s="605" t="s">
        <v>13031</v>
      </c>
      <c r="C343" s="606" t="s">
        <v>12375</v>
      </c>
      <c r="D343" s="607"/>
      <c r="E343" s="607">
        <v>49.68</v>
      </c>
      <c r="F343" s="607">
        <v>49.68</v>
      </c>
      <c r="G343" s="584">
        <v>15</v>
      </c>
    </row>
    <row r="344" spans="1:7" ht="15" x14ac:dyDescent="0.2">
      <c r="A344" s="583" t="s">
        <v>13032</v>
      </c>
      <c r="B344" s="605" t="s">
        <v>13033</v>
      </c>
      <c r="C344" s="606" t="s">
        <v>12427</v>
      </c>
      <c r="D344" s="607"/>
      <c r="E344" s="607">
        <v>70.489999999999995</v>
      </c>
      <c r="F344" s="607">
        <v>70.489999999999995</v>
      </c>
      <c r="G344" s="584">
        <v>15</v>
      </c>
    </row>
    <row r="345" spans="1:7" ht="15" x14ac:dyDescent="0.2">
      <c r="A345" s="583" t="s">
        <v>13034</v>
      </c>
      <c r="B345" s="605" t="s">
        <v>13035</v>
      </c>
      <c r="C345" s="606" t="s">
        <v>12375</v>
      </c>
      <c r="D345" s="607"/>
      <c r="E345" s="607">
        <v>16.579999999999998</v>
      </c>
      <c r="F345" s="607">
        <v>16.579999999999998</v>
      </c>
      <c r="G345" s="584">
        <v>15</v>
      </c>
    </row>
    <row r="346" spans="1:7" ht="15" x14ac:dyDescent="0.2">
      <c r="A346" s="583" t="s">
        <v>13036</v>
      </c>
      <c r="B346" s="605" t="s">
        <v>13037</v>
      </c>
      <c r="C346" s="606" t="s">
        <v>12375</v>
      </c>
      <c r="D346" s="607"/>
      <c r="E346" s="607">
        <v>6.91</v>
      </c>
      <c r="F346" s="607">
        <v>6.91</v>
      </c>
      <c r="G346" s="584">
        <v>15</v>
      </c>
    </row>
    <row r="347" spans="1:7" ht="15" x14ac:dyDescent="0.2">
      <c r="A347" s="583" t="s">
        <v>13038</v>
      </c>
      <c r="B347" s="605" t="s">
        <v>13039</v>
      </c>
      <c r="C347" s="606" t="s">
        <v>12375</v>
      </c>
      <c r="D347" s="607"/>
      <c r="E347" s="607">
        <v>63.5</v>
      </c>
      <c r="F347" s="607">
        <v>63.5</v>
      </c>
      <c r="G347" s="584">
        <v>15</v>
      </c>
    </row>
    <row r="348" spans="1:7" ht="15" x14ac:dyDescent="0.2">
      <c r="A348" s="583" t="s">
        <v>13040</v>
      </c>
      <c r="B348" s="605" t="s">
        <v>13041</v>
      </c>
      <c r="C348" s="606" t="s">
        <v>12375</v>
      </c>
      <c r="D348" s="607"/>
      <c r="E348" s="607">
        <v>36.43</v>
      </c>
      <c r="F348" s="607">
        <v>36.43</v>
      </c>
      <c r="G348" s="584">
        <v>15</v>
      </c>
    </row>
    <row r="349" spans="1:7" ht="15" x14ac:dyDescent="0.2">
      <c r="A349" s="583" t="s">
        <v>13042</v>
      </c>
      <c r="B349" s="605" t="s">
        <v>13043</v>
      </c>
      <c r="C349" s="606" t="s">
        <v>12375</v>
      </c>
      <c r="D349" s="607"/>
      <c r="E349" s="607">
        <v>36.43</v>
      </c>
      <c r="F349" s="607">
        <v>36.43</v>
      </c>
      <c r="G349" s="584">
        <v>15</v>
      </c>
    </row>
    <row r="350" spans="1:7" ht="15" x14ac:dyDescent="0.2">
      <c r="A350" s="583" t="s">
        <v>13044</v>
      </c>
      <c r="B350" s="605" t="s">
        <v>13045</v>
      </c>
      <c r="C350" s="606" t="s">
        <v>12375</v>
      </c>
      <c r="D350" s="607"/>
      <c r="E350" s="607">
        <v>8.61</v>
      </c>
      <c r="F350" s="607">
        <v>8.61</v>
      </c>
      <c r="G350" s="584">
        <v>15</v>
      </c>
    </row>
    <row r="351" spans="1:7" ht="15" x14ac:dyDescent="0.2">
      <c r="A351" s="583" t="s">
        <v>13046</v>
      </c>
      <c r="B351" s="605" t="s">
        <v>13047</v>
      </c>
      <c r="C351" s="606" t="s">
        <v>12375</v>
      </c>
      <c r="D351" s="607"/>
      <c r="E351" s="607">
        <v>13.25</v>
      </c>
      <c r="F351" s="607">
        <v>13.25</v>
      </c>
      <c r="G351" s="584">
        <v>15</v>
      </c>
    </row>
    <row r="352" spans="1:7" ht="15" x14ac:dyDescent="0.2">
      <c r="A352" s="583" t="s">
        <v>13048</v>
      </c>
      <c r="B352" s="605" t="s">
        <v>13049</v>
      </c>
      <c r="C352" s="606" t="s">
        <v>12375</v>
      </c>
      <c r="D352" s="607"/>
      <c r="E352" s="607">
        <v>25.17</v>
      </c>
      <c r="F352" s="607">
        <v>25.17</v>
      </c>
      <c r="G352" s="584">
        <v>15</v>
      </c>
    </row>
    <row r="353" spans="1:7" ht="15" x14ac:dyDescent="0.25">
      <c r="A353" s="583" t="s">
        <v>13050</v>
      </c>
      <c r="B353" s="605" t="s">
        <v>13051</v>
      </c>
      <c r="C353" s="606"/>
      <c r="D353" s="607"/>
      <c r="E353" s="607"/>
      <c r="F353" s="607"/>
      <c r="G353" s="582"/>
    </row>
    <row r="354" spans="1:7" ht="15" x14ac:dyDescent="0.2">
      <c r="A354" s="583" t="s">
        <v>13052</v>
      </c>
      <c r="B354" s="605" t="s">
        <v>13053</v>
      </c>
      <c r="C354" s="606" t="s">
        <v>12375</v>
      </c>
      <c r="D354" s="607"/>
      <c r="E354" s="607">
        <v>105.51</v>
      </c>
      <c r="F354" s="607">
        <v>105.51</v>
      </c>
      <c r="G354" s="584">
        <v>15</v>
      </c>
    </row>
    <row r="355" spans="1:7" ht="15" x14ac:dyDescent="0.2">
      <c r="A355" s="583" t="s">
        <v>13054</v>
      </c>
      <c r="B355" s="605" t="s">
        <v>13055</v>
      </c>
      <c r="C355" s="606" t="s">
        <v>12375</v>
      </c>
      <c r="D355" s="607"/>
      <c r="E355" s="607">
        <v>83.75</v>
      </c>
      <c r="F355" s="607">
        <v>83.75</v>
      </c>
      <c r="G355" s="584">
        <v>15</v>
      </c>
    </row>
    <row r="356" spans="1:7" ht="15" x14ac:dyDescent="0.25">
      <c r="A356" s="583" t="s">
        <v>13056</v>
      </c>
      <c r="B356" s="605" t="s">
        <v>13057</v>
      </c>
      <c r="C356" s="606"/>
      <c r="D356" s="607"/>
      <c r="E356" s="607"/>
      <c r="F356" s="607"/>
      <c r="G356" s="582"/>
    </row>
    <row r="357" spans="1:7" ht="15" x14ac:dyDescent="0.2">
      <c r="A357" s="583" t="s">
        <v>13058</v>
      </c>
      <c r="B357" s="605" t="s">
        <v>13059</v>
      </c>
      <c r="C357" s="606" t="s">
        <v>12427</v>
      </c>
      <c r="D357" s="607"/>
      <c r="E357" s="607">
        <v>6.81</v>
      </c>
      <c r="F357" s="607">
        <v>6.81</v>
      </c>
      <c r="G357" s="584">
        <v>15</v>
      </c>
    </row>
    <row r="358" spans="1:7" ht="15" x14ac:dyDescent="0.2">
      <c r="A358" s="583" t="s">
        <v>13060</v>
      </c>
      <c r="B358" s="605" t="s">
        <v>13061</v>
      </c>
      <c r="C358" s="606" t="s">
        <v>12427</v>
      </c>
      <c r="D358" s="607"/>
      <c r="E358" s="607">
        <v>1.1399999999999999</v>
      </c>
      <c r="F358" s="607">
        <v>1.1399999999999999</v>
      </c>
      <c r="G358" s="584">
        <v>15</v>
      </c>
    </row>
    <row r="359" spans="1:7" ht="15" x14ac:dyDescent="0.25">
      <c r="A359" s="583" t="s">
        <v>13062</v>
      </c>
      <c r="B359" s="605" t="s">
        <v>13063</v>
      </c>
      <c r="C359" s="606"/>
      <c r="D359" s="607"/>
      <c r="E359" s="607"/>
      <c r="F359" s="607"/>
      <c r="G359" s="582"/>
    </row>
    <row r="360" spans="1:7" ht="30" x14ac:dyDescent="0.2">
      <c r="A360" s="583" t="s">
        <v>13064</v>
      </c>
      <c r="B360" s="605" t="s">
        <v>13065</v>
      </c>
      <c r="C360" s="606" t="s">
        <v>12427</v>
      </c>
      <c r="D360" s="607"/>
      <c r="E360" s="607">
        <v>16.559999999999999</v>
      </c>
      <c r="F360" s="607">
        <v>16.559999999999999</v>
      </c>
      <c r="G360" s="584">
        <v>15</v>
      </c>
    </row>
    <row r="361" spans="1:7" ht="15" x14ac:dyDescent="0.2">
      <c r="A361" s="583" t="s">
        <v>13066</v>
      </c>
      <c r="B361" s="605" t="s">
        <v>13067</v>
      </c>
      <c r="C361" s="606" t="s">
        <v>12427</v>
      </c>
      <c r="D361" s="607"/>
      <c r="E361" s="607">
        <v>50.35</v>
      </c>
      <c r="F361" s="607">
        <v>50.35</v>
      </c>
      <c r="G361" s="584">
        <v>15</v>
      </c>
    </row>
    <row r="362" spans="1:7" ht="15" x14ac:dyDescent="0.25">
      <c r="A362" s="583" t="s">
        <v>13068</v>
      </c>
      <c r="B362" s="605" t="s">
        <v>13069</v>
      </c>
      <c r="C362" s="606"/>
      <c r="D362" s="607"/>
      <c r="E362" s="607"/>
      <c r="F362" s="607"/>
      <c r="G362" s="582"/>
    </row>
    <row r="363" spans="1:7" ht="30" x14ac:dyDescent="0.2">
      <c r="A363" s="583" t="s">
        <v>13070</v>
      </c>
      <c r="B363" s="605" t="s">
        <v>13071</v>
      </c>
      <c r="C363" s="606" t="s">
        <v>12375</v>
      </c>
      <c r="D363" s="607"/>
      <c r="E363" s="607">
        <v>22.33</v>
      </c>
      <c r="F363" s="607">
        <v>22.33</v>
      </c>
      <c r="G363" s="584">
        <v>15</v>
      </c>
    </row>
    <row r="364" spans="1:7" ht="30" x14ac:dyDescent="0.2">
      <c r="A364" s="583" t="s">
        <v>13072</v>
      </c>
      <c r="B364" s="605" t="s">
        <v>13073</v>
      </c>
      <c r="C364" s="606" t="s">
        <v>12375</v>
      </c>
      <c r="D364" s="607"/>
      <c r="E364" s="607">
        <v>83.75</v>
      </c>
      <c r="F364" s="607">
        <v>83.75</v>
      </c>
      <c r="G364" s="584">
        <v>15</v>
      </c>
    </row>
    <row r="365" spans="1:7" ht="15" x14ac:dyDescent="0.2">
      <c r="A365" s="583" t="s">
        <v>13074</v>
      </c>
      <c r="B365" s="605" t="s">
        <v>13075</v>
      </c>
      <c r="C365" s="606" t="s">
        <v>12375</v>
      </c>
      <c r="D365" s="607"/>
      <c r="E365" s="607">
        <v>27.92</v>
      </c>
      <c r="F365" s="607">
        <v>27.92</v>
      </c>
      <c r="G365" s="584">
        <v>15</v>
      </c>
    </row>
    <row r="366" spans="1:7" ht="15" x14ac:dyDescent="0.2">
      <c r="A366" s="583" t="s">
        <v>13076</v>
      </c>
      <c r="B366" s="605" t="s">
        <v>13077</v>
      </c>
      <c r="C366" s="606" t="s">
        <v>12483</v>
      </c>
      <c r="D366" s="607"/>
      <c r="E366" s="607">
        <v>22.33</v>
      </c>
      <c r="F366" s="607">
        <v>22.33</v>
      </c>
      <c r="G366" s="584">
        <v>15</v>
      </c>
    </row>
    <row r="367" spans="1:7" ht="15" x14ac:dyDescent="0.2">
      <c r="A367" s="583" t="s">
        <v>13078</v>
      </c>
      <c r="B367" s="605" t="s">
        <v>13079</v>
      </c>
      <c r="C367" s="606" t="s">
        <v>12375</v>
      </c>
      <c r="D367" s="607"/>
      <c r="E367" s="607">
        <v>8.3800000000000008</v>
      </c>
      <c r="F367" s="607">
        <v>8.3800000000000008</v>
      </c>
      <c r="G367" s="584">
        <v>15</v>
      </c>
    </row>
    <row r="368" spans="1:7" ht="15" x14ac:dyDescent="0.2">
      <c r="A368" s="583" t="s">
        <v>13080</v>
      </c>
      <c r="B368" s="605" t="s">
        <v>13081</v>
      </c>
      <c r="C368" s="606" t="s">
        <v>12375</v>
      </c>
      <c r="D368" s="607"/>
      <c r="E368" s="607">
        <v>8.3800000000000008</v>
      </c>
      <c r="F368" s="607">
        <v>8.3800000000000008</v>
      </c>
      <c r="G368" s="584">
        <v>15</v>
      </c>
    </row>
    <row r="369" spans="1:7" ht="15" x14ac:dyDescent="0.2">
      <c r="A369" s="583" t="s">
        <v>13082</v>
      </c>
      <c r="B369" s="605" t="s">
        <v>13083</v>
      </c>
      <c r="C369" s="606" t="s">
        <v>12375</v>
      </c>
      <c r="D369" s="607"/>
      <c r="E369" s="607">
        <v>55.83</v>
      </c>
      <c r="F369" s="607">
        <v>55.83</v>
      </c>
      <c r="G369" s="584">
        <v>15</v>
      </c>
    </row>
    <row r="370" spans="1:7" ht="15" x14ac:dyDescent="0.2">
      <c r="A370" s="583" t="s">
        <v>13084</v>
      </c>
      <c r="B370" s="605" t="s">
        <v>13085</v>
      </c>
      <c r="C370" s="606" t="s">
        <v>12375</v>
      </c>
      <c r="D370" s="607"/>
      <c r="E370" s="607">
        <v>27.92</v>
      </c>
      <c r="F370" s="607">
        <v>27.92</v>
      </c>
      <c r="G370" s="584">
        <v>15</v>
      </c>
    </row>
    <row r="371" spans="1:7" ht="15" x14ac:dyDescent="0.2">
      <c r="A371" s="583" t="s">
        <v>13086</v>
      </c>
      <c r="B371" s="605" t="s">
        <v>13087</v>
      </c>
      <c r="C371" s="606" t="s">
        <v>12375</v>
      </c>
      <c r="D371" s="607"/>
      <c r="E371" s="607">
        <v>25.12</v>
      </c>
      <c r="F371" s="607">
        <v>25.12</v>
      </c>
      <c r="G371" s="584">
        <v>15</v>
      </c>
    </row>
    <row r="372" spans="1:7" ht="15" x14ac:dyDescent="0.2">
      <c r="A372" s="583" t="s">
        <v>13088</v>
      </c>
      <c r="B372" s="605" t="s">
        <v>13089</v>
      </c>
      <c r="C372" s="606" t="s">
        <v>12375</v>
      </c>
      <c r="D372" s="607"/>
      <c r="E372" s="607">
        <v>22.33</v>
      </c>
      <c r="F372" s="607">
        <v>22.33</v>
      </c>
      <c r="G372" s="584">
        <v>15</v>
      </c>
    </row>
    <row r="373" spans="1:7" ht="15" x14ac:dyDescent="0.2">
      <c r="A373" s="583" t="s">
        <v>13090</v>
      </c>
      <c r="B373" s="605" t="s">
        <v>13091</v>
      </c>
      <c r="C373" s="606" t="s">
        <v>12375</v>
      </c>
      <c r="D373" s="607"/>
      <c r="E373" s="607">
        <v>22.33</v>
      </c>
      <c r="F373" s="607">
        <v>22.33</v>
      </c>
      <c r="G373" s="584">
        <v>15</v>
      </c>
    </row>
    <row r="374" spans="1:7" ht="15" x14ac:dyDescent="0.2">
      <c r="A374" s="583" t="s">
        <v>13092</v>
      </c>
      <c r="B374" s="605" t="s">
        <v>13093</v>
      </c>
      <c r="C374" s="606" t="s">
        <v>12375</v>
      </c>
      <c r="D374" s="607"/>
      <c r="E374" s="607">
        <v>16.75</v>
      </c>
      <c r="F374" s="607">
        <v>16.75</v>
      </c>
      <c r="G374" s="584">
        <v>15</v>
      </c>
    </row>
    <row r="375" spans="1:7" ht="15" x14ac:dyDescent="0.25">
      <c r="A375" s="583" t="s">
        <v>13094</v>
      </c>
      <c r="B375" s="605" t="s">
        <v>13095</v>
      </c>
      <c r="C375" s="606"/>
      <c r="D375" s="607"/>
      <c r="E375" s="607"/>
      <c r="F375" s="607"/>
      <c r="G375" s="582"/>
    </row>
    <row r="376" spans="1:7" ht="15" x14ac:dyDescent="0.2">
      <c r="A376" s="583" t="s">
        <v>13096</v>
      </c>
      <c r="B376" s="605" t="s">
        <v>13097</v>
      </c>
      <c r="C376" s="606" t="s">
        <v>12375</v>
      </c>
      <c r="D376" s="607"/>
      <c r="E376" s="607">
        <v>13.96</v>
      </c>
      <c r="F376" s="607">
        <v>13.96</v>
      </c>
      <c r="G376" s="584">
        <v>15</v>
      </c>
    </row>
    <row r="377" spans="1:7" ht="15" x14ac:dyDescent="0.2">
      <c r="A377" s="583" t="s">
        <v>13098</v>
      </c>
      <c r="B377" s="605" t="s">
        <v>13099</v>
      </c>
      <c r="C377" s="606" t="s">
        <v>12483</v>
      </c>
      <c r="D377" s="607"/>
      <c r="E377" s="607">
        <v>19.54</v>
      </c>
      <c r="F377" s="607">
        <v>19.54</v>
      </c>
      <c r="G377" s="584">
        <v>15</v>
      </c>
    </row>
    <row r="378" spans="1:7" ht="30" x14ac:dyDescent="0.2">
      <c r="A378" s="583" t="s">
        <v>13100</v>
      </c>
      <c r="B378" s="605" t="s">
        <v>13101</v>
      </c>
      <c r="C378" s="606" t="s">
        <v>12375</v>
      </c>
      <c r="D378" s="607"/>
      <c r="E378" s="607">
        <v>279.14999999999998</v>
      </c>
      <c r="F378" s="607">
        <v>279.14999999999998</v>
      </c>
      <c r="G378" s="584">
        <v>15</v>
      </c>
    </row>
    <row r="379" spans="1:7" ht="30" x14ac:dyDescent="0.2">
      <c r="A379" s="583" t="s">
        <v>13102</v>
      </c>
      <c r="B379" s="605" t="s">
        <v>13103</v>
      </c>
      <c r="C379" s="606" t="s">
        <v>12375</v>
      </c>
      <c r="D379" s="607"/>
      <c r="E379" s="607">
        <v>223.32</v>
      </c>
      <c r="F379" s="607">
        <v>223.32</v>
      </c>
      <c r="G379" s="584">
        <v>15</v>
      </c>
    </row>
    <row r="380" spans="1:7" ht="15" x14ac:dyDescent="0.2">
      <c r="A380" s="583" t="s">
        <v>13104</v>
      </c>
      <c r="B380" s="605" t="s">
        <v>13105</v>
      </c>
      <c r="C380" s="606" t="s">
        <v>12375</v>
      </c>
      <c r="D380" s="607"/>
      <c r="E380" s="607">
        <v>111.66</v>
      </c>
      <c r="F380" s="607">
        <v>111.66</v>
      </c>
      <c r="G380" s="584">
        <v>15</v>
      </c>
    </row>
    <row r="381" spans="1:7" ht="15" x14ac:dyDescent="0.2">
      <c r="A381" s="583" t="s">
        <v>13106</v>
      </c>
      <c r="B381" s="605" t="s">
        <v>13107</v>
      </c>
      <c r="C381" s="606" t="s">
        <v>12375</v>
      </c>
      <c r="D381" s="607"/>
      <c r="E381" s="607">
        <v>61.98</v>
      </c>
      <c r="F381" s="607">
        <v>61.98</v>
      </c>
      <c r="G381" s="584">
        <v>15</v>
      </c>
    </row>
    <row r="382" spans="1:7" ht="15" x14ac:dyDescent="0.2">
      <c r="A382" s="583" t="s">
        <v>13108</v>
      </c>
      <c r="B382" s="605" t="s">
        <v>13109</v>
      </c>
      <c r="C382" s="606" t="s">
        <v>12375</v>
      </c>
      <c r="D382" s="607"/>
      <c r="E382" s="607">
        <v>8.2799999999999994</v>
      </c>
      <c r="F382" s="607">
        <v>8.2799999999999994</v>
      </c>
      <c r="G382" s="584">
        <v>15</v>
      </c>
    </row>
    <row r="383" spans="1:7" ht="30" x14ac:dyDescent="0.2">
      <c r="A383" s="583" t="s">
        <v>13110</v>
      </c>
      <c r="B383" s="605" t="s">
        <v>13111</v>
      </c>
      <c r="C383" s="606" t="s">
        <v>12375</v>
      </c>
      <c r="D383" s="607"/>
      <c r="E383" s="607">
        <v>9.94</v>
      </c>
      <c r="F383" s="607">
        <v>9.94</v>
      </c>
      <c r="G383" s="584">
        <v>15</v>
      </c>
    </row>
    <row r="384" spans="1:7" ht="15" x14ac:dyDescent="0.2">
      <c r="A384" s="583" t="s">
        <v>13112</v>
      </c>
      <c r="B384" s="605" t="s">
        <v>13113</v>
      </c>
      <c r="C384" s="606" t="s">
        <v>12375</v>
      </c>
      <c r="D384" s="607"/>
      <c r="E384" s="607">
        <v>61.98</v>
      </c>
      <c r="F384" s="607">
        <v>61.98</v>
      </c>
      <c r="G384" s="584">
        <v>15</v>
      </c>
    </row>
    <row r="385" spans="1:7" ht="15" x14ac:dyDescent="0.2">
      <c r="A385" s="583" t="s">
        <v>13114</v>
      </c>
      <c r="B385" s="605" t="s">
        <v>13115</v>
      </c>
      <c r="C385" s="606" t="s">
        <v>12483</v>
      </c>
      <c r="D385" s="607"/>
      <c r="E385" s="607">
        <v>13.96</v>
      </c>
      <c r="F385" s="607">
        <v>13.96</v>
      </c>
      <c r="G385" s="584">
        <v>15</v>
      </c>
    </row>
    <row r="386" spans="1:7" ht="15" x14ac:dyDescent="0.2">
      <c r="A386" s="583" t="s">
        <v>13116</v>
      </c>
      <c r="B386" s="605" t="s">
        <v>13117</v>
      </c>
      <c r="C386" s="606" t="s">
        <v>12375</v>
      </c>
      <c r="D386" s="607"/>
      <c r="E386" s="607">
        <v>27.92</v>
      </c>
      <c r="F386" s="607">
        <v>27.92</v>
      </c>
      <c r="G386" s="584">
        <v>15</v>
      </c>
    </row>
    <row r="387" spans="1:7" ht="15" x14ac:dyDescent="0.2">
      <c r="A387" s="583" t="s">
        <v>13118</v>
      </c>
      <c r="B387" s="605" t="s">
        <v>13119</v>
      </c>
      <c r="C387" s="606" t="s">
        <v>12375</v>
      </c>
      <c r="D387" s="607"/>
      <c r="E387" s="607">
        <v>22.33</v>
      </c>
      <c r="F387" s="607">
        <v>22.33</v>
      </c>
      <c r="G387" s="584">
        <v>15</v>
      </c>
    </row>
    <row r="388" spans="1:7" ht="15" x14ac:dyDescent="0.2">
      <c r="A388" s="583" t="s">
        <v>13120</v>
      </c>
      <c r="B388" s="605" t="s">
        <v>13121</v>
      </c>
      <c r="C388" s="606" t="s">
        <v>12375</v>
      </c>
      <c r="D388" s="607"/>
      <c r="E388" s="607">
        <v>33.5</v>
      </c>
      <c r="F388" s="607">
        <v>33.5</v>
      </c>
      <c r="G388" s="584">
        <v>15</v>
      </c>
    </row>
    <row r="389" spans="1:7" ht="15" x14ac:dyDescent="0.2">
      <c r="A389" s="583" t="s">
        <v>13122</v>
      </c>
      <c r="B389" s="605" t="s">
        <v>13123</v>
      </c>
      <c r="C389" s="606" t="s">
        <v>12375</v>
      </c>
      <c r="D389" s="607"/>
      <c r="E389" s="607">
        <v>27.92</v>
      </c>
      <c r="F389" s="607">
        <v>27.92</v>
      </c>
      <c r="G389" s="584">
        <v>15</v>
      </c>
    </row>
    <row r="390" spans="1:7" ht="30" x14ac:dyDescent="0.2">
      <c r="A390" s="583" t="s">
        <v>13124</v>
      </c>
      <c r="B390" s="605" t="s">
        <v>13125</v>
      </c>
      <c r="C390" s="606" t="s">
        <v>12375</v>
      </c>
      <c r="D390" s="607"/>
      <c r="E390" s="607">
        <v>55.83</v>
      </c>
      <c r="F390" s="607">
        <v>55.83</v>
      </c>
      <c r="G390" s="584">
        <v>15</v>
      </c>
    </row>
    <row r="391" spans="1:7" ht="15" x14ac:dyDescent="0.2">
      <c r="A391" s="583" t="s">
        <v>13126</v>
      </c>
      <c r="B391" s="605" t="s">
        <v>13127</v>
      </c>
      <c r="C391" s="606" t="s">
        <v>12375</v>
      </c>
      <c r="D391" s="607"/>
      <c r="E391" s="607">
        <v>83.75</v>
      </c>
      <c r="F391" s="607">
        <v>83.75</v>
      </c>
      <c r="G391" s="584">
        <v>15</v>
      </c>
    </row>
    <row r="392" spans="1:7" ht="30" x14ac:dyDescent="0.2">
      <c r="A392" s="583" t="s">
        <v>13128</v>
      </c>
      <c r="B392" s="605" t="s">
        <v>13129</v>
      </c>
      <c r="C392" s="606" t="s">
        <v>12375</v>
      </c>
      <c r="D392" s="607"/>
      <c r="E392" s="607">
        <v>157.08000000000001</v>
      </c>
      <c r="F392" s="607">
        <v>157.08000000000001</v>
      </c>
      <c r="G392" s="584">
        <v>15</v>
      </c>
    </row>
    <row r="393" spans="1:7" ht="15" x14ac:dyDescent="0.2">
      <c r="A393" s="583" t="s">
        <v>13130</v>
      </c>
      <c r="B393" s="605" t="s">
        <v>13131</v>
      </c>
      <c r="C393" s="606" t="s">
        <v>12375</v>
      </c>
      <c r="D393" s="607"/>
      <c r="E393" s="607">
        <v>41.87</v>
      </c>
      <c r="F393" s="607">
        <v>41.87</v>
      </c>
      <c r="G393" s="584">
        <v>15</v>
      </c>
    </row>
    <row r="394" spans="1:7" ht="30" x14ac:dyDescent="0.2">
      <c r="A394" s="583" t="s">
        <v>13132</v>
      </c>
      <c r="B394" s="605" t="s">
        <v>13133</v>
      </c>
      <c r="C394" s="606" t="s">
        <v>12375</v>
      </c>
      <c r="D394" s="607"/>
      <c r="E394" s="607">
        <v>11.36</v>
      </c>
      <c r="F394" s="607">
        <v>11.36</v>
      </c>
      <c r="G394" s="584">
        <v>15</v>
      </c>
    </row>
    <row r="395" spans="1:7" ht="15" x14ac:dyDescent="0.2">
      <c r="A395" s="583" t="s">
        <v>13134</v>
      </c>
      <c r="B395" s="605" t="s">
        <v>13135</v>
      </c>
      <c r="C395" s="606" t="s">
        <v>12375</v>
      </c>
      <c r="D395" s="607"/>
      <c r="E395" s="607">
        <v>22.24</v>
      </c>
      <c r="F395" s="607">
        <v>22.24</v>
      </c>
      <c r="G395" s="584">
        <v>15</v>
      </c>
    </row>
    <row r="396" spans="1:7" ht="30" x14ac:dyDescent="0.2">
      <c r="A396" s="583" t="s">
        <v>13136</v>
      </c>
      <c r="B396" s="605" t="s">
        <v>13137</v>
      </c>
      <c r="C396" s="606" t="s">
        <v>12483</v>
      </c>
      <c r="D396" s="607"/>
      <c r="E396" s="607">
        <v>6.7</v>
      </c>
      <c r="F396" s="607">
        <v>6.7</v>
      </c>
      <c r="G396" s="584">
        <v>15</v>
      </c>
    </row>
    <row r="397" spans="1:7" ht="15" x14ac:dyDescent="0.2">
      <c r="A397" s="583" t="s">
        <v>13138</v>
      </c>
      <c r="B397" s="605" t="s">
        <v>13139</v>
      </c>
      <c r="C397" s="606" t="s">
        <v>12483</v>
      </c>
      <c r="D397" s="607"/>
      <c r="E397" s="607">
        <v>3.35</v>
      </c>
      <c r="F397" s="607">
        <v>3.35</v>
      </c>
      <c r="G397" s="584">
        <v>15</v>
      </c>
    </row>
    <row r="398" spans="1:7" ht="30" x14ac:dyDescent="0.2">
      <c r="A398" s="583" t="s">
        <v>13140</v>
      </c>
      <c r="B398" s="605" t="s">
        <v>13141</v>
      </c>
      <c r="C398" s="606" t="s">
        <v>12483</v>
      </c>
      <c r="D398" s="607"/>
      <c r="E398" s="607">
        <v>5.58</v>
      </c>
      <c r="F398" s="607">
        <v>5.58</v>
      </c>
      <c r="G398" s="584">
        <v>15</v>
      </c>
    </row>
    <row r="399" spans="1:7" ht="15" x14ac:dyDescent="0.2">
      <c r="A399" s="583" t="s">
        <v>13142</v>
      </c>
      <c r="B399" s="605" t="s">
        <v>13143</v>
      </c>
      <c r="C399" s="606" t="s">
        <v>12483</v>
      </c>
      <c r="D399" s="607"/>
      <c r="E399" s="607">
        <v>2.8</v>
      </c>
      <c r="F399" s="607">
        <v>2.8</v>
      </c>
      <c r="G399" s="584">
        <v>15</v>
      </c>
    </row>
    <row r="400" spans="1:7" ht="15" x14ac:dyDescent="0.2">
      <c r="A400" s="583" t="s">
        <v>13144</v>
      </c>
      <c r="B400" s="605" t="s">
        <v>13145</v>
      </c>
      <c r="C400" s="606" t="s">
        <v>12483</v>
      </c>
      <c r="D400" s="607"/>
      <c r="E400" s="607">
        <v>39.270000000000003</v>
      </c>
      <c r="F400" s="607">
        <v>39.270000000000003</v>
      </c>
      <c r="G400" s="584">
        <v>15</v>
      </c>
    </row>
    <row r="401" spans="1:7" ht="15" x14ac:dyDescent="0.2">
      <c r="A401" s="583" t="s">
        <v>13146</v>
      </c>
      <c r="B401" s="605" t="s">
        <v>13147</v>
      </c>
      <c r="C401" s="606" t="s">
        <v>12483</v>
      </c>
      <c r="D401" s="607"/>
      <c r="E401" s="607">
        <v>11.16</v>
      </c>
      <c r="F401" s="607">
        <v>11.16</v>
      </c>
      <c r="G401" s="584">
        <v>15</v>
      </c>
    </row>
    <row r="402" spans="1:7" ht="15" x14ac:dyDescent="0.2">
      <c r="A402" s="583" t="s">
        <v>13148</v>
      </c>
      <c r="B402" s="605" t="s">
        <v>13149</v>
      </c>
      <c r="C402" s="606" t="s">
        <v>12375</v>
      </c>
      <c r="D402" s="607"/>
      <c r="E402" s="607">
        <v>55.83</v>
      </c>
      <c r="F402" s="607">
        <v>55.83</v>
      </c>
      <c r="G402" s="584">
        <v>15</v>
      </c>
    </row>
    <row r="403" spans="1:7" ht="15" x14ac:dyDescent="0.2">
      <c r="A403" s="583" t="s">
        <v>13150</v>
      </c>
      <c r="B403" s="605" t="s">
        <v>13151</v>
      </c>
      <c r="C403" s="606" t="s">
        <v>12375</v>
      </c>
      <c r="D403" s="607"/>
      <c r="E403" s="607">
        <v>11.16</v>
      </c>
      <c r="F403" s="607">
        <v>11.16</v>
      </c>
      <c r="G403" s="584">
        <v>15</v>
      </c>
    </row>
    <row r="404" spans="1:7" ht="15" x14ac:dyDescent="0.2">
      <c r="A404" s="583" t="s">
        <v>13152</v>
      </c>
      <c r="B404" s="605" t="s">
        <v>13153</v>
      </c>
      <c r="C404" s="606" t="s">
        <v>12375</v>
      </c>
      <c r="D404" s="607"/>
      <c r="E404" s="607">
        <v>83.75</v>
      </c>
      <c r="F404" s="607">
        <v>83.75</v>
      </c>
      <c r="G404" s="584">
        <v>15</v>
      </c>
    </row>
    <row r="405" spans="1:7" ht="15" x14ac:dyDescent="0.2">
      <c r="A405" s="583" t="s">
        <v>13154</v>
      </c>
      <c r="B405" s="605" t="s">
        <v>13155</v>
      </c>
      <c r="C405" s="606" t="s">
        <v>12375</v>
      </c>
      <c r="D405" s="607"/>
      <c r="E405" s="607">
        <v>117.81</v>
      </c>
      <c r="F405" s="607">
        <v>117.81</v>
      </c>
      <c r="G405" s="584">
        <v>15</v>
      </c>
    </row>
    <row r="406" spans="1:7" ht="15" x14ac:dyDescent="0.25">
      <c r="A406" s="583" t="s">
        <v>13156</v>
      </c>
      <c r="B406" s="605" t="s">
        <v>13157</v>
      </c>
      <c r="C406" s="606"/>
      <c r="D406" s="607"/>
      <c r="E406" s="607"/>
      <c r="F406" s="607"/>
      <c r="G406" s="582"/>
    </row>
    <row r="407" spans="1:7" ht="15" x14ac:dyDescent="0.2">
      <c r="A407" s="583" t="s">
        <v>13158</v>
      </c>
      <c r="B407" s="605" t="s">
        <v>13159</v>
      </c>
      <c r="C407" s="606" t="s">
        <v>12375</v>
      </c>
      <c r="D407" s="607"/>
      <c r="E407" s="607">
        <v>229.34</v>
      </c>
      <c r="F407" s="607">
        <v>229.34</v>
      </c>
      <c r="G407" s="584">
        <v>15</v>
      </c>
    </row>
    <row r="408" spans="1:7" ht="15" x14ac:dyDescent="0.2">
      <c r="A408" s="583" t="s">
        <v>13160</v>
      </c>
      <c r="B408" s="605" t="s">
        <v>13161</v>
      </c>
      <c r="C408" s="606" t="s">
        <v>12375</v>
      </c>
      <c r="D408" s="607"/>
      <c r="E408" s="607">
        <v>55.83</v>
      </c>
      <c r="F408" s="607">
        <v>55.83</v>
      </c>
      <c r="G408" s="584">
        <v>15</v>
      </c>
    </row>
    <row r="409" spans="1:7" ht="15" x14ac:dyDescent="0.2">
      <c r="A409" s="583" t="s">
        <v>13162</v>
      </c>
      <c r="B409" s="605" t="s">
        <v>13163</v>
      </c>
      <c r="C409" s="606" t="s">
        <v>12375</v>
      </c>
      <c r="D409" s="607"/>
      <c r="E409" s="607">
        <v>13.96</v>
      </c>
      <c r="F409" s="607">
        <v>13.96</v>
      </c>
      <c r="G409" s="584">
        <v>15</v>
      </c>
    </row>
    <row r="410" spans="1:7" ht="30" x14ac:dyDescent="0.2">
      <c r="A410" s="583" t="s">
        <v>13164</v>
      </c>
      <c r="B410" s="605" t="s">
        <v>13165</v>
      </c>
      <c r="C410" s="606" t="s">
        <v>12427</v>
      </c>
      <c r="D410" s="607"/>
      <c r="E410" s="607">
        <v>55.83</v>
      </c>
      <c r="F410" s="607">
        <v>55.83</v>
      </c>
      <c r="G410" s="584">
        <v>15</v>
      </c>
    </row>
    <row r="411" spans="1:7" ht="15" x14ac:dyDescent="0.2">
      <c r="A411" s="583" t="s">
        <v>13166</v>
      </c>
      <c r="B411" s="605" t="s">
        <v>13167</v>
      </c>
      <c r="C411" s="606" t="s">
        <v>12375</v>
      </c>
      <c r="D411" s="607"/>
      <c r="E411" s="607">
        <v>11.16</v>
      </c>
      <c r="F411" s="607">
        <v>11.16</v>
      </c>
      <c r="G411" s="584">
        <v>15</v>
      </c>
    </row>
    <row r="412" spans="1:7" ht="30" x14ac:dyDescent="0.2">
      <c r="A412" s="583" t="s">
        <v>13168</v>
      </c>
      <c r="B412" s="605" t="s">
        <v>13169</v>
      </c>
      <c r="C412" s="606" t="s">
        <v>12375</v>
      </c>
      <c r="D412" s="607"/>
      <c r="E412" s="607">
        <v>22.33</v>
      </c>
      <c r="F412" s="607">
        <v>22.33</v>
      </c>
      <c r="G412" s="584">
        <v>15</v>
      </c>
    </row>
    <row r="413" spans="1:7" ht="15" x14ac:dyDescent="0.2">
      <c r="A413" s="583" t="s">
        <v>13170</v>
      </c>
      <c r="B413" s="605" t="s">
        <v>13171</v>
      </c>
      <c r="C413" s="606" t="s">
        <v>12375</v>
      </c>
      <c r="D413" s="607"/>
      <c r="E413" s="607">
        <v>5.58</v>
      </c>
      <c r="F413" s="607">
        <v>5.58</v>
      </c>
      <c r="G413" s="584">
        <v>15</v>
      </c>
    </row>
    <row r="414" spans="1:7" ht="30" x14ac:dyDescent="0.2">
      <c r="A414" s="583" t="s">
        <v>13172</v>
      </c>
      <c r="B414" s="605" t="s">
        <v>13173</v>
      </c>
      <c r="C414" s="606" t="s">
        <v>12375</v>
      </c>
      <c r="D414" s="607"/>
      <c r="E414" s="607">
        <v>8.3800000000000008</v>
      </c>
      <c r="F414" s="607">
        <v>8.3800000000000008</v>
      </c>
      <c r="G414" s="584">
        <v>15</v>
      </c>
    </row>
    <row r="415" spans="1:7" ht="15" x14ac:dyDescent="0.2">
      <c r="A415" s="583" t="s">
        <v>13174</v>
      </c>
      <c r="B415" s="605" t="s">
        <v>13175</v>
      </c>
      <c r="C415" s="606" t="s">
        <v>12375</v>
      </c>
      <c r="D415" s="607"/>
      <c r="E415" s="607">
        <v>13.96</v>
      </c>
      <c r="F415" s="607">
        <v>13.96</v>
      </c>
      <c r="G415" s="584">
        <v>15</v>
      </c>
    </row>
    <row r="416" spans="1:7" ht="15" x14ac:dyDescent="0.2">
      <c r="A416" s="583" t="s">
        <v>13176</v>
      </c>
      <c r="B416" s="605" t="s">
        <v>13177</v>
      </c>
      <c r="C416" s="606" t="s">
        <v>12375</v>
      </c>
      <c r="D416" s="607"/>
      <c r="E416" s="607">
        <v>13.96</v>
      </c>
      <c r="F416" s="607">
        <v>13.96</v>
      </c>
      <c r="G416" s="584">
        <v>15</v>
      </c>
    </row>
    <row r="417" spans="1:7" ht="15" x14ac:dyDescent="0.25">
      <c r="A417" s="583" t="s">
        <v>13178</v>
      </c>
      <c r="B417" s="605" t="s">
        <v>13179</v>
      </c>
      <c r="C417" s="606"/>
      <c r="D417" s="607"/>
      <c r="E417" s="607"/>
      <c r="F417" s="607"/>
      <c r="G417" s="582"/>
    </row>
    <row r="418" spans="1:7" ht="30" x14ac:dyDescent="0.2">
      <c r="A418" s="583" t="s">
        <v>13180</v>
      </c>
      <c r="B418" s="605" t="s">
        <v>13181</v>
      </c>
      <c r="C418" s="606" t="s">
        <v>12375</v>
      </c>
      <c r="D418" s="607"/>
      <c r="E418" s="607">
        <v>39.270000000000003</v>
      </c>
      <c r="F418" s="607">
        <v>39.270000000000003</v>
      </c>
      <c r="G418" s="584">
        <v>15</v>
      </c>
    </row>
    <row r="419" spans="1:7" ht="15" x14ac:dyDescent="0.2">
      <c r="A419" s="583" t="s">
        <v>13182</v>
      </c>
      <c r="B419" s="605" t="s">
        <v>13183</v>
      </c>
      <c r="C419" s="606" t="s">
        <v>12375</v>
      </c>
      <c r="D419" s="607"/>
      <c r="E419" s="607">
        <v>4.54</v>
      </c>
      <c r="F419" s="607">
        <v>4.54</v>
      </c>
      <c r="G419" s="584">
        <v>15</v>
      </c>
    </row>
    <row r="420" spans="1:7" ht="15" x14ac:dyDescent="0.2">
      <c r="A420" s="583" t="s">
        <v>13184</v>
      </c>
      <c r="B420" s="605" t="s">
        <v>13185</v>
      </c>
      <c r="C420" s="606" t="s">
        <v>12375</v>
      </c>
      <c r="D420" s="607"/>
      <c r="E420" s="607">
        <v>55.83</v>
      </c>
      <c r="F420" s="607">
        <v>55.83</v>
      </c>
      <c r="G420" s="584">
        <v>15</v>
      </c>
    </row>
    <row r="421" spans="1:7" ht="15" x14ac:dyDescent="0.2">
      <c r="A421" s="583" t="s">
        <v>13186</v>
      </c>
      <c r="B421" s="605" t="s">
        <v>13187</v>
      </c>
      <c r="C421" s="606" t="s">
        <v>12375</v>
      </c>
      <c r="D421" s="607"/>
      <c r="E421" s="607">
        <v>27.92</v>
      </c>
      <c r="F421" s="607">
        <v>27.92</v>
      </c>
      <c r="G421" s="584">
        <v>15</v>
      </c>
    </row>
    <row r="422" spans="1:7" ht="15" x14ac:dyDescent="0.2">
      <c r="A422" s="583" t="s">
        <v>13188</v>
      </c>
      <c r="B422" s="605" t="s">
        <v>13189</v>
      </c>
      <c r="C422" s="606" t="s">
        <v>12375</v>
      </c>
      <c r="D422" s="607"/>
      <c r="E422" s="607">
        <v>22.71</v>
      </c>
      <c r="F422" s="607">
        <v>22.71</v>
      </c>
      <c r="G422" s="584">
        <v>15</v>
      </c>
    </row>
    <row r="423" spans="1:7" ht="15" x14ac:dyDescent="0.2">
      <c r="A423" s="583" t="s">
        <v>13190</v>
      </c>
      <c r="B423" s="605" t="s">
        <v>13191</v>
      </c>
      <c r="C423" s="606" t="s">
        <v>12375</v>
      </c>
      <c r="D423" s="607"/>
      <c r="E423" s="607">
        <v>78.540000000000006</v>
      </c>
      <c r="F423" s="607">
        <v>78.540000000000006</v>
      </c>
      <c r="G423" s="584">
        <v>15</v>
      </c>
    </row>
    <row r="424" spans="1:7" ht="15" x14ac:dyDescent="0.25">
      <c r="A424" s="583" t="s">
        <v>13192</v>
      </c>
      <c r="B424" s="605" t="s">
        <v>13193</v>
      </c>
      <c r="C424" s="606"/>
      <c r="D424" s="607"/>
      <c r="E424" s="607"/>
      <c r="F424" s="607"/>
      <c r="G424" s="582"/>
    </row>
    <row r="425" spans="1:7" ht="15" x14ac:dyDescent="0.2">
      <c r="A425" s="583" t="s">
        <v>13194</v>
      </c>
      <c r="B425" s="605" t="s">
        <v>13195</v>
      </c>
      <c r="C425" s="606" t="s">
        <v>62</v>
      </c>
      <c r="D425" s="607"/>
      <c r="E425" s="607">
        <v>0.91</v>
      </c>
      <c r="F425" s="607">
        <v>0.91</v>
      </c>
      <c r="G425" s="584">
        <v>15</v>
      </c>
    </row>
    <row r="426" spans="1:7" ht="15" x14ac:dyDescent="0.2">
      <c r="A426" s="583" t="s">
        <v>13196</v>
      </c>
      <c r="B426" s="605" t="s">
        <v>13197</v>
      </c>
      <c r="C426" s="606" t="s">
        <v>12375</v>
      </c>
      <c r="D426" s="607"/>
      <c r="E426" s="607">
        <v>83.75</v>
      </c>
      <c r="F426" s="607">
        <v>83.75</v>
      </c>
      <c r="G426" s="584">
        <v>15</v>
      </c>
    </row>
    <row r="427" spans="1:7" ht="30" x14ac:dyDescent="0.2">
      <c r="A427" s="583" t="s">
        <v>13198</v>
      </c>
      <c r="B427" s="605" t="s">
        <v>13199</v>
      </c>
      <c r="C427" s="606" t="s">
        <v>12375</v>
      </c>
      <c r="D427" s="607"/>
      <c r="E427" s="607">
        <v>111.66</v>
      </c>
      <c r="F427" s="607">
        <v>111.66</v>
      </c>
      <c r="G427" s="584">
        <v>15</v>
      </c>
    </row>
    <row r="428" spans="1:7" ht="15" x14ac:dyDescent="0.2">
      <c r="A428" s="583" t="s">
        <v>13200</v>
      </c>
      <c r="B428" s="605" t="s">
        <v>13201</v>
      </c>
      <c r="C428" s="606" t="s">
        <v>12483</v>
      </c>
      <c r="D428" s="607"/>
      <c r="E428" s="607">
        <v>22.33</v>
      </c>
      <c r="F428" s="607">
        <v>22.33</v>
      </c>
      <c r="G428" s="584">
        <v>15</v>
      </c>
    </row>
    <row r="429" spans="1:7" ht="15" x14ac:dyDescent="0.2">
      <c r="A429" s="583" t="s">
        <v>13202</v>
      </c>
      <c r="B429" s="605" t="s">
        <v>13203</v>
      </c>
      <c r="C429" s="606" t="s">
        <v>12427</v>
      </c>
      <c r="D429" s="607"/>
      <c r="E429" s="607">
        <v>55.83</v>
      </c>
      <c r="F429" s="607">
        <v>55.83</v>
      </c>
      <c r="G429" s="584">
        <v>15</v>
      </c>
    </row>
    <row r="430" spans="1:7" ht="15" x14ac:dyDescent="0.2">
      <c r="A430" s="583" t="s">
        <v>13204</v>
      </c>
      <c r="B430" s="605" t="s">
        <v>13205</v>
      </c>
      <c r="C430" s="606" t="s">
        <v>12375</v>
      </c>
      <c r="D430" s="607">
        <v>124.88</v>
      </c>
      <c r="E430" s="607">
        <v>157.08000000000001</v>
      </c>
      <c r="F430" s="607">
        <v>281.95999999999998</v>
      </c>
      <c r="G430" s="584">
        <v>15</v>
      </c>
    </row>
    <row r="431" spans="1:7" ht="15" x14ac:dyDescent="0.2">
      <c r="A431" s="583" t="s">
        <v>13206</v>
      </c>
      <c r="B431" s="605" t="s">
        <v>13207</v>
      </c>
      <c r="C431" s="606" t="s">
        <v>12375</v>
      </c>
      <c r="D431" s="607">
        <v>124.88</v>
      </c>
      <c r="E431" s="607">
        <v>157.08000000000001</v>
      </c>
      <c r="F431" s="607">
        <v>281.95999999999998</v>
      </c>
      <c r="G431" s="584">
        <v>15</v>
      </c>
    </row>
    <row r="432" spans="1:7" ht="15" x14ac:dyDescent="0.2">
      <c r="A432" s="583" t="s">
        <v>13208</v>
      </c>
      <c r="B432" s="605" t="s">
        <v>13209</v>
      </c>
      <c r="C432" s="606" t="s">
        <v>12375</v>
      </c>
      <c r="D432" s="607"/>
      <c r="E432" s="607">
        <v>175.91</v>
      </c>
      <c r="F432" s="607">
        <v>175.91</v>
      </c>
      <c r="G432" s="584">
        <v>15</v>
      </c>
    </row>
    <row r="433" spans="1:7" ht="30" x14ac:dyDescent="0.2">
      <c r="A433" s="583" t="s">
        <v>13210</v>
      </c>
      <c r="B433" s="605" t="s">
        <v>13211</v>
      </c>
      <c r="C433" s="606" t="s">
        <v>12427</v>
      </c>
      <c r="D433" s="607"/>
      <c r="E433" s="607">
        <v>111.66</v>
      </c>
      <c r="F433" s="607">
        <v>111.66</v>
      </c>
      <c r="G433" s="584">
        <v>15</v>
      </c>
    </row>
    <row r="434" spans="1:7" ht="15" x14ac:dyDescent="0.2">
      <c r="A434" s="583" t="s">
        <v>13212</v>
      </c>
      <c r="B434" s="605" t="s">
        <v>13213</v>
      </c>
      <c r="C434" s="606" t="s">
        <v>12375</v>
      </c>
      <c r="D434" s="607"/>
      <c r="E434" s="607">
        <v>19.64</v>
      </c>
      <c r="F434" s="607">
        <v>19.64</v>
      </c>
      <c r="G434" s="584">
        <v>15</v>
      </c>
    </row>
    <row r="435" spans="1:7" ht="15" x14ac:dyDescent="0.2">
      <c r="A435" s="583" t="s">
        <v>13214</v>
      </c>
      <c r="B435" s="605" t="s">
        <v>13215</v>
      </c>
      <c r="C435" s="606" t="s">
        <v>12375</v>
      </c>
      <c r="D435" s="607"/>
      <c r="E435" s="607">
        <v>111.66</v>
      </c>
      <c r="F435" s="607">
        <v>111.66</v>
      </c>
      <c r="G435" s="584">
        <v>15</v>
      </c>
    </row>
    <row r="436" spans="1:7" ht="15" x14ac:dyDescent="0.2">
      <c r="A436" s="583" t="s">
        <v>13216</v>
      </c>
      <c r="B436" s="605" t="s">
        <v>13217</v>
      </c>
      <c r="C436" s="606" t="s">
        <v>12375</v>
      </c>
      <c r="D436" s="607"/>
      <c r="E436" s="607">
        <v>26.5</v>
      </c>
      <c r="F436" s="607">
        <v>26.5</v>
      </c>
      <c r="G436" s="584">
        <v>15</v>
      </c>
    </row>
    <row r="437" spans="1:7" ht="15" x14ac:dyDescent="0.2">
      <c r="A437" s="583" t="s">
        <v>13218</v>
      </c>
      <c r="B437" s="605" t="s">
        <v>13219</v>
      </c>
      <c r="C437" s="606" t="s">
        <v>12375</v>
      </c>
      <c r="D437" s="607"/>
      <c r="E437" s="607">
        <v>4.54</v>
      </c>
      <c r="F437" s="607">
        <v>4.54</v>
      </c>
      <c r="G437" s="584">
        <v>15</v>
      </c>
    </row>
    <row r="438" spans="1:7" ht="15" x14ac:dyDescent="0.2">
      <c r="A438" s="583" t="s">
        <v>13220</v>
      </c>
      <c r="B438" s="605" t="s">
        <v>13221</v>
      </c>
      <c r="C438" s="606" t="s">
        <v>12375</v>
      </c>
      <c r="D438" s="607"/>
      <c r="E438" s="607">
        <v>4.54</v>
      </c>
      <c r="F438" s="607">
        <v>4.54</v>
      </c>
      <c r="G438" s="584">
        <v>15</v>
      </c>
    </row>
    <row r="439" spans="1:7" ht="30" x14ac:dyDescent="0.2">
      <c r="A439" s="583" t="s">
        <v>13222</v>
      </c>
      <c r="B439" s="605" t="s">
        <v>13223</v>
      </c>
      <c r="C439" s="606" t="s">
        <v>12375</v>
      </c>
      <c r="D439" s="607"/>
      <c r="E439" s="607">
        <v>36.340000000000003</v>
      </c>
      <c r="F439" s="607">
        <v>36.340000000000003</v>
      </c>
      <c r="G439" s="584">
        <v>15</v>
      </c>
    </row>
    <row r="440" spans="1:7" ht="15" x14ac:dyDescent="0.25">
      <c r="A440" s="583" t="s">
        <v>13224</v>
      </c>
      <c r="B440" s="605" t="s">
        <v>13225</v>
      </c>
      <c r="C440" s="606"/>
      <c r="D440" s="607"/>
      <c r="E440" s="607"/>
      <c r="F440" s="607"/>
      <c r="G440" s="582"/>
    </row>
    <row r="441" spans="1:7" ht="15" x14ac:dyDescent="0.2">
      <c r="A441" s="583" t="s">
        <v>13226</v>
      </c>
      <c r="B441" s="605" t="s">
        <v>13227</v>
      </c>
      <c r="C441" s="606" t="s">
        <v>12375</v>
      </c>
      <c r="D441" s="607"/>
      <c r="E441" s="607">
        <v>5.68</v>
      </c>
      <c r="F441" s="607">
        <v>5.68</v>
      </c>
      <c r="G441" s="584">
        <v>15</v>
      </c>
    </row>
    <row r="442" spans="1:7" ht="15" x14ac:dyDescent="0.2">
      <c r="A442" s="583" t="s">
        <v>13228</v>
      </c>
      <c r="B442" s="605" t="s">
        <v>13229</v>
      </c>
      <c r="C442" s="606" t="s">
        <v>12375</v>
      </c>
      <c r="D442" s="607"/>
      <c r="E442" s="607">
        <v>386.42</v>
      </c>
      <c r="F442" s="607">
        <v>386.42</v>
      </c>
      <c r="G442" s="584">
        <v>15</v>
      </c>
    </row>
    <row r="443" spans="1:7" ht="15" x14ac:dyDescent="0.2">
      <c r="A443" s="583" t="s">
        <v>13230</v>
      </c>
      <c r="B443" s="605" t="s">
        <v>13231</v>
      </c>
      <c r="C443" s="606" t="s">
        <v>12375</v>
      </c>
      <c r="D443" s="607"/>
      <c r="E443" s="607">
        <v>36.29</v>
      </c>
      <c r="F443" s="607">
        <v>36.29</v>
      </c>
      <c r="G443" s="584">
        <v>15</v>
      </c>
    </row>
    <row r="444" spans="1:7" ht="30" x14ac:dyDescent="0.2">
      <c r="A444" s="583" t="s">
        <v>13232</v>
      </c>
      <c r="B444" s="605" t="s">
        <v>13233</v>
      </c>
      <c r="C444" s="606" t="s">
        <v>12375</v>
      </c>
      <c r="D444" s="607">
        <v>249.76</v>
      </c>
      <c r="E444" s="607">
        <v>446.64</v>
      </c>
      <c r="F444" s="607">
        <v>696.4</v>
      </c>
      <c r="G444" s="584">
        <v>15</v>
      </c>
    </row>
    <row r="445" spans="1:7" ht="30" x14ac:dyDescent="0.2">
      <c r="A445" s="583" t="s">
        <v>13234</v>
      </c>
      <c r="B445" s="605" t="s">
        <v>13235</v>
      </c>
      <c r="C445" s="606" t="s">
        <v>12483</v>
      </c>
      <c r="D445" s="607"/>
      <c r="E445" s="607">
        <v>27.92</v>
      </c>
      <c r="F445" s="607">
        <v>27.92</v>
      </c>
      <c r="G445" s="584">
        <v>15</v>
      </c>
    </row>
    <row r="446" spans="1:7" ht="30" x14ac:dyDescent="0.2">
      <c r="A446" s="583" t="s">
        <v>13236</v>
      </c>
      <c r="B446" s="605" t="s">
        <v>13237</v>
      </c>
      <c r="C446" s="606" t="s">
        <v>12483</v>
      </c>
      <c r="D446" s="607"/>
      <c r="E446" s="607">
        <v>13.96</v>
      </c>
      <c r="F446" s="607">
        <v>13.96</v>
      </c>
      <c r="G446" s="584">
        <v>15</v>
      </c>
    </row>
    <row r="447" spans="1:7" ht="30" x14ac:dyDescent="0.2">
      <c r="A447" s="583" t="s">
        <v>13238</v>
      </c>
      <c r="B447" s="605" t="s">
        <v>13239</v>
      </c>
      <c r="C447" s="606" t="s">
        <v>12483</v>
      </c>
      <c r="D447" s="607"/>
      <c r="E447" s="607">
        <v>55.83</v>
      </c>
      <c r="F447" s="607">
        <v>55.83</v>
      </c>
      <c r="G447" s="584">
        <v>15</v>
      </c>
    </row>
    <row r="448" spans="1:7" ht="30" x14ac:dyDescent="0.2">
      <c r="A448" s="583" t="s">
        <v>13240</v>
      </c>
      <c r="B448" s="605" t="s">
        <v>13241</v>
      </c>
      <c r="C448" s="606" t="s">
        <v>12483</v>
      </c>
      <c r="D448" s="607"/>
      <c r="E448" s="607">
        <v>27.92</v>
      </c>
      <c r="F448" s="607">
        <v>27.92</v>
      </c>
      <c r="G448" s="584">
        <v>15</v>
      </c>
    </row>
    <row r="449" spans="1:7" ht="15" x14ac:dyDescent="0.2">
      <c r="A449" s="583" t="s">
        <v>13242</v>
      </c>
      <c r="B449" s="605" t="s">
        <v>13243</v>
      </c>
      <c r="C449" s="606" t="s">
        <v>12483</v>
      </c>
      <c r="D449" s="607"/>
      <c r="E449" s="607">
        <v>11.16</v>
      </c>
      <c r="F449" s="607">
        <v>11.16</v>
      </c>
      <c r="G449" s="584">
        <v>15</v>
      </c>
    </row>
    <row r="450" spans="1:7" ht="15" x14ac:dyDescent="0.25">
      <c r="A450" s="583" t="s">
        <v>13244</v>
      </c>
      <c r="B450" s="605" t="s">
        <v>13245</v>
      </c>
      <c r="C450" s="606"/>
      <c r="D450" s="607"/>
      <c r="E450" s="607"/>
      <c r="F450" s="607"/>
      <c r="G450" s="582"/>
    </row>
    <row r="451" spans="1:7" ht="15" x14ac:dyDescent="0.2">
      <c r="A451" s="583" t="s">
        <v>13246</v>
      </c>
      <c r="B451" s="605" t="s">
        <v>13247</v>
      </c>
      <c r="C451" s="606" t="s">
        <v>12483</v>
      </c>
      <c r="D451" s="607"/>
      <c r="E451" s="607">
        <v>5.22</v>
      </c>
      <c r="F451" s="607">
        <v>5.22</v>
      </c>
      <c r="G451" s="584">
        <v>15</v>
      </c>
    </row>
    <row r="452" spans="1:7" ht="15" x14ac:dyDescent="0.2">
      <c r="A452" s="583" t="s">
        <v>13248</v>
      </c>
      <c r="B452" s="605" t="s">
        <v>13249</v>
      </c>
      <c r="C452" s="606" t="s">
        <v>12483</v>
      </c>
      <c r="D452" s="607"/>
      <c r="E452" s="607">
        <v>3.41</v>
      </c>
      <c r="F452" s="607">
        <v>3.41</v>
      </c>
      <c r="G452" s="584">
        <v>15</v>
      </c>
    </row>
    <row r="453" spans="1:7" ht="30" x14ac:dyDescent="0.2">
      <c r="A453" s="583" t="s">
        <v>13250</v>
      </c>
      <c r="B453" s="605" t="s">
        <v>13251</v>
      </c>
      <c r="C453" s="606" t="s">
        <v>12483</v>
      </c>
      <c r="D453" s="607"/>
      <c r="E453" s="607">
        <v>9.08</v>
      </c>
      <c r="F453" s="607">
        <v>9.08</v>
      </c>
      <c r="G453" s="584">
        <v>15</v>
      </c>
    </row>
    <row r="454" spans="1:7" ht="15" x14ac:dyDescent="0.2">
      <c r="A454" s="583" t="s">
        <v>13252</v>
      </c>
      <c r="B454" s="605" t="s">
        <v>13253</v>
      </c>
      <c r="C454" s="606" t="s">
        <v>12375</v>
      </c>
      <c r="D454" s="607"/>
      <c r="E454" s="607">
        <v>99.36</v>
      </c>
      <c r="F454" s="607">
        <v>99.36</v>
      </c>
      <c r="G454" s="584">
        <v>15</v>
      </c>
    </row>
    <row r="455" spans="1:7" ht="15" x14ac:dyDescent="0.2">
      <c r="A455" s="583" t="s">
        <v>13254</v>
      </c>
      <c r="B455" s="605" t="s">
        <v>13255</v>
      </c>
      <c r="C455" s="606" t="s">
        <v>12375</v>
      </c>
      <c r="D455" s="607"/>
      <c r="E455" s="607">
        <v>167.49</v>
      </c>
      <c r="F455" s="607">
        <v>167.49</v>
      </c>
      <c r="G455" s="584">
        <v>15</v>
      </c>
    </row>
    <row r="456" spans="1:7" ht="15" x14ac:dyDescent="0.25">
      <c r="A456" s="583" t="s">
        <v>13256</v>
      </c>
      <c r="B456" s="605" t="s">
        <v>13257</v>
      </c>
      <c r="C456" s="606"/>
      <c r="D456" s="607"/>
      <c r="E456" s="607"/>
      <c r="F456" s="607"/>
      <c r="G456" s="582"/>
    </row>
    <row r="457" spans="1:7" ht="15" x14ac:dyDescent="0.2">
      <c r="A457" s="583" t="s">
        <v>13258</v>
      </c>
      <c r="B457" s="605" t="s">
        <v>13259</v>
      </c>
      <c r="C457" s="606" t="s">
        <v>12375</v>
      </c>
      <c r="D457" s="607"/>
      <c r="E457" s="607">
        <v>15.7</v>
      </c>
      <c r="F457" s="607">
        <v>15.7</v>
      </c>
      <c r="G457" s="584">
        <v>15</v>
      </c>
    </row>
    <row r="458" spans="1:7" ht="15" x14ac:dyDescent="0.25">
      <c r="A458" s="583" t="s">
        <v>13260</v>
      </c>
      <c r="B458" s="605" t="s">
        <v>13261</v>
      </c>
      <c r="C458" s="606"/>
      <c r="D458" s="607"/>
      <c r="E458" s="607"/>
      <c r="F458" s="607"/>
      <c r="G458" s="582"/>
    </row>
    <row r="459" spans="1:7" ht="15" x14ac:dyDescent="0.2">
      <c r="A459" s="583" t="s">
        <v>13262</v>
      </c>
      <c r="B459" s="605" t="s">
        <v>13263</v>
      </c>
      <c r="C459" s="606" t="s">
        <v>12375</v>
      </c>
      <c r="D459" s="607"/>
      <c r="E459" s="607">
        <v>25.31</v>
      </c>
      <c r="F459" s="607">
        <v>25.31</v>
      </c>
      <c r="G459" s="584">
        <v>15</v>
      </c>
    </row>
    <row r="460" spans="1:7" ht="15" x14ac:dyDescent="0.25">
      <c r="A460" s="583" t="s">
        <v>13264</v>
      </c>
      <c r="B460" s="605" t="s">
        <v>13265</v>
      </c>
      <c r="C460" s="606"/>
      <c r="D460" s="607"/>
      <c r="E460" s="607"/>
      <c r="F460" s="607"/>
      <c r="G460" s="582"/>
    </row>
    <row r="461" spans="1:7" ht="30" x14ac:dyDescent="0.2">
      <c r="A461" s="583" t="s">
        <v>12358</v>
      </c>
      <c r="B461" s="605" t="s">
        <v>13266</v>
      </c>
      <c r="C461" s="606" t="s">
        <v>12483</v>
      </c>
      <c r="D461" s="607">
        <v>0.9</v>
      </c>
      <c r="E461" s="607">
        <v>9.08</v>
      </c>
      <c r="F461" s="607">
        <v>9.98</v>
      </c>
      <c r="G461" s="584">
        <v>15</v>
      </c>
    </row>
    <row r="462" spans="1:7" ht="15" x14ac:dyDescent="0.2">
      <c r="A462" s="583" t="s">
        <v>13267</v>
      </c>
      <c r="B462" s="605" t="s">
        <v>13268</v>
      </c>
      <c r="C462" s="606" t="s">
        <v>12483</v>
      </c>
      <c r="D462" s="607"/>
      <c r="E462" s="607">
        <v>4.54</v>
      </c>
      <c r="F462" s="607">
        <v>4.54</v>
      </c>
      <c r="G462" s="584">
        <v>15</v>
      </c>
    </row>
    <row r="463" spans="1:7" ht="30" x14ac:dyDescent="0.2">
      <c r="A463" s="583" t="s">
        <v>13269</v>
      </c>
      <c r="B463" s="605" t="s">
        <v>13270</v>
      </c>
      <c r="C463" s="606" t="s">
        <v>12483</v>
      </c>
      <c r="D463" s="607"/>
      <c r="E463" s="607">
        <v>9.08</v>
      </c>
      <c r="F463" s="607">
        <v>9.08</v>
      </c>
      <c r="G463" s="584">
        <v>15</v>
      </c>
    </row>
    <row r="464" spans="1:7" ht="45" x14ac:dyDescent="0.2">
      <c r="A464" s="583" t="s">
        <v>12357</v>
      </c>
      <c r="B464" s="605" t="s">
        <v>13271</v>
      </c>
      <c r="C464" s="606" t="s">
        <v>12427</v>
      </c>
      <c r="D464" s="607">
        <v>7.2</v>
      </c>
      <c r="E464" s="607">
        <v>13.63</v>
      </c>
      <c r="F464" s="607">
        <v>20.83</v>
      </c>
      <c r="G464" s="584">
        <v>15</v>
      </c>
    </row>
    <row r="465" spans="1:7" ht="30" x14ac:dyDescent="0.2">
      <c r="A465" s="583" t="s">
        <v>13272</v>
      </c>
      <c r="B465" s="605" t="s">
        <v>13273</v>
      </c>
      <c r="C465" s="606" t="s">
        <v>12427</v>
      </c>
      <c r="D465" s="607"/>
      <c r="E465" s="607">
        <v>13.63</v>
      </c>
      <c r="F465" s="607">
        <v>13.63</v>
      </c>
      <c r="G465" s="584">
        <v>15</v>
      </c>
    </row>
    <row r="466" spans="1:7" ht="15" x14ac:dyDescent="0.25">
      <c r="A466" s="583" t="s">
        <v>13274</v>
      </c>
      <c r="B466" s="605" t="s">
        <v>13275</v>
      </c>
      <c r="C466" s="606"/>
      <c r="D466" s="607"/>
      <c r="E466" s="607"/>
      <c r="F466" s="607"/>
      <c r="G466" s="582"/>
    </row>
    <row r="467" spans="1:7" ht="15" x14ac:dyDescent="0.2">
      <c r="A467" s="583" t="s">
        <v>13276</v>
      </c>
      <c r="B467" s="605" t="s">
        <v>13277</v>
      </c>
      <c r="C467" s="606" t="s">
        <v>12427</v>
      </c>
      <c r="D467" s="607">
        <v>41.71</v>
      </c>
      <c r="E467" s="607">
        <v>20.14</v>
      </c>
      <c r="F467" s="607">
        <v>61.85</v>
      </c>
      <c r="G467" s="584">
        <v>15</v>
      </c>
    </row>
    <row r="468" spans="1:7" ht="15" x14ac:dyDescent="0.25">
      <c r="A468" s="583" t="s">
        <v>13278</v>
      </c>
      <c r="B468" s="605" t="s">
        <v>13279</v>
      </c>
      <c r="C468" s="606"/>
      <c r="D468" s="607"/>
      <c r="E468" s="607"/>
      <c r="F468" s="607"/>
      <c r="G468" s="582"/>
    </row>
    <row r="469" spans="1:7" ht="15" x14ac:dyDescent="0.25">
      <c r="A469" s="583" t="s">
        <v>13280</v>
      </c>
      <c r="B469" s="605" t="s">
        <v>13281</v>
      </c>
      <c r="C469" s="606"/>
      <c r="D469" s="607"/>
      <c r="E469" s="607"/>
      <c r="F469" s="607"/>
      <c r="G469" s="582"/>
    </row>
    <row r="470" spans="1:7" ht="30" x14ac:dyDescent="0.2">
      <c r="A470" s="583" t="s">
        <v>13282</v>
      </c>
      <c r="B470" s="605" t="s">
        <v>13283</v>
      </c>
      <c r="C470" s="606" t="s">
        <v>12508</v>
      </c>
      <c r="D470" s="607">
        <v>27.09</v>
      </c>
      <c r="E470" s="607">
        <v>122.63</v>
      </c>
      <c r="F470" s="607">
        <v>149.72</v>
      </c>
      <c r="G470" s="584">
        <v>15</v>
      </c>
    </row>
    <row r="471" spans="1:7" ht="15" x14ac:dyDescent="0.25">
      <c r="A471" s="583" t="s">
        <v>13284</v>
      </c>
      <c r="B471" s="605" t="s">
        <v>13285</v>
      </c>
      <c r="C471" s="606"/>
      <c r="D471" s="607"/>
      <c r="E471" s="607"/>
      <c r="F471" s="607"/>
      <c r="G471" s="582"/>
    </row>
    <row r="472" spans="1:7" ht="45" x14ac:dyDescent="0.2">
      <c r="A472" s="583" t="s">
        <v>13286</v>
      </c>
      <c r="B472" s="605" t="s">
        <v>13287</v>
      </c>
      <c r="C472" s="606" t="s">
        <v>12508</v>
      </c>
      <c r="D472" s="607">
        <v>98.52</v>
      </c>
      <c r="E472" s="607">
        <v>13.63</v>
      </c>
      <c r="F472" s="607">
        <v>112.15</v>
      </c>
      <c r="G472" s="584">
        <v>15</v>
      </c>
    </row>
    <row r="473" spans="1:7" ht="45" x14ac:dyDescent="0.2">
      <c r="A473" s="583" t="s">
        <v>13288</v>
      </c>
      <c r="B473" s="605" t="s">
        <v>13289</v>
      </c>
      <c r="C473" s="606" t="s">
        <v>12508</v>
      </c>
      <c r="D473" s="607">
        <v>118.19</v>
      </c>
      <c r="E473" s="607">
        <v>13.63</v>
      </c>
      <c r="F473" s="607">
        <v>131.82</v>
      </c>
      <c r="G473" s="584">
        <v>15</v>
      </c>
    </row>
    <row r="474" spans="1:7" ht="45" x14ac:dyDescent="0.2">
      <c r="A474" s="583" t="s">
        <v>13290</v>
      </c>
      <c r="B474" s="605" t="s">
        <v>13291</v>
      </c>
      <c r="C474" s="606" t="s">
        <v>12508</v>
      </c>
      <c r="D474" s="607">
        <v>123.08</v>
      </c>
      <c r="E474" s="607">
        <v>13.63</v>
      </c>
      <c r="F474" s="607">
        <v>136.71</v>
      </c>
      <c r="G474" s="584">
        <v>15</v>
      </c>
    </row>
    <row r="475" spans="1:7" ht="30" x14ac:dyDescent="0.2">
      <c r="A475" s="583" t="s">
        <v>13292</v>
      </c>
      <c r="B475" s="605" t="s">
        <v>13293</v>
      </c>
      <c r="C475" s="606" t="s">
        <v>12508</v>
      </c>
      <c r="D475" s="607">
        <v>120.87</v>
      </c>
      <c r="E475" s="607">
        <v>13.63</v>
      </c>
      <c r="F475" s="607">
        <v>134.5</v>
      </c>
      <c r="G475" s="584">
        <v>15</v>
      </c>
    </row>
    <row r="476" spans="1:7" ht="30" x14ac:dyDescent="0.2">
      <c r="A476" s="583" t="s">
        <v>20363</v>
      </c>
      <c r="B476" s="605" t="s">
        <v>20364</v>
      </c>
      <c r="C476" s="606" t="s">
        <v>13313</v>
      </c>
      <c r="D476" s="607">
        <v>274.29000000000002</v>
      </c>
      <c r="E476" s="607">
        <v>1.1399999999999999</v>
      </c>
      <c r="F476" s="607">
        <v>275.43</v>
      </c>
      <c r="G476" s="584">
        <v>15</v>
      </c>
    </row>
    <row r="477" spans="1:7" ht="15" x14ac:dyDescent="0.25">
      <c r="A477" s="583" t="s">
        <v>13294</v>
      </c>
      <c r="B477" s="605" t="s">
        <v>13295</v>
      </c>
      <c r="C477" s="606"/>
      <c r="D477" s="607"/>
      <c r="E477" s="607"/>
      <c r="F477" s="607"/>
      <c r="G477" s="582"/>
    </row>
    <row r="478" spans="1:7" ht="30" x14ac:dyDescent="0.2">
      <c r="A478" s="583" t="s">
        <v>13296</v>
      </c>
      <c r="B478" s="605" t="s">
        <v>13297</v>
      </c>
      <c r="C478" s="606" t="s">
        <v>12508</v>
      </c>
      <c r="D478" s="607">
        <v>21.13</v>
      </c>
      <c r="E478" s="607"/>
      <c r="F478" s="607">
        <v>21.13</v>
      </c>
      <c r="G478" s="584">
        <v>15</v>
      </c>
    </row>
    <row r="479" spans="1:7" ht="30" x14ac:dyDescent="0.2">
      <c r="A479" s="583" t="s">
        <v>13298</v>
      </c>
      <c r="B479" s="605" t="s">
        <v>13299</v>
      </c>
      <c r="C479" s="606" t="s">
        <v>12508</v>
      </c>
      <c r="D479" s="607">
        <v>39.61</v>
      </c>
      <c r="E479" s="607"/>
      <c r="F479" s="607">
        <v>39.61</v>
      </c>
      <c r="G479" s="584">
        <v>15</v>
      </c>
    </row>
    <row r="480" spans="1:7" ht="30" x14ac:dyDescent="0.2">
      <c r="A480" s="583" t="s">
        <v>13300</v>
      </c>
      <c r="B480" s="605" t="s">
        <v>13301</v>
      </c>
      <c r="C480" s="606" t="s">
        <v>12508</v>
      </c>
      <c r="D480" s="607">
        <v>49.18</v>
      </c>
      <c r="E480" s="607"/>
      <c r="F480" s="607">
        <v>49.18</v>
      </c>
      <c r="G480" s="584">
        <v>15</v>
      </c>
    </row>
    <row r="481" spans="1:7" ht="30" x14ac:dyDescent="0.2">
      <c r="A481" s="583" t="s">
        <v>13302</v>
      </c>
      <c r="B481" s="605" t="s">
        <v>13303</v>
      </c>
      <c r="C481" s="606" t="s">
        <v>12508</v>
      </c>
      <c r="D481" s="607">
        <v>55.93</v>
      </c>
      <c r="E481" s="607"/>
      <c r="F481" s="607">
        <v>55.93</v>
      </c>
      <c r="G481" s="584">
        <v>15</v>
      </c>
    </row>
    <row r="482" spans="1:7" ht="15" x14ac:dyDescent="0.2">
      <c r="A482" s="583" t="s">
        <v>13304</v>
      </c>
      <c r="B482" s="605" t="s">
        <v>13305</v>
      </c>
      <c r="C482" s="606" t="s">
        <v>13306</v>
      </c>
      <c r="D482" s="607">
        <v>2.8</v>
      </c>
      <c r="E482" s="607"/>
      <c r="F482" s="607">
        <v>2.8</v>
      </c>
      <c r="G482" s="584">
        <v>15</v>
      </c>
    </row>
    <row r="483" spans="1:7" ht="30" x14ac:dyDescent="0.2">
      <c r="A483" s="583" t="s">
        <v>13307</v>
      </c>
      <c r="B483" s="605" t="s">
        <v>13308</v>
      </c>
      <c r="C483" s="606" t="s">
        <v>12508</v>
      </c>
      <c r="D483" s="607">
        <v>17.13</v>
      </c>
      <c r="E483" s="607"/>
      <c r="F483" s="607">
        <v>17.13</v>
      </c>
      <c r="G483" s="584">
        <v>15</v>
      </c>
    </row>
    <row r="484" spans="1:7" ht="15" x14ac:dyDescent="0.25">
      <c r="A484" s="583" t="s">
        <v>13309</v>
      </c>
      <c r="B484" s="605" t="s">
        <v>13310</v>
      </c>
      <c r="C484" s="606"/>
      <c r="D484" s="607"/>
      <c r="E484" s="607"/>
      <c r="F484" s="607"/>
      <c r="G484" s="582"/>
    </row>
    <row r="485" spans="1:7" ht="15" x14ac:dyDescent="0.2">
      <c r="A485" s="583" t="s">
        <v>13311</v>
      </c>
      <c r="B485" s="605" t="s">
        <v>13312</v>
      </c>
      <c r="C485" s="606" t="s">
        <v>13313</v>
      </c>
      <c r="D485" s="607">
        <v>47.81</v>
      </c>
      <c r="E485" s="607"/>
      <c r="F485" s="607">
        <v>47.81</v>
      </c>
      <c r="G485" s="584">
        <v>15</v>
      </c>
    </row>
    <row r="486" spans="1:7" ht="15" x14ac:dyDescent="0.2">
      <c r="A486" s="583" t="s">
        <v>13314</v>
      </c>
      <c r="B486" s="605" t="s">
        <v>13315</v>
      </c>
      <c r="C486" s="606" t="s">
        <v>12508</v>
      </c>
      <c r="D486" s="607">
        <v>30.89</v>
      </c>
      <c r="E486" s="607"/>
      <c r="F486" s="607">
        <v>30.89</v>
      </c>
      <c r="G486" s="584">
        <v>15</v>
      </c>
    </row>
    <row r="487" spans="1:7" ht="30" x14ac:dyDescent="0.2">
      <c r="A487" s="583" t="s">
        <v>13316</v>
      </c>
      <c r="B487" s="605" t="s">
        <v>20365</v>
      </c>
      <c r="C487" s="606" t="s">
        <v>13313</v>
      </c>
      <c r="D487" s="607">
        <v>913.05</v>
      </c>
      <c r="E487" s="607"/>
      <c r="F487" s="607">
        <v>913.05</v>
      </c>
      <c r="G487" s="584">
        <v>15</v>
      </c>
    </row>
    <row r="488" spans="1:7" ht="15" x14ac:dyDescent="0.25">
      <c r="A488" s="583" t="s">
        <v>13317</v>
      </c>
      <c r="B488" s="605" t="s">
        <v>13318</v>
      </c>
      <c r="C488" s="606"/>
      <c r="D488" s="607"/>
      <c r="E488" s="607"/>
      <c r="F488" s="607"/>
      <c r="G488" s="582"/>
    </row>
    <row r="489" spans="1:7" ht="15" x14ac:dyDescent="0.2">
      <c r="A489" s="583" t="s">
        <v>13319</v>
      </c>
      <c r="B489" s="605" t="s">
        <v>13320</v>
      </c>
      <c r="C489" s="606" t="s">
        <v>12508</v>
      </c>
      <c r="D489" s="607">
        <v>5.52</v>
      </c>
      <c r="E489" s="607"/>
      <c r="F489" s="607">
        <v>5.52</v>
      </c>
      <c r="G489" s="584">
        <v>15</v>
      </c>
    </row>
    <row r="490" spans="1:7" ht="30" x14ac:dyDescent="0.2">
      <c r="A490" s="583" t="s">
        <v>13321</v>
      </c>
      <c r="B490" s="605" t="s">
        <v>13322</v>
      </c>
      <c r="C490" s="606" t="s">
        <v>12508</v>
      </c>
      <c r="D490" s="607">
        <v>8.75</v>
      </c>
      <c r="E490" s="607"/>
      <c r="F490" s="607">
        <v>8.75</v>
      </c>
      <c r="G490" s="584">
        <v>15</v>
      </c>
    </row>
    <row r="491" spans="1:7" ht="30" x14ac:dyDescent="0.2">
      <c r="A491" s="583" t="s">
        <v>13323</v>
      </c>
      <c r="B491" s="605" t="s">
        <v>13324</v>
      </c>
      <c r="C491" s="606" t="s">
        <v>12508</v>
      </c>
      <c r="D491" s="607">
        <v>13.06</v>
      </c>
      <c r="E491" s="607"/>
      <c r="F491" s="607">
        <v>13.06</v>
      </c>
      <c r="G491" s="584">
        <v>15</v>
      </c>
    </row>
    <row r="492" spans="1:7" ht="30" x14ac:dyDescent="0.2">
      <c r="A492" s="583" t="s">
        <v>13325</v>
      </c>
      <c r="B492" s="605" t="s">
        <v>13326</v>
      </c>
      <c r="C492" s="606" t="s">
        <v>12508</v>
      </c>
      <c r="D492" s="607">
        <v>14.43</v>
      </c>
      <c r="E492" s="607"/>
      <c r="F492" s="607">
        <v>14.43</v>
      </c>
      <c r="G492" s="584">
        <v>15</v>
      </c>
    </row>
    <row r="493" spans="1:7" ht="30" x14ac:dyDescent="0.2">
      <c r="A493" s="583" t="s">
        <v>13327</v>
      </c>
      <c r="B493" s="605" t="s">
        <v>13328</v>
      </c>
      <c r="C493" s="606" t="s">
        <v>12508</v>
      </c>
      <c r="D493" s="607">
        <v>19.29</v>
      </c>
      <c r="E493" s="607"/>
      <c r="F493" s="607">
        <v>19.29</v>
      </c>
      <c r="G493" s="584">
        <v>15</v>
      </c>
    </row>
    <row r="494" spans="1:7" ht="30" x14ac:dyDescent="0.2">
      <c r="A494" s="583" t="s">
        <v>13329</v>
      </c>
      <c r="B494" s="605" t="s">
        <v>13330</v>
      </c>
      <c r="C494" s="606" t="s">
        <v>12508</v>
      </c>
      <c r="D494" s="607">
        <v>28.91</v>
      </c>
      <c r="E494" s="607"/>
      <c r="F494" s="607">
        <v>28.91</v>
      </c>
      <c r="G494" s="584">
        <v>15</v>
      </c>
    </row>
    <row r="495" spans="1:7" ht="30" x14ac:dyDescent="0.2">
      <c r="A495" s="583" t="s">
        <v>13331</v>
      </c>
      <c r="B495" s="605" t="s">
        <v>13332</v>
      </c>
      <c r="C495" s="606" t="s">
        <v>12508</v>
      </c>
      <c r="D495" s="607">
        <v>38.5</v>
      </c>
      <c r="E495" s="607"/>
      <c r="F495" s="607">
        <v>38.5</v>
      </c>
      <c r="G495" s="584">
        <v>15</v>
      </c>
    </row>
    <row r="496" spans="1:7" ht="30" x14ac:dyDescent="0.2">
      <c r="A496" s="583" t="s">
        <v>13333</v>
      </c>
      <c r="B496" s="605" t="s">
        <v>13334</v>
      </c>
      <c r="C496" s="606" t="s">
        <v>13306</v>
      </c>
      <c r="D496" s="607">
        <v>1.86</v>
      </c>
      <c r="E496" s="607"/>
      <c r="F496" s="607">
        <v>1.86</v>
      </c>
      <c r="G496" s="584">
        <v>15</v>
      </c>
    </row>
    <row r="497" spans="1:7" ht="15" x14ac:dyDescent="0.2">
      <c r="A497" s="583" t="s">
        <v>13335</v>
      </c>
      <c r="B497" s="605" t="s">
        <v>13336</v>
      </c>
      <c r="C497" s="606" t="s">
        <v>12508</v>
      </c>
      <c r="D497" s="607">
        <v>15.05</v>
      </c>
      <c r="E497" s="607"/>
      <c r="F497" s="607">
        <v>15.05</v>
      </c>
      <c r="G497" s="584">
        <v>15</v>
      </c>
    </row>
    <row r="498" spans="1:7" ht="30" x14ac:dyDescent="0.2">
      <c r="A498" s="583" t="s">
        <v>13337</v>
      </c>
      <c r="B498" s="605" t="s">
        <v>13338</v>
      </c>
      <c r="C498" s="606" t="s">
        <v>12508</v>
      </c>
      <c r="D498" s="607">
        <v>20.75</v>
      </c>
      <c r="E498" s="607"/>
      <c r="F498" s="607">
        <v>20.75</v>
      </c>
      <c r="G498" s="584">
        <v>15</v>
      </c>
    </row>
    <row r="499" spans="1:7" ht="30" x14ac:dyDescent="0.2">
      <c r="A499" s="583" t="s">
        <v>13339</v>
      </c>
      <c r="B499" s="605" t="s">
        <v>13340</v>
      </c>
      <c r="C499" s="606" t="s">
        <v>12508</v>
      </c>
      <c r="D499" s="607">
        <v>21.66</v>
      </c>
      <c r="E499" s="607"/>
      <c r="F499" s="607">
        <v>21.66</v>
      </c>
      <c r="G499" s="584">
        <v>15</v>
      </c>
    </row>
    <row r="500" spans="1:7" ht="30" x14ac:dyDescent="0.2">
      <c r="A500" s="583" t="s">
        <v>13341</v>
      </c>
      <c r="B500" s="605" t="s">
        <v>13342</v>
      </c>
      <c r="C500" s="606" t="s">
        <v>12508</v>
      </c>
      <c r="D500" s="607">
        <v>27.68</v>
      </c>
      <c r="E500" s="607"/>
      <c r="F500" s="607">
        <v>27.68</v>
      </c>
      <c r="G500" s="584">
        <v>15</v>
      </c>
    </row>
    <row r="501" spans="1:7" ht="30" x14ac:dyDescent="0.2">
      <c r="A501" s="583" t="s">
        <v>13343</v>
      </c>
      <c r="B501" s="605" t="s">
        <v>13344</v>
      </c>
      <c r="C501" s="606" t="s">
        <v>12508</v>
      </c>
      <c r="D501" s="607">
        <v>41.51</v>
      </c>
      <c r="E501" s="607"/>
      <c r="F501" s="607">
        <v>41.51</v>
      </c>
      <c r="G501" s="584">
        <v>15</v>
      </c>
    </row>
    <row r="502" spans="1:7" ht="30" x14ac:dyDescent="0.2">
      <c r="A502" s="583" t="s">
        <v>13345</v>
      </c>
      <c r="B502" s="605" t="s">
        <v>13346</v>
      </c>
      <c r="C502" s="606" t="s">
        <v>12508</v>
      </c>
      <c r="D502" s="607">
        <v>55.33</v>
      </c>
      <c r="E502" s="607"/>
      <c r="F502" s="607">
        <v>55.33</v>
      </c>
      <c r="G502" s="584">
        <v>15</v>
      </c>
    </row>
    <row r="503" spans="1:7" ht="30" x14ac:dyDescent="0.2">
      <c r="A503" s="583" t="s">
        <v>13347</v>
      </c>
      <c r="B503" s="605" t="s">
        <v>13348</v>
      </c>
      <c r="C503" s="606" t="s">
        <v>21972</v>
      </c>
      <c r="D503" s="607">
        <v>2.68</v>
      </c>
      <c r="E503" s="607"/>
      <c r="F503" s="607">
        <v>2.68</v>
      </c>
      <c r="G503" s="584">
        <v>15</v>
      </c>
    </row>
    <row r="504" spans="1:7" ht="15" x14ac:dyDescent="0.2">
      <c r="A504" s="583" t="s">
        <v>21373</v>
      </c>
      <c r="B504" s="605" t="s">
        <v>21374</v>
      </c>
      <c r="C504" s="606" t="s">
        <v>21972</v>
      </c>
      <c r="D504" s="607">
        <v>2.69</v>
      </c>
      <c r="E504" s="607"/>
      <c r="F504" s="607">
        <v>2.69</v>
      </c>
      <c r="G504" s="584">
        <v>15</v>
      </c>
    </row>
    <row r="505" spans="1:7" ht="15" x14ac:dyDescent="0.25">
      <c r="A505" s="583" t="s">
        <v>13349</v>
      </c>
      <c r="B505" s="605" t="s">
        <v>13350</v>
      </c>
      <c r="C505" s="606"/>
      <c r="D505" s="607"/>
      <c r="E505" s="607"/>
      <c r="F505" s="607"/>
      <c r="G505" s="582"/>
    </row>
    <row r="506" spans="1:7" ht="15" x14ac:dyDescent="0.25">
      <c r="A506" s="583" t="s">
        <v>13351</v>
      </c>
      <c r="B506" s="605" t="s">
        <v>13352</v>
      </c>
      <c r="C506" s="606"/>
      <c r="D506" s="607"/>
      <c r="E506" s="607"/>
      <c r="F506" s="607"/>
      <c r="G506" s="582"/>
    </row>
    <row r="507" spans="1:7" ht="30" x14ac:dyDescent="0.2">
      <c r="A507" s="583" t="s">
        <v>13353</v>
      </c>
      <c r="B507" s="605" t="s">
        <v>13354</v>
      </c>
      <c r="C507" s="606" t="s">
        <v>21482</v>
      </c>
      <c r="D507" s="607"/>
      <c r="E507" s="607">
        <v>56.78</v>
      </c>
      <c r="F507" s="607">
        <v>56.78</v>
      </c>
      <c r="G507" s="584">
        <v>15</v>
      </c>
    </row>
    <row r="508" spans="1:7" ht="15" x14ac:dyDescent="0.2">
      <c r="A508" s="583" t="s">
        <v>13355</v>
      </c>
      <c r="B508" s="605" t="s">
        <v>13356</v>
      </c>
      <c r="C508" s="606" t="s">
        <v>21482</v>
      </c>
      <c r="D508" s="607"/>
      <c r="E508" s="607">
        <v>70.86</v>
      </c>
      <c r="F508" s="607">
        <v>70.86</v>
      </c>
      <c r="G508" s="584">
        <v>15</v>
      </c>
    </row>
    <row r="509" spans="1:7" ht="15" x14ac:dyDescent="0.25">
      <c r="A509" s="583" t="s">
        <v>13357</v>
      </c>
      <c r="B509" s="605" t="s">
        <v>13358</v>
      </c>
      <c r="C509" s="606"/>
      <c r="D509" s="607"/>
      <c r="E509" s="607"/>
      <c r="F509" s="607"/>
      <c r="G509" s="582"/>
    </row>
    <row r="510" spans="1:7" ht="30" x14ac:dyDescent="0.2">
      <c r="A510" s="583" t="s">
        <v>13359</v>
      </c>
      <c r="B510" s="605" t="s">
        <v>13360</v>
      </c>
      <c r="C510" s="606" t="s">
        <v>21482</v>
      </c>
      <c r="D510" s="607"/>
      <c r="E510" s="607">
        <v>68.13</v>
      </c>
      <c r="F510" s="607">
        <v>68.13</v>
      </c>
      <c r="G510" s="584">
        <v>15</v>
      </c>
    </row>
    <row r="511" spans="1:7" ht="30" x14ac:dyDescent="0.2">
      <c r="A511" s="583" t="s">
        <v>13361</v>
      </c>
      <c r="B511" s="605" t="s">
        <v>13362</v>
      </c>
      <c r="C511" s="606" t="s">
        <v>21482</v>
      </c>
      <c r="D511" s="607"/>
      <c r="E511" s="607">
        <v>88.11</v>
      </c>
      <c r="F511" s="607">
        <v>88.11</v>
      </c>
      <c r="G511" s="584">
        <v>15</v>
      </c>
    </row>
    <row r="512" spans="1:7" ht="15" x14ac:dyDescent="0.25">
      <c r="A512" s="583" t="s">
        <v>13363</v>
      </c>
      <c r="B512" s="605" t="s">
        <v>13364</v>
      </c>
      <c r="C512" s="606"/>
      <c r="D512" s="607"/>
      <c r="E512" s="607"/>
      <c r="F512" s="607"/>
      <c r="G512" s="582"/>
    </row>
    <row r="513" spans="1:7" ht="15" x14ac:dyDescent="0.2">
      <c r="A513" s="583" t="s">
        <v>13365</v>
      </c>
      <c r="B513" s="605" t="s">
        <v>13366</v>
      </c>
      <c r="C513" s="606" t="s">
        <v>21482</v>
      </c>
      <c r="D513" s="607"/>
      <c r="E513" s="607">
        <v>9.77</v>
      </c>
      <c r="F513" s="607">
        <v>9.77</v>
      </c>
      <c r="G513" s="584">
        <v>15</v>
      </c>
    </row>
    <row r="514" spans="1:7" ht="15" x14ac:dyDescent="0.2">
      <c r="A514" s="583" t="s">
        <v>13367</v>
      </c>
      <c r="B514" s="605" t="s">
        <v>13368</v>
      </c>
      <c r="C514" s="606" t="s">
        <v>21482</v>
      </c>
      <c r="D514" s="607"/>
      <c r="E514" s="607">
        <v>21.19</v>
      </c>
      <c r="F514" s="607">
        <v>21.19</v>
      </c>
      <c r="G514" s="584">
        <v>15</v>
      </c>
    </row>
    <row r="515" spans="1:7" ht="15" x14ac:dyDescent="0.2">
      <c r="A515" s="583" t="s">
        <v>13369</v>
      </c>
      <c r="B515" s="605" t="s">
        <v>13370</v>
      </c>
      <c r="C515" s="606" t="s">
        <v>21482</v>
      </c>
      <c r="D515" s="607">
        <v>18.46</v>
      </c>
      <c r="E515" s="607">
        <v>76.31</v>
      </c>
      <c r="F515" s="607">
        <v>94.77</v>
      </c>
      <c r="G515" s="584">
        <v>15</v>
      </c>
    </row>
    <row r="516" spans="1:7" ht="15" x14ac:dyDescent="0.25">
      <c r="A516" s="583" t="s">
        <v>13371</v>
      </c>
      <c r="B516" s="605" t="s">
        <v>13372</v>
      </c>
      <c r="C516" s="606"/>
      <c r="D516" s="607"/>
      <c r="E516" s="607"/>
      <c r="F516" s="607"/>
      <c r="G516" s="582"/>
    </row>
    <row r="517" spans="1:7" ht="15" x14ac:dyDescent="0.2">
      <c r="A517" s="583" t="s">
        <v>13373</v>
      </c>
      <c r="B517" s="605" t="s">
        <v>13374</v>
      </c>
      <c r="C517" s="606" t="s">
        <v>21482</v>
      </c>
      <c r="D517" s="607"/>
      <c r="E517" s="607">
        <v>70.150000000000006</v>
      </c>
      <c r="F517" s="607">
        <v>70.150000000000006</v>
      </c>
      <c r="G517" s="584">
        <v>15</v>
      </c>
    </row>
    <row r="518" spans="1:7" ht="15" x14ac:dyDescent="0.25">
      <c r="A518" s="583" t="s">
        <v>13375</v>
      </c>
      <c r="B518" s="605" t="s">
        <v>13376</v>
      </c>
      <c r="C518" s="606"/>
      <c r="D518" s="607"/>
      <c r="E518" s="607"/>
      <c r="F518" s="607"/>
      <c r="G518" s="582"/>
    </row>
    <row r="519" spans="1:7" ht="15" x14ac:dyDescent="0.2">
      <c r="A519" s="583" t="s">
        <v>13377</v>
      </c>
      <c r="B519" s="605" t="s">
        <v>13378</v>
      </c>
      <c r="C519" s="606" t="s">
        <v>21482</v>
      </c>
      <c r="D519" s="607"/>
      <c r="E519" s="607">
        <v>13.63</v>
      </c>
      <c r="F519" s="607">
        <v>13.63</v>
      </c>
      <c r="G519" s="584">
        <v>15</v>
      </c>
    </row>
    <row r="520" spans="1:7" ht="15" x14ac:dyDescent="0.25">
      <c r="A520" s="583" t="s">
        <v>13379</v>
      </c>
      <c r="B520" s="605" t="s">
        <v>13380</v>
      </c>
      <c r="C520" s="606"/>
      <c r="D520" s="607"/>
      <c r="E520" s="607"/>
      <c r="F520" s="607"/>
      <c r="G520" s="582"/>
    </row>
    <row r="521" spans="1:7" ht="30" x14ac:dyDescent="0.25">
      <c r="A521" s="583" t="s">
        <v>13381</v>
      </c>
      <c r="B521" s="605" t="s">
        <v>13382</v>
      </c>
      <c r="C521" s="606"/>
      <c r="D521" s="607"/>
      <c r="E521" s="607"/>
      <c r="F521" s="607"/>
      <c r="G521" s="582"/>
    </row>
    <row r="522" spans="1:7" ht="30" x14ac:dyDescent="0.2">
      <c r="A522" s="583" t="s">
        <v>13383</v>
      </c>
      <c r="B522" s="605" t="s">
        <v>13384</v>
      </c>
      <c r="C522" s="606" t="s">
        <v>21482</v>
      </c>
      <c r="D522" s="607">
        <v>15.14</v>
      </c>
      <c r="E522" s="607">
        <v>0.32</v>
      </c>
      <c r="F522" s="607">
        <v>15.46</v>
      </c>
      <c r="G522" s="584">
        <v>15</v>
      </c>
    </row>
    <row r="523" spans="1:7" ht="30" x14ac:dyDescent="0.2">
      <c r="A523" s="583" t="s">
        <v>13385</v>
      </c>
      <c r="B523" s="605" t="s">
        <v>13386</v>
      </c>
      <c r="C523" s="606" t="s">
        <v>21482</v>
      </c>
      <c r="D523" s="607">
        <v>15.59</v>
      </c>
      <c r="E523" s="607">
        <v>0.32</v>
      </c>
      <c r="F523" s="607">
        <v>15.91</v>
      </c>
      <c r="G523" s="584">
        <v>15</v>
      </c>
    </row>
    <row r="524" spans="1:7" ht="30" x14ac:dyDescent="0.2">
      <c r="A524" s="583" t="s">
        <v>13387</v>
      </c>
      <c r="B524" s="605" t="s">
        <v>13388</v>
      </c>
      <c r="C524" s="606" t="s">
        <v>21482</v>
      </c>
      <c r="D524" s="607">
        <v>32.700000000000003</v>
      </c>
      <c r="E524" s="607">
        <v>1.06</v>
      </c>
      <c r="F524" s="607">
        <v>33.76</v>
      </c>
      <c r="G524" s="584">
        <v>15</v>
      </c>
    </row>
    <row r="525" spans="1:7" ht="15" x14ac:dyDescent="0.2">
      <c r="A525" s="583" t="s">
        <v>13389</v>
      </c>
      <c r="B525" s="605" t="s">
        <v>13390</v>
      </c>
      <c r="C525" s="606" t="s">
        <v>21482</v>
      </c>
      <c r="D525" s="607">
        <v>15.02</v>
      </c>
      <c r="E525" s="607"/>
      <c r="F525" s="607">
        <v>15.02</v>
      </c>
      <c r="G525" s="584">
        <v>15</v>
      </c>
    </row>
    <row r="526" spans="1:7" ht="30" x14ac:dyDescent="0.25">
      <c r="A526" s="583" t="s">
        <v>13391</v>
      </c>
      <c r="B526" s="605" t="s">
        <v>13392</v>
      </c>
      <c r="C526" s="606"/>
      <c r="D526" s="607"/>
      <c r="E526" s="607"/>
      <c r="F526" s="607"/>
      <c r="G526" s="582"/>
    </row>
    <row r="527" spans="1:7" ht="30" x14ac:dyDescent="0.2">
      <c r="A527" s="583" t="s">
        <v>13393</v>
      </c>
      <c r="B527" s="605" t="s">
        <v>13394</v>
      </c>
      <c r="C527" s="606" t="s">
        <v>21482</v>
      </c>
      <c r="D527" s="607">
        <v>9.9700000000000006</v>
      </c>
      <c r="E527" s="607">
        <v>1.46</v>
      </c>
      <c r="F527" s="607">
        <v>11.43</v>
      </c>
      <c r="G527" s="584">
        <v>15</v>
      </c>
    </row>
    <row r="528" spans="1:7" ht="30" x14ac:dyDescent="0.2">
      <c r="A528" s="583" t="s">
        <v>13395</v>
      </c>
      <c r="B528" s="605" t="s">
        <v>13396</v>
      </c>
      <c r="C528" s="606" t="s">
        <v>21482</v>
      </c>
      <c r="D528" s="607">
        <v>11.24</v>
      </c>
      <c r="E528" s="607">
        <v>1.65</v>
      </c>
      <c r="F528" s="607">
        <v>12.89</v>
      </c>
      <c r="G528" s="584">
        <v>15</v>
      </c>
    </row>
    <row r="529" spans="1:7" ht="30" x14ac:dyDescent="0.2">
      <c r="A529" s="583" t="s">
        <v>13397</v>
      </c>
      <c r="B529" s="605" t="s">
        <v>13398</v>
      </c>
      <c r="C529" s="606" t="s">
        <v>21482</v>
      </c>
      <c r="D529" s="607">
        <v>20.49</v>
      </c>
      <c r="E529" s="607">
        <v>0.95</v>
      </c>
      <c r="F529" s="607">
        <v>21.44</v>
      </c>
      <c r="G529" s="584">
        <v>15</v>
      </c>
    </row>
    <row r="530" spans="1:7" ht="30" x14ac:dyDescent="0.2">
      <c r="A530" s="583" t="s">
        <v>13399</v>
      </c>
      <c r="B530" s="605" t="s">
        <v>125</v>
      </c>
      <c r="C530" s="606" t="s">
        <v>21482</v>
      </c>
      <c r="D530" s="607">
        <v>21.68</v>
      </c>
      <c r="E530" s="607">
        <v>0.9</v>
      </c>
      <c r="F530" s="607">
        <v>22.58</v>
      </c>
      <c r="G530" s="584">
        <v>15</v>
      </c>
    </row>
    <row r="531" spans="1:7" ht="15" x14ac:dyDescent="0.25">
      <c r="A531" s="583" t="s">
        <v>13400</v>
      </c>
      <c r="B531" s="605" t="s">
        <v>13401</v>
      </c>
      <c r="C531" s="606"/>
      <c r="D531" s="607"/>
      <c r="E531" s="607"/>
      <c r="F531" s="607"/>
      <c r="G531" s="582"/>
    </row>
    <row r="532" spans="1:7" ht="15" x14ac:dyDescent="0.2">
      <c r="A532" s="583" t="s">
        <v>13402</v>
      </c>
      <c r="B532" s="605" t="s">
        <v>13403</v>
      </c>
      <c r="C532" s="606" t="s">
        <v>21482</v>
      </c>
      <c r="D532" s="607">
        <v>31.07</v>
      </c>
      <c r="E532" s="607">
        <v>2.12</v>
      </c>
      <c r="F532" s="607">
        <v>33.19</v>
      </c>
      <c r="G532" s="584">
        <v>15</v>
      </c>
    </row>
    <row r="533" spans="1:7" ht="15" x14ac:dyDescent="0.2">
      <c r="A533" s="583" t="s">
        <v>13404</v>
      </c>
      <c r="B533" s="605" t="s">
        <v>13405</v>
      </c>
      <c r="C533" s="606" t="s">
        <v>21482</v>
      </c>
      <c r="D533" s="607">
        <v>27.01</v>
      </c>
      <c r="E533" s="607">
        <v>1.7</v>
      </c>
      <c r="F533" s="607">
        <v>28.71</v>
      </c>
      <c r="G533" s="584">
        <v>15</v>
      </c>
    </row>
    <row r="534" spans="1:7" ht="15" x14ac:dyDescent="0.25">
      <c r="A534" s="583" t="s">
        <v>13406</v>
      </c>
      <c r="B534" s="605" t="s">
        <v>13407</v>
      </c>
      <c r="C534" s="606"/>
      <c r="D534" s="607"/>
      <c r="E534" s="607"/>
      <c r="F534" s="607"/>
      <c r="G534" s="582"/>
    </row>
    <row r="535" spans="1:7" ht="30" x14ac:dyDescent="0.2">
      <c r="A535" s="583" t="s">
        <v>13408</v>
      </c>
      <c r="B535" s="605" t="s">
        <v>126</v>
      </c>
      <c r="C535" s="606" t="s">
        <v>21482</v>
      </c>
      <c r="D535" s="607">
        <v>336.79</v>
      </c>
      <c r="E535" s="607"/>
      <c r="F535" s="607">
        <v>336.79</v>
      </c>
      <c r="G535" s="584">
        <v>15</v>
      </c>
    </row>
    <row r="536" spans="1:7" ht="15" x14ac:dyDescent="0.25">
      <c r="A536" s="583" t="s">
        <v>13409</v>
      </c>
      <c r="B536" s="605" t="s">
        <v>13410</v>
      </c>
      <c r="C536" s="606"/>
      <c r="D536" s="607"/>
      <c r="E536" s="607"/>
      <c r="F536" s="607"/>
      <c r="G536" s="582"/>
    </row>
    <row r="537" spans="1:7" ht="30" x14ac:dyDescent="0.2">
      <c r="A537" s="583" t="s">
        <v>13411</v>
      </c>
      <c r="B537" s="605" t="s">
        <v>13412</v>
      </c>
      <c r="C537" s="606" t="s">
        <v>12508</v>
      </c>
      <c r="D537" s="607">
        <v>5.42</v>
      </c>
      <c r="E537" s="607">
        <v>0.13</v>
      </c>
      <c r="F537" s="607">
        <v>5.55</v>
      </c>
      <c r="G537" s="584">
        <v>15</v>
      </c>
    </row>
    <row r="538" spans="1:7" ht="15" x14ac:dyDescent="0.25">
      <c r="A538" s="583" t="s">
        <v>13413</v>
      </c>
      <c r="B538" s="605" t="s">
        <v>13414</v>
      </c>
      <c r="C538" s="606"/>
      <c r="D538" s="607"/>
      <c r="E538" s="607"/>
      <c r="F538" s="607"/>
      <c r="G538" s="582"/>
    </row>
    <row r="539" spans="1:7" ht="30" x14ac:dyDescent="0.2">
      <c r="A539" s="583" t="s">
        <v>13415</v>
      </c>
      <c r="B539" s="605" t="s">
        <v>13416</v>
      </c>
      <c r="C539" s="606" t="s">
        <v>12508</v>
      </c>
      <c r="D539" s="607">
        <v>4.32</v>
      </c>
      <c r="E539" s="607">
        <v>3.17</v>
      </c>
      <c r="F539" s="607">
        <v>7.49</v>
      </c>
      <c r="G539" s="584">
        <v>15</v>
      </c>
    </row>
    <row r="540" spans="1:7" ht="30" x14ac:dyDescent="0.2">
      <c r="A540" s="583" t="s">
        <v>13417</v>
      </c>
      <c r="B540" s="605" t="s">
        <v>13418</v>
      </c>
      <c r="C540" s="606" t="s">
        <v>12508</v>
      </c>
      <c r="D540" s="607">
        <v>19.87</v>
      </c>
      <c r="E540" s="607">
        <v>2.91</v>
      </c>
      <c r="F540" s="607">
        <v>22.78</v>
      </c>
      <c r="G540" s="584">
        <v>15</v>
      </c>
    </row>
    <row r="541" spans="1:7" ht="15" x14ac:dyDescent="0.25">
      <c r="A541" s="583" t="s">
        <v>13419</v>
      </c>
      <c r="B541" s="605" t="s">
        <v>13420</v>
      </c>
      <c r="C541" s="606"/>
      <c r="D541" s="607"/>
      <c r="E541" s="607"/>
      <c r="F541" s="607"/>
      <c r="G541" s="582"/>
    </row>
    <row r="542" spans="1:7" ht="30" x14ac:dyDescent="0.2">
      <c r="A542" s="583" t="s">
        <v>13421</v>
      </c>
      <c r="B542" s="605" t="s">
        <v>127</v>
      </c>
      <c r="C542" s="606" t="s">
        <v>12508</v>
      </c>
      <c r="D542" s="607">
        <v>16.670000000000002</v>
      </c>
      <c r="E542" s="607">
        <v>0.48</v>
      </c>
      <c r="F542" s="607">
        <v>17.149999999999999</v>
      </c>
      <c r="G542" s="584">
        <v>15</v>
      </c>
    </row>
    <row r="543" spans="1:7" ht="30" x14ac:dyDescent="0.2">
      <c r="A543" s="583" t="s">
        <v>13422</v>
      </c>
      <c r="B543" s="605" t="s">
        <v>128</v>
      </c>
      <c r="C543" s="606" t="s">
        <v>12508</v>
      </c>
      <c r="D543" s="607">
        <v>11.85</v>
      </c>
      <c r="E543" s="607">
        <v>0.34</v>
      </c>
      <c r="F543" s="607">
        <v>12.19</v>
      </c>
      <c r="G543" s="584">
        <v>15</v>
      </c>
    </row>
    <row r="544" spans="1:7" ht="30" x14ac:dyDescent="0.2">
      <c r="A544" s="583" t="s">
        <v>13423</v>
      </c>
      <c r="B544" s="605" t="s">
        <v>129</v>
      </c>
      <c r="C544" s="606" t="s">
        <v>12508</v>
      </c>
      <c r="D544" s="607">
        <v>12.04</v>
      </c>
      <c r="E544" s="607">
        <v>0.15</v>
      </c>
      <c r="F544" s="607">
        <v>12.19</v>
      </c>
      <c r="G544" s="584">
        <v>15</v>
      </c>
    </row>
    <row r="545" spans="1:7" ht="30" x14ac:dyDescent="0.2">
      <c r="A545" s="583" t="s">
        <v>13424</v>
      </c>
      <c r="B545" s="605" t="s">
        <v>130</v>
      </c>
      <c r="C545" s="606" t="s">
        <v>12508</v>
      </c>
      <c r="D545" s="607">
        <v>19.920000000000002</v>
      </c>
      <c r="E545" s="607">
        <v>0.45</v>
      </c>
      <c r="F545" s="607">
        <v>20.37</v>
      </c>
      <c r="G545" s="584">
        <v>15</v>
      </c>
    </row>
    <row r="546" spans="1:7" ht="15" x14ac:dyDescent="0.25">
      <c r="A546" s="583" t="s">
        <v>13425</v>
      </c>
      <c r="B546" s="605" t="s">
        <v>13426</v>
      </c>
      <c r="C546" s="606"/>
      <c r="D546" s="607"/>
      <c r="E546" s="607"/>
      <c r="F546" s="607"/>
      <c r="G546" s="582"/>
    </row>
    <row r="547" spans="1:7" ht="15" x14ac:dyDescent="0.25">
      <c r="A547" s="583" t="s">
        <v>13427</v>
      </c>
      <c r="B547" s="605" t="s">
        <v>13428</v>
      </c>
      <c r="C547" s="606"/>
      <c r="D547" s="607"/>
      <c r="E547" s="607"/>
      <c r="F547" s="607"/>
      <c r="G547" s="582"/>
    </row>
    <row r="548" spans="1:7" ht="15" x14ac:dyDescent="0.2">
      <c r="A548" s="583" t="s">
        <v>13429</v>
      </c>
      <c r="B548" s="605" t="s">
        <v>13430</v>
      </c>
      <c r="C548" s="606" t="s">
        <v>12427</v>
      </c>
      <c r="D548" s="607">
        <v>37</v>
      </c>
      <c r="E548" s="607">
        <v>66.959999999999994</v>
      </c>
      <c r="F548" s="607">
        <v>103.96</v>
      </c>
      <c r="G548" s="584">
        <v>15</v>
      </c>
    </row>
    <row r="549" spans="1:7" ht="15" x14ac:dyDescent="0.2">
      <c r="A549" s="583" t="s">
        <v>13431</v>
      </c>
      <c r="B549" s="605" t="s">
        <v>13432</v>
      </c>
      <c r="C549" s="606" t="s">
        <v>12427</v>
      </c>
      <c r="D549" s="607">
        <v>20.53</v>
      </c>
      <c r="E549" s="607">
        <v>40.28</v>
      </c>
      <c r="F549" s="607">
        <v>60.81</v>
      </c>
      <c r="G549" s="584">
        <v>15</v>
      </c>
    </row>
    <row r="550" spans="1:7" ht="15" x14ac:dyDescent="0.2">
      <c r="A550" s="583" t="s">
        <v>13433</v>
      </c>
      <c r="B550" s="605" t="s">
        <v>13434</v>
      </c>
      <c r="C550" s="606" t="s">
        <v>12427</v>
      </c>
      <c r="D550" s="607">
        <v>13.8</v>
      </c>
      <c r="E550" s="607">
        <v>9.73</v>
      </c>
      <c r="F550" s="607">
        <v>23.53</v>
      </c>
      <c r="G550" s="584">
        <v>15</v>
      </c>
    </row>
    <row r="551" spans="1:7" ht="15" x14ac:dyDescent="0.2">
      <c r="A551" s="583" t="s">
        <v>13435</v>
      </c>
      <c r="B551" s="605" t="s">
        <v>13436</v>
      </c>
      <c r="C551" s="606" t="s">
        <v>12427</v>
      </c>
      <c r="D551" s="607">
        <v>47.64</v>
      </c>
      <c r="E551" s="607">
        <v>77.930000000000007</v>
      </c>
      <c r="F551" s="607">
        <v>125.57</v>
      </c>
      <c r="G551" s="584">
        <v>15</v>
      </c>
    </row>
    <row r="552" spans="1:7" ht="30" x14ac:dyDescent="0.2">
      <c r="A552" s="583" t="s">
        <v>13437</v>
      </c>
      <c r="B552" s="605" t="s">
        <v>13438</v>
      </c>
      <c r="C552" s="606" t="s">
        <v>12427</v>
      </c>
      <c r="D552" s="607">
        <v>421.22</v>
      </c>
      <c r="E552" s="607"/>
      <c r="F552" s="607">
        <v>421.22</v>
      </c>
      <c r="G552" s="584">
        <v>15</v>
      </c>
    </row>
    <row r="553" spans="1:7" ht="30" x14ac:dyDescent="0.2">
      <c r="A553" s="583" t="s">
        <v>13439</v>
      </c>
      <c r="B553" s="605" t="s">
        <v>13440</v>
      </c>
      <c r="C553" s="606" t="s">
        <v>12427</v>
      </c>
      <c r="D553" s="607">
        <v>466.07</v>
      </c>
      <c r="E553" s="607"/>
      <c r="F553" s="607">
        <v>466.07</v>
      </c>
      <c r="G553" s="584">
        <v>15</v>
      </c>
    </row>
    <row r="554" spans="1:7" ht="30" x14ac:dyDescent="0.2">
      <c r="A554" s="583" t="s">
        <v>13441</v>
      </c>
      <c r="B554" s="605" t="s">
        <v>13442</v>
      </c>
      <c r="C554" s="606" t="s">
        <v>12427</v>
      </c>
      <c r="D554" s="607">
        <v>520.07000000000005</v>
      </c>
      <c r="E554" s="607"/>
      <c r="F554" s="607">
        <v>520.07000000000005</v>
      </c>
      <c r="G554" s="584">
        <v>15</v>
      </c>
    </row>
    <row r="555" spans="1:7" ht="15" x14ac:dyDescent="0.25">
      <c r="A555" s="583" t="s">
        <v>13443</v>
      </c>
      <c r="B555" s="605" t="s">
        <v>13444</v>
      </c>
      <c r="C555" s="606"/>
      <c r="D555" s="607"/>
      <c r="E555" s="607"/>
      <c r="F555" s="607"/>
      <c r="G555" s="582"/>
    </row>
    <row r="556" spans="1:7" ht="15" x14ac:dyDescent="0.2">
      <c r="A556" s="583" t="s">
        <v>13445</v>
      </c>
      <c r="B556" s="605" t="s">
        <v>13446</v>
      </c>
      <c r="C556" s="606" t="s">
        <v>12508</v>
      </c>
      <c r="D556" s="607">
        <v>22.05</v>
      </c>
      <c r="E556" s="607">
        <v>36.53</v>
      </c>
      <c r="F556" s="607">
        <v>58.58</v>
      </c>
      <c r="G556" s="584">
        <v>15</v>
      </c>
    </row>
    <row r="557" spans="1:7" ht="15" x14ac:dyDescent="0.2">
      <c r="A557" s="583" t="s">
        <v>13447</v>
      </c>
      <c r="B557" s="605" t="s">
        <v>13448</v>
      </c>
      <c r="C557" s="606" t="s">
        <v>12929</v>
      </c>
      <c r="D557" s="607">
        <v>9.9600000000000009</v>
      </c>
      <c r="E557" s="607">
        <v>2.52</v>
      </c>
      <c r="F557" s="607">
        <v>12.48</v>
      </c>
      <c r="G557" s="584">
        <v>15</v>
      </c>
    </row>
    <row r="558" spans="1:7" ht="15" x14ac:dyDescent="0.2">
      <c r="A558" s="583" t="s">
        <v>13449</v>
      </c>
      <c r="B558" s="605" t="s">
        <v>13450</v>
      </c>
      <c r="C558" s="606" t="s">
        <v>13451</v>
      </c>
      <c r="D558" s="607">
        <v>10.09</v>
      </c>
      <c r="E558" s="607">
        <v>2.27</v>
      </c>
      <c r="F558" s="607">
        <v>12.36</v>
      </c>
      <c r="G558" s="584">
        <v>15</v>
      </c>
    </row>
    <row r="559" spans="1:7" ht="15" x14ac:dyDescent="0.2">
      <c r="A559" s="583" t="s">
        <v>13452</v>
      </c>
      <c r="B559" s="605" t="s">
        <v>13453</v>
      </c>
      <c r="C559" s="606" t="s">
        <v>12508</v>
      </c>
      <c r="D559" s="607"/>
      <c r="E559" s="607">
        <v>17.28</v>
      </c>
      <c r="F559" s="607">
        <v>17.28</v>
      </c>
      <c r="G559" s="584">
        <v>15</v>
      </c>
    </row>
    <row r="560" spans="1:7" ht="15" x14ac:dyDescent="0.25">
      <c r="A560" s="583" t="s">
        <v>13454</v>
      </c>
      <c r="B560" s="605" t="s">
        <v>13455</v>
      </c>
      <c r="C560" s="606"/>
      <c r="D560" s="607"/>
      <c r="E560" s="607"/>
      <c r="F560" s="607"/>
      <c r="G560" s="582"/>
    </row>
    <row r="561" spans="1:7" ht="15" x14ac:dyDescent="0.2">
      <c r="A561" s="583" t="s">
        <v>13456</v>
      </c>
      <c r="B561" s="605" t="s">
        <v>13457</v>
      </c>
      <c r="C561" s="606" t="s">
        <v>12508</v>
      </c>
      <c r="D561" s="607"/>
      <c r="E561" s="607">
        <v>10.07</v>
      </c>
      <c r="F561" s="607">
        <v>10.07</v>
      </c>
      <c r="G561" s="584">
        <v>15</v>
      </c>
    </row>
    <row r="562" spans="1:7" ht="15" x14ac:dyDescent="0.25">
      <c r="A562" s="583" t="s">
        <v>13458</v>
      </c>
      <c r="B562" s="605" t="s">
        <v>13459</v>
      </c>
      <c r="C562" s="606"/>
      <c r="D562" s="607"/>
      <c r="E562" s="607"/>
      <c r="F562" s="607"/>
      <c r="G562" s="582"/>
    </row>
    <row r="563" spans="1:7" ht="30" x14ac:dyDescent="0.2">
      <c r="A563" s="583" t="s">
        <v>13460</v>
      </c>
      <c r="B563" s="605" t="s">
        <v>13461</v>
      </c>
      <c r="C563" s="606" t="s">
        <v>12427</v>
      </c>
      <c r="D563" s="607">
        <v>31.99</v>
      </c>
      <c r="E563" s="607">
        <v>0.85</v>
      </c>
      <c r="F563" s="607">
        <v>32.840000000000003</v>
      </c>
      <c r="G563" s="584">
        <v>15</v>
      </c>
    </row>
    <row r="564" spans="1:7" ht="15" x14ac:dyDescent="0.2">
      <c r="A564" s="583" t="s">
        <v>13462</v>
      </c>
      <c r="B564" s="605" t="s">
        <v>13463</v>
      </c>
      <c r="C564" s="606" t="s">
        <v>12508</v>
      </c>
      <c r="D564" s="607">
        <v>154.13</v>
      </c>
      <c r="E564" s="607">
        <v>25.18</v>
      </c>
      <c r="F564" s="607">
        <v>179.31</v>
      </c>
      <c r="G564" s="584">
        <v>15</v>
      </c>
    </row>
    <row r="565" spans="1:7" ht="15" x14ac:dyDescent="0.2">
      <c r="A565" s="583" t="s">
        <v>13464</v>
      </c>
      <c r="B565" s="605" t="s">
        <v>13465</v>
      </c>
      <c r="C565" s="606" t="s">
        <v>12508</v>
      </c>
      <c r="D565" s="607">
        <v>174.44</v>
      </c>
      <c r="E565" s="607">
        <v>15.1</v>
      </c>
      <c r="F565" s="607">
        <v>189.54</v>
      </c>
      <c r="G565" s="584">
        <v>15</v>
      </c>
    </row>
    <row r="566" spans="1:7" ht="30" x14ac:dyDescent="0.2">
      <c r="A566" s="583" t="s">
        <v>13466</v>
      </c>
      <c r="B566" s="605" t="s">
        <v>13467</v>
      </c>
      <c r="C566" s="606" t="s">
        <v>12427</v>
      </c>
      <c r="D566" s="607">
        <v>7.03</v>
      </c>
      <c r="E566" s="607">
        <v>15.1</v>
      </c>
      <c r="F566" s="607">
        <v>22.13</v>
      </c>
      <c r="G566" s="584">
        <v>15</v>
      </c>
    </row>
    <row r="567" spans="1:7" ht="30" x14ac:dyDescent="0.2">
      <c r="A567" s="583" t="s">
        <v>13468</v>
      </c>
      <c r="B567" s="605" t="s">
        <v>13469</v>
      </c>
      <c r="C567" s="606" t="s">
        <v>12427</v>
      </c>
      <c r="D567" s="607">
        <v>9.64</v>
      </c>
      <c r="E567" s="607">
        <v>15.1</v>
      </c>
      <c r="F567" s="607">
        <v>24.74</v>
      </c>
      <c r="G567" s="584">
        <v>15</v>
      </c>
    </row>
    <row r="568" spans="1:7" ht="30" x14ac:dyDescent="0.2">
      <c r="A568" s="583" t="s">
        <v>13470</v>
      </c>
      <c r="B568" s="605" t="s">
        <v>13471</v>
      </c>
      <c r="C568" s="606" t="s">
        <v>12427</v>
      </c>
      <c r="D568" s="607">
        <v>19.100000000000001</v>
      </c>
      <c r="E568" s="607">
        <v>15.1</v>
      </c>
      <c r="F568" s="607">
        <v>34.200000000000003</v>
      </c>
      <c r="G568" s="584">
        <v>15</v>
      </c>
    </row>
    <row r="569" spans="1:7" ht="15" x14ac:dyDescent="0.25">
      <c r="A569" s="583" t="s">
        <v>13472</v>
      </c>
      <c r="B569" s="605" t="s">
        <v>13473</v>
      </c>
      <c r="C569" s="606"/>
      <c r="D569" s="607"/>
      <c r="E569" s="607"/>
      <c r="F569" s="607"/>
      <c r="G569" s="582"/>
    </row>
    <row r="570" spans="1:7" ht="15" x14ac:dyDescent="0.2">
      <c r="A570" s="583" t="s">
        <v>13474</v>
      </c>
      <c r="B570" s="605" t="s">
        <v>13475</v>
      </c>
      <c r="C570" s="606" t="s">
        <v>12483</v>
      </c>
      <c r="D570" s="607">
        <v>12.64</v>
      </c>
      <c r="E570" s="607">
        <v>17.62</v>
      </c>
      <c r="F570" s="607">
        <v>30.26</v>
      </c>
      <c r="G570" s="584">
        <v>15</v>
      </c>
    </row>
    <row r="571" spans="1:7" ht="15" x14ac:dyDescent="0.2">
      <c r="A571" s="583" t="s">
        <v>13476</v>
      </c>
      <c r="B571" s="605" t="s">
        <v>13477</v>
      </c>
      <c r="C571" s="606" t="s">
        <v>12483</v>
      </c>
      <c r="D571" s="607">
        <v>18.149999999999999</v>
      </c>
      <c r="E571" s="607">
        <v>20.14</v>
      </c>
      <c r="F571" s="607">
        <v>38.29</v>
      </c>
      <c r="G571" s="584">
        <v>15</v>
      </c>
    </row>
    <row r="572" spans="1:7" ht="15" x14ac:dyDescent="0.2">
      <c r="A572" s="583" t="s">
        <v>13478</v>
      </c>
      <c r="B572" s="605" t="s">
        <v>13479</v>
      </c>
      <c r="C572" s="606" t="s">
        <v>12483</v>
      </c>
      <c r="D572" s="607">
        <v>17.2</v>
      </c>
      <c r="E572" s="607">
        <v>25.18</v>
      </c>
      <c r="F572" s="607">
        <v>42.38</v>
      </c>
      <c r="G572" s="584">
        <v>15</v>
      </c>
    </row>
    <row r="573" spans="1:7" ht="15" x14ac:dyDescent="0.25">
      <c r="A573" s="583" t="s">
        <v>13480</v>
      </c>
      <c r="B573" s="605" t="s">
        <v>13481</v>
      </c>
      <c r="C573" s="606"/>
      <c r="D573" s="607"/>
      <c r="E573" s="607"/>
      <c r="F573" s="607"/>
      <c r="G573" s="582"/>
    </row>
    <row r="574" spans="1:7" ht="30" x14ac:dyDescent="0.2">
      <c r="A574" s="583" t="s">
        <v>13482</v>
      </c>
      <c r="B574" s="605" t="s">
        <v>13483</v>
      </c>
      <c r="C574" s="606" t="s">
        <v>12424</v>
      </c>
      <c r="D574" s="607">
        <v>12920.98</v>
      </c>
      <c r="E574" s="607"/>
      <c r="F574" s="607">
        <v>12920.98</v>
      </c>
      <c r="G574" s="584">
        <v>15</v>
      </c>
    </row>
    <row r="575" spans="1:7" ht="45" x14ac:dyDescent="0.2">
      <c r="A575" s="583" t="s">
        <v>13484</v>
      </c>
      <c r="B575" s="605" t="s">
        <v>13485</v>
      </c>
      <c r="C575" s="606" t="s">
        <v>13486</v>
      </c>
      <c r="D575" s="607">
        <v>834.1</v>
      </c>
      <c r="E575" s="607"/>
      <c r="F575" s="607">
        <v>834.1</v>
      </c>
      <c r="G575" s="584">
        <v>15</v>
      </c>
    </row>
    <row r="576" spans="1:7" ht="15" x14ac:dyDescent="0.2">
      <c r="A576" s="583" t="s">
        <v>13487</v>
      </c>
      <c r="B576" s="605" t="s">
        <v>13488</v>
      </c>
      <c r="C576" s="606" t="s">
        <v>12375</v>
      </c>
      <c r="D576" s="607">
        <v>619.80999999999995</v>
      </c>
      <c r="E576" s="607"/>
      <c r="F576" s="607">
        <v>619.80999999999995</v>
      </c>
      <c r="G576" s="584">
        <v>15</v>
      </c>
    </row>
    <row r="577" spans="1:7" ht="30" x14ac:dyDescent="0.2">
      <c r="A577" s="583" t="s">
        <v>13489</v>
      </c>
      <c r="B577" s="605" t="s">
        <v>13490</v>
      </c>
      <c r="C577" s="606" t="s">
        <v>13491</v>
      </c>
      <c r="D577" s="607">
        <v>2.58</v>
      </c>
      <c r="E577" s="607">
        <v>4.54</v>
      </c>
      <c r="F577" s="607">
        <v>7.12</v>
      </c>
      <c r="G577" s="584">
        <v>15</v>
      </c>
    </row>
    <row r="578" spans="1:7" ht="15" x14ac:dyDescent="0.25">
      <c r="A578" s="583" t="s">
        <v>13492</v>
      </c>
      <c r="B578" s="605" t="s">
        <v>13493</v>
      </c>
      <c r="C578" s="606"/>
      <c r="D578" s="607"/>
      <c r="E578" s="607"/>
      <c r="F578" s="607"/>
      <c r="G578" s="582"/>
    </row>
    <row r="579" spans="1:7" ht="15" x14ac:dyDescent="0.2">
      <c r="A579" s="583" t="s">
        <v>13494</v>
      </c>
      <c r="B579" s="605" t="s">
        <v>13495</v>
      </c>
      <c r="C579" s="606" t="s">
        <v>12508</v>
      </c>
      <c r="D579" s="607">
        <v>195.54</v>
      </c>
      <c r="E579" s="607">
        <v>151.05000000000001</v>
      </c>
      <c r="F579" s="607">
        <v>346.59</v>
      </c>
      <c r="G579" s="584">
        <v>15</v>
      </c>
    </row>
    <row r="580" spans="1:7" ht="15" x14ac:dyDescent="0.2">
      <c r="A580" s="583" t="s">
        <v>13496</v>
      </c>
      <c r="B580" s="605" t="s">
        <v>13497</v>
      </c>
      <c r="C580" s="606" t="s">
        <v>12508</v>
      </c>
      <c r="D580" s="607">
        <v>336.58</v>
      </c>
      <c r="E580" s="607">
        <v>292.24</v>
      </c>
      <c r="F580" s="607">
        <v>628.82000000000005</v>
      </c>
      <c r="G580" s="584">
        <v>15</v>
      </c>
    </row>
    <row r="581" spans="1:7" ht="45" x14ac:dyDescent="0.2">
      <c r="A581" s="583" t="s">
        <v>13498</v>
      </c>
      <c r="B581" s="605" t="s">
        <v>13499</v>
      </c>
      <c r="C581" s="606" t="s">
        <v>12508</v>
      </c>
      <c r="D581" s="607">
        <v>809.41</v>
      </c>
      <c r="E581" s="607">
        <v>135.88999999999999</v>
      </c>
      <c r="F581" s="607">
        <v>945.3</v>
      </c>
      <c r="G581" s="584">
        <v>15</v>
      </c>
    </row>
    <row r="582" spans="1:7" ht="45" x14ac:dyDescent="0.2">
      <c r="A582" s="583" t="s">
        <v>13500</v>
      </c>
      <c r="B582" s="605" t="s">
        <v>13501</v>
      </c>
      <c r="C582" s="606" t="s">
        <v>12508</v>
      </c>
      <c r="D582" s="607">
        <v>629.21</v>
      </c>
      <c r="E582" s="607">
        <v>166.9</v>
      </c>
      <c r="F582" s="607">
        <v>796.11</v>
      </c>
      <c r="G582" s="584">
        <v>15</v>
      </c>
    </row>
    <row r="583" spans="1:7" ht="15" x14ac:dyDescent="0.25">
      <c r="A583" s="583" t="s">
        <v>13502</v>
      </c>
      <c r="B583" s="605" t="s">
        <v>13503</v>
      </c>
      <c r="C583" s="606"/>
      <c r="D583" s="607"/>
      <c r="E583" s="607"/>
      <c r="F583" s="607"/>
      <c r="G583" s="582"/>
    </row>
    <row r="584" spans="1:7" ht="15" x14ac:dyDescent="0.25">
      <c r="A584" s="583" t="s">
        <v>13504</v>
      </c>
      <c r="B584" s="605" t="s">
        <v>13505</v>
      </c>
      <c r="C584" s="606"/>
      <c r="D584" s="607"/>
      <c r="E584" s="607"/>
      <c r="F584" s="607"/>
      <c r="G584" s="582"/>
    </row>
    <row r="585" spans="1:7" ht="15" x14ac:dyDescent="0.2">
      <c r="A585" s="583" t="s">
        <v>13506</v>
      </c>
      <c r="B585" s="605" t="s">
        <v>13507</v>
      </c>
      <c r="C585" s="606" t="s">
        <v>2</v>
      </c>
      <c r="D585" s="607">
        <v>44.61</v>
      </c>
      <c r="E585" s="607">
        <v>65.45</v>
      </c>
      <c r="F585" s="607">
        <v>110.06</v>
      </c>
      <c r="G585" s="584">
        <v>15</v>
      </c>
    </row>
    <row r="586" spans="1:7" ht="15" x14ac:dyDescent="0.2">
      <c r="A586" s="583" t="s">
        <v>13508</v>
      </c>
      <c r="B586" s="605" t="s">
        <v>13509</v>
      </c>
      <c r="C586" s="606" t="s">
        <v>2</v>
      </c>
      <c r="D586" s="607">
        <v>177.35</v>
      </c>
      <c r="E586" s="607">
        <v>75.53</v>
      </c>
      <c r="F586" s="607">
        <v>252.88</v>
      </c>
      <c r="G586" s="584">
        <v>15</v>
      </c>
    </row>
    <row r="587" spans="1:7" ht="15" x14ac:dyDescent="0.2">
      <c r="A587" s="583" t="s">
        <v>13510</v>
      </c>
      <c r="B587" s="605" t="s">
        <v>13511</v>
      </c>
      <c r="C587" s="606" t="s">
        <v>2</v>
      </c>
      <c r="D587" s="607">
        <v>62.09</v>
      </c>
      <c r="E587" s="607">
        <v>60.42</v>
      </c>
      <c r="F587" s="607">
        <v>122.51</v>
      </c>
      <c r="G587" s="584">
        <v>15</v>
      </c>
    </row>
    <row r="588" spans="1:7" ht="30" x14ac:dyDescent="0.2">
      <c r="A588" s="583" t="s">
        <v>13512</v>
      </c>
      <c r="B588" s="605" t="s">
        <v>13513</v>
      </c>
      <c r="C588" s="606" t="s">
        <v>2</v>
      </c>
      <c r="D588" s="607"/>
      <c r="E588" s="607">
        <v>7.76</v>
      </c>
      <c r="F588" s="607">
        <v>7.76</v>
      </c>
      <c r="G588" s="584">
        <v>15</v>
      </c>
    </row>
    <row r="589" spans="1:7" ht="30" x14ac:dyDescent="0.2">
      <c r="A589" s="583" t="s">
        <v>13514</v>
      </c>
      <c r="B589" s="605" t="s">
        <v>13515</v>
      </c>
      <c r="C589" s="606" t="s">
        <v>2</v>
      </c>
      <c r="D589" s="607"/>
      <c r="E589" s="607">
        <v>9.23</v>
      </c>
      <c r="F589" s="607">
        <v>9.23</v>
      </c>
      <c r="G589" s="584">
        <v>15</v>
      </c>
    </row>
    <row r="590" spans="1:7" ht="15" x14ac:dyDescent="0.25">
      <c r="A590" s="583" t="s">
        <v>13516</v>
      </c>
      <c r="B590" s="605" t="s">
        <v>13517</v>
      </c>
      <c r="C590" s="606"/>
      <c r="D590" s="607"/>
      <c r="E590" s="607"/>
      <c r="F590" s="607"/>
      <c r="G590" s="582"/>
    </row>
    <row r="591" spans="1:7" ht="15" x14ac:dyDescent="0.2">
      <c r="A591" s="583" t="s">
        <v>13518</v>
      </c>
      <c r="B591" s="605" t="s">
        <v>13519</v>
      </c>
      <c r="C591" s="606" t="s">
        <v>2</v>
      </c>
      <c r="D591" s="607">
        <v>124.37</v>
      </c>
      <c r="E591" s="607">
        <v>70.489999999999995</v>
      </c>
      <c r="F591" s="607">
        <v>194.86</v>
      </c>
      <c r="G591" s="584">
        <v>15</v>
      </c>
    </row>
    <row r="592" spans="1:7" ht="15" x14ac:dyDescent="0.2">
      <c r="A592" s="583" t="s">
        <v>13520</v>
      </c>
      <c r="B592" s="605" t="s">
        <v>13521</v>
      </c>
      <c r="C592" s="606" t="s">
        <v>2</v>
      </c>
      <c r="D592" s="607">
        <v>129.09</v>
      </c>
      <c r="E592" s="607">
        <v>70.489999999999995</v>
      </c>
      <c r="F592" s="607">
        <v>199.58</v>
      </c>
      <c r="G592" s="584">
        <v>15</v>
      </c>
    </row>
    <row r="593" spans="1:7" ht="15" x14ac:dyDescent="0.2">
      <c r="A593" s="583" t="s">
        <v>13522</v>
      </c>
      <c r="B593" s="605" t="s">
        <v>13523</v>
      </c>
      <c r="C593" s="606" t="s">
        <v>2</v>
      </c>
      <c r="D593" s="607">
        <v>113.32</v>
      </c>
      <c r="E593" s="607">
        <v>125.88</v>
      </c>
      <c r="F593" s="607">
        <v>239.2</v>
      </c>
      <c r="G593" s="584">
        <v>15</v>
      </c>
    </row>
    <row r="594" spans="1:7" ht="30" x14ac:dyDescent="0.2">
      <c r="A594" s="583" t="s">
        <v>13524</v>
      </c>
      <c r="B594" s="605" t="s">
        <v>13525</v>
      </c>
      <c r="C594" s="606" t="s">
        <v>2</v>
      </c>
      <c r="D594" s="607">
        <v>75.58</v>
      </c>
      <c r="E594" s="607">
        <v>67.97</v>
      </c>
      <c r="F594" s="607">
        <v>143.55000000000001</v>
      </c>
      <c r="G594" s="584">
        <v>15</v>
      </c>
    </row>
    <row r="595" spans="1:7" ht="15" x14ac:dyDescent="0.2">
      <c r="A595" s="583" t="s">
        <v>13526</v>
      </c>
      <c r="B595" s="605" t="s">
        <v>13527</v>
      </c>
      <c r="C595" s="606" t="s">
        <v>2</v>
      </c>
      <c r="D595" s="607">
        <v>41.68</v>
      </c>
      <c r="E595" s="607">
        <v>55.38</v>
      </c>
      <c r="F595" s="607">
        <v>97.06</v>
      </c>
      <c r="G595" s="584">
        <v>15</v>
      </c>
    </row>
    <row r="596" spans="1:7" ht="15" x14ac:dyDescent="0.2">
      <c r="A596" s="583" t="s">
        <v>13528</v>
      </c>
      <c r="B596" s="605" t="s">
        <v>13529</v>
      </c>
      <c r="C596" s="606" t="s">
        <v>2</v>
      </c>
      <c r="D596" s="607">
        <v>100.66</v>
      </c>
      <c r="E596" s="607">
        <v>110.17</v>
      </c>
      <c r="F596" s="607">
        <v>210.83</v>
      </c>
      <c r="G596" s="584">
        <v>15</v>
      </c>
    </row>
    <row r="597" spans="1:7" ht="30" x14ac:dyDescent="0.2">
      <c r="A597" s="583" t="s">
        <v>13530</v>
      </c>
      <c r="B597" s="605" t="s">
        <v>13531</v>
      </c>
      <c r="C597" s="606" t="s">
        <v>2</v>
      </c>
      <c r="D597" s="607">
        <v>110.36</v>
      </c>
      <c r="E597" s="607">
        <v>43.34</v>
      </c>
      <c r="F597" s="607">
        <v>153.69999999999999</v>
      </c>
      <c r="G597" s="584">
        <v>15</v>
      </c>
    </row>
    <row r="598" spans="1:7" ht="30" x14ac:dyDescent="0.2">
      <c r="A598" s="583" t="s">
        <v>13532</v>
      </c>
      <c r="B598" s="605" t="s">
        <v>13533</v>
      </c>
      <c r="C598" s="606" t="s">
        <v>2</v>
      </c>
      <c r="D598" s="607">
        <v>115.08</v>
      </c>
      <c r="E598" s="607">
        <v>77.3</v>
      </c>
      <c r="F598" s="607">
        <v>192.38</v>
      </c>
      <c r="G598" s="584">
        <v>15</v>
      </c>
    </row>
    <row r="599" spans="1:7" ht="30" x14ac:dyDescent="0.2">
      <c r="A599" s="583" t="s">
        <v>13534</v>
      </c>
      <c r="B599" s="605" t="s">
        <v>13535</v>
      </c>
      <c r="C599" s="606" t="s">
        <v>2</v>
      </c>
      <c r="D599" s="607">
        <v>73.34</v>
      </c>
      <c r="E599" s="607">
        <v>132.69</v>
      </c>
      <c r="F599" s="607">
        <v>206.03</v>
      </c>
      <c r="G599" s="584">
        <v>15</v>
      </c>
    </row>
    <row r="600" spans="1:7" ht="15" x14ac:dyDescent="0.25">
      <c r="A600" s="583" t="s">
        <v>13536</v>
      </c>
      <c r="B600" s="605" t="s">
        <v>13537</v>
      </c>
      <c r="C600" s="606"/>
      <c r="D600" s="607"/>
      <c r="E600" s="607"/>
      <c r="F600" s="607"/>
      <c r="G600" s="582"/>
    </row>
    <row r="601" spans="1:7" ht="15" x14ac:dyDescent="0.2">
      <c r="A601" s="583" t="s">
        <v>13538</v>
      </c>
      <c r="B601" s="605" t="s">
        <v>13539</v>
      </c>
      <c r="C601" s="606" t="s">
        <v>12483</v>
      </c>
      <c r="D601" s="607">
        <v>97.12</v>
      </c>
      <c r="E601" s="607">
        <v>11.96</v>
      </c>
      <c r="F601" s="607">
        <v>109.08</v>
      </c>
      <c r="G601" s="584">
        <v>15</v>
      </c>
    </row>
    <row r="602" spans="1:7" ht="15" x14ac:dyDescent="0.2">
      <c r="A602" s="583" t="s">
        <v>13540</v>
      </c>
      <c r="B602" s="605" t="s">
        <v>13541</v>
      </c>
      <c r="C602" s="606" t="s">
        <v>12483</v>
      </c>
      <c r="D602" s="607">
        <v>155.83000000000001</v>
      </c>
      <c r="E602" s="607">
        <v>11.96</v>
      </c>
      <c r="F602" s="607">
        <v>167.79</v>
      </c>
      <c r="G602" s="584">
        <v>15</v>
      </c>
    </row>
    <row r="603" spans="1:7" ht="15" x14ac:dyDescent="0.2">
      <c r="A603" s="583" t="s">
        <v>13542</v>
      </c>
      <c r="B603" s="605" t="s">
        <v>13543</v>
      </c>
      <c r="C603" s="606" t="s">
        <v>12483</v>
      </c>
      <c r="D603" s="607">
        <v>186.76</v>
      </c>
      <c r="E603" s="607">
        <v>11.96</v>
      </c>
      <c r="F603" s="607">
        <v>198.72</v>
      </c>
      <c r="G603" s="584">
        <v>15</v>
      </c>
    </row>
    <row r="604" spans="1:7" ht="15" x14ac:dyDescent="0.2">
      <c r="A604" s="583" t="s">
        <v>13544</v>
      </c>
      <c r="B604" s="605" t="s">
        <v>13545</v>
      </c>
      <c r="C604" s="606" t="s">
        <v>12483</v>
      </c>
      <c r="D604" s="607">
        <v>218.09</v>
      </c>
      <c r="E604" s="607">
        <v>11.96</v>
      </c>
      <c r="F604" s="607">
        <v>230.05</v>
      </c>
      <c r="G604" s="584">
        <v>15</v>
      </c>
    </row>
    <row r="605" spans="1:7" ht="15" x14ac:dyDescent="0.2">
      <c r="A605" s="583" t="s">
        <v>13546</v>
      </c>
      <c r="B605" s="605" t="s">
        <v>13547</v>
      </c>
      <c r="C605" s="606" t="s">
        <v>12483</v>
      </c>
      <c r="D605" s="607">
        <v>243.84</v>
      </c>
      <c r="E605" s="607">
        <v>11.96</v>
      </c>
      <c r="F605" s="607">
        <v>255.8</v>
      </c>
      <c r="G605" s="584">
        <v>15</v>
      </c>
    </row>
    <row r="606" spans="1:7" ht="15" x14ac:dyDescent="0.2">
      <c r="A606" s="583" t="s">
        <v>20065</v>
      </c>
      <c r="B606" s="605" t="s">
        <v>20066</v>
      </c>
      <c r="C606" s="606" t="s">
        <v>12483</v>
      </c>
      <c r="D606" s="607">
        <v>220.02</v>
      </c>
      <c r="E606" s="607">
        <v>11.96</v>
      </c>
      <c r="F606" s="607">
        <v>231.98</v>
      </c>
      <c r="G606" s="584">
        <v>15</v>
      </c>
    </row>
    <row r="607" spans="1:7" ht="15" x14ac:dyDescent="0.25">
      <c r="A607" s="583" t="s">
        <v>13548</v>
      </c>
      <c r="B607" s="605" t="s">
        <v>13549</v>
      </c>
      <c r="C607" s="606"/>
      <c r="D607" s="607"/>
      <c r="E607" s="607"/>
      <c r="F607" s="607"/>
      <c r="G607" s="582"/>
    </row>
    <row r="608" spans="1:7" ht="30" x14ac:dyDescent="0.2">
      <c r="A608" s="583" t="s">
        <v>13550</v>
      </c>
      <c r="B608" s="605" t="s">
        <v>13551</v>
      </c>
      <c r="C608" s="606" t="s">
        <v>12508</v>
      </c>
      <c r="D608" s="607">
        <v>435.16</v>
      </c>
      <c r="E608" s="607">
        <v>88.13</v>
      </c>
      <c r="F608" s="607">
        <v>523.29</v>
      </c>
      <c r="G608" s="584">
        <v>15</v>
      </c>
    </row>
    <row r="609" spans="1:7" ht="15" x14ac:dyDescent="0.25">
      <c r="A609" s="583" t="s">
        <v>13552</v>
      </c>
      <c r="B609" s="605" t="s">
        <v>13553</v>
      </c>
      <c r="C609" s="606"/>
      <c r="D609" s="607"/>
      <c r="E609" s="607"/>
      <c r="F609" s="607"/>
      <c r="G609" s="582"/>
    </row>
    <row r="610" spans="1:7" ht="15" x14ac:dyDescent="0.25">
      <c r="A610" s="583" t="s">
        <v>13554</v>
      </c>
      <c r="B610" s="605" t="s">
        <v>13555</v>
      </c>
      <c r="C610" s="606"/>
      <c r="D610" s="607"/>
      <c r="E610" s="607"/>
      <c r="F610" s="607"/>
      <c r="G610" s="582"/>
    </row>
    <row r="611" spans="1:7" ht="15" x14ac:dyDescent="0.2">
      <c r="A611" s="583" t="s">
        <v>13556</v>
      </c>
      <c r="B611" s="605" t="s">
        <v>13557</v>
      </c>
      <c r="C611" s="606" t="s">
        <v>21053</v>
      </c>
      <c r="D611" s="607">
        <v>8.1999999999999993</v>
      </c>
      <c r="E611" s="607">
        <v>2.93</v>
      </c>
      <c r="F611" s="607">
        <v>11.13</v>
      </c>
      <c r="G611" s="584">
        <v>15</v>
      </c>
    </row>
    <row r="612" spans="1:7" ht="15" x14ac:dyDescent="0.2">
      <c r="A612" s="583" t="s">
        <v>13558</v>
      </c>
      <c r="B612" s="605" t="s">
        <v>13559</v>
      </c>
      <c r="C612" s="606" t="s">
        <v>21053</v>
      </c>
      <c r="D612" s="607">
        <v>7.21</v>
      </c>
      <c r="E612" s="607">
        <v>2.93</v>
      </c>
      <c r="F612" s="607">
        <v>10.14</v>
      </c>
      <c r="G612" s="584">
        <v>15</v>
      </c>
    </row>
    <row r="613" spans="1:7" ht="15" x14ac:dyDescent="0.2">
      <c r="A613" s="583" t="s">
        <v>13560</v>
      </c>
      <c r="B613" s="605" t="s">
        <v>13561</v>
      </c>
      <c r="C613" s="606" t="s">
        <v>21053</v>
      </c>
      <c r="D613" s="607">
        <v>7.54</v>
      </c>
      <c r="E613" s="607">
        <v>2.93</v>
      </c>
      <c r="F613" s="607">
        <v>10.47</v>
      </c>
      <c r="G613" s="584">
        <v>15</v>
      </c>
    </row>
    <row r="614" spans="1:7" ht="15" x14ac:dyDescent="0.25">
      <c r="A614" s="583" t="s">
        <v>13562</v>
      </c>
      <c r="B614" s="605" t="s">
        <v>13563</v>
      </c>
      <c r="C614" s="606"/>
      <c r="D614" s="607"/>
      <c r="E614" s="607"/>
      <c r="F614" s="607"/>
      <c r="G614" s="582"/>
    </row>
    <row r="615" spans="1:7" ht="15" x14ac:dyDescent="0.2">
      <c r="A615" s="583" t="s">
        <v>13564</v>
      </c>
      <c r="B615" s="605" t="s">
        <v>13565</v>
      </c>
      <c r="C615" s="606" t="s">
        <v>21053</v>
      </c>
      <c r="D615" s="607">
        <v>8.39</v>
      </c>
      <c r="E615" s="607">
        <v>1.46</v>
      </c>
      <c r="F615" s="607">
        <v>9.85</v>
      </c>
      <c r="G615" s="584">
        <v>15</v>
      </c>
    </row>
    <row r="616" spans="1:7" ht="15" x14ac:dyDescent="0.25">
      <c r="A616" s="583" t="s">
        <v>20269</v>
      </c>
      <c r="B616" s="605" t="s">
        <v>20270</v>
      </c>
      <c r="C616" s="606"/>
      <c r="D616" s="607"/>
      <c r="E616" s="607"/>
      <c r="F616" s="607"/>
      <c r="G616" s="582"/>
    </row>
    <row r="617" spans="1:7" ht="30" x14ac:dyDescent="0.2">
      <c r="A617" s="583" t="s">
        <v>20271</v>
      </c>
      <c r="B617" s="605" t="s">
        <v>20272</v>
      </c>
      <c r="C617" s="606" t="s">
        <v>21053</v>
      </c>
      <c r="D617" s="607">
        <v>45.41</v>
      </c>
      <c r="E617" s="607">
        <v>14.67</v>
      </c>
      <c r="F617" s="607">
        <v>60.08</v>
      </c>
      <c r="G617" s="584">
        <v>15</v>
      </c>
    </row>
    <row r="618" spans="1:7" ht="15" x14ac:dyDescent="0.25">
      <c r="A618" s="583" t="s">
        <v>13566</v>
      </c>
      <c r="B618" s="605" t="s">
        <v>13567</v>
      </c>
      <c r="C618" s="606"/>
      <c r="D618" s="607"/>
      <c r="E618" s="607"/>
      <c r="F618" s="607"/>
      <c r="G618" s="582"/>
    </row>
    <row r="619" spans="1:7" ht="15" x14ac:dyDescent="0.25">
      <c r="A619" s="583" t="s">
        <v>13568</v>
      </c>
      <c r="B619" s="605" t="s">
        <v>13569</v>
      </c>
      <c r="C619" s="606"/>
      <c r="D619" s="607"/>
      <c r="E619" s="607"/>
      <c r="F619" s="607"/>
      <c r="G619" s="582"/>
    </row>
    <row r="620" spans="1:7" ht="15" x14ac:dyDescent="0.2">
      <c r="A620" s="583" t="s">
        <v>13570</v>
      </c>
      <c r="B620" s="605" t="s">
        <v>13571</v>
      </c>
      <c r="C620" s="606" t="s">
        <v>21482</v>
      </c>
      <c r="D620" s="607">
        <v>495.76</v>
      </c>
      <c r="E620" s="607"/>
      <c r="F620" s="607">
        <v>495.76</v>
      </c>
      <c r="G620" s="584">
        <v>15</v>
      </c>
    </row>
    <row r="621" spans="1:7" ht="15" x14ac:dyDescent="0.2">
      <c r="A621" s="583" t="s">
        <v>12354</v>
      </c>
      <c r="B621" s="605" t="s">
        <v>13572</v>
      </c>
      <c r="C621" s="606" t="s">
        <v>21482</v>
      </c>
      <c r="D621" s="607">
        <v>519.37</v>
      </c>
      <c r="E621" s="607"/>
      <c r="F621" s="607">
        <v>519.37</v>
      </c>
      <c r="G621" s="584">
        <v>15</v>
      </c>
    </row>
    <row r="622" spans="1:7" ht="15" x14ac:dyDescent="0.2">
      <c r="A622" s="583" t="s">
        <v>12353</v>
      </c>
      <c r="B622" s="605" t="s">
        <v>13573</v>
      </c>
      <c r="C622" s="606" t="s">
        <v>21482</v>
      </c>
      <c r="D622" s="607">
        <v>544.1</v>
      </c>
      <c r="E622" s="607"/>
      <c r="F622" s="607">
        <v>544.1</v>
      </c>
      <c r="G622" s="584">
        <v>15</v>
      </c>
    </row>
    <row r="623" spans="1:7" ht="15" x14ac:dyDescent="0.2">
      <c r="A623" s="583" t="s">
        <v>13574</v>
      </c>
      <c r="B623" s="605" t="s">
        <v>13575</v>
      </c>
      <c r="C623" s="606" t="s">
        <v>21482</v>
      </c>
      <c r="D623" s="607">
        <v>570.01</v>
      </c>
      <c r="E623" s="607"/>
      <c r="F623" s="607">
        <v>570.01</v>
      </c>
      <c r="G623" s="584">
        <v>15</v>
      </c>
    </row>
    <row r="624" spans="1:7" ht="15" x14ac:dyDescent="0.2">
      <c r="A624" s="583" t="s">
        <v>13576</v>
      </c>
      <c r="B624" s="605" t="s">
        <v>13577</v>
      </c>
      <c r="C624" s="606" t="s">
        <v>21482</v>
      </c>
      <c r="D624" s="607">
        <v>597.16999999999996</v>
      </c>
      <c r="E624" s="607"/>
      <c r="F624" s="607">
        <v>597.16999999999996</v>
      </c>
      <c r="G624" s="584">
        <v>15</v>
      </c>
    </row>
    <row r="625" spans="1:7" ht="15" x14ac:dyDescent="0.2">
      <c r="A625" s="583" t="s">
        <v>13578</v>
      </c>
      <c r="B625" s="605" t="s">
        <v>13579</v>
      </c>
      <c r="C625" s="606" t="s">
        <v>21482</v>
      </c>
      <c r="D625" s="607">
        <v>554.54</v>
      </c>
      <c r="E625" s="607"/>
      <c r="F625" s="607">
        <v>554.54</v>
      </c>
      <c r="G625" s="584">
        <v>15</v>
      </c>
    </row>
    <row r="626" spans="1:7" ht="15" x14ac:dyDescent="0.2">
      <c r="A626" s="583" t="s">
        <v>13580</v>
      </c>
      <c r="B626" s="605" t="s">
        <v>13581</v>
      </c>
      <c r="C626" s="606" t="s">
        <v>21482</v>
      </c>
      <c r="D626" s="607">
        <v>575.48</v>
      </c>
      <c r="E626" s="607"/>
      <c r="F626" s="607">
        <v>575.48</v>
      </c>
      <c r="G626" s="584">
        <v>15</v>
      </c>
    </row>
    <row r="627" spans="1:7" ht="15" x14ac:dyDescent="0.2">
      <c r="A627" s="583" t="s">
        <v>13582</v>
      </c>
      <c r="B627" s="605" t="s">
        <v>13583</v>
      </c>
      <c r="C627" s="606" t="s">
        <v>21482</v>
      </c>
      <c r="D627" s="607">
        <v>599.80999999999995</v>
      </c>
      <c r="E627" s="607"/>
      <c r="F627" s="607">
        <v>599.80999999999995</v>
      </c>
      <c r="G627" s="584">
        <v>15</v>
      </c>
    </row>
    <row r="628" spans="1:7" ht="15" x14ac:dyDescent="0.2">
      <c r="A628" s="583" t="s">
        <v>13584</v>
      </c>
      <c r="B628" s="605" t="s">
        <v>13585</v>
      </c>
      <c r="C628" s="606" t="s">
        <v>21482</v>
      </c>
      <c r="D628" s="607">
        <v>625.29999999999995</v>
      </c>
      <c r="E628" s="607"/>
      <c r="F628" s="607">
        <v>625.29999999999995</v>
      </c>
      <c r="G628" s="584">
        <v>15</v>
      </c>
    </row>
    <row r="629" spans="1:7" ht="15" x14ac:dyDescent="0.2">
      <c r="A629" s="583" t="s">
        <v>13586</v>
      </c>
      <c r="B629" s="605" t="s">
        <v>13587</v>
      </c>
      <c r="C629" s="606" t="s">
        <v>21482</v>
      </c>
      <c r="D629" s="607">
        <v>654.75</v>
      </c>
      <c r="E629" s="607"/>
      <c r="F629" s="607">
        <v>654.75</v>
      </c>
      <c r="G629" s="584">
        <v>15</v>
      </c>
    </row>
    <row r="630" spans="1:7" ht="30" x14ac:dyDescent="0.2">
      <c r="A630" s="583" t="s">
        <v>13588</v>
      </c>
      <c r="B630" s="605" t="s">
        <v>13589</v>
      </c>
      <c r="C630" s="606" t="s">
        <v>21482</v>
      </c>
      <c r="D630" s="607">
        <v>623.58000000000004</v>
      </c>
      <c r="E630" s="607"/>
      <c r="F630" s="607">
        <v>623.58000000000004</v>
      </c>
      <c r="G630" s="584">
        <v>15</v>
      </c>
    </row>
    <row r="631" spans="1:7" ht="15" x14ac:dyDescent="0.2">
      <c r="A631" s="583" t="s">
        <v>20273</v>
      </c>
      <c r="B631" s="605" t="s">
        <v>20274</v>
      </c>
      <c r="C631" s="606" t="s">
        <v>21482</v>
      </c>
      <c r="D631" s="607">
        <v>544.1</v>
      </c>
      <c r="E631" s="607"/>
      <c r="F631" s="607">
        <v>544.1</v>
      </c>
      <c r="G631" s="584">
        <v>15</v>
      </c>
    </row>
    <row r="632" spans="1:7" ht="15" x14ac:dyDescent="0.2">
      <c r="A632" s="583" t="s">
        <v>13590</v>
      </c>
      <c r="B632" s="605" t="s">
        <v>13591</v>
      </c>
      <c r="C632" s="606" t="s">
        <v>21482</v>
      </c>
      <c r="D632" s="607">
        <v>621.84</v>
      </c>
      <c r="E632" s="607"/>
      <c r="F632" s="607">
        <v>621.84</v>
      </c>
      <c r="G632" s="584">
        <v>15</v>
      </c>
    </row>
    <row r="633" spans="1:7" ht="15" x14ac:dyDescent="0.25">
      <c r="A633" s="583" t="s">
        <v>13592</v>
      </c>
      <c r="B633" s="605" t="s">
        <v>13593</v>
      </c>
      <c r="C633" s="606"/>
      <c r="D633" s="607"/>
      <c r="E633" s="607"/>
      <c r="F633" s="607"/>
      <c r="G633" s="582"/>
    </row>
    <row r="634" spans="1:7" ht="15" x14ac:dyDescent="0.2">
      <c r="A634" s="583" t="s">
        <v>13594</v>
      </c>
      <c r="B634" s="605" t="s">
        <v>13595</v>
      </c>
      <c r="C634" s="606" t="s">
        <v>21482</v>
      </c>
      <c r="D634" s="607">
        <v>684.6</v>
      </c>
      <c r="E634" s="607"/>
      <c r="F634" s="607">
        <v>684.6</v>
      </c>
      <c r="G634" s="584">
        <v>15</v>
      </c>
    </row>
    <row r="635" spans="1:7" ht="15" x14ac:dyDescent="0.2">
      <c r="A635" s="583" t="s">
        <v>13596</v>
      </c>
      <c r="B635" s="605" t="s">
        <v>13597</v>
      </c>
      <c r="C635" s="606" t="s">
        <v>21482</v>
      </c>
      <c r="D635" s="607">
        <v>730.8</v>
      </c>
      <c r="E635" s="607"/>
      <c r="F635" s="607">
        <v>730.8</v>
      </c>
      <c r="G635" s="584">
        <v>15</v>
      </c>
    </row>
    <row r="636" spans="1:7" ht="15" x14ac:dyDescent="0.2">
      <c r="A636" s="583" t="s">
        <v>13598</v>
      </c>
      <c r="B636" s="605" t="s">
        <v>13599</v>
      </c>
      <c r="C636" s="606" t="s">
        <v>21482</v>
      </c>
      <c r="D636" s="607">
        <v>609.13</v>
      </c>
      <c r="E636" s="607"/>
      <c r="F636" s="607">
        <v>609.13</v>
      </c>
      <c r="G636" s="584">
        <v>15</v>
      </c>
    </row>
    <row r="637" spans="1:7" ht="30" x14ac:dyDescent="0.25">
      <c r="A637" s="583" t="s">
        <v>13600</v>
      </c>
      <c r="B637" s="605" t="s">
        <v>13601</v>
      </c>
      <c r="C637" s="606"/>
      <c r="D637" s="607"/>
      <c r="E637" s="607"/>
      <c r="F637" s="607"/>
      <c r="G637" s="582"/>
    </row>
    <row r="638" spans="1:7" ht="15" x14ac:dyDescent="0.2">
      <c r="A638" s="583" t="s">
        <v>13602</v>
      </c>
      <c r="B638" s="605" t="s">
        <v>13603</v>
      </c>
      <c r="C638" s="606" t="s">
        <v>21482</v>
      </c>
      <c r="D638" s="607">
        <v>420.94</v>
      </c>
      <c r="E638" s="607">
        <v>136.26</v>
      </c>
      <c r="F638" s="607">
        <v>557.20000000000005</v>
      </c>
      <c r="G638" s="584">
        <v>15</v>
      </c>
    </row>
    <row r="639" spans="1:7" ht="30" x14ac:dyDescent="0.25">
      <c r="A639" s="583" t="s">
        <v>13604</v>
      </c>
      <c r="B639" s="605" t="s">
        <v>13605</v>
      </c>
      <c r="C639" s="606"/>
      <c r="D639" s="607"/>
      <c r="E639" s="607"/>
      <c r="F639" s="607"/>
      <c r="G639" s="582"/>
    </row>
    <row r="640" spans="1:7" ht="30" x14ac:dyDescent="0.2">
      <c r="A640" s="583" t="s">
        <v>13606</v>
      </c>
      <c r="B640" s="605" t="s">
        <v>13607</v>
      </c>
      <c r="C640" s="606" t="s">
        <v>21482</v>
      </c>
      <c r="D640" s="607">
        <v>347.66</v>
      </c>
      <c r="E640" s="607">
        <v>56.78</v>
      </c>
      <c r="F640" s="607">
        <v>404.44</v>
      </c>
      <c r="G640" s="584">
        <v>15</v>
      </c>
    </row>
    <row r="641" spans="1:7" ht="30" x14ac:dyDescent="0.2">
      <c r="A641" s="583" t="s">
        <v>13608</v>
      </c>
      <c r="B641" s="605" t="s">
        <v>13609</v>
      </c>
      <c r="C641" s="606" t="s">
        <v>21482</v>
      </c>
      <c r="D641" s="607">
        <v>380.16</v>
      </c>
      <c r="E641" s="607">
        <v>56.78</v>
      </c>
      <c r="F641" s="607">
        <v>436.94</v>
      </c>
      <c r="G641" s="584">
        <v>15</v>
      </c>
    </row>
    <row r="642" spans="1:7" ht="30" x14ac:dyDescent="0.2">
      <c r="A642" s="583" t="s">
        <v>13610</v>
      </c>
      <c r="B642" s="605" t="s">
        <v>13611</v>
      </c>
      <c r="C642" s="606" t="s">
        <v>21482</v>
      </c>
      <c r="D642" s="607">
        <v>449.16</v>
      </c>
      <c r="E642" s="607">
        <v>56.78</v>
      </c>
      <c r="F642" s="607">
        <v>505.94</v>
      </c>
      <c r="G642" s="584">
        <v>15</v>
      </c>
    </row>
    <row r="643" spans="1:7" ht="15" x14ac:dyDescent="0.25">
      <c r="A643" s="583" t="s">
        <v>13612</v>
      </c>
      <c r="B643" s="605" t="s">
        <v>13613</v>
      </c>
      <c r="C643" s="606"/>
      <c r="D643" s="607"/>
      <c r="E643" s="607"/>
      <c r="F643" s="607"/>
      <c r="G643" s="582"/>
    </row>
    <row r="644" spans="1:7" ht="15" x14ac:dyDescent="0.2">
      <c r="A644" s="583" t="s">
        <v>13614</v>
      </c>
      <c r="B644" s="605" t="s">
        <v>13615</v>
      </c>
      <c r="C644" s="606" t="s">
        <v>21482</v>
      </c>
      <c r="D644" s="607">
        <v>81.08</v>
      </c>
      <c r="E644" s="607">
        <v>56.78</v>
      </c>
      <c r="F644" s="607">
        <v>137.86000000000001</v>
      </c>
      <c r="G644" s="584">
        <v>15</v>
      </c>
    </row>
    <row r="645" spans="1:7" ht="15" x14ac:dyDescent="0.2">
      <c r="A645" s="583" t="s">
        <v>13616</v>
      </c>
      <c r="B645" s="605" t="s">
        <v>21375</v>
      </c>
      <c r="C645" s="606" t="s">
        <v>21482</v>
      </c>
      <c r="D645" s="607">
        <v>3918.83</v>
      </c>
      <c r="E645" s="607">
        <v>63.69</v>
      </c>
      <c r="F645" s="607">
        <v>3982.52</v>
      </c>
      <c r="G645" s="584">
        <v>15</v>
      </c>
    </row>
    <row r="646" spans="1:7" ht="15" x14ac:dyDescent="0.2">
      <c r="A646" s="583" t="s">
        <v>13617</v>
      </c>
      <c r="B646" s="605" t="s">
        <v>13618</v>
      </c>
      <c r="C646" s="606" t="s">
        <v>21482</v>
      </c>
      <c r="D646" s="607">
        <v>386.87</v>
      </c>
      <c r="E646" s="607">
        <v>63.69</v>
      </c>
      <c r="F646" s="607">
        <v>450.56</v>
      </c>
      <c r="G646" s="584">
        <v>15</v>
      </c>
    </row>
    <row r="647" spans="1:7" ht="30" x14ac:dyDescent="0.2">
      <c r="A647" s="583" t="s">
        <v>13619</v>
      </c>
      <c r="B647" s="605" t="s">
        <v>13620</v>
      </c>
      <c r="C647" s="606" t="s">
        <v>21482</v>
      </c>
      <c r="D647" s="607">
        <v>406.2</v>
      </c>
      <c r="E647" s="607">
        <v>418.64</v>
      </c>
      <c r="F647" s="607">
        <v>824.84</v>
      </c>
      <c r="G647" s="584">
        <v>15</v>
      </c>
    </row>
    <row r="648" spans="1:7" ht="30" x14ac:dyDescent="0.2">
      <c r="A648" s="583" t="s">
        <v>13621</v>
      </c>
      <c r="B648" s="605" t="s">
        <v>13622</v>
      </c>
      <c r="C648" s="606" t="s">
        <v>21482</v>
      </c>
      <c r="D648" s="607">
        <v>2387.8200000000002</v>
      </c>
      <c r="E648" s="607">
        <v>766.16</v>
      </c>
      <c r="F648" s="607">
        <v>3153.98</v>
      </c>
      <c r="G648" s="584">
        <v>15</v>
      </c>
    </row>
    <row r="649" spans="1:7" ht="15" x14ac:dyDescent="0.25">
      <c r="A649" s="583" t="s">
        <v>13623</v>
      </c>
      <c r="B649" s="605" t="s">
        <v>13624</v>
      </c>
      <c r="C649" s="606"/>
      <c r="D649" s="607"/>
      <c r="E649" s="607"/>
      <c r="F649" s="607"/>
      <c r="G649" s="582"/>
    </row>
    <row r="650" spans="1:7" ht="30" x14ac:dyDescent="0.2">
      <c r="A650" s="583" t="s">
        <v>13625</v>
      </c>
      <c r="B650" s="605" t="s">
        <v>13626</v>
      </c>
      <c r="C650" s="606" t="s">
        <v>21482</v>
      </c>
      <c r="D650" s="607">
        <v>538.89</v>
      </c>
      <c r="E650" s="607">
        <v>56.78</v>
      </c>
      <c r="F650" s="607">
        <v>595.66999999999996</v>
      </c>
      <c r="G650" s="584">
        <v>15</v>
      </c>
    </row>
    <row r="651" spans="1:7" ht="15" x14ac:dyDescent="0.25">
      <c r="A651" s="583" t="s">
        <v>13627</v>
      </c>
      <c r="B651" s="605" t="s">
        <v>13628</v>
      </c>
      <c r="C651" s="606"/>
      <c r="D651" s="607"/>
      <c r="E651" s="607"/>
      <c r="F651" s="607"/>
      <c r="G651" s="582"/>
    </row>
    <row r="652" spans="1:7" ht="30" x14ac:dyDescent="0.2">
      <c r="A652" s="583" t="s">
        <v>12352</v>
      </c>
      <c r="B652" s="605" t="s">
        <v>131</v>
      </c>
      <c r="C652" s="606" t="s">
        <v>21482</v>
      </c>
      <c r="D652" s="607"/>
      <c r="E652" s="607">
        <v>95.77</v>
      </c>
      <c r="F652" s="607">
        <v>95.77</v>
      </c>
      <c r="G652" s="584">
        <v>15</v>
      </c>
    </row>
    <row r="653" spans="1:7" ht="30" x14ac:dyDescent="0.2">
      <c r="A653" s="583" t="s">
        <v>13629</v>
      </c>
      <c r="B653" s="605" t="s">
        <v>13630</v>
      </c>
      <c r="C653" s="606" t="s">
        <v>21482</v>
      </c>
      <c r="D653" s="607"/>
      <c r="E653" s="607">
        <v>191.54</v>
      </c>
      <c r="F653" s="607">
        <v>191.54</v>
      </c>
      <c r="G653" s="584">
        <v>15</v>
      </c>
    </row>
    <row r="654" spans="1:7" ht="30" x14ac:dyDescent="0.2">
      <c r="A654" s="583" t="s">
        <v>13631</v>
      </c>
      <c r="B654" s="605" t="s">
        <v>13632</v>
      </c>
      <c r="C654" s="606" t="s">
        <v>21482</v>
      </c>
      <c r="D654" s="607"/>
      <c r="E654" s="607">
        <v>132.30000000000001</v>
      </c>
      <c r="F654" s="607">
        <v>132.30000000000001</v>
      </c>
      <c r="G654" s="584">
        <v>15</v>
      </c>
    </row>
    <row r="655" spans="1:7" ht="30" x14ac:dyDescent="0.2">
      <c r="A655" s="583" t="s">
        <v>13633</v>
      </c>
      <c r="B655" s="605" t="s">
        <v>13634</v>
      </c>
      <c r="C655" s="606" t="s">
        <v>21482</v>
      </c>
      <c r="D655" s="607">
        <v>62.73</v>
      </c>
      <c r="E655" s="607">
        <v>73.06</v>
      </c>
      <c r="F655" s="607">
        <v>135.79</v>
      </c>
      <c r="G655" s="584">
        <v>15</v>
      </c>
    </row>
    <row r="656" spans="1:7" ht="15" x14ac:dyDescent="0.2">
      <c r="A656" s="583" t="s">
        <v>13635</v>
      </c>
      <c r="B656" s="605" t="s">
        <v>13636</v>
      </c>
      <c r="C656" s="606" t="s">
        <v>2</v>
      </c>
      <c r="D656" s="607">
        <v>16.170000000000002</v>
      </c>
      <c r="E656" s="607"/>
      <c r="F656" s="607">
        <v>16.170000000000002</v>
      </c>
      <c r="G656" s="584">
        <v>15</v>
      </c>
    </row>
    <row r="657" spans="1:7" ht="15" x14ac:dyDescent="0.25">
      <c r="A657" s="583" t="s">
        <v>13637</v>
      </c>
      <c r="B657" s="605" t="s">
        <v>13638</v>
      </c>
      <c r="C657" s="606"/>
      <c r="D657" s="607"/>
      <c r="E657" s="607"/>
      <c r="F657" s="607"/>
      <c r="G657" s="582"/>
    </row>
    <row r="658" spans="1:7" ht="15" x14ac:dyDescent="0.2">
      <c r="A658" s="583" t="s">
        <v>13639</v>
      </c>
      <c r="B658" s="605" t="s">
        <v>13640</v>
      </c>
      <c r="C658" s="606" t="s">
        <v>21482</v>
      </c>
      <c r="D658" s="607">
        <v>195.5</v>
      </c>
      <c r="E658" s="607">
        <v>79.489999999999995</v>
      </c>
      <c r="F658" s="607">
        <v>274.99</v>
      </c>
      <c r="G658" s="584">
        <v>15</v>
      </c>
    </row>
    <row r="659" spans="1:7" ht="15" x14ac:dyDescent="0.2">
      <c r="A659" s="583" t="s">
        <v>13641</v>
      </c>
      <c r="B659" s="605" t="s">
        <v>13642</v>
      </c>
      <c r="C659" s="606" t="s">
        <v>21482</v>
      </c>
      <c r="D659" s="607">
        <v>184.96</v>
      </c>
      <c r="E659" s="607">
        <v>34.07</v>
      </c>
      <c r="F659" s="607">
        <v>219.03</v>
      </c>
      <c r="G659" s="584">
        <v>15</v>
      </c>
    </row>
    <row r="660" spans="1:7" ht="15" x14ac:dyDescent="0.2">
      <c r="A660" s="583" t="s">
        <v>12351</v>
      </c>
      <c r="B660" s="605" t="s">
        <v>21376</v>
      </c>
      <c r="C660" s="606" t="s">
        <v>2</v>
      </c>
      <c r="D660" s="607">
        <v>1.41</v>
      </c>
      <c r="E660" s="607">
        <v>0.68</v>
      </c>
      <c r="F660" s="607">
        <v>2.09</v>
      </c>
      <c r="G660" s="584">
        <v>15</v>
      </c>
    </row>
    <row r="661" spans="1:7" ht="30" x14ac:dyDescent="0.2">
      <c r="A661" s="583" t="s">
        <v>13643</v>
      </c>
      <c r="B661" s="605" t="s">
        <v>13644</v>
      </c>
      <c r="C661" s="606" t="s">
        <v>21482</v>
      </c>
      <c r="D661" s="607">
        <v>1209.29</v>
      </c>
      <c r="E661" s="607">
        <v>104.66</v>
      </c>
      <c r="F661" s="607">
        <v>1313.95</v>
      </c>
      <c r="G661" s="584">
        <v>15</v>
      </c>
    </row>
    <row r="662" spans="1:7" ht="15" x14ac:dyDescent="0.2">
      <c r="A662" s="583" t="s">
        <v>13645</v>
      </c>
      <c r="B662" s="605" t="s">
        <v>13646</v>
      </c>
      <c r="C662" s="606" t="s">
        <v>21482</v>
      </c>
      <c r="D662" s="607">
        <v>343.88</v>
      </c>
      <c r="E662" s="607">
        <v>45.42</v>
      </c>
      <c r="F662" s="607">
        <v>389.3</v>
      </c>
      <c r="G662" s="584">
        <v>15</v>
      </c>
    </row>
    <row r="663" spans="1:7" ht="30" x14ac:dyDescent="0.2">
      <c r="A663" s="583" t="s">
        <v>13647</v>
      </c>
      <c r="B663" s="605" t="s">
        <v>13648</v>
      </c>
      <c r="C663" s="606" t="s">
        <v>21482</v>
      </c>
      <c r="D663" s="607"/>
      <c r="E663" s="607">
        <v>45.42</v>
      </c>
      <c r="F663" s="607">
        <v>45.42</v>
      </c>
      <c r="G663" s="584">
        <v>15</v>
      </c>
    </row>
    <row r="664" spans="1:7" ht="15" x14ac:dyDescent="0.2">
      <c r="A664" s="583" t="s">
        <v>11</v>
      </c>
      <c r="B664" s="605" t="s">
        <v>13649</v>
      </c>
      <c r="C664" s="606" t="s">
        <v>21482</v>
      </c>
      <c r="D664" s="607">
        <v>244</v>
      </c>
      <c r="E664" s="607">
        <v>22.71</v>
      </c>
      <c r="F664" s="607">
        <v>266.70999999999998</v>
      </c>
      <c r="G664" s="584">
        <v>15</v>
      </c>
    </row>
    <row r="665" spans="1:7" ht="15" x14ac:dyDescent="0.2">
      <c r="A665" s="583" t="s">
        <v>13650</v>
      </c>
      <c r="B665" s="605" t="s">
        <v>13651</v>
      </c>
      <c r="C665" s="606" t="s">
        <v>21482</v>
      </c>
      <c r="D665" s="607">
        <v>209.29</v>
      </c>
      <c r="E665" s="607">
        <v>68.13</v>
      </c>
      <c r="F665" s="607">
        <v>277.42</v>
      </c>
      <c r="G665" s="584">
        <v>15</v>
      </c>
    </row>
    <row r="666" spans="1:7" ht="15" x14ac:dyDescent="0.2">
      <c r="A666" s="583" t="s">
        <v>13652</v>
      </c>
      <c r="B666" s="605" t="s">
        <v>13653</v>
      </c>
      <c r="C666" s="606" t="s">
        <v>21482</v>
      </c>
      <c r="D666" s="607">
        <v>195.5</v>
      </c>
      <c r="E666" s="607">
        <v>107.13</v>
      </c>
      <c r="F666" s="607">
        <v>302.63</v>
      </c>
      <c r="G666" s="584">
        <v>15</v>
      </c>
    </row>
    <row r="667" spans="1:7" ht="15" x14ac:dyDescent="0.2">
      <c r="A667" s="583" t="s">
        <v>13654</v>
      </c>
      <c r="B667" s="605" t="s">
        <v>13655</v>
      </c>
      <c r="C667" s="606" t="s">
        <v>21482</v>
      </c>
      <c r="D667" s="607">
        <v>214.62</v>
      </c>
      <c r="E667" s="607">
        <v>0.23</v>
      </c>
      <c r="F667" s="607">
        <v>214.85</v>
      </c>
      <c r="G667" s="584">
        <v>15</v>
      </c>
    </row>
    <row r="668" spans="1:7" ht="15" x14ac:dyDescent="0.2">
      <c r="A668" s="583" t="s">
        <v>13656</v>
      </c>
      <c r="B668" s="605" t="s">
        <v>13657</v>
      </c>
      <c r="C668" s="606" t="s">
        <v>21482</v>
      </c>
      <c r="D668" s="607">
        <v>393.45</v>
      </c>
      <c r="E668" s="607">
        <v>18.170000000000002</v>
      </c>
      <c r="F668" s="607">
        <v>411.62</v>
      </c>
      <c r="G668" s="584">
        <v>15</v>
      </c>
    </row>
    <row r="669" spans="1:7" ht="30" x14ac:dyDescent="0.2">
      <c r="A669" s="583" t="s">
        <v>13658</v>
      </c>
      <c r="B669" s="605" t="s">
        <v>13659</v>
      </c>
      <c r="C669" s="606" t="s">
        <v>21482</v>
      </c>
      <c r="D669" s="607">
        <v>1153.8599999999999</v>
      </c>
      <c r="E669" s="607">
        <v>18.170000000000002</v>
      </c>
      <c r="F669" s="607">
        <v>1172.03</v>
      </c>
      <c r="G669" s="584">
        <v>15</v>
      </c>
    </row>
    <row r="670" spans="1:7" ht="15" x14ac:dyDescent="0.25">
      <c r="A670" s="583" t="s">
        <v>13660</v>
      </c>
      <c r="B670" s="605" t="s">
        <v>13661</v>
      </c>
      <c r="C670" s="606"/>
      <c r="D670" s="607"/>
      <c r="E670" s="607"/>
      <c r="F670" s="607"/>
      <c r="G670" s="582"/>
    </row>
    <row r="671" spans="1:7" ht="15" x14ac:dyDescent="0.2">
      <c r="A671" s="583" t="s">
        <v>13662</v>
      </c>
      <c r="B671" s="605" t="s">
        <v>20275</v>
      </c>
      <c r="C671" s="606" t="s">
        <v>2</v>
      </c>
      <c r="D671" s="607">
        <v>2.77</v>
      </c>
      <c r="E671" s="607">
        <v>5.68</v>
      </c>
      <c r="F671" s="607">
        <v>8.4499999999999993</v>
      </c>
      <c r="G671" s="584">
        <v>15</v>
      </c>
    </row>
    <row r="672" spans="1:7" ht="30" x14ac:dyDescent="0.2">
      <c r="A672" s="583" t="s">
        <v>13663</v>
      </c>
      <c r="B672" s="605" t="s">
        <v>13664</v>
      </c>
      <c r="C672" s="606" t="s">
        <v>12483</v>
      </c>
      <c r="D672" s="607">
        <v>11.92</v>
      </c>
      <c r="E672" s="607"/>
      <c r="F672" s="607">
        <v>11.92</v>
      </c>
      <c r="G672" s="584">
        <v>15</v>
      </c>
    </row>
    <row r="673" spans="1:7" ht="15" x14ac:dyDescent="0.2">
      <c r="A673" s="583" t="s">
        <v>13665</v>
      </c>
      <c r="B673" s="605" t="s">
        <v>13666</v>
      </c>
      <c r="C673" s="606" t="s">
        <v>12427</v>
      </c>
      <c r="D673" s="607">
        <v>3.99</v>
      </c>
      <c r="E673" s="607">
        <v>5.68</v>
      </c>
      <c r="F673" s="607">
        <v>9.67</v>
      </c>
      <c r="G673" s="584">
        <v>15</v>
      </c>
    </row>
    <row r="674" spans="1:7" ht="30" x14ac:dyDescent="0.2">
      <c r="A674" s="583" t="s">
        <v>13667</v>
      </c>
      <c r="B674" s="605" t="s">
        <v>13668</v>
      </c>
      <c r="C674" s="606" t="s">
        <v>12508</v>
      </c>
      <c r="D674" s="607">
        <v>9273.2000000000007</v>
      </c>
      <c r="E674" s="607">
        <v>1972.46</v>
      </c>
      <c r="F674" s="607">
        <v>11245.66</v>
      </c>
      <c r="G674" s="584">
        <v>15</v>
      </c>
    </row>
    <row r="675" spans="1:7" ht="30" x14ac:dyDescent="0.2">
      <c r="A675" s="583" t="s">
        <v>13669</v>
      </c>
      <c r="B675" s="605" t="s">
        <v>13670</v>
      </c>
      <c r="C675" s="606" t="s">
        <v>12483</v>
      </c>
      <c r="D675" s="607">
        <v>191.65</v>
      </c>
      <c r="E675" s="607">
        <v>151.05000000000001</v>
      </c>
      <c r="F675" s="607">
        <v>342.7</v>
      </c>
      <c r="G675" s="584">
        <v>15</v>
      </c>
    </row>
    <row r="676" spans="1:7" ht="15" x14ac:dyDescent="0.2">
      <c r="A676" s="583" t="s">
        <v>21377</v>
      </c>
      <c r="B676" s="605" t="s">
        <v>21378</v>
      </c>
      <c r="C676" s="606" t="s">
        <v>12929</v>
      </c>
      <c r="D676" s="607">
        <v>7.66</v>
      </c>
      <c r="E676" s="607">
        <v>0.38</v>
      </c>
      <c r="F676" s="607">
        <v>8.0399999999999991</v>
      </c>
      <c r="G676" s="584">
        <v>15</v>
      </c>
    </row>
    <row r="677" spans="1:7" ht="15" x14ac:dyDescent="0.25">
      <c r="A677" s="583" t="s">
        <v>13671</v>
      </c>
      <c r="B677" s="605" t="s">
        <v>13672</v>
      </c>
      <c r="C677" s="606"/>
      <c r="D677" s="607"/>
      <c r="E677" s="607"/>
      <c r="F677" s="607"/>
      <c r="G677" s="582"/>
    </row>
    <row r="678" spans="1:7" ht="15" x14ac:dyDescent="0.25">
      <c r="A678" s="583" t="s">
        <v>13673</v>
      </c>
      <c r="B678" s="605" t="s">
        <v>13674</v>
      </c>
      <c r="C678" s="606"/>
      <c r="D678" s="607"/>
      <c r="E678" s="607"/>
      <c r="F678" s="607"/>
      <c r="G678" s="582"/>
    </row>
    <row r="679" spans="1:7" ht="15" x14ac:dyDescent="0.2">
      <c r="A679" s="583" t="s">
        <v>13675</v>
      </c>
      <c r="B679" s="605" t="s">
        <v>13676</v>
      </c>
      <c r="C679" s="606" t="s">
        <v>20358</v>
      </c>
      <c r="D679" s="607">
        <v>18.87</v>
      </c>
      <c r="E679" s="607">
        <v>53.01</v>
      </c>
      <c r="F679" s="607">
        <v>71.88</v>
      </c>
      <c r="G679" s="584">
        <v>15</v>
      </c>
    </row>
    <row r="680" spans="1:7" ht="15" x14ac:dyDescent="0.2">
      <c r="A680" s="583" t="s">
        <v>13677</v>
      </c>
      <c r="B680" s="605" t="s">
        <v>13678</v>
      </c>
      <c r="C680" s="606" t="s">
        <v>20358</v>
      </c>
      <c r="D680" s="607">
        <v>30.52</v>
      </c>
      <c r="E680" s="607">
        <v>55.12</v>
      </c>
      <c r="F680" s="607">
        <v>85.64</v>
      </c>
      <c r="G680" s="584">
        <v>15</v>
      </c>
    </row>
    <row r="681" spans="1:7" ht="15" x14ac:dyDescent="0.2">
      <c r="A681" s="583" t="s">
        <v>13679</v>
      </c>
      <c r="B681" s="605" t="s">
        <v>13680</v>
      </c>
      <c r="C681" s="606" t="s">
        <v>20358</v>
      </c>
      <c r="D681" s="607">
        <v>45.71</v>
      </c>
      <c r="E681" s="607">
        <v>87.75</v>
      </c>
      <c r="F681" s="607">
        <v>133.46</v>
      </c>
      <c r="G681" s="584">
        <v>15</v>
      </c>
    </row>
    <row r="682" spans="1:7" ht="15" x14ac:dyDescent="0.25">
      <c r="A682" s="583" t="s">
        <v>13681</v>
      </c>
      <c r="B682" s="605" t="s">
        <v>13682</v>
      </c>
      <c r="C682" s="606"/>
      <c r="D682" s="607"/>
      <c r="E682" s="607"/>
      <c r="F682" s="607"/>
      <c r="G682" s="582"/>
    </row>
    <row r="683" spans="1:7" ht="30" x14ac:dyDescent="0.2">
      <c r="A683" s="583" t="s">
        <v>20276</v>
      </c>
      <c r="B683" s="605" t="s">
        <v>13683</v>
      </c>
      <c r="C683" s="606" t="s">
        <v>21684</v>
      </c>
      <c r="D683" s="607">
        <v>29246.12</v>
      </c>
      <c r="E683" s="607"/>
      <c r="F683" s="607">
        <v>29246.12</v>
      </c>
      <c r="G683" s="584">
        <v>15</v>
      </c>
    </row>
    <row r="684" spans="1:7" ht="15" x14ac:dyDescent="0.2">
      <c r="A684" s="583" t="s">
        <v>20277</v>
      </c>
      <c r="B684" s="605" t="s">
        <v>20278</v>
      </c>
      <c r="C684" s="606" t="s">
        <v>20358</v>
      </c>
      <c r="D684" s="607">
        <v>181.75</v>
      </c>
      <c r="E684" s="607">
        <v>2.27</v>
      </c>
      <c r="F684" s="607">
        <v>184.02</v>
      </c>
      <c r="G684" s="584">
        <v>15</v>
      </c>
    </row>
    <row r="685" spans="1:7" ht="15" x14ac:dyDescent="0.2">
      <c r="A685" s="583" t="s">
        <v>20279</v>
      </c>
      <c r="B685" s="605" t="s">
        <v>20280</v>
      </c>
      <c r="C685" s="606" t="s">
        <v>20358</v>
      </c>
      <c r="D685" s="607">
        <v>196.51</v>
      </c>
      <c r="E685" s="607">
        <v>2.27</v>
      </c>
      <c r="F685" s="607">
        <v>198.78</v>
      </c>
      <c r="G685" s="584">
        <v>15</v>
      </c>
    </row>
    <row r="686" spans="1:7" ht="15" x14ac:dyDescent="0.2">
      <c r="A686" s="583" t="s">
        <v>20281</v>
      </c>
      <c r="B686" s="605" t="s">
        <v>20282</v>
      </c>
      <c r="C686" s="606" t="s">
        <v>20358</v>
      </c>
      <c r="D686" s="607">
        <v>205.58</v>
      </c>
      <c r="E686" s="607">
        <v>2.27</v>
      </c>
      <c r="F686" s="607">
        <v>207.85</v>
      </c>
      <c r="G686" s="584">
        <v>15</v>
      </c>
    </row>
    <row r="687" spans="1:7" ht="15" x14ac:dyDescent="0.2">
      <c r="A687" s="583" t="s">
        <v>20283</v>
      </c>
      <c r="B687" s="605" t="s">
        <v>20284</v>
      </c>
      <c r="C687" s="606" t="s">
        <v>20358</v>
      </c>
      <c r="D687" s="607">
        <v>217.91</v>
      </c>
      <c r="E687" s="607">
        <v>2.27</v>
      </c>
      <c r="F687" s="607">
        <v>220.18</v>
      </c>
      <c r="G687" s="584">
        <v>15</v>
      </c>
    </row>
    <row r="688" spans="1:7" ht="15" x14ac:dyDescent="0.2">
      <c r="A688" s="583" t="s">
        <v>20285</v>
      </c>
      <c r="B688" s="605" t="s">
        <v>20286</v>
      </c>
      <c r="C688" s="606" t="s">
        <v>20358</v>
      </c>
      <c r="D688" s="607">
        <v>251.12</v>
      </c>
      <c r="E688" s="607">
        <v>2.27</v>
      </c>
      <c r="F688" s="607">
        <v>253.39</v>
      </c>
      <c r="G688" s="584">
        <v>15</v>
      </c>
    </row>
    <row r="689" spans="1:7" ht="15" x14ac:dyDescent="0.25">
      <c r="A689" s="583" t="s">
        <v>13684</v>
      </c>
      <c r="B689" s="605" t="s">
        <v>13685</v>
      </c>
      <c r="C689" s="606"/>
      <c r="D689" s="607"/>
      <c r="E689" s="607"/>
      <c r="F689" s="607"/>
      <c r="G689" s="582"/>
    </row>
    <row r="690" spans="1:7" ht="30" x14ac:dyDescent="0.2">
      <c r="A690" s="583" t="s">
        <v>13686</v>
      </c>
      <c r="B690" s="605" t="s">
        <v>13687</v>
      </c>
      <c r="C690" s="606" t="s">
        <v>21684</v>
      </c>
      <c r="D690" s="607">
        <v>2552.3000000000002</v>
      </c>
      <c r="E690" s="607"/>
      <c r="F690" s="607">
        <v>2552.3000000000002</v>
      </c>
      <c r="G690" s="584">
        <v>15</v>
      </c>
    </row>
    <row r="691" spans="1:7" ht="15" x14ac:dyDescent="0.2">
      <c r="A691" s="583" t="s">
        <v>13688</v>
      </c>
      <c r="B691" s="605" t="s">
        <v>13689</v>
      </c>
      <c r="C691" s="606" t="s">
        <v>20358</v>
      </c>
      <c r="D691" s="607">
        <v>43.29</v>
      </c>
      <c r="E691" s="607">
        <v>16.79</v>
      </c>
      <c r="F691" s="607">
        <v>60.08</v>
      </c>
      <c r="G691" s="584">
        <v>15</v>
      </c>
    </row>
    <row r="692" spans="1:7" ht="15" x14ac:dyDescent="0.2">
      <c r="A692" s="583" t="s">
        <v>13690</v>
      </c>
      <c r="B692" s="605" t="s">
        <v>13691</v>
      </c>
      <c r="C692" s="606" t="s">
        <v>20358</v>
      </c>
      <c r="D692" s="607">
        <v>58.92</v>
      </c>
      <c r="E692" s="607">
        <v>24.25</v>
      </c>
      <c r="F692" s="607">
        <v>83.17</v>
      </c>
      <c r="G692" s="584">
        <v>15</v>
      </c>
    </row>
    <row r="693" spans="1:7" ht="15" x14ac:dyDescent="0.2">
      <c r="A693" s="583" t="s">
        <v>13692</v>
      </c>
      <c r="B693" s="605" t="s">
        <v>13693</v>
      </c>
      <c r="C693" s="606" t="s">
        <v>20358</v>
      </c>
      <c r="D693" s="607">
        <v>77.319999999999993</v>
      </c>
      <c r="E693" s="607">
        <v>33.229999999999997</v>
      </c>
      <c r="F693" s="607">
        <v>110.55</v>
      </c>
      <c r="G693" s="584">
        <v>15</v>
      </c>
    </row>
    <row r="694" spans="1:7" ht="15" x14ac:dyDescent="0.2">
      <c r="A694" s="583" t="s">
        <v>13694</v>
      </c>
      <c r="B694" s="605" t="s">
        <v>13695</v>
      </c>
      <c r="C694" s="606" t="s">
        <v>20358</v>
      </c>
      <c r="D694" s="607">
        <v>100.38</v>
      </c>
      <c r="E694" s="607">
        <v>43.97</v>
      </c>
      <c r="F694" s="607">
        <v>144.35</v>
      </c>
      <c r="G694" s="584">
        <v>15</v>
      </c>
    </row>
    <row r="695" spans="1:7" ht="15" x14ac:dyDescent="0.25">
      <c r="A695" s="583" t="s">
        <v>13696</v>
      </c>
      <c r="B695" s="605" t="s">
        <v>13697</v>
      </c>
      <c r="C695" s="606"/>
      <c r="D695" s="607"/>
      <c r="E695" s="607"/>
      <c r="F695" s="607"/>
      <c r="G695" s="582"/>
    </row>
    <row r="696" spans="1:7" ht="30" x14ac:dyDescent="0.2">
      <c r="A696" s="583" t="s">
        <v>13698</v>
      </c>
      <c r="B696" s="605" t="s">
        <v>13699</v>
      </c>
      <c r="C696" s="606" t="s">
        <v>21684</v>
      </c>
      <c r="D696" s="607">
        <v>3099.83</v>
      </c>
      <c r="E696" s="607"/>
      <c r="F696" s="607">
        <v>3099.83</v>
      </c>
      <c r="G696" s="584">
        <v>15</v>
      </c>
    </row>
    <row r="697" spans="1:7" ht="15" x14ac:dyDescent="0.2">
      <c r="A697" s="583" t="s">
        <v>13700</v>
      </c>
      <c r="B697" s="605" t="s">
        <v>13701</v>
      </c>
      <c r="C697" s="606" t="s">
        <v>20358</v>
      </c>
      <c r="D697" s="607">
        <v>63.81</v>
      </c>
      <c r="E697" s="607">
        <v>14.13</v>
      </c>
      <c r="F697" s="607">
        <v>77.94</v>
      </c>
      <c r="G697" s="584">
        <v>15</v>
      </c>
    </row>
    <row r="698" spans="1:7" ht="15" x14ac:dyDescent="0.2">
      <c r="A698" s="583" t="s">
        <v>13702</v>
      </c>
      <c r="B698" s="605" t="s">
        <v>13703</v>
      </c>
      <c r="C698" s="606" t="s">
        <v>20358</v>
      </c>
      <c r="D698" s="607">
        <v>82.89</v>
      </c>
      <c r="E698" s="607">
        <v>20.39</v>
      </c>
      <c r="F698" s="607">
        <v>103.28</v>
      </c>
      <c r="G698" s="584">
        <v>15</v>
      </c>
    </row>
    <row r="699" spans="1:7" ht="15" x14ac:dyDescent="0.2">
      <c r="A699" s="583" t="s">
        <v>13704</v>
      </c>
      <c r="B699" s="605" t="s">
        <v>13705</v>
      </c>
      <c r="C699" s="606" t="s">
        <v>20358</v>
      </c>
      <c r="D699" s="607">
        <v>108.37</v>
      </c>
      <c r="E699" s="607">
        <v>27.81</v>
      </c>
      <c r="F699" s="607">
        <v>136.18</v>
      </c>
      <c r="G699" s="584">
        <v>15</v>
      </c>
    </row>
    <row r="700" spans="1:7" ht="15" x14ac:dyDescent="0.2">
      <c r="A700" s="583" t="s">
        <v>13706</v>
      </c>
      <c r="B700" s="605" t="s">
        <v>13707</v>
      </c>
      <c r="C700" s="606" t="s">
        <v>20358</v>
      </c>
      <c r="D700" s="607">
        <v>166.11</v>
      </c>
      <c r="E700" s="607">
        <v>36.26</v>
      </c>
      <c r="F700" s="607">
        <v>202.37</v>
      </c>
      <c r="G700" s="584">
        <v>15</v>
      </c>
    </row>
    <row r="701" spans="1:7" ht="15" x14ac:dyDescent="0.25">
      <c r="A701" s="583" t="s">
        <v>13708</v>
      </c>
      <c r="B701" s="605" t="s">
        <v>13709</v>
      </c>
      <c r="C701" s="606"/>
      <c r="D701" s="607"/>
      <c r="E701" s="607"/>
      <c r="F701" s="607"/>
      <c r="G701" s="582"/>
    </row>
    <row r="702" spans="1:7" ht="30" x14ac:dyDescent="0.2">
      <c r="A702" s="583" t="s">
        <v>13710</v>
      </c>
      <c r="B702" s="605" t="s">
        <v>13711</v>
      </c>
      <c r="C702" s="606" t="s">
        <v>21684</v>
      </c>
      <c r="D702" s="607">
        <v>32754.42</v>
      </c>
      <c r="E702" s="607"/>
      <c r="F702" s="607">
        <v>32754.42</v>
      </c>
      <c r="G702" s="584">
        <v>15</v>
      </c>
    </row>
    <row r="703" spans="1:7" ht="15" x14ac:dyDescent="0.2">
      <c r="A703" s="583" t="s">
        <v>13712</v>
      </c>
      <c r="B703" s="605" t="s">
        <v>13713</v>
      </c>
      <c r="C703" s="606" t="s">
        <v>20358</v>
      </c>
      <c r="D703" s="607">
        <v>252.21</v>
      </c>
      <c r="E703" s="607">
        <v>10.28</v>
      </c>
      <c r="F703" s="607">
        <v>262.49</v>
      </c>
      <c r="G703" s="584">
        <v>15</v>
      </c>
    </row>
    <row r="704" spans="1:7" ht="15" x14ac:dyDescent="0.2">
      <c r="A704" s="583" t="s">
        <v>13714</v>
      </c>
      <c r="B704" s="605" t="s">
        <v>13715</v>
      </c>
      <c r="C704" s="606" t="s">
        <v>20358</v>
      </c>
      <c r="D704" s="607">
        <v>274.14</v>
      </c>
      <c r="E704" s="607">
        <v>12.89</v>
      </c>
      <c r="F704" s="607">
        <v>287.02999999999997</v>
      </c>
      <c r="G704" s="584">
        <v>15</v>
      </c>
    </row>
    <row r="705" spans="1:7" ht="15" x14ac:dyDescent="0.2">
      <c r="A705" s="583" t="s">
        <v>13716</v>
      </c>
      <c r="B705" s="605" t="s">
        <v>13717</v>
      </c>
      <c r="C705" s="606" t="s">
        <v>20358</v>
      </c>
      <c r="D705" s="607">
        <v>333.62</v>
      </c>
      <c r="E705" s="607">
        <v>19.510000000000002</v>
      </c>
      <c r="F705" s="607">
        <v>353.13</v>
      </c>
      <c r="G705" s="584">
        <v>15</v>
      </c>
    </row>
    <row r="706" spans="1:7" ht="15" x14ac:dyDescent="0.2">
      <c r="A706" s="583" t="s">
        <v>13718</v>
      </c>
      <c r="B706" s="605" t="s">
        <v>13719</v>
      </c>
      <c r="C706" s="606" t="s">
        <v>20358</v>
      </c>
      <c r="D706" s="607">
        <v>361.65</v>
      </c>
      <c r="E706" s="607">
        <v>27.3</v>
      </c>
      <c r="F706" s="607">
        <v>388.95</v>
      </c>
      <c r="G706" s="584">
        <v>15</v>
      </c>
    </row>
    <row r="707" spans="1:7" ht="15" x14ac:dyDescent="0.2">
      <c r="A707" s="583" t="s">
        <v>13720</v>
      </c>
      <c r="B707" s="605" t="s">
        <v>13721</v>
      </c>
      <c r="C707" s="606" t="s">
        <v>20358</v>
      </c>
      <c r="D707" s="607">
        <v>422.66</v>
      </c>
      <c r="E707" s="607">
        <v>41.71</v>
      </c>
      <c r="F707" s="607">
        <v>464.37</v>
      </c>
      <c r="G707" s="584">
        <v>15</v>
      </c>
    </row>
    <row r="708" spans="1:7" ht="15" x14ac:dyDescent="0.2">
      <c r="A708" s="583" t="s">
        <v>13722</v>
      </c>
      <c r="B708" s="605" t="s">
        <v>13723</v>
      </c>
      <c r="C708" s="606" t="s">
        <v>20358</v>
      </c>
      <c r="D708" s="607">
        <v>482.72</v>
      </c>
      <c r="E708" s="607">
        <v>48.91</v>
      </c>
      <c r="F708" s="607">
        <v>531.63</v>
      </c>
      <c r="G708" s="584">
        <v>15</v>
      </c>
    </row>
    <row r="709" spans="1:7" ht="15" x14ac:dyDescent="0.2">
      <c r="A709" s="583" t="s">
        <v>13724</v>
      </c>
      <c r="B709" s="605" t="s">
        <v>13725</v>
      </c>
      <c r="C709" s="606" t="s">
        <v>20358</v>
      </c>
      <c r="D709" s="607">
        <v>599.13</v>
      </c>
      <c r="E709" s="607">
        <v>57.84</v>
      </c>
      <c r="F709" s="607">
        <v>656.97</v>
      </c>
      <c r="G709" s="584">
        <v>15</v>
      </c>
    </row>
    <row r="710" spans="1:7" ht="15" x14ac:dyDescent="0.2">
      <c r="A710" s="583" t="s">
        <v>13726</v>
      </c>
      <c r="B710" s="605" t="s">
        <v>13727</v>
      </c>
      <c r="C710" s="606" t="s">
        <v>20358</v>
      </c>
      <c r="D710" s="607">
        <v>705.79</v>
      </c>
      <c r="E710" s="607">
        <v>48.91</v>
      </c>
      <c r="F710" s="607">
        <v>754.7</v>
      </c>
      <c r="G710" s="584">
        <v>15</v>
      </c>
    </row>
    <row r="711" spans="1:7" ht="15" x14ac:dyDescent="0.2">
      <c r="A711" s="583" t="s">
        <v>13728</v>
      </c>
      <c r="B711" s="605" t="s">
        <v>13729</v>
      </c>
      <c r="C711" s="606" t="s">
        <v>20358</v>
      </c>
      <c r="D711" s="607">
        <v>404.96</v>
      </c>
      <c r="E711" s="607"/>
      <c r="F711" s="607">
        <v>404.96</v>
      </c>
      <c r="G711" s="584">
        <v>15</v>
      </c>
    </row>
    <row r="712" spans="1:7" ht="15" x14ac:dyDescent="0.2">
      <c r="A712" s="583" t="s">
        <v>13730</v>
      </c>
      <c r="B712" s="605" t="s">
        <v>13731</v>
      </c>
      <c r="C712" s="606" t="s">
        <v>20358</v>
      </c>
      <c r="D712" s="607">
        <v>545.34</v>
      </c>
      <c r="E712" s="607"/>
      <c r="F712" s="607">
        <v>545.34</v>
      </c>
      <c r="G712" s="584">
        <v>15</v>
      </c>
    </row>
    <row r="713" spans="1:7" ht="30" x14ac:dyDescent="0.2">
      <c r="A713" s="583" t="s">
        <v>13732</v>
      </c>
      <c r="B713" s="605" t="s">
        <v>13733</v>
      </c>
      <c r="C713" s="606" t="s">
        <v>21684</v>
      </c>
      <c r="D713" s="607">
        <v>32754.42</v>
      </c>
      <c r="E713" s="607"/>
      <c r="F713" s="607">
        <v>32754.42</v>
      </c>
      <c r="G713" s="584">
        <v>15</v>
      </c>
    </row>
    <row r="714" spans="1:7" ht="15" x14ac:dyDescent="0.2">
      <c r="A714" s="583" t="s">
        <v>13734</v>
      </c>
      <c r="B714" s="605" t="s">
        <v>13735</v>
      </c>
      <c r="C714" s="606" t="s">
        <v>20358</v>
      </c>
      <c r="D714" s="607">
        <v>1284.24</v>
      </c>
      <c r="E714" s="607"/>
      <c r="F714" s="607">
        <v>1284.24</v>
      </c>
      <c r="G714" s="584">
        <v>15</v>
      </c>
    </row>
    <row r="715" spans="1:7" ht="15" x14ac:dyDescent="0.2">
      <c r="A715" s="583" t="s">
        <v>13736</v>
      </c>
      <c r="B715" s="605" t="s">
        <v>13737</v>
      </c>
      <c r="C715" s="606" t="s">
        <v>20358</v>
      </c>
      <c r="D715" s="607">
        <v>1475.3</v>
      </c>
      <c r="E715" s="607"/>
      <c r="F715" s="607">
        <v>1475.3</v>
      </c>
      <c r="G715" s="584">
        <v>15</v>
      </c>
    </row>
    <row r="716" spans="1:7" ht="15" x14ac:dyDescent="0.2">
      <c r="A716" s="583" t="s">
        <v>13738</v>
      </c>
      <c r="B716" s="605" t="s">
        <v>13739</v>
      </c>
      <c r="C716" s="606" t="s">
        <v>20358</v>
      </c>
      <c r="D716" s="607">
        <v>1716.6</v>
      </c>
      <c r="E716" s="607"/>
      <c r="F716" s="607">
        <v>1716.6</v>
      </c>
      <c r="G716" s="584">
        <v>15</v>
      </c>
    </row>
    <row r="717" spans="1:7" ht="30" x14ac:dyDescent="0.2">
      <c r="A717" s="583" t="s">
        <v>13740</v>
      </c>
      <c r="B717" s="605" t="s">
        <v>13741</v>
      </c>
      <c r="C717" s="606" t="s">
        <v>20358</v>
      </c>
      <c r="D717" s="607">
        <v>839</v>
      </c>
      <c r="E717" s="607"/>
      <c r="F717" s="607">
        <v>839</v>
      </c>
      <c r="G717" s="584">
        <v>15</v>
      </c>
    </row>
    <row r="718" spans="1:7" ht="30" x14ac:dyDescent="0.2">
      <c r="A718" s="583" t="s">
        <v>20067</v>
      </c>
      <c r="B718" s="605" t="s">
        <v>20068</v>
      </c>
      <c r="C718" s="606" t="s">
        <v>20358</v>
      </c>
      <c r="D718" s="607">
        <v>962.12</v>
      </c>
      <c r="E718" s="607"/>
      <c r="F718" s="607">
        <v>962.12</v>
      </c>
      <c r="G718" s="584">
        <v>15</v>
      </c>
    </row>
    <row r="719" spans="1:7" ht="30" x14ac:dyDescent="0.2">
      <c r="A719" s="583" t="s">
        <v>13742</v>
      </c>
      <c r="B719" s="605" t="s">
        <v>13743</v>
      </c>
      <c r="C719" s="606" t="s">
        <v>21482</v>
      </c>
      <c r="D719" s="607">
        <v>669.02</v>
      </c>
      <c r="E719" s="607"/>
      <c r="F719" s="607">
        <v>669.02</v>
      </c>
      <c r="G719" s="584">
        <v>15</v>
      </c>
    </row>
    <row r="720" spans="1:7" ht="15" x14ac:dyDescent="0.25">
      <c r="A720" s="583" t="s">
        <v>13744</v>
      </c>
      <c r="B720" s="605" t="s">
        <v>13745</v>
      </c>
      <c r="C720" s="606"/>
      <c r="D720" s="607"/>
      <c r="E720" s="607"/>
      <c r="F720" s="607"/>
      <c r="G720" s="582"/>
    </row>
    <row r="721" spans="1:7" ht="30" x14ac:dyDescent="0.2">
      <c r="A721" s="583" t="s">
        <v>13746</v>
      </c>
      <c r="B721" s="605" t="s">
        <v>13747</v>
      </c>
      <c r="C721" s="606" t="s">
        <v>12424</v>
      </c>
      <c r="D721" s="607">
        <v>1897.51</v>
      </c>
      <c r="E721" s="607"/>
      <c r="F721" s="607">
        <v>1897.51</v>
      </c>
      <c r="G721" s="584">
        <v>15</v>
      </c>
    </row>
    <row r="722" spans="1:7" ht="15" x14ac:dyDescent="0.2">
      <c r="A722" s="583" t="s">
        <v>13748</v>
      </c>
      <c r="B722" s="605" t="s">
        <v>13749</v>
      </c>
      <c r="C722" s="606" t="s">
        <v>12483</v>
      </c>
      <c r="D722" s="607">
        <v>40.119999999999997</v>
      </c>
      <c r="E722" s="607"/>
      <c r="F722" s="607">
        <v>40.119999999999997</v>
      </c>
      <c r="G722" s="584">
        <v>15</v>
      </c>
    </row>
    <row r="723" spans="1:7" ht="15" x14ac:dyDescent="0.2">
      <c r="A723" s="583" t="s">
        <v>13750</v>
      </c>
      <c r="B723" s="605" t="s">
        <v>13751</v>
      </c>
      <c r="C723" s="606" t="s">
        <v>12483</v>
      </c>
      <c r="D723" s="607">
        <v>45.6</v>
      </c>
      <c r="E723" s="607"/>
      <c r="F723" s="607">
        <v>45.6</v>
      </c>
      <c r="G723" s="584">
        <v>15</v>
      </c>
    </row>
    <row r="724" spans="1:7" ht="15" x14ac:dyDescent="0.2">
      <c r="A724" s="583" t="s">
        <v>13752</v>
      </c>
      <c r="B724" s="605" t="s">
        <v>13753</v>
      </c>
      <c r="C724" s="606" t="s">
        <v>12483</v>
      </c>
      <c r="D724" s="607">
        <v>75.59</v>
      </c>
      <c r="E724" s="607"/>
      <c r="F724" s="607">
        <v>75.59</v>
      </c>
      <c r="G724" s="584">
        <v>15</v>
      </c>
    </row>
    <row r="725" spans="1:7" ht="30" x14ac:dyDescent="0.2">
      <c r="A725" s="583" t="s">
        <v>13754</v>
      </c>
      <c r="B725" s="605" t="s">
        <v>13755</v>
      </c>
      <c r="C725" s="606" t="s">
        <v>12508</v>
      </c>
      <c r="D725" s="607"/>
      <c r="E725" s="607">
        <v>558.29999999999995</v>
      </c>
      <c r="F725" s="607">
        <v>558.29999999999995</v>
      </c>
      <c r="G725" s="584">
        <v>15</v>
      </c>
    </row>
    <row r="726" spans="1:7" ht="15" x14ac:dyDescent="0.25">
      <c r="A726" s="583" t="s">
        <v>13756</v>
      </c>
      <c r="B726" s="605" t="s">
        <v>13757</v>
      </c>
      <c r="C726" s="606"/>
      <c r="D726" s="607"/>
      <c r="E726" s="607"/>
      <c r="F726" s="607"/>
      <c r="G726" s="582"/>
    </row>
    <row r="727" spans="1:7" ht="30" x14ac:dyDescent="0.2">
      <c r="A727" s="583" t="s">
        <v>13758</v>
      </c>
      <c r="B727" s="605" t="s">
        <v>13759</v>
      </c>
      <c r="C727" s="606" t="s">
        <v>12424</v>
      </c>
      <c r="D727" s="607">
        <v>43530.57</v>
      </c>
      <c r="E727" s="607"/>
      <c r="F727" s="607">
        <v>43530.57</v>
      </c>
      <c r="G727" s="584">
        <v>15</v>
      </c>
    </row>
    <row r="728" spans="1:7" ht="15" x14ac:dyDescent="0.2">
      <c r="A728" s="583" t="s">
        <v>13760</v>
      </c>
      <c r="B728" s="605" t="s">
        <v>13761</v>
      </c>
      <c r="C728" s="606" t="s">
        <v>12483</v>
      </c>
      <c r="D728" s="607">
        <v>43.66</v>
      </c>
      <c r="E728" s="607">
        <v>6.06</v>
      </c>
      <c r="F728" s="607">
        <v>49.72</v>
      </c>
      <c r="G728" s="584">
        <v>15</v>
      </c>
    </row>
    <row r="729" spans="1:7" ht="15" x14ac:dyDescent="0.2">
      <c r="A729" s="583" t="s">
        <v>13762</v>
      </c>
      <c r="B729" s="605" t="s">
        <v>13763</v>
      </c>
      <c r="C729" s="606" t="s">
        <v>12483</v>
      </c>
      <c r="D729" s="607">
        <v>56.06</v>
      </c>
      <c r="E729" s="607">
        <v>6.06</v>
      </c>
      <c r="F729" s="607">
        <v>62.12</v>
      </c>
      <c r="G729" s="584">
        <v>15</v>
      </c>
    </row>
    <row r="730" spans="1:7" ht="15" x14ac:dyDescent="0.2">
      <c r="A730" s="583" t="s">
        <v>13764</v>
      </c>
      <c r="B730" s="605" t="s">
        <v>13765</v>
      </c>
      <c r="C730" s="606" t="s">
        <v>12483</v>
      </c>
      <c r="D730" s="607">
        <v>66.45</v>
      </c>
      <c r="E730" s="607">
        <v>6.06</v>
      </c>
      <c r="F730" s="607">
        <v>72.510000000000005</v>
      </c>
      <c r="G730" s="584">
        <v>15</v>
      </c>
    </row>
    <row r="731" spans="1:7" ht="15" x14ac:dyDescent="0.2">
      <c r="A731" s="583" t="s">
        <v>13766</v>
      </c>
      <c r="B731" s="605" t="s">
        <v>13767</v>
      </c>
      <c r="C731" s="606" t="s">
        <v>12483</v>
      </c>
      <c r="D731" s="607">
        <v>78.760000000000005</v>
      </c>
      <c r="E731" s="607">
        <v>6.06</v>
      </c>
      <c r="F731" s="607">
        <v>84.82</v>
      </c>
      <c r="G731" s="584">
        <v>15</v>
      </c>
    </row>
    <row r="732" spans="1:7" ht="15" x14ac:dyDescent="0.2">
      <c r="A732" s="583" t="s">
        <v>13768</v>
      </c>
      <c r="B732" s="605" t="s">
        <v>13769</v>
      </c>
      <c r="C732" s="606" t="s">
        <v>12483</v>
      </c>
      <c r="D732" s="607">
        <v>98.89</v>
      </c>
      <c r="E732" s="607">
        <v>6.06</v>
      </c>
      <c r="F732" s="607">
        <v>104.95</v>
      </c>
      <c r="G732" s="584">
        <v>15</v>
      </c>
    </row>
    <row r="733" spans="1:7" ht="15" x14ac:dyDescent="0.2">
      <c r="A733" s="583" t="s">
        <v>13770</v>
      </c>
      <c r="B733" s="605" t="s">
        <v>13771</v>
      </c>
      <c r="C733" s="606" t="s">
        <v>12483</v>
      </c>
      <c r="D733" s="607">
        <v>116.26</v>
      </c>
      <c r="E733" s="607">
        <v>6.06</v>
      </c>
      <c r="F733" s="607">
        <v>122.32</v>
      </c>
      <c r="G733" s="584">
        <v>15</v>
      </c>
    </row>
    <row r="734" spans="1:7" ht="15" x14ac:dyDescent="0.2">
      <c r="A734" s="583" t="s">
        <v>13772</v>
      </c>
      <c r="B734" s="605" t="s">
        <v>13773</v>
      </c>
      <c r="C734" s="606" t="s">
        <v>12483</v>
      </c>
      <c r="D734" s="607">
        <v>155.61000000000001</v>
      </c>
      <c r="E734" s="607">
        <v>6.06</v>
      </c>
      <c r="F734" s="607">
        <v>161.66999999999999</v>
      </c>
      <c r="G734" s="584">
        <v>15</v>
      </c>
    </row>
    <row r="735" spans="1:7" ht="15" x14ac:dyDescent="0.2">
      <c r="A735" s="583" t="s">
        <v>13774</v>
      </c>
      <c r="B735" s="605" t="s">
        <v>13775</v>
      </c>
      <c r="C735" s="606" t="s">
        <v>12483</v>
      </c>
      <c r="D735" s="607">
        <v>195.22</v>
      </c>
      <c r="E735" s="607">
        <v>6.06</v>
      </c>
      <c r="F735" s="607">
        <v>201.28</v>
      </c>
      <c r="G735" s="584">
        <v>15</v>
      </c>
    </row>
    <row r="736" spans="1:7" ht="15" x14ac:dyDescent="0.25">
      <c r="A736" s="583" t="s">
        <v>13776</v>
      </c>
      <c r="B736" s="605" t="s">
        <v>13777</v>
      </c>
      <c r="C736" s="606"/>
      <c r="D736" s="607"/>
      <c r="E736" s="607"/>
      <c r="F736" s="607"/>
      <c r="G736" s="582"/>
    </row>
    <row r="737" spans="1:7" ht="30" x14ac:dyDescent="0.2">
      <c r="A737" s="583" t="s">
        <v>13778</v>
      </c>
      <c r="B737" s="605" t="s">
        <v>13779</v>
      </c>
      <c r="C737" s="606" t="s">
        <v>12424</v>
      </c>
      <c r="D737" s="607">
        <v>30410.47</v>
      </c>
      <c r="E737" s="607"/>
      <c r="F737" s="607">
        <v>30410.47</v>
      </c>
      <c r="G737" s="584">
        <v>15</v>
      </c>
    </row>
    <row r="738" spans="1:7" ht="30" x14ac:dyDescent="0.2">
      <c r="A738" s="583" t="s">
        <v>13780</v>
      </c>
      <c r="B738" s="605" t="s">
        <v>13781</v>
      </c>
      <c r="C738" s="606" t="s">
        <v>12483</v>
      </c>
      <c r="D738" s="607">
        <v>362.15</v>
      </c>
      <c r="E738" s="607">
        <v>27.3</v>
      </c>
      <c r="F738" s="607">
        <v>389.45</v>
      </c>
      <c r="G738" s="584">
        <v>15</v>
      </c>
    </row>
    <row r="739" spans="1:7" ht="30" x14ac:dyDescent="0.2">
      <c r="A739" s="583" t="s">
        <v>13782</v>
      </c>
      <c r="B739" s="605" t="s">
        <v>13783</v>
      </c>
      <c r="C739" s="606" t="s">
        <v>12483</v>
      </c>
      <c r="D739" s="607">
        <v>432.51</v>
      </c>
      <c r="E739" s="607">
        <v>41.71</v>
      </c>
      <c r="F739" s="607">
        <v>474.22</v>
      </c>
      <c r="G739" s="584">
        <v>15</v>
      </c>
    </row>
    <row r="740" spans="1:7" ht="30" x14ac:dyDescent="0.2">
      <c r="A740" s="583" t="s">
        <v>13784</v>
      </c>
      <c r="B740" s="605" t="s">
        <v>13785</v>
      </c>
      <c r="C740" s="606" t="s">
        <v>12483</v>
      </c>
      <c r="D740" s="607">
        <v>491.41</v>
      </c>
      <c r="E740" s="607">
        <v>48.91</v>
      </c>
      <c r="F740" s="607">
        <v>540.32000000000005</v>
      </c>
      <c r="G740" s="584">
        <v>15</v>
      </c>
    </row>
    <row r="741" spans="1:7" ht="15" x14ac:dyDescent="0.25">
      <c r="A741" s="583" t="s">
        <v>13786</v>
      </c>
      <c r="B741" s="605" t="s">
        <v>13787</v>
      </c>
      <c r="C741" s="606"/>
      <c r="D741" s="607"/>
      <c r="E741" s="607"/>
      <c r="F741" s="607"/>
      <c r="G741" s="582"/>
    </row>
    <row r="742" spans="1:7" ht="15" x14ac:dyDescent="0.25">
      <c r="A742" s="583" t="s">
        <v>13788</v>
      </c>
      <c r="B742" s="605" t="s">
        <v>13789</v>
      </c>
      <c r="C742" s="606"/>
      <c r="D742" s="607"/>
      <c r="E742" s="607"/>
      <c r="F742" s="607"/>
      <c r="G742" s="582"/>
    </row>
    <row r="743" spans="1:7" ht="30" x14ac:dyDescent="0.2">
      <c r="A743" s="583" t="s">
        <v>13790</v>
      </c>
      <c r="B743" s="605" t="s">
        <v>13791</v>
      </c>
      <c r="C743" s="606" t="s">
        <v>2</v>
      </c>
      <c r="D743" s="607">
        <v>117.06</v>
      </c>
      <c r="E743" s="607">
        <v>36.65</v>
      </c>
      <c r="F743" s="607">
        <v>153.71</v>
      </c>
      <c r="G743" s="584">
        <v>15</v>
      </c>
    </row>
    <row r="744" spans="1:7" ht="30" x14ac:dyDescent="0.2">
      <c r="A744" s="583" t="s">
        <v>13792</v>
      </c>
      <c r="B744" s="605" t="s">
        <v>13793</v>
      </c>
      <c r="C744" s="606" t="s">
        <v>2</v>
      </c>
      <c r="D744" s="607">
        <v>124.31</v>
      </c>
      <c r="E744" s="607">
        <v>40.31</v>
      </c>
      <c r="F744" s="607">
        <v>164.62</v>
      </c>
      <c r="G744" s="584">
        <v>15</v>
      </c>
    </row>
    <row r="745" spans="1:7" ht="30" x14ac:dyDescent="0.2">
      <c r="A745" s="583" t="s">
        <v>13794</v>
      </c>
      <c r="B745" s="605" t="s">
        <v>13795</v>
      </c>
      <c r="C745" s="606" t="s">
        <v>2</v>
      </c>
      <c r="D745" s="607">
        <v>152.28</v>
      </c>
      <c r="E745" s="607">
        <v>43.96</v>
      </c>
      <c r="F745" s="607">
        <v>196.24</v>
      </c>
      <c r="G745" s="584">
        <v>15</v>
      </c>
    </row>
    <row r="746" spans="1:7" ht="30" x14ac:dyDescent="0.2">
      <c r="A746" s="583" t="s">
        <v>13796</v>
      </c>
      <c r="B746" s="605" t="s">
        <v>13797</v>
      </c>
      <c r="C746" s="606" t="s">
        <v>2</v>
      </c>
      <c r="D746" s="607">
        <v>161.31</v>
      </c>
      <c r="E746" s="607">
        <v>47.61</v>
      </c>
      <c r="F746" s="607">
        <v>208.92</v>
      </c>
      <c r="G746" s="584">
        <v>15</v>
      </c>
    </row>
    <row r="747" spans="1:7" ht="30" x14ac:dyDescent="0.2">
      <c r="A747" s="583" t="s">
        <v>13798</v>
      </c>
      <c r="B747" s="605" t="s">
        <v>13799</v>
      </c>
      <c r="C747" s="606" t="s">
        <v>2</v>
      </c>
      <c r="D747" s="607">
        <v>197.79</v>
      </c>
      <c r="E747" s="607">
        <v>52.26</v>
      </c>
      <c r="F747" s="607">
        <v>250.05</v>
      </c>
      <c r="G747" s="584">
        <v>15</v>
      </c>
    </row>
    <row r="748" spans="1:7" ht="30" x14ac:dyDescent="0.2">
      <c r="A748" s="583" t="s">
        <v>13800</v>
      </c>
      <c r="B748" s="605" t="s">
        <v>13801</v>
      </c>
      <c r="C748" s="606" t="s">
        <v>2</v>
      </c>
      <c r="D748" s="607">
        <v>140.32</v>
      </c>
      <c r="E748" s="607">
        <v>40.31</v>
      </c>
      <c r="F748" s="607">
        <v>180.63</v>
      </c>
      <c r="G748" s="584">
        <v>15</v>
      </c>
    </row>
    <row r="749" spans="1:7" ht="30" x14ac:dyDescent="0.2">
      <c r="A749" s="583" t="s">
        <v>13802</v>
      </c>
      <c r="B749" s="605" t="s">
        <v>13803</v>
      </c>
      <c r="C749" s="606" t="s">
        <v>2</v>
      </c>
      <c r="D749" s="607">
        <v>162.91999999999999</v>
      </c>
      <c r="E749" s="607">
        <v>40.31</v>
      </c>
      <c r="F749" s="607">
        <v>203.23</v>
      </c>
      <c r="G749" s="584">
        <v>15</v>
      </c>
    </row>
    <row r="750" spans="1:7" ht="30" x14ac:dyDescent="0.2">
      <c r="A750" s="583" t="s">
        <v>13804</v>
      </c>
      <c r="B750" s="605" t="s">
        <v>13805</v>
      </c>
      <c r="C750" s="606" t="s">
        <v>2</v>
      </c>
      <c r="D750" s="607">
        <v>201.23</v>
      </c>
      <c r="E750" s="607">
        <v>43.96</v>
      </c>
      <c r="F750" s="607">
        <v>245.19</v>
      </c>
      <c r="G750" s="584">
        <v>15</v>
      </c>
    </row>
    <row r="751" spans="1:7" ht="30" x14ac:dyDescent="0.2">
      <c r="A751" s="583" t="s">
        <v>13806</v>
      </c>
      <c r="B751" s="605" t="s">
        <v>13807</v>
      </c>
      <c r="C751" s="606" t="s">
        <v>2</v>
      </c>
      <c r="D751" s="607">
        <v>222.52</v>
      </c>
      <c r="E751" s="607">
        <v>47.61</v>
      </c>
      <c r="F751" s="607">
        <v>270.13</v>
      </c>
      <c r="G751" s="584">
        <v>15</v>
      </c>
    </row>
    <row r="752" spans="1:7" ht="30" x14ac:dyDescent="0.2">
      <c r="A752" s="583" t="s">
        <v>13808</v>
      </c>
      <c r="B752" s="605" t="s">
        <v>13809</v>
      </c>
      <c r="C752" s="606" t="s">
        <v>2</v>
      </c>
      <c r="D752" s="607">
        <v>242.19</v>
      </c>
      <c r="E752" s="607">
        <v>52.26</v>
      </c>
      <c r="F752" s="607">
        <v>294.45</v>
      </c>
      <c r="G752" s="584">
        <v>15</v>
      </c>
    </row>
    <row r="753" spans="1:7" ht="15" x14ac:dyDescent="0.25">
      <c r="A753" s="583" t="s">
        <v>13810</v>
      </c>
      <c r="B753" s="605" t="s">
        <v>13811</v>
      </c>
      <c r="C753" s="606"/>
      <c r="D753" s="607"/>
      <c r="E753" s="607"/>
      <c r="F753" s="607"/>
      <c r="G753" s="582"/>
    </row>
    <row r="754" spans="1:7" ht="30" x14ac:dyDescent="0.2">
      <c r="A754" s="583" t="s">
        <v>13812</v>
      </c>
      <c r="B754" s="605" t="s">
        <v>13813</v>
      </c>
      <c r="C754" s="606" t="s">
        <v>2</v>
      </c>
      <c r="D754" s="607">
        <v>160.93</v>
      </c>
      <c r="E754" s="607">
        <v>40.31</v>
      </c>
      <c r="F754" s="607">
        <v>201.24</v>
      </c>
      <c r="G754" s="584">
        <v>15</v>
      </c>
    </row>
    <row r="755" spans="1:7" ht="30" x14ac:dyDescent="0.2">
      <c r="A755" s="583" t="s">
        <v>13814</v>
      </c>
      <c r="B755" s="605" t="s">
        <v>13815</v>
      </c>
      <c r="C755" s="606" t="s">
        <v>2</v>
      </c>
      <c r="D755" s="607">
        <v>181.16</v>
      </c>
      <c r="E755" s="607">
        <v>43.96</v>
      </c>
      <c r="F755" s="607">
        <v>225.12</v>
      </c>
      <c r="G755" s="584">
        <v>15</v>
      </c>
    </row>
    <row r="756" spans="1:7" ht="30" x14ac:dyDescent="0.2">
      <c r="A756" s="583" t="s">
        <v>13816</v>
      </c>
      <c r="B756" s="605" t="s">
        <v>13817</v>
      </c>
      <c r="C756" s="606" t="s">
        <v>2</v>
      </c>
      <c r="D756" s="607">
        <v>196.91</v>
      </c>
      <c r="E756" s="607">
        <v>47.61</v>
      </c>
      <c r="F756" s="607">
        <v>244.52</v>
      </c>
      <c r="G756" s="584">
        <v>15</v>
      </c>
    </row>
    <row r="757" spans="1:7" ht="30" x14ac:dyDescent="0.2">
      <c r="A757" s="583" t="s">
        <v>13818</v>
      </c>
      <c r="B757" s="605" t="s">
        <v>13819</v>
      </c>
      <c r="C757" s="606" t="s">
        <v>2</v>
      </c>
      <c r="D757" s="607">
        <v>206.98</v>
      </c>
      <c r="E757" s="607">
        <v>52.26</v>
      </c>
      <c r="F757" s="607">
        <v>259.24</v>
      </c>
      <c r="G757" s="584">
        <v>15</v>
      </c>
    </row>
    <row r="758" spans="1:7" ht="15" x14ac:dyDescent="0.25">
      <c r="A758" s="583" t="s">
        <v>13820</v>
      </c>
      <c r="B758" s="605" t="s">
        <v>13821</v>
      </c>
      <c r="C758" s="606"/>
      <c r="D758" s="607"/>
      <c r="E758" s="607"/>
      <c r="F758" s="607"/>
      <c r="G758" s="582"/>
    </row>
    <row r="759" spans="1:7" ht="15" x14ac:dyDescent="0.2">
      <c r="A759" s="583" t="s">
        <v>13822</v>
      </c>
      <c r="B759" s="605" t="s">
        <v>13823</v>
      </c>
      <c r="C759" s="606" t="s">
        <v>12427</v>
      </c>
      <c r="D759" s="607">
        <v>146.58000000000001</v>
      </c>
      <c r="E759" s="607">
        <v>12.29</v>
      </c>
      <c r="F759" s="607">
        <v>158.87</v>
      </c>
      <c r="G759" s="584">
        <v>15</v>
      </c>
    </row>
    <row r="760" spans="1:7" ht="15" x14ac:dyDescent="0.2">
      <c r="A760" s="583" t="s">
        <v>13824</v>
      </c>
      <c r="B760" s="605" t="s">
        <v>13825</v>
      </c>
      <c r="C760" s="606" t="s">
        <v>12427</v>
      </c>
      <c r="D760" s="607">
        <v>163.18</v>
      </c>
      <c r="E760" s="607">
        <v>12.92</v>
      </c>
      <c r="F760" s="607">
        <v>176.1</v>
      </c>
      <c r="G760" s="584">
        <v>15</v>
      </c>
    </row>
    <row r="761" spans="1:7" ht="15" x14ac:dyDescent="0.2">
      <c r="A761" s="583" t="s">
        <v>13826</v>
      </c>
      <c r="B761" s="605" t="s">
        <v>13827</v>
      </c>
      <c r="C761" s="606" t="s">
        <v>12427</v>
      </c>
      <c r="D761" s="607">
        <v>177.08</v>
      </c>
      <c r="E761" s="607">
        <v>13.56</v>
      </c>
      <c r="F761" s="607">
        <v>190.64</v>
      </c>
      <c r="G761" s="584">
        <v>15</v>
      </c>
    </row>
    <row r="762" spans="1:7" ht="15" x14ac:dyDescent="0.2">
      <c r="A762" s="583" t="s">
        <v>13828</v>
      </c>
      <c r="B762" s="605" t="s">
        <v>13829</v>
      </c>
      <c r="C762" s="606" t="s">
        <v>12427</v>
      </c>
      <c r="D762" s="607">
        <v>251.03</v>
      </c>
      <c r="E762" s="607">
        <v>13.81</v>
      </c>
      <c r="F762" s="607">
        <v>264.83999999999997</v>
      </c>
      <c r="G762" s="584">
        <v>15</v>
      </c>
    </row>
    <row r="763" spans="1:7" ht="15" x14ac:dyDescent="0.2">
      <c r="A763" s="583" t="s">
        <v>13830</v>
      </c>
      <c r="B763" s="605" t="s">
        <v>13831</v>
      </c>
      <c r="C763" s="606" t="s">
        <v>12427</v>
      </c>
      <c r="D763" s="607">
        <v>147.01</v>
      </c>
      <c r="E763" s="607">
        <v>12.29</v>
      </c>
      <c r="F763" s="607">
        <v>159.30000000000001</v>
      </c>
      <c r="G763" s="584">
        <v>15</v>
      </c>
    </row>
    <row r="764" spans="1:7" ht="15" x14ac:dyDescent="0.2">
      <c r="A764" s="583" t="s">
        <v>13832</v>
      </c>
      <c r="B764" s="605" t="s">
        <v>13833</v>
      </c>
      <c r="C764" s="606" t="s">
        <v>12427</v>
      </c>
      <c r="D764" s="607">
        <v>154.27000000000001</v>
      </c>
      <c r="E764" s="607">
        <v>12.92</v>
      </c>
      <c r="F764" s="607">
        <v>167.19</v>
      </c>
      <c r="G764" s="584">
        <v>15</v>
      </c>
    </row>
    <row r="765" spans="1:7" ht="15" x14ac:dyDescent="0.25">
      <c r="A765" s="583" t="s">
        <v>13834</v>
      </c>
      <c r="B765" s="605" t="s">
        <v>13835</v>
      </c>
      <c r="C765" s="606"/>
      <c r="D765" s="607"/>
      <c r="E765" s="607"/>
      <c r="F765" s="607"/>
      <c r="G765" s="582"/>
    </row>
    <row r="766" spans="1:7" ht="15" x14ac:dyDescent="0.25">
      <c r="A766" s="583" t="s">
        <v>13836</v>
      </c>
      <c r="B766" s="605" t="s">
        <v>13837</v>
      </c>
      <c r="C766" s="606"/>
      <c r="D766" s="607"/>
      <c r="E766" s="607"/>
      <c r="F766" s="607"/>
      <c r="G766" s="582"/>
    </row>
    <row r="767" spans="1:7" ht="15" x14ac:dyDescent="0.2">
      <c r="A767" s="583" t="s">
        <v>13838</v>
      </c>
      <c r="B767" s="605" t="s">
        <v>13839</v>
      </c>
      <c r="C767" s="606" t="s">
        <v>21482</v>
      </c>
      <c r="D767" s="607">
        <v>687.42</v>
      </c>
      <c r="E767" s="607">
        <v>417.17</v>
      </c>
      <c r="F767" s="607">
        <v>1104.5899999999999</v>
      </c>
      <c r="G767" s="584">
        <v>15</v>
      </c>
    </row>
    <row r="768" spans="1:7" ht="30" x14ac:dyDescent="0.2">
      <c r="A768" s="583" t="s">
        <v>13840</v>
      </c>
      <c r="B768" s="605" t="s">
        <v>13841</v>
      </c>
      <c r="C768" s="606" t="s">
        <v>2</v>
      </c>
      <c r="D768" s="607">
        <v>76.94</v>
      </c>
      <c r="E768" s="607">
        <v>40.03</v>
      </c>
      <c r="F768" s="607">
        <v>116.97</v>
      </c>
      <c r="G768" s="584">
        <v>15</v>
      </c>
    </row>
    <row r="769" spans="1:7" ht="30" x14ac:dyDescent="0.2">
      <c r="A769" s="583" t="s">
        <v>13842</v>
      </c>
      <c r="B769" s="605" t="s">
        <v>13843</v>
      </c>
      <c r="C769" s="606" t="s">
        <v>2</v>
      </c>
      <c r="D769" s="607">
        <v>103.17</v>
      </c>
      <c r="E769" s="607">
        <v>40.94</v>
      </c>
      <c r="F769" s="607">
        <v>144.11000000000001</v>
      </c>
      <c r="G769" s="584">
        <v>15</v>
      </c>
    </row>
    <row r="770" spans="1:7" ht="15" x14ac:dyDescent="0.25">
      <c r="A770" s="583" t="s">
        <v>13844</v>
      </c>
      <c r="B770" s="605" t="s">
        <v>13845</v>
      </c>
      <c r="C770" s="606"/>
      <c r="D770" s="607"/>
      <c r="E770" s="607"/>
      <c r="F770" s="607"/>
      <c r="G770" s="582"/>
    </row>
    <row r="771" spans="1:7" ht="15" x14ac:dyDescent="0.2">
      <c r="A771" s="583" t="s">
        <v>13846</v>
      </c>
      <c r="B771" s="605" t="s">
        <v>13847</v>
      </c>
      <c r="C771" s="606" t="s">
        <v>2</v>
      </c>
      <c r="D771" s="607">
        <v>42.64</v>
      </c>
      <c r="E771" s="607">
        <v>51.51</v>
      </c>
      <c r="F771" s="607">
        <v>94.15</v>
      </c>
      <c r="G771" s="584">
        <v>15</v>
      </c>
    </row>
    <row r="772" spans="1:7" ht="15" x14ac:dyDescent="0.2">
      <c r="A772" s="583" t="s">
        <v>13848</v>
      </c>
      <c r="B772" s="605" t="s">
        <v>13849</v>
      </c>
      <c r="C772" s="606" t="s">
        <v>2</v>
      </c>
      <c r="D772" s="607">
        <v>58.38</v>
      </c>
      <c r="E772" s="607">
        <v>81.53</v>
      </c>
      <c r="F772" s="607">
        <v>139.91</v>
      </c>
      <c r="G772" s="584">
        <v>15</v>
      </c>
    </row>
    <row r="773" spans="1:7" ht="15" x14ac:dyDescent="0.2">
      <c r="A773" s="583" t="s">
        <v>13850</v>
      </c>
      <c r="B773" s="605" t="s">
        <v>13851</v>
      </c>
      <c r="C773" s="606" t="s">
        <v>2</v>
      </c>
      <c r="D773" s="607">
        <v>129.38</v>
      </c>
      <c r="E773" s="607">
        <v>132.29</v>
      </c>
      <c r="F773" s="607">
        <v>261.67</v>
      </c>
      <c r="G773" s="584">
        <v>15</v>
      </c>
    </row>
    <row r="774" spans="1:7" ht="15" x14ac:dyDescent="0.2">
      <c r="A774" s="583" t="s">
        <v>13852</v>
      </c>
      <c r="B774" s="605" t="s">
        <v>13853</v>
      </c>
      <c r="C774" s="606" t="s">
        <v>2</v>
      </c>
      <c r="D774" s="607">
        <v>186.85</v>
      </c>
      <c r="E774" s="607">
        <v>163.15</v>
      </c>
      <c r="F774" s="607">
        <v>350</v>
      </c>
      <c r="G774" s="584">
        <v>15</v>
      </c>
    </row>
    <row r="775" spans="1:7" ht="15" x14ac:dyDescent="0.2">
      <c r="A775" s="583" t="s">
        <v>13854</v>
      </c>
      <c r="B775" s="605" t="s">
        <v>13855</v>
      </c>
      <c r="C775" s="606" t="s">
        <v>2</v>
      </c>
      <c r="D775" s="607">
        <v>117.34</v>
      </c>
      <c r="E775" s="607">
        <v>81.53</v>
      </c>
      <c r="F775" s="607">
        <v>198.87</v>
      </c>
      <c r="G775" s="584">
        <v>15</v>
      </c>
    </row>
    <row r="776" spans="1:7" ht="15" x14ac:dyDescent="0.2">
      <c r="A776" s="583" t="s">
        <v>13856</v>
      </c>
      <c r="B776" s="605" t="s">
        <v>13857</v>
      </c>
      <c r="C776" s="606" t="s">
        <v>2</v>
      </c>
      <c r="D776" s="607">
        <v>264.89999999999998</v>
      </c>
      <c r="E776" s="607">
        <v>132.29</v>
      </c>
      <c r="F776" s="607">
        <v>397.19</v>
      </c>
      <c r="G776" s="584">
        <v>15</v>
      </c>
    </row>
    <row r="777" spans="1:7" ht="15" x14ac:dyDescent="0.25">
      <c r="A777" s="583" t="s">
        <v>13858</v>
      </c>
      <c r="B777" s="605" t="s">
        <v>13859</v>
      </c>
      <c r="C777" s="606"/>
      <c r="D777" s="607"/>
      <c r="E777" s="607"/>
      <c r="F777" s="607"/>
      <c r="G777" s="582"/>
    </row>
    <row r="778" spans="1:7" ht="15" x14ac:dyDescent="0.2">
      <c r="A778" s="583" t="s">
        <v>13860</v>
      </c>
      <c r="B778" s="605" t="s">
        <v>13861</v>
      </c>
      <c r="C778" s="606" t="s">
        <v>2</v>
      </c>
      <c r="D778" s="607">
        <v>144.93</v>
      </c>
      <c r="E778" s="607">
        <v>72.66</v>
      </c>
      <c r="F778" s="607">
        <v>217.59</v>
      </c>
      <c r="G778" s="584">
        <v>15</v>
      </c>
    </row>
    <row r="779" spans="1:7" ht="15" x14ac:dyDescent="0.2">
      <c r="A779" s="583" t="s">
        <v>13862</v>
      </c>
      <c r="B779" s="605" t="s">
        <v>13863</v>
      </c>
      <c r="C779" s="606" t="s">
        <v>2</v>
      </c>
      <c r="D779" s="607">
        <v>273.45</v>
      </c>
      <c r="E779" s="607">
        <v>137.04</v>
      </c>
      <c r="F779" s="607">
        <v>410.49</v>
      </c>
      <c r="G779" s="584">
        <v>15</v>
      </c>
    </row>
    <row r="780" spans="1:7" ht="15" x14ac:dyDescent="0.2">
      <c r="A780" s="583" t="s">
        <v>13864</v>
      </c>
      <c r="B780" s="605" t="s">
        <v>13865</v>
      </c>
      <c r="C780" s="606" t="s">
        <v>2</v>
      </c>
      <c r="D780" s="607">
        <v>565.54</v>
      </c>
      <c r="E780" s="607">
        <v>191.67</v>
      </c>
      <c r="F780" s="607">
        <v>757.21</v>
      </c>
      <c r="G780" s="584">
        <v>15</v>
      </c>
    </row>
    <row r="781" spans="1:7" ht="15" x14ac:dyDescent="0.25">
      <c r="A781" s="583" t="s">
        <v>13866</v>
      </c>
      <c r="B781" s="605" t="s">
        <v>13867</v>
      </c>
      <c r="C781" s="606"/>
      <c r="D781" s="607"/>
      <c r="E781" s="607"/>
      <c r="F781" s="607"/>
      <c r="G781" s="582"/>
    </row>
    <row r="782" spans="1:7" ht="15" x14ac:dyDescent="0.2">
      <c r="A782" s="583" t="s">
        <v>13868</v>
      </c>
      <c r="B782" s="605" t="s">
        <v>20366</v>
      </c>
      <c r="C782" s="606" t="s">
        <v>2</v>
      </c>
      <c r="D782" s="607">
        <v>39.659999999999997</v>
      </c>
      <c r="E782" s="607">
        <v>36.880000000000003</v>
      </c>
      <c r="F782" s="607">
        <v>76.540000000000006</v>
      </c>
      <c r="G782" s="584">
        <v>15</v>
      </c>
    </row>
    <row r="783" spans="1:7" ht="15" x14ac:dyDescent="0.2">
      <c r="A783" s="583" t="s">
        <v>13869</v>
      </c>
      <c r="B783" s="605" t="s">
        <v>20367</v>
      </c>
      <c r="C783" s="606" t="s">
        <v>2</v>
      </c>
      <c r="D783" s="607">
        <v>47.3</v>
      </c>
      <c r="E783" s="607">
        <v>40.03</v>
      </c>
      <c r="F783" s="607">
        <v>87.33</v>
      </c>
      <c r="G783" s="584">
        <v>15</v>
      </c>
    </row>
    <row r="784" spans="1:7" ht="15" x14ac:dyDescent="0.2">
      <c r="A784" s="583" t="s">
        <v>13870</v>
      </c>
      <c r="B784" s="605" t="s">
        <v>20368</v>
      </c>
      <c r="C784" s="606" t="s">
        <v>2</v>
      </c>
      <c r="D784" s="607">
        <v>58.84</v>
      </c>
      <c r="E784" s="607">
        <v>42.96</v>
      </c>
      <c r="F784" s="607">
        <v>101.8</v>
      </c>
      <c r="G784" s="584">
        <v>15</v>
      </c>
    </row>
    <row r="785" spans="1:7" ht="15" x14ac:dyDescent="0.25">
      <c r="A785" s="583" t="s">
        <v>13871</v>
      </c>
      <c r="B785" s="605" t="s">
        <v>13872</v>
      </c>
      <c r="C785" s="606"/>
      <c r="D785" s="607"/>
      <c r="E785" s="607"/>
      <c r="F785" s="607"/>
      <c r="G785" s="582"/>
    </row>
    <row r="786" spans="1:7" ht="15" x14ac:dyDescent="0.2">
      <c r="A786" s="583" t="s">
        <v>13873</v>
      </c>
      <c r="B786" s="605" t="s">
        <v>20369</v>
      </c>
      <c r="C786" s="606" t="s">
        <v>2</v>
      </c>
      <c r="D786" s="607">
        <v>46.41</v>
      </c>
      <c r="E786" s="607">
        <v>40.03</v>
      </c>
      <c r="F786" s="607">
        <v>86.44</v>
      </c>
      <c r="G786" s="584">
        <v>15</v>
      </c>
    </row>
    <row r="787" spans="1:7" ht="15" x14ac:dyDescent="0.2">
      <c r="A787" s="583" t="s">
        <v>13874</v>
      </c>
      <c r="B787" s="605" t="s">
        <v>20370</v>
      </c>
      <c r="C787" s="606" t="s">
        <v>2</v>
      </c>
      <c r="D787" s="607">
        <v>62.02</v>
      </c>
      <c r="E787" s="607">
        <v>42.96</v>
      </c>
      <c r="F787" s="607">
        <v>104.98</v>
      </c>
      <c r="G787" s="584">
        <v>15</v>
      </c>
    </row>
    <row r="788" spans="1:7" ht="15" x14ac:dyDescent="0.25">
      <c r="A788" s="583" t="s">
        <v>13875</v>
      </c>
      <c r="B788" s="605" t="s">
        <v>13876</v>
      </c>
      <c r="C788" s="606"/>
      <c r="D788" s="607"/>
      <c r="E788" s="607"/>
      <c r="F788" s="607"/>
      <c r="G788" s="582"/>
    </row>
    <row r="789" spans="1:7" ht="15" x14ac:dyDescent="0.2">
      <c r="A789" s="583" t="s">
        <v>13877</v>
      </c>
      <c r="B789" s="605" t="s">
        <v>20388</v>
      </c>
      <c r="C789" s="606" t="s">
        <v>2</v>
      </c>
      <c r="D789" s="607">
        <v>46.4</v>
      </c>
      <c r="E789" s="607">
        <v>36.880000000000003</v>
      </c>
      <c r="F789" s="607">
        <v>83.28</v>
      </c>
      <c r="G789" s="584">
        <v>15</v>
      </c>
    </row>
    <row r="790" spans="1:7" ht="15" x14ac:dyDescent="0.2">
      <c r="A790" s="583" t="s">
        <v>13878</v>
      </c>
      <c r="B790" s="605" t="s">
        <v>20389</v>
      </c>
      <c r="C790" s="606" t="s">
        <v>2</v>
      </c>
      <c r="D790" s="607">
        <v>60.03</v>
      </c>
      <c r="E790" s="607">
        <v>40.03</v>
      </c>
      <c r="F790" s="607">
        <v>100.06</v>
      </c>
      <c r="G790" s="584">
        <v>15</v>
      </c>
    </row>
    <row r="791" spans="1:7" ht="15" x14ac:dyDescent="0.2">
      <c r="A791" s="583" t="s">
        <v>13879</v>
      </c>
      <c r="B791" s="605" t="s">
        <v>20390</v>
      </c>
      <c r="C791" s="606" t="s">
        <v>2</v>
      </c>
      <c r="D791" s="607">
        <v>78.59</v>
      </c>
      <c r="E791" s="607">
        <v>40.94</v>
      </c>
      <c r="F791" s="607">
        <v>119.53</v>
      </c>
      <c r="G791" s="584">
        <v>15</v>
      </c>
    </row>
    <row r="792" spans="1:7" ht="15" x14ac:dyDescent="0.25">
      <c r="A792" s="583" t="s">
        <v>13880</v>
      </c>
      <c r="B792" s="605" t="s">
        <v>13881</v>
      </c>
      <c r="C792" s="606"/>
      <c r="D792" s="607"/>
      <c r="E792" s="607"/>
      <c r="F792" s="607"/>
      <c r="G792" s="582"/>
    </row>
    <row r="793" spans="1:7" ht="15" x14ac:dyDescent="0.2">
      <c r="A793" s="583" t="s">
        <v>13882</v>
      </c>
      <c r="B793" s="605" t="s">
        <v>20391</v>
      </c>
      <c r="C793" s="606" t="s">
        <v>2</v>
      </c>
      <c r="D793" s="607">
        <v>74.08</v>
      </c>
      <c r="E793" s="607">
        <v>45.06</v>
      </c>
      <c r="F793" s="607">
        <v>119.14</v>
      </c>
      <c r="G793" s="584">
        <v>15</v>
      </c>
    </row>
    <row r="794" spans="1:7" ht="15" x14ac:dyDescent="0.2">
      <c r="A794" s="583" t="s">
        <v>13883</v>
      </c>
      <c r="B794" s="605" t="s">
        <v>20392</v>
      </c>
      <c r="C794" s="606" t="s">
        <v>2</v>
      </c>
      <c r="D794" s="607">
        <v>86.28</v>
      </c>
      <c r="E794" s="607">
        <v>46.2</v>
      </c>
      <c r="F794" s="607">
        <v>132.47999999999999</v>
      </c>
      <c r="G794" s="584">
        <v>15</v>
      </c>
    </row>
    <row r="795" spans="1:7" ht="15" x14ac:dyDescent="0.2">
      <c r="A795" s="583" t="s">
        <v>13884</v>
      </c>
      <c r="B795" s="605" t="s">
        <v>20393</v>
      </c>
      <c r="C795" s="606" t="s">
        <v>2</v>
      </c>
      <c r="D795" s="607">
        <v>77.849999999999994</v>
      </c>
      <c r="E795" s="607">
        <v>59.67</v>
      </c>
      <c r="F795" s="607">
        <v>137.52000000000001</v>
      </c>
      <c r="G795" s="584">
        <v>15</v>
      </c>
    </row>
    <row r="796" spans="1:7" ht="15" x14ac:dyDescent="0.2">
      <c r="A796" s="583" t="s">
        <v>13885</v>
      </c>
      <c r="B796" s="605" t="s">
        <v>20394</v>
      </c>
      <c r="C796" s="606" t="s">
        <v>2</v>
      </c>
      <c r="D796" s="607">
        <v>104.48</v>
      </c>
      <c r="E796" s="607">
        <v>63.6</v>
      </c>
      <c r="F796" s="607">
        <v>168.08</v>
      </c>
      <c r="G796" s="584">
        <v>15</v>
      </c>
    </row>
    <row r="797" spans="1:7" ht="15" x14ac:dyDescent="0.25">
      <c r="A797" s="583" t="s">
        <v>13886</v>
      </c>
      <c r="B797" s="605" t="s">
        <v>13887</v>
      </c>
      <c r="C797" s="606"/>
      <c r="D797" s="607"/>
      <c r="E797" s="607"/>
      <c r="F797" s="607"/>
      <c r="G797" s="582"/>
    </row>
    <row r="798" spans="1:7" ht="30" x14ac:dyDescent="0.2">
      <c r="A798" s="583" t="s">
        <v>13888</v>
      </c>
      <c r="B798" s="605" t="s">
        <v>13889</v>
      </c>
      <c r="C798" s="606" t="s">
        <v>2</v>
      </c>
      <c r="D798" s="607">
        <v>99.09</v>
      </c>
      <c r="E798" s="607">
        <v>17.47</v>
      </c>
      <c r="F798" s="607">
        <v>116.56</v>
      </c>
      <c r="G798" s="584">
        <v>15</v>
      </c>
    </row>
    <row r="799" spans="1:7" ht="30" x14ac:dyDescent="0.2">
      <c r="A799" s="583" t="s">
        <v>13890</v>
      </c>
      <c r="B799" s="605" t="s">
        <v>13891</v>
      </c>
      <c r="C799" s="606" t="s">
        <v>2</v>
      </c>
      <c r="D799" s="607">
        <v>115.77</v>
      </c>
      <c r="E799" s="607">
        <v>17.920000000000002</v>
      </c>
      <c r="F799" s="607">
        <v>133.69</v>
      </c>
      <c r="G799" s="584">
        <v>15</v>
      </c>
    </row>
    <row r="800" spans="1:7" ht="30" x14ac:dyDescent="0.2">
      <c r="A800" s="583" t="s">
        <v>13892</v>
      </c>
      <c r="B800" s="605" t="s">
        <v>13893</v>
      </c>
      <c r="C800" s="606" t="s">
        <v>2</v>
      </c>
      <c r="D800" s="607">
        <v>144.84</v>
      </c>
      <c r="E800" s="607">
        <v>18.149999999999999</v>
      </c>
      <c r="F800" s="607">
        <v>162.99</v>
      </c>
      <c r="G800" s="584">
        <v>15</v>
      </c>
    </row>
    <row r="801" spans="1:7" ht="30" x14ac:dyDescent="0.2">
      <c r="A801" s="583" t="s">
        <v>13894</v>
      </c>
      <c r="B801" s="605" t="s">
        <v>13895</v>
      </c>
      <c r="C801" s="606" t="s">
        <v>2</v>
      </c>
      <c r="D801" s="607">
        <v>181.07</v>
      </c>
      <c r="E801" s="607">
        <v>18.829999999999998</v>
      </c>
      <c r="F801" s="607">
        <v>199.9</v>
      </c>
      <c r="G801" s="584">
        <v>15</v>
      </c>
    </row>
    <row r="802" spans="1:7" ht="15" x14ac:dyDescent="0.25">
      <c r="A802" s="583" t="s">
        <v>13896</v>
      </c>
      <c r="B802" s="605" t="s">
        <v>13897</v>
      </c>
      <c r="C802" s="606"/>
      <c r="D802" s="607"/>
      <c r="E802" s="607"/>
      <c r="F802" s="607"/>
      <c r="G802" s="582"/>
    </row>
    <row r="803" spans="1:7" ht="15" x14ac:dyDescent="0.2">
      <c r="A803" s="583" t="s">
        <v>13898</v>
      </c>
      <c r="B803" s="605" t="s">
        <v>13899</v>
      </c>
      <c r="C803" s="606" t="s">
        <v>21482</v>
      </c>
      <c r="D803" s="607">
        <v>941.84</v>
      </c>
      <c r="E803" s="607">
        <v>952.14</v>
      </c>
      <c r="F803" s="607">
        <v>1893.98</v>
      </c>
      <c r="G803" s="584">
        <v>15</v>
      </c>
    </row>
    <row r="804" spans="1:7" ht="15" x14ac:dyDescent="0.2">
      <c r="A804" s="583" t="s">
        <v>13900</v>
      </c>
      <c r="B804" s="605" t="s">
        <v>13901</v>
      </c>
      <c r="C804" s="606" t="s">
        <v>20358</v>
      </c>
      <c r="D804" s="607">
        <v>4.24</v>
      </c>
      <c r="E804" s="607">
        <v>8.61</v>
      </c>
      <c r="F804" s="607">
        <v>12.85</v>
      </c>
      <c r="G804" s="584">
        <v>15</v>
      </c>
    </row>
    <row r="805" spans="1:7" ht="15" x14ac:dyDescent="0.25">
      <c r="A805" s="583" t="s">
        <v>13902</v>
      </c>
      <c r="B805" s="605" t="s">
        <v>13903</v>
      </c>
      <c r="C805" s="606"/>
      <c r="D805" s="607"/>
      <c r="E805" s="607"/>
      <c r="F805" s="607"/>
      <c r="G805" s="582"/>
    </row>
    <row r="806" spans="1:7" ht="30" x14ac:dyDescent="0.2">
      <c r="A806" s="583" t="s">
        <v>20132</v>
      </c>
      <c r="B806" s="605" t="s">
        <v>20133</v>
      </c>
      <c r="C806" s="606" t="s">
        <v>2</v>
      </c>
      <c r="D806" s="607">
        <v>174.54</v>
      </c>
      <c r="E806" s="607">
        <v>90.58</v>
      </c>
      <c r="F806" s="607">
        <v>265.12</v>
      </c>
      <c r="G806" s="584">
        <v>15</v>
      </c>
    </row>
    <row r="807" spans="1:7" ht="30" x14ac:dyDescent="0.2">
      <c r="A807" s="583" t="s">
        <v>13904</v>
      </c>
      <c r="B807" s="605" t="s">
        <v>13905</v>
      </c>
      <c r="C807" s="606" t="s">
        <v>2</v>
      </c>
      <c r="D807" s="607">
        <v>156.19</v>
      </c>
      <c r="E807" s="607">
        <v>75.17</v>
      </c>
      <c r="F807" s="607">
        <v>231.36</v>
      </c>
      <c r="G807" s="584">
        <v>15</v>
      </c>
    </row>
    <row r="808" spans="1:7" ht="30" x14ac:dyDescent="0.2">
      <c r="A808" s="583" t="s">
        <v>13906</v>
      </c>
      <c r="B808" s="605" t="s">
        <v>13907</v>
      </c>
      <c r="C808" s="606" t="s">
        <v>2</v>
      </c>
      <c r="D808" s="607">
        <v>154.57</v>
      </c>
      <c r="E808" s="607">
        <v>75.17</v>
      </c>
      <c r="F808" s="607">
        <v>229.74</v>
      </c>
      <c r="G808" s="584">
        <v>15</v>
      </c>
    </row>
    <row r="809" spans="1:7" ht="30" x14ac:dyDescent="0.2">
      <c r="A809" s="583" t="s">
        <v>13908</v>
      </c>
      <c r="B809" s="605" t="s">
        <v>13909</v>
      </c>
      <c r="C809" s="606" t="s">
        <v>2</v>
      </c>
      <c r="D809" s="607">
        <v>2116.84</v>
      </c>
      <c r="E809" s="607">
        <v>203.91</v>
      </c>
      <c r="F809" s="607">
        <v>2320.75</v>
      </c>
      <c r="G809" s="584">
        <v>15</v>
      </c>
    </row>
    <row r="810" spans="1:7" ht="15" x14ac:dyDescent="0.2">
      <c r="A810" s="583" t="s">
        <v>13910</v>
      </c>
      <c r="B810" s="605" t="s">
        <v>13911</v>
      </c>
      <c r="C810" s="606" t="s">
        <v>2</v>
      </c>
      <c r="D810" s="607">
        <v>1001.69</v>
      </c>
      <c r="E810" s="607">
        <v>135.38999999999999</v>
      </c>
      <c r="F810" s="607">
        <v>1137.08</v>
      </c>
      <c r="G810" s="584">
        <v>15</v>
      </c>
    </row>
    <row r="811" spans="1:7" ht="15" x14ac:dyDescent="0.25">
      <c r="A811" s="583" t="s">
        <v>13912</v>
      </c>
      <c r="B811" s="605" t="s">
        <v>13913</v>
      </c>
      <c r="C811" s="606"/>
      <c r="D811" s="607"/>
      <c r="E811" s="607"/>
      <c r="F811" s="607"/>
      <c r="G811" s="582"/>
    </row>
    <row r="812" spans="1:7" ht="15" x14ac:dyDescent="0.2">
      <c r="A812" s="583" t="s">
        <v>13914</v>
      </c>
      <c r="B812" s="605" t="s">
        <v>13915</v>
      </c>
      <c r="C812" s="606" t="s">
        <v>2</v>
      </c>
      <c r="D812" s="607">
        <v>1199.6199999999999</v>
      </c>
      <c r="E812" s="607">
        <v>87.67</v>
      </c>
      <c r="F812" s="607">
        <v>1287.29</v>
      </c>
      <c r="G812" s="584">
        <v>15</v>
      </c>
    </row>
    <row r="813" spans="1:7" ht="15" x14ac:dyDescent="0.2">
      <c r="A813" s="583" t="s">
        <v>13916</v>
      </c>
      <c r="B813" s="605" t="s">
        <v>13917</v>
      </c>
      <c r="C813" s="606" t="s">
        <v>2</v>
      </c>
      <c r="D813" s="607">
        <v>272.45</v>
      </c>
      <c r="E813" s="607"/>
      <c r="F813" s="607">
        <v>272.45</v>
      </c>
      <c r="G813" s="584">
        <v>15</v>
      </c>
    </row>
    <row r="814" spans="1:7" ht="45" x14ac:dyDescent="0.2">
      <c r="A814" s="583" t="s">
        <v>13918</v>
      </c>
      <c r="B814" s="605" t="s">
        <v>13919</v>
      </c>
      <c r="C814" s="606" t="s">
        <v>2</v>
      </c>
      <c r="D814" s="607">
        <v>820.17</v>
      </c>
      <c r="E814" s="607"/>
      <c r="F814" s="607">
        <v>820.17</v>
      </c>
      <c r="G814" s="584">
        <v>15</v>
      </c>
    </row>
    <row r="815" spans="1:7" ht="30" x14ac:dyDescent="0.2">
      <c r="A815" s="583" t="s">
        <v>13920</v>
      </c>
      <c r="B815" s="605" t="s">
        <v>13921</v>
      </c>
      <c r="C815" s="606" t="s">
        <v>2</v>
      </c>
      <c r="D815" s="607">
        <v>1152.3499999999999</v>
      </c>
      <c r="E815" s="607">
        <v>87.67</v>
      </c>
      <c r="F815" s="607">
        <v>1240.02</v>
      </c>
      <c r="G815" s="584">
        <v>15</v>
      </c>
    </row>
    <row r="816" spans="1:7" ht="30" x14ac:dyDescent="0.2">
      <c r="A816" s="583" t="s">
        <v>13922</v>
      </c>
      <c r="B816" s="605" t="s">
        <v>13923</v>
      </c>
      <c r="C816" s="606" t="s">
        <v>2</v>
      </c>
      <c r="D816" s="607">
        <v>190.02</v>
      </c>
      <c r="E816" s="607"/>
      <c r="F816" s="607">
        <v>190.02</v>
      </c>
      <c r="G816" s="584">
        <v>15</v>
      </c>
    </row>
    <row r="817" spans="1:7" ht="30" x14ac:dyDescent="0.2">
      <c r="A817" s="583" t="s">
        <v>13924</v>
      </c>
      <c r="B817" s="605" t="s">
        <v>13925</v>
      </c>
      <c r="C817" s="606" t="s">
        <v>2</v>
      </c>
      <c r="D817" s="607">
        <v>222.27</v>
      </c>
      <c r="E817" s="607"/>
      <c r="F817" s="607">
        <v>222.27</v>
      </c>
      <c r="G817" s="584">
        <v>15</v>
      </c>
    </row>
    <row r="818" spans="1:7" ht="30" x14ac:dyDescent="0.2">
      <c r="A818" s="583" t="s">
        <v>13926</v>
      </c>
      <c r="B818" s="605" t="s">
        <v>13927</v>
      </c>
      <c r="C818" s="606" t="s">
        <v>2</v>
      </c>
      <c r="D818" s="607">
        <v>215.71</v>
      </c>
      <c r="E818" s="607"/>
      <c r="F818" s="607">
        <v>215.71</v>
      </c>
      <c r="G818" s="584">
        <v>15</v>
      </c>
    </row>
    <row r="819" spans="1:7" ht="30" x14ac:dyDescent="0.2">
      <c r="A819" s="583" t="s">
        <v>13928</v>
      </c>
      <c r="B819" s="605" t="s">
        <v>13929</v>
      </c>
      <c r="C819" s="606" t="s">
        <v>2</v>
      </c>
      <c r="D819" s="607">
        <v>191.17</v>
      </c>
      <c r="E819" s="607"/>
      <c r="F819" s="607">
        <v>191.17</v>
      </c>
      <c r="G819" s="584">
        <v>15</v>
      </c>
    </row>
    <row r="820" spans="1:7" ht="30" x14ac:dyDescent="0.2">
      <c r="A820" s="583" t="s">
        <v>13930</v>
      </c>
      <c r="B820" s="605" t="s">
        <v>13931</v>
      </c>
      <c r="C820" s="606" t="s">
        <v>2</v>
      </c>
      <c r="D820" s="607">
        <v>159.74</v>
      </c>
      <c r="E820" s="607"/>
      <c r="F820" s="607">
        <v>159.74</v>
      </c>
      <c r="G820" s="584">
        <v>15</v>
      </c>
    </row>
    <row r="821" spans="1:7" ht="30" x14ac:dyDescent="0.2">
      <c r="A821" s="583" t="s">
        <v>13932</v>
      </c>
      <c r="B821" s="605" t="s">
        <v>13933</v>
      </c>
      <c r="C821" s="606" t="s">
        <v>12427</v>
      </c>
      <c r="D821" s="607">
        <v>173.62</v>
      </c>
      <c r="E821" s="607"/>
      <c r="F821" s="607">
        <v>173.62</v>
      </c>
      <c r="G821" s="584">
        <v>15</v>
      </c>
    </row>
    <row r="822" spans="1:7" ht="30" x14ac:dyDescent="0.2">
      <c r="A822" s="583" t="s">
        <v>13934</v>
      </c>
      <c r="B822" s="605" t="s">
        <v>13935</v>
      </c>
      <c r="C822" s="606" t="s">
        <v>12427</v>
      </c>
      <c r="D822" s="607">
        <v>221.1</v>
      </c>
      <c r="E822" s="607"/>
      <c r="F822" s="607">
        <v>221.1</v>
      </c>
      <c r="G822" s="584">
        <v>15</v>
      </c>
    </row>
    <row r="823" spans="1:7" ht="30" x14ac:dyDescent="0.2">
      <c r="A823" s="583" t="s">
        <v>13936</v>
      </c>
      <c r="B823" s="605" t="s">
        <v>13937</v>
      </c>
      <c r="C823" s="606" t="s">
        <v>12427</v>
      </c>
      <c r="D823" s="607">
        <v>171.17</v>
      </c>
      <c r="E823" s="607"/>
      <c r="F823" s="607">
        <v>171.17</v>
      </c>
      <c r="G823" s="584">
        <v>15</v>
      </c>
    </row>
    <row r="824" spans="1:7" ht="30" x14ac:dyDescent="0.2">
      <c r="A824" s="583" t="s">
        <v>13938</v>
      </c>
      <c r="B824" s="605" t="s">
        <v>13939</v>
      </c>
      <c r="C824" s="606" t="s">
        <v>12427</v>
      </c>
      <c r="D824" s="607">
        <v>249.79</v>
      </c>
      <c r="E824" s="607"/>
      <c r="F824" s="607">
        <v>249.79</v>
      </c>
      <c r="G824" s="584">
        <v>15</v>
      </c>
    </row>
    <row r="825" spans="1:7" ht="30" x14ac:dyDescent="0.2">
      <c r="A825" s="583" t="s">
        <v>13940</v>
      </c>
      <c r="B825" s="605" t="s">
        <v>13941</v>
      </c>
      <c r="C825" s="606" t="s">
        <v>12427</v>
      </c>
      <c r="D825" s="607">
        <v>262.82</v>
      </c>
      <c r="E825" s="607"/>
      <c r="F825" s="607">
        <v>262.82</v>
      </c>
      <c r="G825" s="584">
        <v>15</v>
      </c>
    </row>
    <row r="826" spans="1:7" ht="30" x14ac:dyDescent="0.2">
      <c r="A826" s="583" t="s">
        <v>13942</v>
      </c>
      <c r="B826" s="605" t="s">
        <v>13943</v>
      </c>
      <c r="C826" s="606" t="s">
        <v>12427</v>
      </c>
      <c r="D826" s="607">
        <v>1613.29</v>
      </c>
      <c r="E826" s="607"/>
      <c r="F826" s="607">
        <v>1613.29</v>
      </c>
      <c r="G826" s="584">
        <v>15</v>
      </c>
    </row>
    <row r="827" spans="1:7" ht="30" x14ac:dyDescent="0.2">
      <c r="A827" s="583" t="s">
        <v>13944</v>
      </c>
      <c r="B827" s="605" t="s">
        <v>13945</v>
      </c>
      <c r="C827" s="606" t="s">
        <v>12427</v>
      </c>
      <c r="D827" s="607">
        <v>922.85</v>
      </c>
      <c r="E827" s="607"/>
      <c r="F827" s="607">
        <v>922.85</v>
      </c>
      <c r="G827" s="584">
        <v>15</v>
      </c>
    </row>
    <row r="828" spans="1:7" ht="30" x14ac:dyDescent="0.2">
      <c r="A828" s="583" t="s">
        <v>13946</v>
      </c>
      <c r="B828" s="605" t="s">
        <v>13947</v>
      </c>
      <c r="C828" s="606" t="s">
        <v>12427</v>
      </c>
      <c r="D828" s="607">
        <v>1473.06</v>
      </c>
      <c r="E828" s="607"/>
      <c r="F828" s="607">
        <v>1473.06</v>
      </c>
      <c r="G828" s="584">
        <v>15</v>
      </c>
    </row>
    <row r="829" spans="1:7" ht="15" x14ac:dyDescent="0.2">
      <c r="A829" s="583" t="s">
        <v>13948</v>
      </c>
      <c r="B829" s="605" t="s">
        <v>13949</v>
      </c>
      <c r="C829" s="606" t="s">
        <v>12427</v>
      </c>
      <c r="D829" s="607">
        <v>310.58</v>
      </c>
      <c r="E829" s="607">
        <v>81.349999999999994</v>
      </c>
      <c r="F829" s="607">
        <v>391.93</v>
      </c>
      <c r="G829" s="584">
        <v>15</v>
      </c>
    </row>
    <row r="830" spans="1:7" ht="30" x14ac:dyDescent="0.2">
      <c r="A830" s="583" t="s">
        <v>13950</v>
      </c>
      <c r="B830" s="605" t="s">
        <v>13951</v>
      </c>
      <c r="C830" s="606" t="s">
        <v>12427</v>
      </c>
      <c r="D830" s="607">
        <v>284.14</v>
      </c>
      <c r="E830" s="607"/>
      <c r="F830" s="607">
        <v>284.14</v>
      </c>
      <c r="G830" s="584">
        <v>15</v>
      </c>
    </row>
    <row r="831" spans="1:7" ht="30" x14ac:dyDescent="0.2">
      <c r="A831" s="583" t="s">
        <v>13952</v>
      </c>
      <c r="B831" s="605" t="s">
        <v>13953</v>
      </c>
      <c r="C831" s="606" t="s">
        <v>12427</v>
      </c>
      <c r="D831" s="607">
        <v>299.67</v>
      </c>
      <c r="E831" s="607"/>
      <c r="F831" s="607">
        <v>299.67</v>
      </c>
      <c r="G831" s="584">
        <v>15</v>
      </c>
    </row>
    <row r="832" spans="1:7" ht="30" x14ac:dyDescent="0.2">
      <c r="A832" s="583" t="s">
        <v>13954</v>
      </c>
      <c r="B832" s="605" t="s">
        <v>13955</v>
      </c>
      <c r="C832" s="606" t="s">
        <v>12427</v>
      </c>
      <c r="D832" s="607">
        <v>293.56</v>
      </c>
      <c r="E832" s="607"/>
      <c r="F832" s="607">
        <v>293.56</v>
      </c>
      <c r="G832" s="584">
        <v>15</v>
      </c>
    </row>
    <row r="833" spans="1:7" ht="30" x14ac:dyDescent="0.2">
      <c r="A833" s="583" t="s">
        <v>13956</v>
      </c>
      <c r="B833" s="605" t="s">
        <v>13957</v>
      </c>
      <c r="C833" s="606" t="s">
        <v>12427</v>
      </c>
      <c r="D833" s="607">
        <v>254.67</v>
      </c>
      <c r="E833" s="607"/>
      <c r="F833" s="607">
        <v>254.67</v>
      </c>
      <c r="G833" s="584">
        <v>15</v>
      </c>
    </row>
    <row r="834" spans="1:7" ht="30" x14ac:dyDescent="0.2">
      <c r="A834" s="583" t="s">
        <v>13958</v>
      </c>
      <c r="B834" s="605" t="s">
        <v>13959</v>
      </c>
      <c r="C834" s="606" t="s">
        <v>12427</v>
      </c>
      <c r="D834" s="607">
        <v>293.93</v>
      </c>
      <c r="E834" s="607"/>
      <c r="F834" s="607">
        <v>293.93</v>
      </c>
      <c r="G834" s="584">
        <v>15</v>
      </c>
    </row>
    <row r="835" spans="1:7" ht="30" x14ac:dyDescent="0.2">
      <c r="A835" s="583" t="s">
        <v>13960</v>
      </c>
      <c r="B835" s="605" t="s">
        <v>13961</v>
      </c>
      <c r="C835" s="606" t="s">
        <v>12427</v>
      </c>
      <c r="D835" s="607">
        <v>257.60000000000002</v>
      </c>
      <c r="E835" s="607"/>
      <c r="F835" s="607">
        <v>257.60000000000002</v>
      </c>
      <c r="G835" s="584">
        <v>15</v>
      </c>
    </row>
    <row r="836" spans="1:7" ht="15" x14ac:dyDescent="0.25">
      <c r="A836" s="583" t="s">
        <v>13962</v>
      </c>
      <c r="B836" s="605" t="s">
        <v>13963</v>
      </c>
      <c r="C836" s="606"/>
      <c r="D836" s="607"/>
      <c r="E836" s="607"/>
      <c r="F836" s="607"/>
      <c r="G836" s="582"/>
    </row>
    <row r="837" spans="1:7" ht="15" x14ac:dyDescent="0.2">
      <c r="A837" s="583" t="s">
        <v>13964</v>
      </c>
      <c r="B837" s="605" t="s">
        <v>13965</v>
      </c>
      <c r="C837" s="606" t="s">
        <v>12427</v>
      </c>
      <c r="D837" s="607">
        <v>96.86</v>
      </c>
      <c r="E837" s="607">
        <v>145.18</v>
      </c>
      <c r="F837" s="607">
        <v>242.04</v>
      </c>
      <c r="G837" s="584">
        <v>15</v>
      </c>
    </row>
    <row r="838" spans="1:7" ht="15" x14ac:dyDescent="0.25">
      <c r="A838" s="583" t="s">
        <v>13966</v>
      </c>
      <c r="B838" s="605" t="s">
        <v>13967</v>
      </c>
      <c r="C838" s="606"/>
      <c r="D838" s="607"/>
      <c r="E838" s="607"/>
      <c r="F838" s="607"/>
      <c r="G838" s="582"/>
    </row>
    <row r="839" spans="1:7" ht="15" x14ac:dyDescent="0.2">
      <c r="A839" s="583" t="s">
        <v>13968</v>
      </c>
      <c r="B839" s="605" t="s">
        <v>13969</v>
      </c>
      <c r="C839" s="606" t="s">
        <v>12427</v>
      </c>
      <c r="D839" s="607"/>
      <c r="E839" s="607">
        <v>50.35</v>
      </c>
      <c r="F839" s="607">
        <v>50.35</v>
      </c>
      <c r="G839" s="584">
        <v>15</v>
      </c>
    </row>
    <row r="840" spans="1:7" ht="30" x14ac:dyDescent="0.2">
      <c r="A840" s="583" t="s">
        <v>13970</v>
      </c>
      <c r="B840" s="605" t="s">
        <v>13971</v>
      </c>
      <c r="C840" s="606" t="s">
        <v>12375</v>
      </c>
      <c r="D840" s="607">
        <v>1.96</v>
      </c>
      <c r="E840" s="607">
        <v>6.91</v>
      </c>
      <c r="F840" s="607">
        <v>8.8699999999999992</v>
      </c>
      <c r="G840" s="584">
        <v>15</v>
      </c>
    </row>
    <row r="841" spans="1:7" ht="30" x14ac:dyDescent="0.2">
      <c r="A841" s="583" t="s">
        <v>13972</v>
      </c>
      <c r="B841" s="605" t="s">
        <v>13973</v>
      </c>
      <c r="C841" s="606" t="s">
        <v>12375</v>
      </c>
      <c r="D841" s="607">
        <v>2.12</v>
      </c>
      <c r="E841" s="607">
        <v>6.91</v>
      </c>
      <c r="F841" s="607">
        <v>9.0299999999999994</v>
      </c>
      <c r="G841" s="584">
        <v>15</v>
      </c>
    </row>
    <row r="842" spans="1:7" ht="30" x14ac:dyDescent="0.2">
      <c r="A842" s="583" t="s">
        <v>13974</v>
      </c>
      <c r="B842" s="605" t="s">
        <v>13975</v>
      </c>
      <c r="C842" s="606" t="s">
        <v>12375</v>
      </c>
      <c r="D842" s="607">
        <v>2.59</v>
      </c>
      <c r="E842" s="607">
        <v>6.91</v>
      </c>
      <c r="F842" s="607">
        <v>9.5</v>
      </c>
      <c r="G842" s="584">
        <v>15</v>
      </c>
    </row>
    <row r="843" spans="1:7" ht="30" x14ac:dyDescent="0.2">
      <c r="A843" s="583" t="s">
        <v>13976</v>
      </c>
      <c r="B843" s="605" t="s">
        <v>13977</v>
      </c>
      <c r="C843" s="606" t="s">
        <v>12375</v>
      </c>
      <c r="D843" s="607">
        <v>2.74</v>
      </c>
      <c r="E843" s="607">
        <v>6.91</v>
      </c>
      <c r="F843" s="607">
        <v>9.65</v>
      </c>
      <c r="G843" s="584">
        <v>15</v>
      </c>
    </row>
    <row r="844" spans="1:7" ht="30" x14ac:dyDescent="0.2">
      <c r="A844" s="583" t="s">
        <v>13978</v>
      </c>
      <c r="B844" s="605" t="s">
        <v>13979</v>
      </c>
      <c r="C844" s="606" t="s">
        <v>12375</v>
      </c>
      <c r="D844" s="607">
        <v>3.75</v>
      </c>
      <c r="E844" s="607">
        <v>6.91</v>
      </c>
      <c r="F844" s="607">
        <v>10.66</v>
      </c>
      <c r="G844" s="584">
        <v>15</v>
      </c>
    </row>
    <row r="845" spans="1:7" ht="15" x14ac:dyDescent="0.25">
      <c r="A845" s="583" t="s">
        <v>13980</v>
      </c>
      <c r="B845" s="605" t="s">
        <v>13981</v>
      </c>
      <c r="C845" s="606"/>
      <c r="D845" s="607"/>
      <c r="E845" s="607"/>
      <c r="F845" s="607"/>
      <c r="G845" s="582"/>
    </row>
    <row r="846" spans="1:7" ht="15" x14ac:dyDescent="0.25">
      <c r="A846" s="583" t="s">
        <v>13982</v>
      </c>
      <c r="B846" s="605" t="s">
        <v>13983</v>
      </c>
      <c r="C846" s="606"/>
      <c r="D846" s="607"/>
      <c r="E846" s="607"/>
      <c r="F846" s="607"/>
      <c r="G846" s="582"/>
    </row>
    <row r="847" spans="1:7" ht="30" x14ac:dyDescent="0.2">
      <c r="A847" s="583" t="s">
        <v>13984</v>
      </c>
      <c r="B847" s="605" t="s">
        <v>13985</v>
      </c>
      <c r="C847" s="606" t="s">
        <v>2</v>
      </c>
      <c r="D847" s="607">
        <v>112.18</v>
      </c>
      <c r="E847" s="607">
        <v>62.94</v>
      </c>
      <c r="F847" s="607">
        <v>175.12</v>
      </c>
      <c r="G847" s="584">
        <v>15</v>
      </c>
    </row>
    <row r="848" spans="1:7" ht="30" x14ac:dyDescent="0.2">
      <c r="A848" s="583" t="s">
        <v>13986</v>
      </c>
      <c r="B848" s="605" t="s">
        <v>13987</v>
      </c>
      <c r="C848" s="606" t="s">
        <v>2</v>
      </c>
      <c r="D848" s="607">
        <v>120.33</v>
      </c>
      <c r="E848" s="607">
        <v>65.45</v>
      </c>
      <c r="F848" s="607">
        <v>185.78</v>
      </c>
      <c r="G848" s="584">
        <v>15</v>
      </c>
    </row>
    <row r="849" spans="1:7" ht="30" x14ac:dyDescent="0.2">
      <c r="A849" s="583" t="s">
        <v>13988</v>
      </c>
      <c r="B849" s="605" t="s">
        <v>13989</v>
      </c>
      <c r="C849" s="606" t="s">
        <v>2</v>
      </c>
      <c r="D849" s="607">
        <v>128.47</v>
      </c>
      <c r="E849" s="607">
        <v>67.97</v>
      </c>
      <c r="F849" s="607">
        <v>196.44</v>
      </c>
      <c r="G849" s="584">
        <v>15</v>
      </c>
    </row>
    <row r="850" spans="1:7" ht="30" x14ac:dyDescent="0.2">
      <c r="A850" s="583" t="s">
        <v>13990</v>
      </c>
      <c r="B850" s="605" t="s">
        <v>13991</v>
      </c>
      <c r="C850" s="606" t="s">
        <v>2</v>
      </c>
      <c r="D850" s="607">
        <v>140.88999999999999</v>
      </c>
      <c r="E850" s="607">
        <v>73.010000000000005</v>
      </c>
      <c r="F850" s="607">
        <v>213.9</v>
      </c>
      <c r="G850" s="584">
        <v>15</v>
      </c>
    </row>
    <row r="851" spans="1:7" ht="30" x14ac:dyDescent="0.2">
      <c r="A851" s="583" t="s">
        <v>13992</v>
      </c>
      <c r="B851" s="605" t="s">
        <v>13993</v>
      </c>
      <c r="C851" s="606" t="s">
        <v>2</v>
      </c>
      <c r="D851" s="607">
        <v>77.069999999999993</v>
      </c>
      <c r="E851" s="607">
        <v>47.83</v>
      </c>
      <c r="F851" s="607">
        <v>124.9</v>
      </c>
      <c r="G851" s="584">
        <v>15</v>
      </c>
    </row>
    <row r="852" spans="1:7" ht="30" x14ac:dyDescent="0.2">
      <c r="A852" s="583" t="s">
        <v>13994</v>
      </c>
      <c r="B852" s="605" t="s">
        <v>13995</v>
      </c>
      <c r="C852" s="606" t="s">
        <v>2</v>
      </c>
      <c r="D852" s="607">
        <v>85.21</v>
      </c>
      <c r="E852" s="607">
        <v>50.35</v>
      </c>
      <c r="F852" s="607">
        <v>135.56</v>
      </c>
      <c r="G852" s="584">
        <v>15</v>
      </c>
    </row>
    <row r="853" spans="1:7" ht="30" x14ac:dyDescent="0.2">
      <c r="A853" s="583" t="s">
        <v>13996</v>
      </c>
      <c r="B853" s="605" t="s">
        <v>13997</v>
      </c>
      <c r="C853" s="606" t="s">
        <v>2</v>
      </c>
      <c r="D853" s="607">
        <v>93.36</v>
      </c>
      <c r="E853" s="607">
        <v>52.87</v>
      </c>
      <c r="F853" s="607">
        <v>146.22999999999999</v>
      </c>
      <c r="G853" s="584">
        <v>15</v>
      </c>
    </row>
    <row r="854" spans="1:7" ht="30" x14ac:dyDescent="0.2">
      <c r="A854" s="583" t="s">
        <v>13998</v>
      </c>
      <c r="B854" s="605" t="s">
        <v>13999</v>
      </c>
      <c r="C854" s="606" t="s">
        <v>2</v>
      </c>
      <c r="D854" s="607">
        <v>101.9</v>
      </c>
      <c r="E854" s="607">
        <v>57.91</v>
      </c>
      <c r="F854" s="607">
        <v>159.81</v>
      </c>
      <c r="G854" s="584">
        <v>15</v>
      </c>
    </row>
    <row r="855" spans="1:7" ht="15" x14ac:dyDescent="0.2">
      <c r="A855" s="583" t="s">
        <v>14000</v>
      </c>
      <c r="B855" s="605" t="s">
        <v>14001</v>
      </c>
      <c r="C855" s="606" t="s">
        <v>2</v>
      </c>
      <c r="D855" s="607">
        <v>83.94</v>
      </c>
      <c r="E855" s="607">
        <v>60.42</v>
      </c>
      <c r="F855" s="607">
        <v>144.36000000000001</v>
      </c>
      <c r="G855" s="584">
        <v>15</v>
      </c>
    </row>
    <row r="856" spans="1:7" ht="15" x14ac:dyDescent="0.2">
      <c r="A856" s="583" t="s">
        <v>14002</v>
      </c>
      <c r="B856" s="605" t="s">
        <v>14003</v>
      </c>
      <c r="C856" s="606" t="s">
        <v>2</v>
      </c>
      <c r="D856" s="607">
        <v>63.3</v>
      </c>
      <c r="E856" s="607">
        <v>45.32</v>
      </c>
      <c r="F856" s="607">
        <v>108.62</v>
      </c>
      <c r="G856" s="584">
        <v>15</v>
      </c>
    </row>
    <row r="857" spans="1:7" ht="15" x14ac:dyDescent="0.2">
      <c r="A857" s="583" t="s">
        <v>14004</v>
      </c>
      <c r="B857" s="605" t="s">
        <v>14005</v>
      </c>
      <c r="C857" s="606" t="s">
        <v>2</v>
      </c>
      <c r="D857" s="607">
        <v>78.19</v>
      </c>
      <c r="E857" s="607">
        <v>32.729999999999997</v>
      </c>
      <c r="F857" s="607">
        <v>110.92</v>
      </c>
      <c r="G857" s="584">
        <v>15</v>
      </c>
    </row>
    <row r="858" spans="1:7" ht="30" x14ac:dyDescent="0.2">
      <c r="A858" s="583" t="s">
        <v>14006</v>
      </c>
      <c r="B858" s="605" t="s">
        <v>14007</v>
      </c>
      <c r="C858" s="606" t="s">
        <v>2</v>
      </c>
      <c r="D858" s="607">
        <v>23.79</v>
      </c>
      <c r="E858" s="607">
        <v>6.42</v>
      </c>
      <c r="F858" s="607">
        <v>30.21</v>
      </c>
      <c r="G858" s="584">
        <v>15</v>
      </c>
    </row>
    <row r="859" spans="1:7" ht="15" x14ac:dyDescent="0.2">
      <c r="A859" s="583" t="s">
        <v>14008</v>
      </c>
      <c r="B859" s="605" t="s">
        <v>14009</v>
      </c>
      <c r="C859" s="606" t="s">
        <v>2</v>
      </c>
      <c r="D859" s="607">
        <v>14.87</v>
      </c>
      <c r="E859" s="607">
        <v>6.42</v>
      </c>
      <c r="F859" s="607">
        <v>21.29</v>
      </c>
      <c r="G859" s="584">
        <v>15</v>
      </c>
    </row>
    <row r="860" spans="1:7" ht="15" x14ac:dyDescent="0.25">
      <c r="A860" s="583" t="s">
        <v>14010</v>
      </c>
      <c r="B860" s="605" t="s">
        <v>14011</v>
      </c>
      <c r="C860" s="606"/>
      <c r="D860" s="607"/>
      <c r="E860" s="607"/>
      <c r="F860" s="607"/>
      <c r="G860" s="582"/>
    </row>
    <row r="861" spans="1:7" ht="30" x14ac:dyDescent="0.2">
      <c r="A861" s="583" t="s">
        <v>14012</v>
      </c>
      <c r="B861" s="605" t="s">
        <v>14013</v>
      </c>
      <c r="C861" s="606" t="s">
        <v>21053</v>
      </c>
      <c r="D861" s="607">
        <v>28.72</v>
      </c>
      <c r="E861" s="607"/>
      <c r="F861" s="607">
        <v>28.72</v>
      </c>
      <c r="G861" s="584">
        <v>15</v>
      </c>
    </row>
    <row r="862" spans="1:7" ht="15" x14ac:dyDescent="0.2">
      <c r="A862" s="583" t="s">
        <v>14014</v>
      </c>
      <c r="B862" s="605" t="s">
        <v>14015</v>
      </c>
      <c r="C862" s="606" t="s">
        <v>21053</v>
      </c>
      <c r="D862" s="607"/>
      <c r="E862" s="607">
        <v>6.47</v>
      </c>
      <c r="F862" s="607">
        <v>6.47</v>
      </c>
      <c r="G862" s="584">
        <v>15</v>
      </c>
    </row>
    <row r="863" spans="1:7" ht="30" x14ac:dyDescent="0.2">
      <c r="A863" s="583" t="s">
        <v>14016</v>
      </c>
      <c r="B863" s="605" t="s">
        <v>14017</v>
      </c>
      <c r="C863" s="606" t="s">
        <v>21053</v>
      </c>
      <c r="D863" s="607">
        <v>31.09</v>
      </c>
      <c r="E863" s="607"/>
      <c r="F863" s="607">
        <v>31.09</v>
      </c>
      <c r="G863" s="584">
        <v>15</v>
      </c>
    </row>
    <row r="864" spans="1:7" ht="30" x14ac:dyDescent="0.2">
      <c r="A864" s="583" t="s">
        <v>14018</v>
      </c>
      <c r="B864" s="605" t="s">
        <v>14019</v>
      </c>
      <c r="C864" s="606" t="s">
        <v>21053</v>
      </c>
      <c r="D864" s="607">
        <v>31.13</v>
      </c>
      <c r="E864" s="607"/>
      <c r="F864" s="607">
        <v>31.13</v>
      </c>
      <c r="G864" s="584">
        <v>15</v>
      </c>
    </row>
    <row r="865" spans="1:7" ht="30" x14ac:dyDescent="0.2">
      <c r="A865" s="583" t="s">
        <v>14020</v>
      </c>
      <c r="B865" s="605" t="s">
        <v>14021</v>
      </c>
      <c r="C865" s="606" t="s">
        <v>21053</v>
      </c>
      <c r="D865" s="607">
        <v>32.840000000000003</v>
      </c>
      <c r="E865" s="607"/>
      <c r="F865" s="607">
        <v>32.840000000000003</v>
      </c>
      <c r="G865" s="584">
        <v>15</v>
      </c>
    </row>
    <row r="866" spans="1:7" ht="30" x14ac:dyDescent="0.2">
      <c r="A866" s="583" t="s">
        <v>14022</v>
      </c>
      <c r="B866" s="605" t="s">
        <v>14023</v>
      </c>
      <c r="C866" s="606" t="s">
        <v>21053</v>
      </c>
      <c r="D866" s="607">
        <v>10.87</v>
      </c>
      <c r="E866" s="607">
        <v>6.47</v>
      </c>
      <c r="F866" s="607">
        <v>17.34</v>
      </c>
      <c r="G866" s="584">
        <v>15</v>
      </c>
    </row>
    <row r="867" spans="1:7" ht="15" x14ac:dyDescent="0.25">
      <c r="A867" s="583" t="s">
        <v>14024</v>
      </c>
      <c r="B867" s="605" t="s">
        <v>14025</v>
      </c>
      <c r="C867" s="606"/>
      <c r="D867" s="607"/>
      <c r="E867" s="607"/>
      <c r="F867" s="607"/>
      <c r="G867" s="582"/>
    </row>
    <row r="868" spans="1:7" ht="30" x14ac:dyDescent="0.2">
      <c r="A868" s="583" t="s">
        <v>14026</v>
      </c>
      <c r="B868" s="605" t="s">
        <v>14027</v>
      </c>
      <c r="C868" s="606" t="s">
        <v>21482</v>
      </c>
      <c r="D868" s="607">
        <v>2503.34</v>
      </c>
      <c r="E868" s="607">
        <v>968.87</v>
      </c>
      <c r="F868" s="607">
        <v>3472.21</v>
      </c>
      <c r="G868" s="584">
        <v>15</v>
      </c>
    </row>
    <row r="869" spans="1:7" ht="15" x14ac:dyDescent="0.2">
      <c r="A869" s="583" t="s">
        <v>14028</v>
      </c>
      <c r="B869" s="605" t="s">
        <v>14029</v>
      </c>
      <c r="C869" s="606" t="s">
        <v>21482</v>
      </c>
      <c r="D869" s="607">
        <v>2421.4499999999998</v>
      </c>
      <c r="E869" s="607">
        <v>1068.96</v>
      </c>
      <c r="F869" s="607">
        <v>3490.41</v>
      </c>
      <c r="G869" s="584">
        <v>15</v>
      </c>
    </row>
    <row r="870" spans="1:7" ht="30" x14ac:dyDescent="0.2">
      <c r="A870" s="583" t="s">
        <v>14030</v>
      </c>
      <c r="B870" s="605" t="s">
        <v>14031</v>
      </c>
      <c r="C870" s="606" t="s">
        <v>21482</v>
      </c>
      <c r="D870" s="607">
        <v>2233.31</v>
      </c>
      <c r="E870" s="607">
        <v>921.14</v>
      </c>
      <c r="F870" s="607">
        <v>3154.45</v>
      </c>
      <c r="G870" s="584">
        <v>15</v>
      </c>
    </row>
    <row r="871" spans="1:7" ht="30" x14ac:dyDescent="0.2">
      <c r="A871" s="583" t="s">
        <v>14032</v>
      </c>
      <c r="B871" s="605" t="s">
        <v>14033</v>
      </c>
      <c r="C871" s="606" t="s">
        <v>21482</v>
      </c>
      <c r="D871" s="607">
        <v>1964.04</v>
      </c>
      <c r="E871" s="607">
        <v>911.83</v>
      </c>
      <c r="F871" s="607">
        <v>2875.87</v>
      </c>
      <c r="G871" s="584">
        <v>15</v>
      </c>
    </row>
    <row r="872" spans="1:7" ht="15" x14ac:dyDescent="0.2">
      <c r="A872" s="583" t="s">
        <v>14034</v>
      </c>
      <c r="B872" s="605" t="s">
        <v>14035</v>
      </c>
      <c r="C872" s="606" t="s">
        <v>21482</v>
      </c>
      <c r="D872" s="607">
        <v>2205.64</v>
      </c>
      <c r="E872" s="607">
        <v>977</v>
      </c>
      <c r="F872" s="607">
        <v>3182.64</v>
      </c>
      <c r="G872" s="584">
        <v>15</v>
      </c>
    </row>
    <row r="873" spans="1:7" ht="15" x14ac:dyDescent="0.25">
      <c r="A873" s="583" t="s">
        <v>14036</v>
      </c>
      <c r="B873" s="605" t="s">
        <v>14037</v>
      </c>
      <c r="C873" s="606"/>
      <c r="D873" s="607"/>
      <c r="E873" s="607"/>
      <c r="F873" s="607"/>
      <c r="G873" s="582"/>
    </row>
    <row r="874" spans="1:7" ht="15" x14ac:dyDescent="0.2">
      <c r="A874" s="583" t="s">
        <v>14038</v>
      </c>
      <c r="B874" s="605" t="s">
        <v>14039</v>
      </c>
      <c r="C874" s="606" t="s">
        <v>21482</v>
      </c>
      <c r="D874" s="607">
        <v>3909.5</v>
      </c>
      <c r="E874" s="607">
        <v>1510.5</v>
      </c>
      <c r="F874" s="607">
        <v>5420</v>
      </c>
      <c r="G874" s="584">
        <v>15</v>
      </c>
    </row>
    <row r="875" spans="1:7" ht="30" x14ac:dyDescent="0.2">
      <c r="A875" s="583" t="s">
        <v>14040</v>
      </c>
      <c r="B875" s="605" t="s">
        <v>14041</v>
      </c>
      <c r="C875" s="606" t="s">
        <v>20358</v>
      </c>
      <c r="D875" s="607">
        <v>0.1</v>
      </c>
      <c r="E875" s="607">
        <v>7.05</v>
      </c>
      <c r="F875" s="607">
        <v>7.15</v>
      </c>
      <c r="G875" s="584">
        <v>15</v>
      </c>
    </row>
    <row r="876" spans="1:7" ht="30" x14ac:dyDescent="0.2">
      <c r="A876" s="583" t="s">
        <v>14042</v>
      </c>
      <c r="B876" s="605" t="s">
        <v>14043</v>
      </c>
      <c r="C876" s="606" t="s">
        <v>20358</v>
      </c>
      <c r="D876" s="607">
        <v>0.26</v>
      </c>
      <c r="E876" s="607">
        <v>18.63</v>
      </c>
      <c r="F876" s="607">
        <v>18.89</v>
      </c>
      <c r="G876" s="584">
        <v>15</v>
      </c>
    </row>
    <row r="877" spans="1:7" ht="15" x14ac:dyDescent="0.25">
      <c r="A877" s="583" t="s">
        <v>14044</v>
      </c>
      <c r="B877" s="605" t="s">
        <v>14045</v>
      </c>
      <c r="C877" s="606"/>
      <c r="D877" s="607"/>
      <c r="E877" s="607"/>
      <c r="F877" s="607"/>
      <c r="G877" s="582"/>
    </row>
    <row r="878" spans="1:7" ht="15" x14ac:dyDescent="0.25">
      <c r="A878" s="583" t="s">
        <v>14046</v>
      </c>
      <c r="B878" s="605" t="s">
        <v>14047</v>
      </c>
      <c r="C878" s="606"/>
      <c r="D878" s="607"/>
      <c r="E878" s="607"/>
      <c r="F878" s="607"/>
      <c r="G878" s="582"/>
    </row>
    <row r="879" spans="1:7" ht="15" x14ac:dyDescent="0.2">
      <c r="A879" s="583" t="s">
        <v>14048</v>
      </c>
      <c r="B879" s="605" t="s">
        <v>14049</v>
      </c>
      <c r="C879" s="606" t="s">
        <v>2</v>
      </c>
      <c r="D879" s="607">
        <v>46.4</v>
      </c>
      <c r="E879" s="607">
        <v>36.53</v>
      </c>
      <c r="F879" s="607">
        <v>82.93</v>
      </c>
      <c r="G879" s="584">
        <v>15</v>
      </c>
    </row>
    <row r="880" spans="1:7" ht="15" x14ac:dyDescent="0.2">
      <c r="A880" s="583" t="s">
        <v>14050</v>
      </c>
      <c r="B880" s="605" t="s">
        <v>14051</v>
      </c>
      <c r="C880" s="606" t="s">
        <v>2</v>
      </c>
      <c r="D880" s="607">
        <v>62.72</v>
      </c>
      <c r="E880" s="607">
        <v>36.53</v>
      </c>
      <c r="F880" s="607">
        <v>99.25</v>
      </c>
      <c r="G880" s="584">
        <v>15</v>
      </c>
    </row>
    <row r="881" spans="1:7" ht="15" x14ac:dyDescent="0.2">
      <c r="A881" s="583" t="s">
        <v>14052</v>
      </c>
      <c r="B881" s="605" t="s">
        <v>14053</v>
      </c>
      <c r="C881" s="606" t="s">
        <v>2</v>
      </c>
      <c r="D881" s="607">
        <v>35.36</v>
      </c>
      <c r="E881" s="607">
        <v>36.53</v>
      </c>
      <c r="F881" s="607">
        <v>71.89</v>
      </c>
      <c r="G881" s="584">
        <v>15</v>
      </c>
    </row>
    <row r="882" spans="1:7" ht="15" x14ac:dyDescent="0.2">
      <c r="A882" s="583" t="s">
        <v>14054</v>
      </c>
      <c r="B882" s="605" t="s">
        <v>14055</v>
      </c>
      <c r="C882" s="606" t="s">
        <v>2</v>
      </c>
      <c r="D882" s="607">
        <v>88.29</v>
      </c>
      <c r="E882" s="607">
        <v>54.8</v>
      </c>
      <c r="F882" s="607">
        <v>143.09</v>
      </c>
      <c r="G882" s="584">
        <v>15</v>
      </c>
    </row>
    <row r="883" spans="1:7" ht="15" x14ac:dyDescent="0.2">
      <c r="A883" s="583" t="s">
        <v>14056</v>
      </c>
      <c r="B883" s="605" t="s">
        <v>14057</v>
      </c>
      <c r="C883" s="606" t="s">
        <v>2</v>
      </c>
      <c r="D883" s="607">
        <v>105.03</v>
      </c>
      <c r="E883" s="607">
        <v>54.8</v>
      </c>
      <c r="F883" s="607">
        <v>159.83000000000001</v>
      </c>
      <c r="G883" s="584">
        <v>15</v>
      </c>
    </row>
    <row r="884" spans="1:7" ht="15" x14ac:dyDescent="0.2">
      <c r="A884" s="583" t="s">
        <v>14058</v>
      </c>
      <c r="B884" s="605" t="s">
        <v>14059</v>
      </c>
      <c r="C884" s="606" t="s">
        <v>20358</v>
      </c>
      <c r="D884" s="607">
        <v>1</v>
      </c>
      <c r="E884" s="607">
        <v>16.11</v>
      </c>
      <c r="F884" s="607">
        <v>17.11</v>
      </c>
      <c r="G884" s="584">
        <v>15</v>
      </c>
    </row>
    <row r="885" spans="1:7" ht="30" x14ac:dyDescent="0.2">
      <c r="A885" s="583" t="s">
        <v>14060</v>
      </c>
      <c r="B885" s="605" t="s">
        <v>14061</v>
      </c>
      <c r="C885" s="606" t="s">
        <v>20358</v>
      </c>
      <c r="D885" s="607">
        <v>13.82</v>
      </c>
      <c r="E885" s="607">
        <v>20.14</v>
      </c>
      <c r="F885" s="607">
        <v>33.96</v>
      </c>
      <c r="G885" s="584">
        <v>15</v>
      </c>
    </row>
    <row r="886" spans="1:7" ht="15" x14ac:dyDescent="0.2">
      <c r="A886" s="583" t="s">
        <v>14062</v>
      </c>
      <c r="B886" s="605" t="s">
        <v>14063</v>
      </c>
      <c r="C886" s="606" t="s">
        <v>20358</v>
      </c>
      <c r="D886" s="607">
        <v>21.43</v>
      </c>
      <c r="E886" s="607">
        <v>20.14</v>
      </c>
      <c r="F886" s="607">
        <v>41.57</v>
      </c>
      <c r="G886" s="584">
        <v>15</v>
      </c>
    </row>
    <row r="887" spans="1:7" ht="15" x14ac:dyDescent="0.25">
      <c r="A887" s="583" t="s">
        <v>14064</v>
      </c>
      <c r="B887" s="605" t="s">
        <v>14065</v>
      </c>
      <c r="C887" s="606"/>
      <c r="D887" s="607"/>
      <c r="E887" s="607"/>
      <c r="F887" s="607"/>
      <c r="G887" s="582"/>
    </row>
    <row r="888" spans="1:7" ht="30" x14ac:dyDescent="0.2">
      <c r="A888" s="583" t="s">
        <v>14066</v>
      </c>
      <c r="B888" s="605" t="s">
        <v>14067</v>
      </c>
      <c r="C888" s="606" t="s">
        <v>2</v>
      </c>
      <c r="D888" s="607">
        <v>39.520000000000003</v>
      </c>
      <c r="E888" s="607">
        <v>20.14</v>
      </c>
      <c r="F888" s="607">
        <v>59.66</v>
      </c>
      <c r="G888" s="584">
        <v>15</v>
      </c>
    </row>
    <row r="889" spans="1:7" ht="30" x14ac:dyDescent="0.2">
      <c r="A889" s="583" t="s">
        <v>14068</v>
      </c>
      <c r="B889" s="605" t="s">
        <v>14069</v>
      </c>
      <c r="C889" s="606" t="s">
        <v>2</v>
      </c>
      <c r="D889" s="607">
        <v>60.33</v>
      </c>
      <c r="E889" s="607">
        <v>20.14</v>
      </c>
      <c r="F889" s="607">
        <v>80.47</v>
      </c>
      <c r="G889" s="584">
        <v>15</v>
      </c>
    </row>
    <row r="890" spans="1:7" ht="30" x14ac:dyDescent="0.2">
      <c r="A890" s="583" t="s">
        <v>14070</v>
      </c>
      <c r="B890" s="605" t="s">
        <v>14071</v>
      </c>
      <c r="C890" s="606" t="s">
        <v>2</v>
      </c>
      <c r="D890" s="607">
        <v>150.83000000000001</v>
      </c>
      <c r="E890" s="607">
        <v>20.14</v>
      </c>
      <c r="F890" s="607">
        <v>170.97</v>
      </c>
      <c r="G890" s="584">
        <v>15</v>
      </c>
    </row>
    <row r="891" spans="1:7" ht="30" x14ac:dyDescent="0.2">
      <c r="A891" s="583" t="s">
        <v>14072</v>
      </c>
      <c r="B891" s="605" t="s">
        <v>14073</v>
      </c>
      <c r="C891" s="606" t="s">
        <v>2</v>
      </c>
      <c r="D891" s="607">
        <v>160.19999999999999</v>
      </c>
      <c r="E891" s="607">
        <v>20.14</v>
      </c>
      <c r="F891" s="607">
        <v>180.34</v>
      </c>
      <c r="G891" s="584">
        <v>15</v>
      </c>
    </row>
    <row r="892" spans="1:7" ht="30" x14ac:dyDescent="0.2">
      <c r="A892" s="583" t="s">
        <v>14074</v>
      </c>
      <c r="B892" s="605" t="s">
        <v>14075</v>
      </c>
      <c r="C892" s="606" t="s">
        <v>20358</v>
      </c>
      <c r="D892" s="607">
        <v>84.15</v>
      </c>
      <c r="E892" s="607">
        <v>10.07</v>
      </c>
      <c r="F892" s="607">
        <v>94.22</v>
      </c>
      <c r="G892" s="584">
        <v>15</v>
      </c>
    </row>
    <row r="893" spans="1:7" ht="30" x14ac:dyDescent="0.2">
      <c r="A893" s="583" t="s">
        <v>14076</v>
      </c>
      <c r="B893" s="605" t="s">
        <v>14077</v>
      </c>
      <c r="C893" s="606" t="s">
        <v>20358</v>
      </c>
      <c r="D893" s="607">
        <v>79.010000000000005</v>
      </c>
      <c r="E893" s="607">
        <v>10.07</v>
      </c>
      <c r="F893" s="607">
        <v>89.08</v>
      </c>
      <c r="G893" s="584">
        <v>15</v>
      </c>
    </row>
    <row r="894" spans="1:7" ht="30" x14ac:dyDescent="0.2">
      <c r="A894" s="583" t="s">
        <v>14078</v>
      </c>
      <c r="B894" s="605" t="s">
        <v>14079</v>
      </c>
      <c r="C894" s="606" t="s">
        <v>20358</v>
      </c>
      <c r="D894" s="607">
        <v>112.82</v>
      </c>
      <c r="E894" s="607">
        <v>10.07</v>
      </c>
      <c r="F894" s="607">
        <v>122.89</v>
      </c>
      <c r="G894" s="584">
        <v>15</v>
      </c>
    </row>
    <row r="895" spans="1:7" ht="30" x14ac:dyDescent="0.2">
      <c r="A895" s="583" t="s">
        <v>14080</v>
      </c>
      <c r="B895" s="605" t="s">
        <v>14081</v>
      </c>
      <c r="C895" s="606" t="s">
        <v>20358</v>
      </c>
      <c r="D895" s="607">
        <v>173.82</v>
      </c>
      <c r="E895" s="607">
        <v>10.07</v>
      </c>
      <c r="F895" s="607">
        <v>183.89</v>
      </c>
      <c r="G895" s="584">
        <v>15</v>
      </c>
    </row>
    <row r="896" spans="1:7" ht="30" x14ac:dyDescent="0.2">
      <c r="A896" s="583" t="s">
        <v>14082</v>
      </c>
      <c r="B896" s="605" t="s">
        <v>14083</v>
      </c>
      <c r="C896" s="606" t="s">
        <v>20358</v>
      </c>
      <c r="D896" s="607">
        <v>56.3</v>
      </c>
      <c r="E896" s="607">
        <v>10.07</v>
      </c>
      <c r="F896" s="607">
        <v>66.37</v>
      </c>
      <c r="G896" s="584">
        <v>15</v>
      </c>
    </row>
    <row r="897" spans="1:7" ht="30" x14ac:dyDescent="0.2">
      <c r="A897" s="583" t="s">
        <v>14084</v>
      </c>
      <c r="B897" s="605" t="s">
        <v>14085</v>
      </c>
      <c r="C897" s="606" t="s">
        <v>20358</v>
      </c>
      <c r="D897" s="607">
        <v>107.07</v>
      </c>
      <c r="E897" s="607">
        <v>10.07</v>
      </c>
      <c r="F897" s="607">
        <v>117.14</v>
      </c>
      <c r="G897" s="584">
        <v>15</v>
      </c>
    </row>
    <row r="898" spans="1:7" ht="30" x14ac:dyDescent="0.2">
      <c r="A898" s="583" t="s">
        <v>14086</v>
      </c>
      <c r="B898" s="605" t="s">
        <v>14087</v>
      </c>
      <c r="C898" s="606" t="s">
        <v>20358</v>
      </c>
      <c r="D898" s="607">
        <v>72.78</v>
      </c>
      <c r="E898" s="607">
        <v>10.07</v>
      </c>
      <c r="F898" s="607">
        <v>82.85</v>
      </c>
      <c r="G898" s="584">
        <v>15</v>
      </c>
    </row>
    <row r="899" spans="1:7" ht="15" x14ac:dyDescent="0.25">
      <c r="A899" s="583" t="s">
        <v>14088</v>
      </c>
      <c r="B899" s="605" t="s">
        <v>14089</v>
      </c>
      <c r="C899" s="606"/>
      <c r="D899" s="607"/>
      <c r="E899" s="607"/>
      <c r="F899" s="607"/>
      <c r="G899" s="582"/>
    </row>
    <row r="900" spans="1:7" ht="30" x14ac:dyDescent="0.2">
      <c r="A900" s="583" t="s">
        <v>14090</v>
      </c>
      <c r="B900" s="605" t="s">
        <v>21379</v>
      </c>
      <c r="C900" s="606" t="s">
        <v>12427</v>
      </c>
      <c r="D900" s="607">
        <v>80.75</v>
      </c>
      <c r="E900" s="607">
        <v>32.729999999999997</v>
      </c>
      <c r="F900" s="607">
        <v>113.48</v>
      </c>
      <c r="G900" s="584">
        <v>15</v>
      </c>
    </row>
    <row r="901" spans="1:7" ht="15" x14ac:dyDescent="0.2">
      <c r="A901" s="583" t="s">
        <v>14091</v>
      </c>
      <c r="B901" s="605" t="s">
        <v>21380</v>
      </c>
      <c r="C901" s="606" t="s">
        <v>12483</v>
      </c>
      <c r="D901" s="607">
        <v>106.76</v>
      </c>
      <c r="E901" s="607">
        <v>11.08</v>
      </c>
      <c r="F901" s="607">
        <v>117.84</v>
      </c>
      <c r="G901" s="584">
        <v>15</v>
      </c>
    </row>
    <row r="902" spans="1:7" ht="15" x14ac:dyDescent="0.25">
      <c r="A902" s="583" t="s">
        <v>14092</v>
      </c>
      <c r="B902" s="605" t="s">
        <v>14093</v>
      </c>
      <c r="C902" s="606"/>
      <c r="D902" s="607"/>
      <c r="E902" s="607"/>
      <c r="F902" s="607"/>
      <c r="G902" s="582"/>
    </row>
    <row r="903" spans="1:7" ht="30" x14ac:dyDescent="0.2">
      <c r="A903" s="583" t="s">
        <v>14094</v>
      </c>
      <c r="B903" s="605" t="s">
        <v>21381</v>
      </c>
      <c r="C903" s="606" t="s">
        <v>12427</v>
      </c>
      <c r="D903" s="607">
        <v>94.05</v>
      </c>
      <c r="E903" s="607">
        <v>20.14</v>
      </c>
      <c r="F903" s="607">
        <v>114.19</v>
      </c>
      <c r="G903" s="584">
        <v>15</v>
      </c>
    </row>
    <row r="904" spans="1:7" ht="30" x14ac:dyDescent="0.2">
      <c r="A904" s="583" t="s">
        <v>14095</v>
      </c>
      <c r="B904" s="605" t="s">
        <v>21382</v>
      </c>
      <c r="C904" s="606" t="s">
        <v>12427</v>
      </c>
      <c r="D904" s="607">
        <v>172.57</v>
      </c>
      <c r="E904" s="607">
        <v>20.14</v>
      </c>
      <c r="F904" s="607">
        <v>192.71</v>
      </c>
      <c r="G904" s="584">
        <v>15</v>
      </c>
    </row>
    <row r="905" spans="1:7" ht="30" x14ac:dyDescent="0.2">
      <c r="A905" s="583" t="s">
        <v>14096</v>
      </c>
      <c r="B905" s="605" t="s">
        <v>21383</v>
      </c>
      <c r="C905" s="606" t="s">
        <v>2</v>
      </c>
      <c r="D905" s="607">
        <v>163.25</v>
      </c>
      <c r="E905" s="607">
        <v>20.14</v>
      </c>
      <c r="F905" s="607">
        <v>183.39</v>
      </c>
      <c r="G905" s="584">
        <v>15</v>
      </c>
    </row>
    <row r="906" spans="1:7" ht="30" x14ac:dyDescent="0.2">
      <c r="A906" s="583" t="s">
        <v>14097</v>
      </c>
      <c r="B906" s="605" t="s">
        <v>21384</v>
      </c>
      <c r="C906" s="606" t="s">
        <v>2</v>
      </c>
      <c r="D906" s="607">
        <v>93.37</v>
      </c>
      <c r="E906" s="607">
        <v>20.14</v>
      </c>
      <c r="F906" s="607">
        <v>113.51</v>
      </c>
      <c r="G906" s="584">
        <v>15</v>
      </c>
    </row>
    <row r="907" spans="1:7" ht="30" x14ac:dyDescent="0.2">
      <c r="A907" s="583" t="s">
        <v>14098</v>
      </c>
      <c r="B907" s="605" t="s">
        <v>21385</v>
      </c>
      <c r="C907" s="606" t="s">
        <v>20358</v>
      </c>
      <c r="D907" s="607">
        <v>75.14</v>
      </c>
      <c r="E907" s="607">
        <v>10.07</v>
      </c>
      <c r="F907" s="607">
        <v>85.21</v>
      </c>
      <c r="G907" s="584">
        <v>15</v>
      </c>
    </row>
    <row r="908" spans="1:7" ht="30" x14ac:dyDescent="0.2">
      <c r="A908" s="583" t="s">
        <v>14099</v>
      </c>
      <c r="B908" s="605" t="s">
        <v>21386</v>
      </c>
      <c r="C908" s="606" t="s">
        <v>20358</v>
      </c>
      <c r="D908" s="607">
        <v>74.97</v>
      </c>
      <c r="E908" s="607">
        <v>10.07</v>
      </c>
      <c r="F908" s="607">
        <v>85.04</v>
      </c>
      <c r="G908" s="584">
        <v>15</v>
      </c>
    </row>
    <row r="909" spans="1:7" ht="15" x14ac:dyDescent="0.25">
      <c r="A909" s="583" t="s">
        <v>14100</v>
      </c>
      <c r="B909" s="605" t="s">
        <v>14101</v>
      </c>
      <c r="C909" s="606"/>
      <c r="D909" s="607"/>
      <c r="E909" s="607"/>
      <c r="F909" s="607"/>
      <c r="G909" s="582"/>
    </row>
    <row r="910" spans="1:7" ht="30" x14ac:dyDescent="0.2">
      <c r="A910" s="583" t="s">
        <v>14102</v>
      </c>
      <c r="B910" s="605" t="s">
        <v>21387</v>
      </c>
      <c r="C910" s="606" t="s">
        <v>2</v>
      </c>
      <c r="D910" s="607">
        <v>166.47</v>
      </c>
      <c r="E910" s="607">
        <v>50.65</v>
      </c>
      <c r="F910" s="607">
        <v>217.12</v>
      </c>
      <c r="G910" s="584">
        <v>15</v>
      </c>
    </row>
    <row r="911" spans="1:7" ht="30" x14ac:dyDescent="0.2">
      <c r="A911" s="583" t="s">
        <v>14103</v>
      </c>
      <c r="B911" s="605" t="s">
        <v>21388</v>
      </c>
      <c r="C911" s="606" t="s">
        <v>2</v>
      </c>
      <c r="D911" s="607">
        <v>179</v>
      </c>
      <c r="E911" s="607">
        <v>21.92</v>
      </c>
      <c r="F911" s="607">
        <v>200.92</v>
      </c>
      <c r="G911" s="584">
        <v>15</v>
      </c>
    </row>
    <row r="912" spans="1:7" ht="30" x14ac:dyDescent="0.2">
      <c r="A912" s="583" t="s">
        <v>14104</v>
      </c>
      <c r="B912" s="605" t="s">
        <v>21389</v>
      </c>
      <c r="C912" s="606" t="s">
        <v>2</v>
      </c>
      <c r="D912" s="607">
        <v>122.03</v>
      </c>
      <c r="E912" s="607">
        <v>21.92</v>
      </c>
      <c r="F912" s="607">
        <v>143.94999999999999</v>
      </c>
      <c r="G912" s="584">
        <v>15</v>
      </c>
    </row>
    <row r="913" spans="1:7" ht="30" x14ac:dyDescent="0.2">
      <c r="A913" s="583" t="s">
        <v>14105</v>
      </c>
      <c r="B913" s="605" t="s">
        <v>21390</v>
      </c>
      <c r="C913" s="606" t="s">
        <v>2</v>
      </c>
      <c r="D913" s="607">
        <v>116.9</v>
      </c>
      <c r="E913" s="607">
        <v>20.14</v>
      </c>
      <c r="F913" s="607">
        <v>137.04</v>
      </c>
      <c r="G913" s="584">
        <v>15</v>
      </c>
    </row>
    <row r="914" spans="1:7" ht="15" x14ac:dyDescent="0.25">
      <c r="A914" s="583" t="s">
        <v>14106</v>
      </c>
      <c r="B914" s="605" t="s">
        <v>14107</v>
      </c>
      <c r="C914" s="606"/>
      <c r="D914" s="607"/>
      <c r="E914" s="607"/>
      <c r="F914" s="607"/>
      <c r="G914" s="582"/>
    </row>
    <row r="915" spans="1:7" ht="15" x14ac:dyDescent="0.2">
      <c r="A915" s="583" t="s">
        <v>14108</v>
      </c>
      <c r="B915" s="605" t="s">
        <v>14109</v>
      </c>
      <c r="C915" s="606" t="s">
        <v>2</v>
      </c>
      <c r="D915" s="607">
        <v>69.709999999999994</v>
      </c>
      <c r="E915" s="607">
        <v>20.14</v>
      </c>
      <c r="F915" s="607">
        <v>89.85</v>
      </c>
      <c r="G915" s="584">
        <v>15</v>
      </c>
    </row>
    <row r="916" spans="1:7" ht="30" x14ac:dyDescent="0.2">
      <c r="A916" s="583" t="s">
        <v>14110</v>
      </c>
      <c r="B916" s="605" t="s">
        <v>14111</v>
      </c>
      <c r="C916" s="606" t="s">
        <v>2</v>
      </c>
      <c r="D916" s="607">
        <v>112.08</v>
      </c>
      <c r="E916" s="607">
        <v>20.14</v>
      </c>
      <c r="F916" s="607">
        <v>132.22</v>
      </c>
      <c r="G916" s="584">
        <v>15</v>
      </c>
    </row>
    <row r="917" spans="1:7" ht="15" x14ac:dyDescent="0.2">
      <c r="A917" s="583" t="s">
        <v>14112</v>
      </c>
      <c r="B917" s="605" t="s">
        <v>14113</v>
      </c>
      <c r="C917" s="606" t="s">
        <v>12483</v>
      </c>
      <c r="D917" s="607">
        <v>166.52</v>
      </c>
      <c r="E917" s="607">
        <v>10.07</v>
      </c>
      <c r="F917" s="607">
        <v>176.59</v>
      </c>
      <c r="G917" s="584">
        <v>15</v>
      </c>
    </row>
    <row r="918" spans="1:7" ht="15" x14ac:dyDescent="0.25">
      <c r="A918" s="583" t="s">
        <v>14114</v>
      </c>
      <c r="B918" s="605" t="s">
        <v>14115</v>
      </c>
      <c r="C918" s="606"/>
      <c r="D918" s="607"/>
      <c r="E918" s="607"/>
      <c r="F918" s="607"/>
      <c r="G918" s="582"/>
    </row>
    <row r="919" spans="1:7" ht="15" x14ac:dyDescent="0.2">
      <c r="A919" s="583" t="s">
        <v>14116</v>
      </c>
      <c r="B919" s="605" t="s">
        <v>14117</v>
      </c>
      <c r="C919" s="606" t="s">
        <v>12375</v>
      </c>
      <c r="D919" s="607">
        <v>74.31</v>
      </c>
      <c r="E919" s="607">
        <v>5.03</v>
      </c>
      <c r="F919" s="607">
        <v>79.34</v>
      </c>
      <c r="G919" s="584">
        <v>15</v>
      </c>
    </row>
    <row r="920" spans="1:7" ht="15" x14ac:dyDescent="0.2">
      <c r="A920" s="583" t="s">
        <v>14118</v>
      </c>
      <c r="B920" s="605" t="s">
        <v>14119</v>
      </c>
      <c r="C920" s="606" t="s">
        <v>12375</v>
      </c>
      <c r="D920" s="607">
        <v>74.31</v>
      </c>
      <c r="E920" s="607">
        <v>5.03</v>
      </c>
      <c r="F920" s="607">
        <v>79.34</v>
      </c>
      <c r="G920" s="584">
        <v>15</v>
      </c>
    </row>
    <row r="921" spans="1:7" ht="15" x14ac:dyDescent="0.25">
      <c r="A921" s="583" t="s">
        <v>14120</v>
      </c>
      <c r="B921" s="605" t="s">
        <v>14121</v>
      </c>
      <c r="C921" s="606"/>
      <c r="D921" s="607"/>
      <c r="E921" s="607"/>
      <c r="F921" s="607"/>
      <c r="G921" s="582"/>
    </row>
    <row r="922" spans="1:7" ht="15" x14ac:dyDescent="0.2">
      <c r="A922" s="583" t="s">
        <v>14122</v>
      </c>
      <c r="B922" s="605" t="s">
        <v>14123</v>
      </c>
      <c r="C922" s="606" t="s">
        <v>12427</v>
      </c>
      <c r="D922" s="607">
        <v>903.8</v>
      </c>
      <c r="E922" s="607"/>
      <c r="F922" s="607">
        <v>903.8</v>
      </c>
      <c r="G922" s="584">
        <v>15</v>
      </c>
    </row>
    <row r="923" spans="1:7" ht="15" x14ac:dyDescent="0.25">
      <c r="A923" s="583" t="s">
        <v>14124</v>
      </c>
      <c r="B923" s="605" t="s">
        <v>14125</v>
      </c>
      <c r="C923" s="606"/>
      <c r="D923" s="607"/>
      <c r="E923" s="607"/>
      <c r="F923" s="607"/>
      <c r="G923" s="582"/>
    </row>
    <row r="924" spans="1:7" ht="30" x14ac:dyDescent="0.2">
      <c r="A924" s="583" t="s">
        <v>14126</v>
      </c>
      <c r="B924" s="605" t="s">
        <v>14127</v>
      </c>
      <c r="C924" s="606" t="s">
        <v>12427</v>
      </c>
      <c r="D924" s="607">
        <v>131.9</v>
      </c>
      <c r="E924" s="607">
        <v>102.71</v>
      </c>
      <c r="F924" s="607">
        <v>234.61</v>
      </c>
      <c r="G924" s="584">
        <v>15</v>
      </c>
    </row>
    <row r="925" spans="1:7" ht="15" x14ac:dyDescent="0.2">
      <c r="A925" s="583" t="s">
        <v>14128</v>
      </c>
      <c r="B925" s="605" t="s">
        <v>14129</v>
      </c>
      <c r="C925" s="606" t="s">
        <v>12427</v>
      </c>
      <c r="D925" s="607">
        <v>173.96</v>
      </c>
      <c r="E925" s="607">
        <v>92.45</v>
      </c>
      <c r="F925" s="607">
        <v>266.41000000000003</v>
      </c>
      <c r="G925" s="584">
        <v>15</v>
      </c>
    </row>
    <row r="926" spans="1:7" ht="30" x14ac:dyDescent="0.2">
      <c r="A926" s="583" t="s">
        <v>14130</v>
      </c>
      <c r="B926" s="605" t="s">
        <v>14131</v>
      </c>
      <c r="C926" s="606" t="s">
        <v>12427</v>
      </c>
      <c r="D926" s="607">
        <v>176.95</v>
      </c>
      <c r="E926" s="607">
        <v>102.71</v>
      </c>
      <c r="F926" s="607">
        <v>279.66000000000003</v>
      </c>
      <c r="G926" s="584">
        <v>15</v>
      </c>
    </row>
    <row r="927" spans="1:7" ht="15" x14ac:dyDescent="0.25">
      <c r="A927" s="583" t="s">
        <v>14132</v>
      </c>
      <c r="B927" s="605" t="s">
        <v>14133</v>
      </c>
      <c r="C927" s="606"/>
      <c r="D927" s="607"/>
      <c r="E927" s="607"/>
      <c r="F927" s="607"/>
      <c r="G927" s="582"/>
    </row>
    <row r="928" spans="1:7" ht="15" x14ac:dyDescent="0.2">
      <c r="A928" s="583" t="s">
        <v>14134</v>
      </c>
      <c r="B928" s="605" t="s">
        <v>14135</v>
      </c>
      <c r="C928" s="606" t="s">
        <v>20358</v>
      </c>
      <c r="D928" s="607">
        <v>57.25</v>
      </c>
      <c r="E928" s="607">
        <v>61.41</v>
      </c>
      <c r="F928" s="607">
        <v>118.66</v>
      </c>
      <c r="G928" s="584">
        <v>15</v>
      </c>
    </row>
    <row r="929" spans="1:7" ht="15" x14ac:dyDescent="0.2">
      <c r="A929" s="583" t="s">
        <v>14136</v>
      </c>
      <c r="B929" s="605" t="s">
        <v>14137</v>
      </c>
      <c r="C929" s="606" t="s">
        <v>20358</v>
      </c>
      <c r="D929" s="607">
        <v>88.55</v>
      </c>
      <c r="E929" s="607">
        <v>72.58</v>
      </c>
      <c r="F929" s="607">
        <v>161.13</v>
      </c>
      <c r="G929" s="584">
        <v>15</v>
      </c>
    </row>
    <row r="930" spans="1:7" ht="15" x14ac:dyDescent="0.2">
      <c r="A930" s="583" t="s">
        <v>14138</v>
      </c>
      <c r="B930" s="605" t="s">
        <v>14139</v>
      </c>
      <c r="C930" s="606" t="s">
        <v>20358</v>
      </c>
      <c r="D930" s="607">
        <v>165.94</v>
      </c>
      <c r="E930" s="607">
        <v>78.16</v>
      </c>
      <c r="F930" s="607">
        <v>244.1</v>
      </c>
      <c r="G930" s="584">
        <v>15</v>
      </c>
    </row>
    <row r="931" spans="1:7" ht="15" x14ac:dyDescent="0.2">
      <c r="A931" s="583" t="s">
        <v>14140</v>
      </c>
      <c r="B931" s="605" t="s">
        <v>14141</v>
      </c>
      <c r="C931" s="606" t="s">
        <v>20358</v>
      </c>
      <c r="D931" s="607">
        <v>44.39</v>
      </c>
      <c r="E931" s="607">
        <v>61.41</v>
      </c>
      <c r="F931" s="607">
        <v>105.8</v>
      </c>
      <c r="G931" s="584">
        <v>15</v>
      </c>
    </row>
    <row r="932" spans="1:7" ht="15" x14ac:dyDescent="0.2">
      <c r="A932" s="583" t="s">
        <v>14142</v>
      </c>
      <c r="B932" s="605" t="s">
        <v>14143</v>
      </c>
      <c r="C932" s="606" t="s">
        <v>20358</v>
      </c>
      <c r="D932" s="607">
        <v>67.91</v>
      </c>
      <c r="E932" s="607">
        <v>72.58</v>
      </c>
      <c r="F932" s="607">
        <v>140.49</v>
      </c>
      <c r="G932" s="584">
        <v>15</v>
      </c>
    </row>
    <row r="933" spans="1:7" ht="15" x14ac:dyDescent="0.2">
      <c r="A933" s="583" t="s">
        <v>20069</v>
      </c>
      <c r="B933" s="605" t="s">
        <v>20070</v>
      </c>
      <c r="C933" s="606" t="s">
        <v>20358</v>
      </c>
      <c r="D933" s="607">
        <v>105.91</v>
      </c>
      <c r="E933" s="607">
        <v>53.03</v>
      </c>
      <c r="F933" s="607">
        <v>158.94</v>
      </c>
      <c r="G933" s="584">
        <v>15</v>
      </c>
    </row>
    <row r="934" spans="1:7" ht="15" x14ac:dyDescent="0.2">
      <c r="A934" s="583" t="s">
        <v>14144</v>
      </c>
      <c r="B934" s="605" t="s">
        <v>14145</v>
      </c>
      <c r="C934" s="606" t="s">
        <v>20385</v>
      </c>
      <c r="D934" s="607">
        <v>15.58</v>
      </c>
      <c r="E934" s="607">
        <v>1.59</v>
      </c>
      <c r="F934" s="607">
        <v>17.170000000000002</v>
      </c>
      <c r="G934" s="584">
        <v>15</v>
      </c>
    </row>
    <row r="935" spans="1:7" ht="15" x14ac:dyDescent="0.2">
      <c r="A935" s="583" t="s">
        <v>14146</v>
      </c>
      <c r="B935" s="605" t="s">
        <v>14147</v>
      </c>
      <c r="C935" s="606" t="s">
        <v>20385</v>
      </c>
      <c r="D935" s="607">
        <v>18.37</v>
      </c>
      <c r="E935" s="607">
        <v>2.27</v>
      </c>
      <c r="F935" s="607">
        <v>20.64</v>
      </c>
      <c r="G935" s="584">
        <v>15</v>
      </c>
    </row>
    <row r="936" spans="1:7" ht="15" x14ac:dyDescent="0.2">
      <c r="A936" s="583" t="s">
        <v>14148</v>
      </c>
      <c r="B936" s="605" t="s">
        <v>14149</v>
      </c>
      <c r="C936" s="606" t="s">
        <v>20385</v>
      </c>
      <c r="D936" s="607">
        <v>20.23</v>
      </c>
      <c r="E936" s="607">
        <v>3.18</v>
      </c>
      <c r="F936" s="607">
        <v>23.41</v>
      </c>
      <c r="G936" s="584">
        <v>15</v>
      </c>
    </row>
    <row r="937" spans="1:7" ht="15" x14ac:dyDescent="0.25">
      <c r="A937" s="583" t="s">
        <v>14150</v>
      </c>
      <c r="B937" s="605" t="s">
        <v>14151</v>
      </c>
      <c r="C937" s="606"/>
      <c r="D937" s="607"/>
      <c r="E937" s="607"/>
      <c r="F937" s="607"/>
      <c r="G937" s="582"/>
    </row>
    <row r="938" spans="1:7" ht="15" x14ac:dyDescent="0.2">
      <c r="A938" s="583" t="s">
        <v>14152</v>
      </c>
      <c r="B938" s="605" t="s">
        <v>14153</v>
      </c>
      <c r="C938" s="606" t="s">
        <v>20358</v>
      </c>
      <c r="D938" s="607">
        <v>2.57</v>
      </c>
      <c r="E938" s="607">
        <v>20.14</v>
      </c>
      <c r="F938" s="607">
        <v>22.71</v>
      </c>
      <c r="G938" s="584">
        <v>15</v>
      </c>
    </row>
    <row r="939" spans="1:7" ht="15" x14ac:dyDescent="0.2">
      <c r="A939" s="583" t="s">
        <v>14154</v>
      </c>
      <c r="B939" s="605" t="s">
        <v>14155</v>
      </c>
      <c r="C939" s="606" t="s">
        <v>2</v>
      </c>
      <c r="D939" s="607"/>
      <c r="E939" s="607">
        <v>54.8</v>
      </c>
      <c r="F939" s="607">
        <v>54.8</v>
      </c>
      <c r="G939" s="584">
        <v>15</v>
      </c>
    </row>
    <row r="940" spans="1:7" ht="15" x14ac:dyDescent="0.2">
      <c r="A940" s="583" t="s">
        <v>14156</v>
      </c>
      <c r="B940" s="605" t="s">
        <v>14157</v>
      </c>
      <c r="C940" s="606" t="s">
        <v>2</v>
      </c>
      <c r="D940" s="607"/>
      <c r="E940" s="607">
        <v>54.8</v>
      </c>
      <c r="F940" s="607">
        <v>54.8</v>
      </c>
      <c r="G940" s="584">
        <v>15</v>
      </c>
    </row>
    <row r="941" spans="1:7" ht="30" x14ac:dyDescent="0.2">
      <c r="A941" s="583" t="s">
        <v>14158</v>
      </c>
      <c r="B941" s="605" t="s">
        <v>14159</v>
      </c>
      <c r="C941" s="606" t="s">
        <v>2</v>
      </c>
      <c r="D941" s="607"/>
      <c r="E941" s="607">
        <v>25.18</v>
      </c>
      <c r="F941" s="607">
        <v>25.18</v>
      </c>
      <c r="G941" s="584">
        <v>15</v>
      </c>
    </row>
    <row r="942" spans="1:7" ht="15" x14ac:dyDescent="0.2">
      <c r="A942" s="583" t="s">
        <v>14160</v>
      </c>
      <c r="B942" s="605" t="s">
        <v>20287</v>
      </c>
      <c r="C942" s="606" t="s">
        <v>2</v>
      </c>
      <c r="D942" s="607"/>
      <c r="E942" s="607">
        <v>36.53</v>
      </c>
      <c r="F942" s="607">
        <v>36.53</v>
      </c>
      <c r="G942" s="584">
        <v>15</v>
      </c>
    </row>
    <row r="943" spans="1:7" ht="30" x14ac:dyDescent="0.2">
      <c r="A943" s="583" t="s">
        <v>14161</v>
      </c>
      <c r="B943" s="605" t="s">
        <v>14162</v>
      </c>
      <c r="C943" s="606" t="s">
        <v>2</v>
      </c>
      <c r="D943" s="607">
        <v>3.11</v>
      </c>
      <c r="E943" s="607">
        <v>20.14</v>
      </c>
      <c r="F943" s="607">
        <v>23.25</v>
      </c>
      <c r="G943" s="584">
        <v>15</v>
      </c>
    </row>
    <row r="944" spans="1:7" ht="30" x14ac:dyDescent="0.2">
      <c r="A944" s="583" t="s">
        <v>14163</v>
      </c>
      <c r="B944" s="605" t="s">
        <v>14164</v>
      </c>
      <c r="C944" s="606" t="s">
        <v>2</v>
      </c>
      <c r="D944" s="607">
        <v>9.33</v>
      </c>
      <c r="E944" s="607">
        <v>20.14</v>
      </c>
      <c r="F944" s="607">
        <v>29.47</v>
      </c>
      <c r="G944" s="584">
        <v>15</v>
      </c>
    </row>
    <row r="945" spans="1:7" ht="15" x14ac:dyDescent="0.25">
      <c r="A945" s="583" t="s">
        <v>14165</v>
      </c>
      <c r="B945" s="605" t="s">
        <v>14166</v>
      </c>
      <c r="C945" s="606"/>
      <c r="D945" s="607"/>
      <c r="E945" s="607"/>
      <c r="F945" s="607"/>
      <c r="G945" s="582"/>
    </row>
    <row r="946" spans="1:7" ht="15" x14ac:dyDescent="0.25">
      <c r="A946" s="583" t="s">
        <v>14167</v>
      </c>
      <c r="B946" s="605" t="s">
        <v>14168</v>
      </c>
      <c r="C946" s="606"/>
      <c r="D946" s="607"/>
      <c r="E946" s="607"/>
      <c r="F946" s="607"/>
      <c r="G946" s="582"/>
    </row>
    <row r="947" spans="1:7" ht="15" x14ac:dyDescent="0.2">
      <c r="A947" s="583" t="s">
        <v>14169</v>
      </c>
      <c r="B947" s="605" t="s">
        <v>14170</v>
      </c>
      <c r="C947" s="606" t="s">
        <v>21482</v>
      </c>
      <c r="D947" s="607">
        <v>1111.77</v>
      </c>
      <c r="E947" s="607">
        <v>358.88</v>
      </c>
      <c r="F947" s="607">
        <v>1470.65</v>
      </c>
      <c r="G947" s="584">
        <v>15</v>
      </c>
    </row>
    <row r="948" spans="1:7" ht="15" x14ac:dyDescent="0.2">
      <c r="A948" s="583" t="s">
        <v>14171</v>
      </c>
      <c r="B948" s="605" t="s">
        <v>14172</v>
      </c>
      <c r="C948" s="606" t="s">
        <v>21482</v>
      </c>
      <c r="D948" s="607">
        <v>484.93</v>
      </c>
      <c r="E948" s="607">
        <v>358.88</v>
      </c>
      <c r="F948" s="607">
        <v>843.81</v>
      </c>
      <c r="G948" s="584">
        <v>15</v>
      </c>
    </row>
    <row r="949" spans="1:7" ht="15" x14ac:dyDescent="0.2">
      <c r="A949" s="583" t="s">
        <v>14173</v>
      </c>
      <c r="B949" s="605" t="s">
        <v>14174</v>
      </c>
      <c r="C949" s="606" t="s">
        <v>21482</v>
      </c>
      <c r="D949" s="607">
        <v>432.76</v>
      </c>
      <c r="E949" s="607">
        <v>358.88</v>
      </c>
      <c r="F949" s="607">
        <v>791.64</v>
      </c>
      <c r="G949" s="584">
        <v>15</v>
      </c>
    </row>
    <row r="950" spans="1:7" ht="15" x14ac:dyDescent="0.2">
      <c r="A950" s="583" t="s">
        <v>14175</v>
      </c>
      <c r="B950" s="605" t="s">
        <v>14176</v>
      </c>
      <c r="C950" s="606" t="s">
        <v>2</v>
      </c>
      <c r="D950" s="607">
        <v>4.1100000000000003</v>
      </c>
      <c r="E950" s="607">
        <v>27.94</v>
      </c>
      <c r="F950" s="607">
        <v>32.049999999999997</v>
      </c>
      <c r="G950" s="584">
        <v>15</v>
      </c>
    </row>
    <row r="951" spans="1:7" ht="30" x14ac:dyDescent="0.2">
      <c r="A951" s="583" t="s">
        <v>14177</v>
      </c>
      <c r="B951" s="605" t="s">
        <v>20134</v>
      </c>
      <c r="C951" s="606" t="s">
        <v>2</v>
      </c>
      <c r="D951" s="607">
        <v>9.14</v>
      </c>
      <c r="E951" s="607">
        <v>27.45</v>
      </c>
      <c r="F951" s="607">
        <v>36.590000000000003</v>
      </c>
      <c r="G951" s="584">
        <v>15</v>
      </c>
    </row>
    <row r="952" spans="1:7" ht="15" x14ac:dyDescent="0.2">
      <c r="A952" s="583" t="s">
        <v>14178</v>
      </c>
      <c r="B952" s="605" t="s">
        <v>14179</v>
      </c>
      <c r="C952" s="606" t="s">
        <v>21482</v>
      </c>
      <c r="D952" s="607">
        <v>1205.75</v>
      </c>
      <c r="E952" s="607">
        <v>358.88</v>
      </c>
      <c r="F952" s="607">
        <v>1564.63</v>
      </c>
      <c r="G952" s="584">
        <v>15</v>
      </c>
    </row>
    <row r="953" spans="1:7" ht="15" x14ac:dyDescent="0.25">
      <c r="A953" s="583" t="s">
        <v>14180</v>
      </c>
      <c r="B953" s="605" t="s">
        <v>14181</v>
      </c>
      <c r="C953" s="606"/>
      <c r="D953" s="607"/>
      <c r="E953" s="607"/>
      <c r="F953" s="607"/>
      <c r="G953" s="582"/>
    </row>
    <row r="954" spans="1:7" ht="15" x14ac:dyDescent="0.2">
      <c r="A954" s="583" t="s">
        <v>14182</v>
      </c>
      <c r="B954" s="605" t="s">
        <v>14183</v>
      </c>
      <c r="C954" s="606" t="s">
        <v>2</v>
      </c>
      <c r="D954" s="607">
        <v>2.42</v>
      </c>
      <c r="E954" s="607">
        <v>5.31</v>
      </c>
      <c r="F954" s="607">
        <v>7.73</v>
      </c>
      <c r="G954" s="584">
        <v>15</v>
      </c>
    </row>
    <row r="955" spans="1:7" ht="15" x14ac:dyDescent="0.2">
      <c r="A955" s="583" t="s">
        <v>14184</v>
      </c>
      <c r="B955" s="605" t="s">
        <v>14185</v>
      </c>
      <c r="C955" s="606" t="s">
        <v>2</v>
      </c>
      <c r="D955" s="607">
        <v>1.55</v>
      </c>
      <c r="E955" s="607">
        <v>5.31</v>
      </c>
      <c r="F955" s="607">
        <v>6.86</v>
      </c>
      <c r="G955" s="584">
        <v>15</v>
      </c>
    </row>
    <row r="956" spans="1:7" ht="15" x14ac:dyDescent="0.2">
      <c r="A956" s="583" t="s">
        <v>14186</v>
      </c>
      <c r="B956" s="605" t="s">
        <v>20135</v>
      </c>
      <c r="C956" s="606" t="s">
        <v>2</v>
      </c>
      <c r="D956" s="607">
        <v>7.38</v>
      </c>
      <c r="E956" s="607">
        <v>5.31</v>
      </c>
      <c r="F956" s="607">
        <v>12.69</v>
      </c>
      <c r="G956" s="584">
        <v>15</v>
      </c>
    </row>
    <row r="957" spans="1:7" ht="15" x14ac:dyDescent="0.2">
      <c r="A957" s="583" t="s">
        <v>14187</v>
      </c>
      <c r="B957" s="605" t="s">
        <v>14188</v>
      </c>
      <c r="C957" s="606" t="s">
        <v>2</v>
      </c>
      <c r="D957" s="607">
        <v>2.48</v>
      </c>
      <c r="E957" s="607">
        <v>7.76</v>
      </c>
      <c r="F957" s="607">
        <v>10.24</v>
      </c>
      <c r="G957" s="584">
        <v>15</v>
      </c>
    </row>
    <row r="958" spans="1:7" ht="15" x14ac:dyDescent="0.2">
      <c r="A958" s="583" t="s">
        <v>14189</v>
      </c>
      <c r="B958" s="605" t="s">
        <v>14190</v>
      </c>
      <c r="C958" s="606" t="s">
        <v>2</v>
      </c>
      <c r="D958" s="607">
        <v>4.3099999999999996</v>
      </c>
      <c r="E958" s="607">
        <v>8.24</v>
      </c>
      <c r="F958" s="607">
        <v>12.55</v>
      </c>
      <c r="G958" s="584">
        <v>15</v>
      </c>
    </row>
    <row r="959" spans="1:7" ht="15" x14ac:dyDescent="0.2">
      <c r="A959" s="583" t="s">
        <v>14191</v>
      </c>
      <c r="B959" s="605" t="s">
        <v>14192</v>
      </c>
      <c r="C959" s="606" t="s">
        <v>2</v>
      </c>
      <c r="D959" s="607">
        <v>10.08</v>
      </c>
      <c r="E959" s="607">
        <v>14.61</v>
      </c>
      <c r="F959" s="607">
        <v>24.69</v>
      </c>
      <c r="G959" s="584">
        <v>15</v>
      </c>
    </row>
    <row r="960" spans="1:7" ht="15" x14ac:dyDescent="0.2">
      <c r="A960" s="583" t="s">
        <v>14193</v>
      </c>
      <c r="B960" s="605" t="s">
        <v>14194</v>
      </c>
      <c r="C960" s="606" t="s">
        <v>2</v>
      </c>
      <c r="D960" s="607">
        <v>10.08</v>
      </c>
      <c r="E960" s="607">
        <v>20.14</v>
      </c>
      <c r="F960" s="607">
        <v>30.22</v>
      </c>
      <c r="G960" s="584">
        <v>15</v>
      </c>
    </row>
    <row r="961" spans="1:7" ht="15" x14ac:dyDescent="0.2">
      <c r="A961" s="583" t="s">
        <v>14195</v>
      </c>
      <c r="B961" s="605" t="s">
        <v>14196</v>
      </c>
      <c r="C961" s="606" t="s">
        <v>2</v>
      </c>
      <c r="D961" s="607">
        <v>50.15</v>
      </c>
      <c r="E961" s="607">
        <v>12.59</v>
      </c>
      <c r="F961" s="607">
        <v>62.74</v>
      </c>
      <c r="G961" s="584">
        <v>15</v>
      </c>
    </row>
    <row r="962" spans="1:7" ht="15" x14ac:dyDescent="0.2">
      <c r="A962" s="583" t="s">
        <v>14197</v>
      </c>
      <c r="B962" s="605" t="s">
        <v>14198</v>
      </c>
      <c r="C962" s="606" t="s">
        <v>2</v>
      </c>
      <c r="D962" s="607">
        <v>2.0099999999999998</v>
      </c>
      <c r="E962" s="607">
        <v>12.59</v>
      </c>
      <c r="F962" s="607">
        <v>14.6</v>
      </c>
      <c r="G962" s="584">
        <v>15</v>
      </c>
    </row>
    <row r="963" spans="1:7" ht="15" x14ac:dyDescent="0.2">
      <c r="A963" s="583" t="s">
        <v>14199</v>
      </c>
      <c r="B963" s="605" t="s">
        <v>14200</v>
      </c>
      <c r="C963" s="606" t="s">
        <v>2</v>
      </c>
      <c r="D963" s="607">
        <v>9.9700000000000006</v>
      </c>
      <c r="E963" s="607">
        <v>32.729999999999997</v>
      </c>
      <c r="F963" s="607">
        <v>42.7</v>
      </c>
      <c r="G963" s="584">
        <v>15</v>
      </c>
    </row>
    <row r="964" spans="1:7" ht="15" x14ac:dyDescent="0.25">
      <c r="A964" s="583" t="s">
        <v>14201</v>
      </c>
      <c r="B964" s="605" t="s">
        <v>14202</v>
      </c>
      <c r="C964" s="606"/>
      <c r="D964" s="607"/>
      <c r="E964" s="607"/>
      <c r="F964" s="607"/>
      <c r="G964" s="582"/>
    </row>
    <row r="965" spans="1:7" ht="15" x14ac:dyDescent="0.2">
      <c r="A965" s="583" t="s">
        <v>14203</v>
      </c>
      <c r="B965" s="605" t="s">
        <v>14204</v>
      </c>
      <c r="C965" s="606" t="s">
        <v>2</v>
      </c>
      <c r="D965" s="607">
        <v>9.6999999999999993</v>
      </c>
      <c r="E965" s="607">
        <v>27.69</v>
      </c>
      <c r="F965" s="607">
        <v>37.39</v>
      </c>
      <c r="G965" s="584">
        <v>15</v>
      </c>
    </row>
    <row r="966" spans="1:7" ht="15" x14ac:dyDescent="0.2">
      <c r="A966" s="583" t="s">
        <v>14205</v>
      </c>
      <c r="B966" s="605" t="s">
        <v>14206</v>
      </c>
      <c r="C966" s="606" t="s">
        <v>2</v>
      </c>
      <c r="D966" s="607">
        <v>10.35</v>
      </c>
      <c r="E966" s="607">
        <v>32.729999999999997</v>
      </c>
      <c r="F966" s="607">
        <v>43.08</v>
      </c>
      <c r="G966" s="584">
        <v>15</v>
      </c>
    </row>
    <row r="967" spans="1:7" ht="15" x14ac:dyDescent="0.2">
      <c r="A967" s="583" t="s">
        <v>14207</v>
      </c>
      <c r="B967" s="605" t="s">
        <v>14208</v>
      </c>
      <c r="C967" s="606" t="s">
        <v>2</v>
      </c>
      <c r="D967" s="607">
        <v>30.17</v>
      </c>
      <c r="E967" s="607">
        <v>32.729999999999997</v>
      </c>
      <c r="F967" s="607">
        <v>62.9</v>
      </c>
      <c r="G967" s="584">
        <v>15</v>
      </c>
    </row>
    <row r="968" spans="1:7" ht="15" x14ac:dyDescent="0.2">
      <c r="A968" s="583" t="s">
        <v>14209</v>
      </c>
      <c r="B968" s="605" t="s">
        <v>14210</v>
      </c>
      <c r="C968" s="606" t="s">
        <v>2</v>
      </c>
      <c r="D968" s="607">
        <v>9.6999999999999993</v>
      </c>
      <c r="E968" s="607">
        <v>20.14</v>
      </c>
      <c r="F968" s="607">
        <v>29.84</v>
      </c>
      <c r="G968" s="584">
        <v>15</v>
      </c>
    </row>
    <row r="969" spans="1:7" ht="15" x14ac:dyDescent="0.2">
      <c r="A969" s="583" t="s">
        <v>14211</v>
      </c>
      <c r="B969" s="605" t="s">
        <v>14212</v>
      </c>
      <c r="C969" s="606" t="s">
        <v>2</v>
      </c>
      <c r="D969" s="607">
        <v>9.6999999999999993</v>
      </c>
      <c r="E969" s="607">
        <v>35.25</v>
      </c>
      <c r="F969" s="607">
        <v>44.95</v>
      </c>
      <c r="G969" s="584">
        <v>15</v>
      </c>
    </row>
    <row r="970" spans="1:7" ht="15" x14ac:dyDescent="0.2">
      <c r="A970" s="583" t="s">
        <v>14213</v>
      </c>
      <c r="B970" s="605" t="s">
        <v>14214</v>
      </c>
      <c r="C970" s="606" t="s">
        <v>20358</v>
      </c>
      <c r="D970" s="607">
        <v>6.97</v>
      </c>
      <c r="E970" s="607">
        <v>57.02</v>
      </c>
      <c r="F970" s="607">
        <v>63.99</v>
      </c>
      <c r="G970" s="584">
        <v>15</v>
      </c>
    </row>
    <row r="971" spans="1:7" ht="15" x14ac:dyDescent="0.2">
      <c r="A971" s="583" t="s">
        <v>14215</v>
      </c>
      <c r="B971" s="605" t="s">
        <v>14216</v>
      </c>
      <c r="C971" s="606" t="s">
        <v>20358</v>
      </c>
      <c r="D971" s="607">
        <v>1.19</v>
      </c>
      <c r="E971" s="607">
        <v>26.54</v>
      </c>
      <c r="F971" s="607">
        <v>27.73</v>
      </c>
      <c r="G971" s="584">
        <v>15</v>
      </c>
    </row>
    <row r="972" spans="1:7" ht="15" x14ac:dyDescent="0.2">
      <c r="A972" s="583" t="s">
        <v>14217</v>
      </c>
      <c r="B972" s="605" t="s">
        <v>14218</v>
      </c>
      <c r="C972" s="606" t="s">
        <v>20358</v>
      </c>
      <c r="D972" s="607">
        <v>1.37</v>
      </c>
      <c r="E972" s="607">
        <v>26.54</v>
      </c>
      <c r="F972" s="607">
        <v>27.91</v>
      </c>
      <c r="G972" s="584">
        <v>15</v>
      </c>
    </row>
    <row r="973" spans="1:7" ht="30" x14ac:dyDescent="0.2">
      <c r="A973" s="583" t="s">
        <v>14219</v>
      </c>
      <c r="B973" s="605" t="s">
        <v>14220</v>
      </c>
      <c r="C973" s="606" t="s">
        <v>20358</v>
      </c>
      <c r="D973" s="607">
        <v>1.63</v>
      </c>
      <c r="E973" s="607">
        <v>26.54</v>
      </c>
      <c r="F973" s="607">
        <v>28.17</v>
      </c>
      <c r="G973" s="584">
        <v>15</v>
      </c>
    </row>
    <row r="974" spans="1:7" ht="30" x14ac:dyDescent="0.2">
      <c r="A974" s="583" t="s">
        <v>14221</v>
      </c>
      <c r="B974" s="605" t="s">
        <v>14222</v>
      </c>
      <c r="C974" s="606" t="s">
        <v>20358</v>
      </c>
      <c r="D974" s="607">
        <v>2.12</v>
      </c>
      <c r="E974" s="607">
        <v>26.54</v>
      </c>
      <c r="F974" s="607">
        <v>28.66</v>
      </c>
      <c r="G974" s="584">
        <v>15</v>
      </c>
    </row>
    <row r="975" spans="1:7" ht="15" x14ac:dyDescent="0.25">
      <c r="A975" s="583" t="s">
        <v>14223</v>
      </c>
      <c r="B975" s="605" t="s">
        <v>14224</v>
      </c>
      <c r="C975" s="606"/>
      <c r="D975" s="607"/>
      <c r="E975" s="607"/>
      <c r="F975" s="607"/>
      <c r="G975" s="582"/>
    </row>
    <row r="976" spans="1:7" ht="15" x14ac:dyDescent="0.2">
      <c r="A976" s="583" t="s">
        <v>14225</v>
      </c>
      <c r="B976" s="605" t="s">
        <v>14226</v>
      </c>
      <c r="C976" s="606" t="s">
        <v>2</v>
      </c>
      <c r="D976" s="607">
        <v>5.0999999999999996</v>
      </c>
      <c r="E976" s="607">
        <v>16.739999999999998</v>
      </c>
      <c r="F976" s="607">
        <v>21.84</v>
      </c>
      <c r="G976" s="584">
        <v>15</v>
      </c>
    </row>
    <row r="977" spans="1:7" ht="15" x14ac:dyDescent="0.2">
      <c r="A977" s="583" t="s">
        <v>14227</v>
      </c>
      <c r="B977" s="605" t="s">
        <v>14228</v>
      </c>
      <c r="C977" s="606" t="s">
        <v>2</v>
      </c>
      <c r="D977" s="607">
        <v>7.14</v>
      </c>
      <c r="E977" s="607">
        <v>16.739999999999998</v>
      </c>
      <c r="F977" s="607">
        <v>23.88</v>
      </c>
      <c r="G977" s="584">
        <v>15</v>
      </c>
    </row>
    <row r="978" spans="1:7" ht="15" x14ac:dyDescent="0.25">
      <c r="A978" s="583" t="s">
        <v>14229</v>
      </c>
      <c r="B978" s="605" t="s">
        <v>14230</v>
      </c>
      <c r="C978" s="606"/>
      <c r="D978" s="607"/>
      <c r="E978" s="607"/>
      <c r="F978" s="607"/>
      <c r="G978" s="582"/>
    </row>
    <row r="979" spans="1:7" ht="15" x14ac:dyDescent="0.2">
      <c r="A979" s="583" t="s">
        <v>14231</v>
      </c>
      <c r="B979" s="605" t="s">
        <v>14232</v>
      </c>
      <c r="C979" s="606" t="s">
        <v>21482</v>
      </c>
      <c r="D979" s="607">
        <v>489.74</v>
      </c>
      <c r="E979" s="607">
        <v>483.26</v>
      </c>
      <c r="F979" s="607">
        <v>973</v>
      </c>
      <c r="G979" s="584">
        <v>15</v>
      </c>
    </row>
    <row r="980" spans="1:7" ht="30" x14ac:dyDescent="0.2">
      <c r="A980" s="583" t="s">
        <v>14233</v>
      </c>
      <c r="B980" s="605" t="s">
        <v>14234</v>
      </c>
      <c r="C980" s="606" t="s">
        <v>21482</v>
      </c>
      <c r="D980" s="607">
        <v>566.23</v>
      </c>
      <c r="E980" s="607">
        <v>483.26</v>
      </c>
      <c r="F980" s="607">
        <v>1049.49</v>
      </c>
      <c r="G980" s="584">
        <v>15</v>
      </c>
    </row>
    <row r="981" spans="1:7" ht="30" x14ac:dyDescent="0.2">
      <c r="A981" s="583" t="s">
        <v>14235</v>
      </c>
      <c r="B981" s="605" t="s">
        <v>14236</v>
      </c>
      <c r="C981" s="606" t="s">
        <v>21482</v>
      </c>
      <c r="D981" s="607">
        <v>605.57000000000005</v>
      </c>
      <c r="E981" s="607">
        <v>483.26</v>
      </c>
      <c r="F981" s="607">
        <v>1088.83</v>
      </c>
      <c r="G981" s="584">
        <v>15</v>
      </c>
    </row>
    <row r="982" spans="1:7" ht="15" x14ac:dyDescent="0.2">
      <c r="A982" s="583" t="s">
        <v>14237</v>
      </c>
      <c r="B982" s="605" t="s">
        <v>14238</v>
      </c>
      <c r="C982" s="606" t="s">
        <v>20358</v>
      </c>
      <c r="D982" s="607">
        <v>27.17</v>
      </c>
      <c r="E982" s="607">
        <v>56.16</v>
      </c>
      <c r="F982" s="607">
        <v>83.33</v>
      </c>
      <c r="G982" s="584">
        <v>15</v>
      </c>
    </row>
    <row r="983" spans="1:7" ht="15" x14ac:dyDescent="0.2">
      <c r="A983" s="583" t="s">
        <v>14239</v>
      </c>
      <c r="B983" s="605" t="s">
        <v>14240</v>
      </c>
      <c r="C983" s="606" t="s">
        <v>20358</v>
      </c>
      <c r="D983" s="607">
        <v>14.45</v>
      </c>
      <c r="E983" s="607">
        <v>76.45</v>
      </c>
      <c r="F983" s="607">
        <v>90.9</v>
      </c>
      <c r="G983" s="584">
        <v>15</v>
      </c>
    </row>
    <row r="984" spans="1:7" ht="15" x14ac:dyDescent="0.25">
      <c r="A984" s="583" t="s">
        <v>14241</v>
      </c>
      <c r="B984" s="605" t="s">
        <v>14242</v>
      </c>
      <c r="C984" s="606"/>
      <c r="D984" s="607"/>
      <c r="E984" s="607"/>
      <c r="F984" s="607"/>
      <c r="G984" s="582"/>
    </row>
    <row r="985" spans="1:7" ht="15" x14ac:dyDescent="0.2">
      <c r="A985" s="583" t="s">
        <v>14243</v>
      </c>
      <c r="B985" s="605" t="s">
        <v>14244</v>
      </c>
      <c r="C985" s="606" t="s">
        <v>12427</v>
      </c>
      <c r="D985" s="607">
        <v>98.3</v>
      </c>
      <c r="E985" s="607">
        <v>9.08</v>
      </c>
      <c r="F985" s="607">
        <v>107.38</v>
      </c>
      <c r="G985" s="584">
        <v>15</v>
      </c>
    </row>
    <row r="986" spans="1:7" ht="15" x14ac:dyDescent="0.2">
      <c r="A986" s="583" t="s">
        <v>14245</v>
      </c>
      <c r="B986" s="605" t="s">
        <v>14246</v>
      </c>
      <c r="C986" s="606" t="s">
        <v>12483</v>
      </c>
      <c r="D986" s="607">
        <v>58.61</v>
      </c>
      <c r="E986" s="607">
        <v>2.27</v>
      </c>
      <c r="F986" s="607">
        <v>60.88</v>
      </c>
      <c r="G986" s="584">
        <v>15</v>
      </c>
    </row>
    <row r="987" spans="1:7" ht="15" x14ac:dyDescent="0.2">
      <c r="A987" s="583" t="s">
        <v>14247</v>
      </c>
      <c r="B987" s="605" t="s">
        <v>14248</v>
      </c>
      <c r="C987" s="606" t="s">
        <v>12483</v>
      </c>
      <c r="D987" s="607">
        <v>97.85</v>
      </c>
      <c r="E987" s="607">
        <v>2.73</v>
      </c>
      <c r="F987" s="607">
        <v>100.58</v>
      </c>
      <c r="G987" s="584">
        <v>15</v>
      </c>
    </row>
    <row r="988" spans="1:7" ht="15" x14ac:dyDescent="0.2">
      <c r="A988" s="583" t="s">
        <v>14249</v>
      </c>
      <c r="B988" s="605" t="s">
        <v>14250</v>
      </c>
      <c r="C988" s="606" t="s">
        <v>12483</v>
      </c>
      <c r="D988" s="607">
        <v>54.23</v>
      </c>
      <c r="E988" s="607">
        <v>4.54</v>
      </c>
      <c r="F988" s="607">
        <v>58.77</v>
      </c>
      <c r="G988" s="584">
        <v>15</v>
      </c>
    </row>
    <row r="989" spans="1:7" ht="30" x14ac:dyDescent="0.2">
      <c r="A989" s="583" t="s">
        <v>14251</v>
      </c>
      <c r="B989" s="605" t="s">
        <v>14252</v>
      </c>
      <c r="C989" s="606" t="s">
        <v>12483</v>
      </c>
      <c r="D989" s="607">
        <v>128.11000000000001</v>
      </c>
      <c r="E989" s="607">
        <v>0.55000000000000004</v>
      </c>
      <c r="F989" s="607">
        <v>128.66</v>
      </c>
      <c r="G989" s="584">
        <v>15</v>
      </c>
    </row>
    <row r="990" spans="1:7" ht="15" x14ac:dyDescent="0.2">
      <c r="A990" s="583" t="s">
        <v>14253</v>
      </c>
      <c r="B990" s="605" t="s">
        <v>14254</v>
      </c>
      <c r="C990" s="606" t="s">
        <v>12427</v>
      </c>
      <c r="D990" s="607">
        <v>267.81</v>
      </c>
      <c r="E990" s="607">
        <v>5.45</v>
      </c>
      <c r="F990" s="607">
        <v>273.26</v>
      </c>
      <c r="G990" s="584">
        <v>15</v>
      </c>
    </row>
    <row r="991" spans="1:7" ht="15" x14ac:dyDescent="0.25">
      <c r="A991" s="583" t="s">
        <v>14255</v>
      </c>
      <c r="B991" s="605" t="s">
        <v>14256</v>
      </c>
      <c r="C991" s="606"/>
      <c r="D991" s="607"/>
      <c r="E991" s="607"/>
      <c r="F991" s="607"/>
      <c r="G991" s="582"/>
    </row>
    <row r="992" spans="1:7" ht="15" x14ac:dyDescent="0.2">
      <c r="A992" s="583" t="s">
        <v>14257</v>
      </c>
      <c r="B992" s="605" t="s">
        <v>14258</v>
      </c>
      <c r="C992" s="606" t="s">
        <v>12427</v>
      </c>
      <c r="D992" s="607">
        <v>99.15</v>
      </c>
      <c r="E992" s="607">
        <v>9.08</v>
      </c>
      <c r="F992" s="607">
        <v>108.23</v>
      </c>
      <c r="G992" s="584">
        <v>15</v>
      </c>
    </row>
    <row r="993" spans="1:7" ht="15" x14ac:dyDescent="0.2">
      <c r="A993" s="583" t="s">
        <v>14259</v>
      </c>
      <c r="B993" s="605" t="s">
        <v>14260</v>
      </c>
      <c r="C993" s="606" t="s">
        <v>12483</v>
      </c>
      <c r="D993" s="607">
        <v>44.62</v>
      </c>
      <c r="E993" s="607">
        <v>2.27</v>
      </c>
      <c r="F993" s="607">
        <v>46.89</v>
      </c>
      <c r="G993" s="584">
        <v>15</v>
      </c>
    </row>
    <row r="994" spans="1:7" ht="15" x14ac:dyDescent="0.2">
      <c r="A994" s="583" t="s">
        <v>14261</v>
      </c>
      <c r="B994" s="605" t="s">
        <v>14262</v>
      </c>
      <c r="C994" s="606" t="s">
        <v>12483</v>
      </c>
      <c r="D994" s="607">
        <v>104.79</v>
      </c>
      <c r="E994" s="607">
        <v>2.73</v>
      </c>
      <c r="F994" s="607">
        <v>107.52</v>
      </c>
      <c r="G994" s="584">
        <v>15</v>
      </c>
    </row>
    <row r="995" spans="1:7" ht="15" x14ac:dyDescent="0.2">
      <c r="A995" s="583" t="s">
        <v>14263</v>
      </c>
      <c r="B995" s="605" t="s">
        <v>14264</v>
      </c>
      <c r="C995" s="606" t="s">
        <v>12483</v>
      </c>
      <c r="D995" s="607">
        <v>97.42</v>
      </c>
      <c r="E995" s="607">
        <v>2.73</v>
      </c>
      <c r="F995" s="607">
        <v>100.15</v>
      </c>
      <c r="G995" s="584">
        <v>15</v>
      </c>
    </row>
    <row r="996" spans="1:7" ht="30" x14ac:dyDescent="0.2">
      <c r="A996" s="583" t="s">
        <v>14265</v>
      </c>
      <c r="B996" s="605" t="s">
        <v>14266</v>
      </c>
      <c r="C996" s="606" t="s">
        <v>12483</v>
      </c>
      <c r="D996" s="607">
        <v>47.25</v>
      </c>
      <c r="E996" s="607">
        <v>4.54</v>
      </c>
      <c r="F996" s="607">
        <v>51.79</v>
      </c>
      <c r="G996" s="584">
        <v>15</v>
      </c>
    </row>
    <row r="997" spans="1:7" ht="15" x14ac:dyDescent="0.2">
      <c r="A997" s="583" t="s">
        <v>14267</v>
      </c>
      <c r="B997" s="605" t="s">
        <v>20136</v>
      </c>
      <c r="C997" s="606" t="s">
        <v>12483</v>
      </c>
      <c r="D997" s="607">
        <v>100.92</v>
      </c>
      <c r="E997" s="607"/>
      <c r="F997" s="607">
        <v>100.92</v>
      </c>
      <c r="G997" s="584">
        <v>15</v>
      </c>
    </row>
    <row r="998" spans="1:7" ht="15" x14ac:dyDescent="0.2">
      <c r="A998" s="583" t="s">
        <v>20137</v>
      </c>
      <c r="B998" s="605" t="s">
        <v>20138</v>
      </c>
      <c r="C998" s="606" t="s">
        <v>12427</v>
      </c>
      <c r="D998" s="607">
        <v>156.66999999999999</v>
      </c>
      <c r="E998" s="607"/>
      <c r="F998" s="607">
        <v>156.66999999999999</v>
      </c>
      <c r="G998" s="584">
        <v>15</v>
      </c>
    </row>
    <row r="999" spans="1:7" ht="30" x14ac:dyDescent="0.2">
      <c r="A999" s="583" t="s">
        <v>20139</v>
      </c>
      <c r="B999" s="605" t="s">
        <v>20140</v>
      </c>
      <c r="C999" s="606" t="s">
        <v>12424</v>
      </c>
      <c r="D999" s="607">
        <v>1924.5</v>
      </c>
      <c r="E999" s="607"/>
      <c r="F999" s="607">
        <v>1924.5</v>
      </c>
      <c r="G999" s="584">
        <v>15</v>
      </c>
    </row>
    <row r="1000" spans="1:7" ht="15" x14ac:dyDescent="0.25">
      <c r="A1000" s="583" t="s">
        <v>14268</v>
      </c>
      <c r="B1000" s="605" t="s">
        <v>14269</v>
      </c>
      <c r="C1000" s="606"/>
      <c r="D1000" s="607"/>
      <c r="E1000" s="607"/>
      <c r="F1000" s="607"/>
      <c r="G1000" s="582"/>
    </row>
    <row r="1001" spans="1:7" ht="15" x14ac:dyDescent="0.2">
      <c r="A1001" s="583" t="s">
        <v>14270</v>
      </c>
      <c r="B1001" s="605" t="s">
        <v>14271</v>
      </c>
      <c r="C1001" s="606" t="s">
        <v>12427</v>
      </c>
      <c r="D1001" s="607">
        <v>34.86</v>
      </c>
      <c r="E1001" s="607">
        <v>63.83</v>
      </c>
      <c r="F1001" s="607">
        <v>98.69</v>
      </c>
      <c r="G1001" s="584">
        <v>15</v>
      </c>
    </row>
    <row r="1002" spans="1:7" ht="30" x14ac:dyDescent="0.2">
      <c r="A1002" s="583" t="s">
        <v>14272</v>
      </c>
      <c r="B1002" s="605" t="s">
        <v>14273</v>
      </c>
      <c r="C1002" s="606" t="s">
        <v>12483</v>
      </c>
      <c r="D1002" s="607">
        <v>82.21</v>
      </c>
      <c r="E1002" s="607">
        <v>22.71</v>
      </c>
      <c r="F1002" s="607">
        <v>104.92</v>
      </c>
      <c r="G1002" s="584">
        <v>15</v>
      </c>
    </row>
    <row r="1003" spans="1:7" ht="30" x14ac:dyDescent="0.2">
      <c r="A1003" s="583" t="s">
        <v>14274</v>
      </c>
      <c r="B1003" s="605" t="s">
        <v>14275</v>
      </c>
      <c r="C1003" s="606" t="s">
        <v>12483</v>
      </c>
      <c r="D1003" s="607">
        <v>10.81</v>
      </c>
      <c r="E1003" s="607"/>
      <c r="F1003" s="607">
        <v>10.81</v>
      </c>
      <c r="G1003" s="584">
        <v>15</v>
      </c>
    </row>
    <row r="1004" spans="1:7" ht="15" x14ac:dyDescent="0.2">
      <c r="A1004" s="583" t="s">
        <v>14276</v>
      </c>
      <c r="B1004" s="605" t="s">
        <v>14277</v>
      </c>
      <c r="C1004" s="606" t="s">
        <v>12427</v>
      </c>
      <c r="D1004" s="607">
        <v>198.51</v>
      </c>
      <c r="E1004" s="607">
        <v>22.71</v>
      </c>
      <c r="F1004" s="607">
        <v>221.22</v>
      </c>
      <c r="G1004" s="584">
        <v>15</v>
      </c>
    </row>
    <row r="1005" spans="1:7" ht="30" x14ac:dyDescent="0.2">
      <c r="A1005" s="583" t="s">
        <v>14278</v>
      </c>
      <c r="B1005" s="605" t="s">
        <v>14279</v>
      </c>
      <c r="C1005" s="606" t="s">
        <v>12427</v>
      </c>
      <c r="D1005" s="607">
        <v>14.74</v>
      </c>
      <c r="E1005" s="607">
        <v>25.04</v>
      </c>
      <c r="F1005" s="607">
        <v>39.78</v>
      </c>
      <c r="G1005" s="584">
        <v>15</v>
      </c>
    </row>
    <row r="1006" spans="1:7" ht="15" x14ac:dyDescent="0.25">
      <c r="A1006" s="583" t="s">
        <v>14280</v>
      </c>
      <c r="B1006" s="605" t="s">
        <v>14281</v>
      </c>
      <c r="C1006" s="606"/>
      <c r="D1006" s="607"/>
      <c r="E1006" s="607"/>
      <c r="F1006" s="607"/>
      <c r="G1006" s="582"/>
    </row>
    <row r="1007" spans="1:7" ht="15" x14ac:dyDescent="0.2">
      <c r="A1007" s="583" t="s">
        <v>14282</v>
      </c>
      <c r="B1007" s="605" t="s">
        <v>14283</v>
      </c>
      <c r="C1007" s="606" t="s">
        <v>12427</v>
      </c>
      <c r="D1007" s="607">
        <v>56.13</v>
      </c>
      <c r="E1007" s="607"/>
      <c r="F1007" s="607">
        <v>56.13</v>
      </c>
      <c r="G1007" s="584">
        <v>15</v>
      </c>
    </row>
    <row r="1008" spans="1:7" ht="30" x14ac:dyDescent="0.2">
      <c r="A1008" s="583" t="s">
        <v>14284</v>
      </c>
      <c r="B1008" s="605" t="s">
        <v>14285</v>
      </c>
      <c r="C1008" s="606" t="s">
        <v>12427</v>
      </c>
      <c r="D1008" s="607">
        <v>49.47</v>
      </c>
      <c r="E1008" s="607"/>
      <c r="F1008" s="607">
        <v>49.47</v>
      </c>
      <c r="G1008" s="584">
        <v>15</v>
      </c>
    </row>
    <row r="1009" spans="1:7" ht="30" x14ac:dyDescent="0.2">
      <c r="A1009" s="583" t="s">
        <v>14286</v>
      </c>
      <c r="B1009" s="605" t="s">
        <v>14287</v>
      </c>
      <c r="C1009" s="606" t="s">
        <v>12483</v>
      </c>
      <c r="D1009" s="607">
        <v>57.86</v>
      </c>
      <c r="E1009" s="607"/>
      <c r="F1009" s="607">
        <v>57.86</v>
      </c>
      <c r="G1009" s="584">
        <v>15</v>
      </c>
    </row>
    <row r="1010" spans="1:7" ht="15" x14ac:dyDescent="0.2">
      <c r="A1010" s="583" t="s">
        <v>14288</v>
      </c>
      <c r="B1010" s="605" t="s">
        <v>14289</v>
      </c>
      <c r="C1010" s="606" t="s">
        <v>12483</v>
      </c>
      <c r="D1010" s="607">
        <v>57.82</v>
      </c>
      <c r="E1010" s="607"/>
      <c r="F1010" s="607">
        <v>57.82</v>
      </c>
      <c r="G1010" s="584">
        <v>15</v>
      </c>
    </row>
    <row r="1011" spans="1:7" ht="30" x14ac:dyDescent="0.2">
      <c r="A1011" s="583" t="s">
        <v>14290</v>
      </c>
      <c r="B1011" s="605" t="s">
        <v>14291</v>
      </c>
      <c r="C1011" s="606" t="s">
        <v>12483</v>
      </c>
      <c r="D1011" s="607"/>
      <c r="E1011" s="607">
        <v>50.35</v>
      </c>
      <c r="F1011" s="607">
        <v>50.35</v>
      </c>
      <c r="G1011" s="584">
        <v>15</v>
      </c>
    </row>
    <row r="1012" spans="1:7" ht="15" x14ac:dyDescent="0.2">
      <c r="A1012" s="583" t="s">
        <v>14292</v>
      </c>
      <c r="B1012" s="605" t="s">
        <v>14293</v>
      </c>
      <c r="C1012" s="606" t="s">
        <v>12427</v>
      </c>
      <c r="D1012" s="607">
        <v>11.57</v>
      </c>
      <c r="E1012" s="607">
        <v>25.64</v>
      </c>
      <c r="F1012" s="607">
        <v>37.21</v>
      </c>
      <c r="G1012" s="584">
        <v>15</v>
      </c>
    </row>
    <row r="1013" spans="1:7" ht="15" x14ac:dyDescent="0.2">
      <c r="A1013" s="583" t="s">
        <v>14294</v>
      </c>
      <c r="B1013" s="605" t="s">
        <v>14295</v>
      </c>
      <c r="C1013" s="606" t="s">
        <v>12427</v>
      </c>
      <c r="D1013" s="607">
        <v>26.18</v>
      </c>
      <c r="E1013" s="607">
        <v>25.64</v>
      </c>
      <c r="F1013" s="607">
        <v>51.82</v>
      </c>
      <c r="G1013" s="584">
        <v>15</v>
      </c>
    </row>
    <row r="1014" spans="1:7" ht="15" x14ac:dyDescent="0.2">
      <c r="A1014" s="583" t="s">
        <v>14296</v>
      </c>
      <c r="B1014" s="605" t="s">
        <v>14297</v>
      </c>
      <c r="C1014" s="606" t="s">
        <v>12483</v>
      </c>
      <c r="D1014" s="607">
        <v>6.17</v>
      </c>
      <c r="E1014" s="607">
        <v>13.38</v>
      </c>
      <c r="F1014" s="607">
        <v>19.55</v>
      </c>
      <c r="G1014" s="584">
        <v>15</v>
      </c>
    </row>
    <row r="1015" spans="1:7" ht="15" x14ac:dyDescent="0.2">
      <c r="A1015" s="583" t="s">
        <v>14298</v>
      </c>
      <c r="B1015" s="605" t="s">
        <v>14299</v>
      </c>
      <c r="C1015" s="606" t="s">
        <v>12483</v>
      </c>
      <c r="D1015" s="607">
        <v>13.96</v>
      </c>
      <c r="E1015" s="607">
        <v>13.38</v>
      </c>
      <c r="F1015" s="607">
        <v>27.34</v>
      </c>
      <c r="G1015" s="584">
        <v>15</v>
      </c>
    </row>
    <row r="1016" spans="1:7" ht="15" x14ac:dyDescent="0.25">
      <c r="A1016" s="583" t="s">
        <v>14300</v>
      </c>
      <c r="B1016" s="605" t="s">
        <v>14301</v>
      </c>
      <c r="C1016" s="606"/>
      <c r="D1016" s="607"/>
      <c r="E1016" s="607"/>
      <c r="F1016" s="607"/>
      <c r="G1016" s="582"/>
    </row>
    <row r="1017" spans="1:7" ht="15" x14ac:dyDescent="0.25">
      <c r="A1017" s="583" t="s">
        <v>14302</v>
      </c>
      <c r="B1017" s="605" t="s">
        <v>14303</v>
      </c>
      <c r="C1017" s="606"/>
      <c r="D1017" s="607"/>
      <c r="E1017" s="607"/>
      <c r="F1017" s="607"/>
      <c r="G1017" s="582"/>
    </row>
    <row r="1018" spans="1:7" ht="30" x14ac:dyDescent="0.2">
      <c r="A1018" s="583" t="s">
        <v>14304</v>
      </c>
      <c r="B1018" s="605" t="s">
        <v>14305</v>
      </c>
      <c r="C1018" s="606" t="s">
        <v>12427</v>
      </c>
      <c r="D1018" s="607">
        <v>58.83</v>
      </c>
      <c r="E1018" s="607">
        <v>14.49</v>
      </c>
      <c r="F1018" s="607">
        <v>73.319999999999993</v>
      </c>
      <c r="G1018" s="584">
        <v>15</v>
      </c>
    </row>
    <row r="1019" spans="1:7" ht="15" x14ac:dyDescent="0.25">
      <c r="A1019" s="583" t="s">
        <v>14306</v>
      </c>
      <c r="B1019" s="605" t="s">
        <v>14307</v>
      </c>
      <c r="C1019" s="606"/>
      <c r="D1019" s="607"/>
      <c r="E1019" s="607"/>
      <c r="F1019" s="607"/>
      <c r="G1019" s="582"/>
    </row>
    <row r="1020" spans="1:7" ht="45" x14ac:dyDescent="0.2">
      <c r="A1020" s="583" t="s">
        <v>14308</v>
      </c>
      <c r="B1020" s="605" t="s">
        <v>14309</v>
      </c>
      <c r="C1020" s="606" t="s">
        <v>12427</v>
      </c>
      <c r="D1020" s="607">
        <v>34.07</v>
      </c>
      <c r="E1020" s="607">
        <v>17.16</v>
      </c>
      <c r="F1020" s="607">
        <v>51.23</v>
      </c>
      <c r="G1020" s="584">
        <v>15</v>
      </c>
    </row>
    <row r="1021" spans="1:7" ht="45" x14ac:dyDescent="0.2">
      <c r="A1021" s="583" t="s">
        <v>14310</v>
      </c>
      <c r="B1021" s="605" t="s">
        <v>14311</v>
      </c>
      <c r="C1021" s="606" t="s">
        <v>12483</v>
      </c>
      <c r="D1021" s="607">
        <v>5.61</v>
      </c>
      <c r="E1021" s="607">
        <v>1.37</v>
      </c>
      <c r="F1021" s="607">
        <v>6.98</v>
      </c>
      <c r="G1021" s="584">
        <v>15</v>
      </c>
    </row>
    <row r="1022" spans="1:7" ht="60" x14ac:dyDescent="0.2">
      <c r="A1022" s="583" t="s">
        <v>14312</v>
      </c>
      <c r="B1022" s="605" t="s">
        <v>14313</v>
      </c>
      <c r="C1022" s="606" t="s">
        <v>12427</v>
      </c>
      <c r="D1022" s="607">
        <v>116.07</v>
      </c>
      <c r="E1022" s="607">
        <v>17.16</v>
      </c>
      <c r="F1022" s="607">
        <v>133.22999999999999</v>
      </c>
      <c r="G1022" s="584">
        <v>15</v>
      </c>
    </row>
    <row r="1023" spans="1:7" ht="60" x14ac:dyDescent="0.2">
      <c r="A1023" s="583" t="s">
        <v>14314</v>
      </c>
      <c r="B1023" s="605" t="s">
        <v>14315</v>
      </c>
      <c r="C1023" s="606" t="s">
        <v>12483</v>
      </c>
      <c r="D1023" s="607">
        <v>19.399999999999999</v>
      </c>
      <c r="E1023" s="607">
        <v>1.37</v>
      </c>
      <c r="F1023" s="607">
        <v>20.77</v>
      </c>
      <c r="G1023" s="584">
        <v>15</v>
      </c>
    </row>
    <row r="1024" spans="1:7" ht="45" x14ac:dyDescent="0.2">
      <c r="A1024" s="583" t="s">
        <v>20141</v>
      </c>
      <c r="B1024" s="605" t="s">
        <v>20142</v>
      </c>
      <c r="C1024" s="606" t="s">
        <v>12427</v>
      </c>
      <c r="D1024" s="607">
        <v>40.380000000000003</v>
      </c>
      <c r="E1024" s="607">
        <v>17.16</v>
      </c>
      <c r="F1024" s="607">
        <v>57.54</v>
      </c>
      <c r="G1024" s="584">
        <v>15</v>
      </c>
    </row>
    <row r="1025" spans="1:7" ht="45" x14ac:dyDescent="0.2">
      <c r="A1025" s="583" t="s">
        <v>20143</v>
      </c>
      <c r="B1025" s="605" t="s">
        <v>20144</v>
      </c>
      <c r="C1025" s="606" t="s">
        <v>12483</v>
      </c>
      <c r="D1025" s="607">
        <v>6.47</v>
      </c>
      <c r="E1025" s="607">
        <v>1.37</v>
      </c>
      <c r="F1025" s="607">
        <v>7.84</v>
      </c>
      <c r="G1025" s="584">
        <v>15</v>
      </c>
    </row>
    <row r="1026" spans="1:7" ht="45" x14ac:dyDescent="0.2">
      <c r="A1026" s="583" t="s">
        <v>14316</v>
      </c>
      <c r="B1026" s="605" t="s">
        <v>14317</v>
      </c>
      <c r="C1026" s="606" t="s">
        <v>12427</v>
      </c>
      <c r="D1026" s="607">
        <v>35.380000000000003</v>
      </c>
      <c r="E1026" s="607">
        <v>17.16</v>
      </c>
      <c r="F1026" s="607">
        <v>52.54</v>
      </c>
      <c r="G1026" s="584">
        <v>15</v>
      </c>
    </row>
    <row r="1027" spans="1:7" ht="60" x14ac:dyDescent="0.2">
      <c r="A1027" s="583" t="s">
        <v>14318</v>
      </c>
      <c r="B1027" s="605" t="s">
        <v>14319</v>
      </c>
      <c r="C1027" s="606" t="s">
        <v>12483</v>
      </c>
      <c r="D1027" s="607">
        <v>5.61</v>
      </c>
      <c r="E1027" s="607">
        <v>1.37</v>
      </c>
      <c r="F1027" s="607">
        <v>6.98</v>
      </c>
      <c r="G1027" s="584">
        <v>15</v>
      </c>
    </row>
    <row r="1028" spans="1:7" ht="30" x14ac:dyDescent="0.2">
      <c r="A1028" s="583" t="s">
        <v>14320</v>
      </c>
      <c r="B1028" s="605" t="s">
        <v>14321</v>
      </c>
      <c r="C1028" s="606" t="s">
        <v>12427</v>
      </c>
      <c r="D1028" s="607">
        <v>12.37</v>
      </c>
      <c r="E1028" s="607">
        <v>72.12</v>
      </c>
      <c r="F1028" s="607">
        <v>84.49</v>
      </c>
      <c r="G1028" s="584">
        <v>15</v>
      </c>
    </row>
    <row r="1029" spans="1:7" ht="30" x14ac:dyDescent="0.2">
      <c r="A1029" s="583" t="s">
        <v>14322</v>
      </c>
      <c r="B1029" s="605" t="s">
        <v>14323</v>
      </c>
      <c r="C1029" s="606" t="s">
        <v>12427</v>
      </c>
      <c r="D1029" s="607">
        <v>1.18</v>
      </c>
      <c r="E1029" s="607">
        <v>11.45</v>
      </c>
      <c r="F1029" s="607">
        <v>12.63</v>
      </c>
      <c r="G1029" s="584">
        <v>15</v>
      </c>
    </row>
    <row r="1030" spans="1:7" ht="30" x14ac:dyDescent="0.2">
      <c r="A1030" s="583" t="s">
        <v>14324</v>
      </c>
      <c r="B1030" s="605" t="s">
        <v>14325</v>
      </c>
      <c r="C1030" s="606" t="s">
        <v>12427</v>
      </c>
      <c r="D1030" s="607">
        <v>2.96</v>
      </c>
      <c r="E1030" s="607">
        <v>11.45</v>
      </c>
      <c r="F1030" s="607">
        <v>14.41</v>
      </c>
      <c r="G1030" s="584">
        <v>15</v>
      </c>
    </row>
    <row r="1031" spans="1:7" ht="30" x14ac:dyDescent="0.2">
      <c r="A1031" s="583" t="s">
        <v>14326</v>
      </c>
      <c r="B1031" s="605" t="s">
        <v>14327</v>
      </c>
      <c r="C1031" s="606" t="s">
        <v>12427</v>
      </c>
      <c r="D1031" s="607">
        <v>2.36</v>
      </c>
      <c r="E1031" s="607">
        <v>11.45</v>
      </c>
      <c r="F1031" s="607">
        <v>13.81</v>
      </c>
      <c r="G1031" s="584">
        <v>15</v>
      </c>
    </row>
    <row r="1032" spans="1:7" ht="30" x14ac:dyDescent="0.2">
      <c r="A1032" s="583" t="s">
        <v>14328</v>
      </c>
      <c r="B1032" s="605" t="s">
        <v>14329</v>
      </c>
      <c r="C1032" s="606" t="s">
        <v>12427</v>
      </c>
      <c r="D1032" s="607">
        <v>7.39</v>
      </c>
      <c r="E1032" s="607">
        <v>11.45</v>
      </c>
      <c r="F1032" s="607">
        <v>18.84</v>
      </c>
      <c r="G1032" s="584">
        <v>15</v>
      </c>
    </row>
    <row r="1033" spans="1:7" ht="30" x14ac:dyDescent="0.2">
      <c r="A1033" s="583" t="s">
        <v>14330</v>
      </c>
      <c r="B1033" s="605" t="s">
        <v>14331</v>
      </c>
      <c r="C1033" s="606" t="s">
        <v>12483</v>
      </c>
      <c r="D1033" s="607">
        <v>0.12</v>
      </c>
      <c r="E1033" s="607">
        <v>1.28</v>
      </c>
      <c r="F1033" s="607">
        <v>1.4</v>
      </c>
      <c r="G1033" s="584">
        <v>15</v>
      </c>
    </row>
    <row r="1034" spans="1:7" ht="45" x14ac:dyDescent="0.2">
      <c r="A1034" s="583" t="s">
        <v>14332</v>
      </c>
      <c r="B1034" s="605" t="s">
        <v>14333</v>
      </c>
      <c r="C1034" s="606" t="s">
        <v>12483</v>
      </c>
      <c r="D1034" s="607">
        <v>0.3</v>
      </c>
      <c r="E1034" s="607">
        <v>1.28</v>
      </c>
      <c r="F1034" s="607">
        <v>1.58</v>
      </c>
      <c r="G1034" s="584">
        <v>15</v>
      </c>
    </row>
    <row r="1035" spans="1:7" ht="30" x14ac:dyDescent="0.2">
      <c r="A1035" s="583" t="s">
        <v>14334</v>
      </c>
      <c r="B1035" s="605" t="s">
        <v>14335</v>
      </c>
      <c r="C1035" s="606" t="s">
        <v>12483</v>
      </c>
      <c r="D1035" s="607">
        <v>0.24</v>
      </c>
      <c r="E1035" s="607">
        <v>1.28</v>
      </c>
      <c r="F1035" s="607">
        <v>1.52</v>
      </c>
      <c r="G1035" s="584">
        <v>15</v>
      </c>
    </row>
    <row r="1036" spans="1:7" ht="45" x14ac:dyDescent="0.2">
      <c r="A1036" s="583" t="s">
        <v>14336</v>
      </c>
      <c r="B1036" s="605" t="s">
        <v>14337</v>
      </c>
      <c r="C1036" s="606" t="s">
        <v>12483</v>
      </c>
      <c r="D1036" s="607">
        <v>0.74</v>
      </c>
      <c r="E1036" s="607">
        <v>1.28</v>
      </c>
      <c r="F1036" s="607">
        <v>2.02</v>
      </c>
      <c r="G1036" s="584">
        <v>15</v>
      </c>
    </row>
    <row r="1037" spans="1:7" ht="15" x14ac:dyDescent="0.25">
      <c r="A1037" s="583" t="s">
        <v>14338</v>
      </c>
      <c r="B1037" s="605" t="s">
        <v>14339</v>
      </c>
      <c r="C1037" s="606"/>
      <c r="D1037" s="607"/>
      <c r="E1037" s="607"/>
      <c r="F1037" s="607"/>
      <c r="G1037" s="582"/>
    </row>
    <row r="1038" spans="1:7" ht="45" x14ac:dyDescent="0.2">
      <c r="A1038" s="583" t="s">
        <v>14340</v>
      </c>
      <c r="B1038" s="605" t="s">
        <v>14341</v>
      </c>
      <c r="C1038" s="606" t="s">
        <v>12427</v>
      </c>
      <c r="D1038" s="607">
        <v>159.80000000000001</v>
      </c>
      <c r="E1038" s="607">
        <v>17.16</v>
      </c>
      <c r="F1038" s="607">
        <v>176.96</v>
      </c>
      <c r="G1038" s="584">
        <v>15</v>
      </c>
    </row>
    <row r="1039" spans="1:7" ht="45" x14ac:dyDescent="0.2">
      <c r="A1039" s="583" t="s">
        <v>14342</v>
      </c>
      <c r="B1039" s="605" t="s">
        <v>14343</v>
      </c>
      <c r="C1039" s="606" t="s">
        <v>12427</v>
      </c>
      <c r="D1039" s="607">
        <v>201.54</v>
      </c>
      <c r="E1039" s="607">
        <v>17.16</v>
      </c>
      <c r="F1039" s="607">
        <v>218.7</v>
      </c>
      <c r="G1039" s="584">
        <v>15</v>
      </c>
    </row>
    <row r="1040" spans="1:7" ht="45" x14ac:dyDescent="0.2">
      <c r="A1040" s="583" t="s">
        <v>14344</v>
      </c>
      <c r="B1040" s="605" t="s">
        <v>14345</v>
      </c>
      <c r="C1040" s="606" t="s">
        <v>12427</v>
      </c>
      <c r="D1040" s="607">
        <v>178.04</v>
      </c>
      <c r="E1040" s="607">
        <v>17.16</v>
      </c>
      <c r="F1040" s="607">
        <v>195.2</v>
      </c>
      <c r="G1040" s="584">
        <v>15</v>
      </c>
    </row>
    <row r="1041" spans="1:7" ht="45" x14ac:dyDescent="0.2">
      <c r="A1041" s="583" t="s">
        <v>14346</v>
      </c>
      <c r="B1041" s="605" t="s">
        <v>14347</v>
      </c>
      <c r="C1041" s="606" t="s">
        <v>12483</v>
      </c>
      <c r="D1041" s="607">
        <v>44.86</v>
      </c>
      <c r="E1041" s="607">
        <v>1.72</v>
      </c>
      <c r="F1041" s="607">
        <v>46.58</v>
      </c>
      <c r="G1041" s="584">
        <v>15</v>
      </c>
    </row>
    <row r="1042" spans="1:7" ht="60" x14ac:dyDescent="0.2">
      <c r="A1042" s="583" t="s">
        <v>14348</v>
      </c>
      <c r="B1042" s="605" t="s">
        <v>14349</v>
      </c>
      <c r="C1042" s="606" t="s">
        <v>12427</v>
      </c>
      <c r="D1042" s="607">
        <v>313.47000000000003</v>
      </c>
      <c r="E1042" s="607">
        <v>17.16</v>
      </c>
      <c r="F1042" s="607">
        <v>330.63</v>
      </c>
      <c r="G1042" s="584">
        <v>15</v>
      </c>
    </row>
    <row r="1043" spans="1:7" ht="60" x14ac:dyDescent="0.2">
      <c r="A1043" s="583" t="s">
        <v>14350</v>
      </c>
      <c r="B1043" s="605" t="s">
        <v>14351</v>
      </c>
      <c r="C1043" s="606" t="s">
        <v>12483</v>
      </c>
      <c r="D1043" s="607">
        <v>62.8</v>
      </c>
      <c r="E1043" s="607">
        <v>1.72</v>
      </c>
      <c r="F1043" s="607">
        <v>64.52</v>
      </c>
      <c r="G1043" s="584">
        <v>15</v>
      </c>
    </row>
    <row r="1044" spans="1:7" ht="45" x14ac:dyDescent="0.2">
      <c r="A1044" s="583" t="s">
        <v>14352</v>
      </c>
      <c r="B1044" s="605" t="s">
        <v>14353</v>
      </c>
      <c r="C1044" s="606" t="s">
        <v>12427</v>
      </c>
      <c r="D1044" s="607">
        <v>43.24</v>
      </c>
      <c r="E1044" s="607">
        <v>11.45</v>
      </c>
      <c r="F1044" s="607">
        <v>54.69</v>
      </c>
      <c r="G1044" s="584">
        <v>15</v>
      </c>
    </row>
    <row r="1045" spans="1:7" ht="45" x14ac:dyDescent="0.2">
      <c r="A1045" s="583" t="s">
        <v>14354</v>
      </c>
      <c r="B1045" s="605" t="s">
        <v>14355</v>
      </c>
      <c r="C1045" s="606" t="s">
        <v>12427</v>
      </c>
      <c r="D1045" s="607">
        <v>40.9</v>
      </c>
      <c r="E1045" s="607">
        <v>11.45</v>
      </c>
      <c r="F1045" s="607">
        <v>52.35</v>
      </c>
      <c r="G1045" s="584">
        <v>15</v>
      </c>
    </row>
    <row r="1046" spans="1:7" ht="60" x14ac:dyDescent="0.2">
      <c r="A1046" s="583" t="s">
        <v>14356</v>
      </c>
      <c r="B1046" s="605" t="s">
        <v>14357</v>
      </c>
      <c r="C1046" s="606" t="s">
        <v>12427</v>
      </c>
      <c r="D1046" s="607">
        <v>72.06</v>
      </c>
      <c r="E1046" s="607">
        <v>11.45</v>
      </c>
      <c r="F1046" s="607">
        <v>83.51</v>
      </c>
      <c r="G1046" s="584">
        <v>15</v>
      </c>
    </row>
    <row r="1047" spans="1:7" ht="45" x14ac:dyDescent="0.2">
      <c r="A1047" s="583" t="s">
        <v>14358</v>
      </c>
      <c r="B1047" s="605" t="s">
        <v>14359</v>
      </c>
      <c r="C1047" s="606" t="s">
        <v>12427</v>
      </c>
      <c r="D1047" s="607">
        <v>68.16</v>
      </c>
      <c r="E1047" s="607">
        <v>11.45</v>
      </c>
      <c r="F1047" s="607">
        <v>79.61</v>
      </c>
      <c r="G1047" s="584">
        <v>15</v>
      </c>
    </row>
    <row r="1048" spans="1:7" ht="60" x14ac:dyDescent="0.2">
      <c r="A1048" s="583" t="s">
        <v>14360</v>
      </c>
      <c r="B1048" s="605" t="s">
        <v>20145</v>
      </c>
      <c r="C1048" s="606" t="s">
        <v>12427</v>
      </c>
      <c r="D1048" s="607">
        <v>65.5</v>
      </c>
      <c r="E1048" s="607">
        <v>11.45</v>
      </c>
      <c r="F1048" s="607">
        <v>76.95</v>
      </c>
      <c r="G1048" s="584">
        <v>15</v>
      </c>
    </row>
    <row r="1049" spans="1:7" ht="60" x14ac:dyDescent="0.2">
      <c r="A1049" s="583" t="s">
        <v>14361</v>
      </c>
      <c r="B1049" s="605" t="s">
        <v>14362</v>
      </c>
      <c r="C1049" s="606" t="s">
        <v>12483</v>
      </c>
      <c r="D1049" s="607">
        <v>4.32</v>
      </c>
      <c r="E1049" s="607">
        <v>1.1399999999999999</v>
      </c>
      <c r="F1049" s="607">
        <v>5.46</v>
      </c>
      <c r="G1049" s="584">
        <v>15</v>
      </c>
    </row>
    <row r="1050" spans="1:7" ht="60" x14ac:dyDescent="0.2">
      <c r="A1050" s="583" t="s">
        <v>14363</v>
      </c>
      <c r="B1050" s="605" t="s">
        <v>14364</v>
      </c>
      <c r="C1050" s="606" t="s">
        <v>12483</v>
      </c>
      <c r="D1050" s="607">
        <v>4.09</v>
      </c>
      <c r="E1050" s="607">
        <v>1.1399999999999999</v>
      </c>
      <c r="F1050" s="607">
        <v>5.23</v>
      </c>
      <c r="G1050" s="584">
        <v>15</v>
      </c>
    </row>
    <row r="1051" spans="1:7" ht="15" x14ac:dyDescent="0.25">
      <c r="A1051" s="583" t="s">
        <v>14365</v>
      </c>
      <c r="B1051" s="605" t="s">
        <v>14366</v>
      </c>
      <c r="C1051" s="606"/>
      <c r="D1051" s="607"/>
      <c r="E1051" s="607"/>
      <c r="F1051" s="607"/>
      <c r="G1051" s="582"/>
    </row>
    <row r="1052" spans="1:7" ht="60" x14ac:dyDescent="0.2">
      <c r="A1052" s="583" t="s">
        <v>14367</v>
      </c>
      <c r="B1052" s="605" t="s">
        <v>14368</v>
      </c>
      <c r="C1052" s="606" t="s">
        <v>2</v>
      </c>
      <c r="D1052" s="607">
        <v>96.97</v>
      </c>
      <c r="E1052" s="607">
        <v>45.32</v>
      </c>
      <c r="F1052" s="607">
        <v>142.29</v>
      </c>
      <c r="G1052" s="584">
        <v>15</v>
      </c>
    </row>
    <row r="1053" spans="1:7" ht="45" x14ac:dyDescent="0.2">
      <c r="A1053" s="583" t="s">
        <v>14369</v>
      </c>
      <c r="B1053" s="605" t="s">
        <v>14370</v>
      </c>
      <c r="C1053" s="606" t="s">
        <v>20358</v>
      </c>
      <c r="D1053" s="607">
        <v>17.37</v>
      </c>
      <c r="E1053" s="607">
        <v>12.59</v>
      </c>
      <c r="F1053" s="607">
        <v>29.96</v>
      </c>
      <c r="G1053" s="584">
        <v>15</v>
      </c>
    </row>
    <row r="1054" spans="1:7" ht="45" x14ac:dyDescent="0.2">
      <c r="A1054" s="583" t="s">
        <v>14371</v>
      </c>
      <c r="B1054" s="605" t="s">
        <v>14372</v>
      </c>
      <c r="C1054" s="606" t="s">
        <v>2</v>
      </c>
      <c r="D1054" s="607">
        <v>145.05000000000001</v>
      </c>
      <c r="E1054" s="607">
        <v>45.32</v>
      </c>
      <c r="F1054" s="607">
        <v>190.37</v>
      </c>
      <c r="G1054" s="584">
        <v>15</v>
      </c>
    </row>
    <row r="1055" spans="1:7" ht="45" x14ac:dyDescent="0.2">
      <c r="A1055" s="583" t="s">
        <v>14373</v>
      </c>
      <c r="B1055" s="605" t="s">
        <v>14374</v>
      </c>
      <c r="C1055" s="606" t="s">
        <v>20358</v>
      </c>
      <c r="D1055" s="607">
        <v>25.74</v>
      </c>
      <c r="E1055" s="607">
        <v>12.59</v>
      </c>
      <c r="F1055" s="607">
        <v>38.33</v>
      </c>
      <c r="G1055" s="584">
        <v>15</v>
      </c>
    </row>
    <row r="1056" spans="1:7" ht="60" x14ac:dyDescent="0.2">
      <c r="A1056" s="583" t="s">
        <v>14375</v>
      </c>
      <c r="B1056" s="605" t="s">
        <v>14376</v>
      </c>
      <c r="C1056" s="606" t="s">
        <v>2</v>
      </c>
      <c r="D1056" s="607">
        <v>103.74</v>
      </c>
      <c r="E1056" s="607">
        <v>45.32</v>
      </c>
      <c r="F1056" s="607">
        <v>149.06</v>
      </c>
      <c r="G1056" s="584">
        <v>15</v>
      </c>
    </row>
    <row r="1057" spans="1:7" ht="60" x14ac:dyDescent="0.2">
      <c r="A1057" s="583" t="s">
        <v>14377</v>
      </c>
      <c r="B1057" s="605" t="s">
        <v>14378</v>
      </c>
      <c r="C1057" s="606" t="s">
        <v>20358</v>
      </c>
      <c r="D1057" s="607">
        <v>18.55</v>
      </c>
      <c r="E1057" s="607">
        <v>12.59</v>
      </c>
      <c r="F1057" s="607">
        <v>31.14</v>
      </c>
      <c r="G1057" s="584">
        <v>15</v>
      </c>
    </row>
    <row r="1058" spans="1:7" ht="45" x14ac:dyDescent="0.2">
      <c r="A1058" s="583" t="s">
        <v>14379</v>
      </c>
      <c r="B1058" s="605" t="s">
        <v>14380</v>
      </c>
      <c r="C1058" s="606" t="s">
        <v>2</v>
      </c>
      <c r="D1058" s="607">
        <v>150.97</v>
      </c>
      <c r="E1058" s="607">
        <v>45.32</v>
      </c>
      <c r="F1058" s="607">
        <v>196.29</v>
      </c>
      <c r="G1058" s="584">
        <v>15</v>
      </c>
    </row>
    <row r="1059" spans="1:7" ht="45" x14ac:dyDescent="0.2">
      <c r="A1059" s="583" t="s">
        <v>14381</v>
      </c>
      <c r="B1059" s="605" t="s">
        <v>14382</v>
      </c>
      <c r="C1059" s="606" t="s">
        <v>20358</v>
      </c>
      <c r="D1059" s="607">
        <v>27.04</v>
      </c>
      <c r="E1059" s="607">
        <v>12.59</v>
      </c>
      <c r="F1059" s="607">
        <v>39.630000000000003</v>
      </c>
      <c r="G1059" s="584">
        <v>15</v>
      </c>
    </row>
    <row r="1060" spans="1:7" ht="60" x14ac:dyDescent="0.2">
      <c r="A1060" s="583" t="s">
        <v>14383</v>
      </c>
      <c r="B1060" s="605" t="s">
        <v>14384</v>
      </c>
      <c r="C1060" s="606" t="s">
        <v>2</v>
      </c>
      <c r="D1060" s="607">
        <v>151.69</v>
      </c>
      <c r="E1060" s="607">
        <v>45.32</v>
      </c>
      <c r="F1060" s="607">
        <v>197.01</v>
      </c>
      <c r="G1060" s="584">
        <v>15</v>
      </c>
    </row>
    <row r="1061" spans="1:7" ht="45" x14ac:dyDescent="0.2">
      <c r="A1061" s="583" t="s">
        <v>14385</v>
      </c>
      <c r="B1061" s="605" t="s">
        <v>14386</v>
      </c>
      <c r="C1061" s="606" t="s">
        <v>20358</v>
      </c>
      <c r="D1061" s="607">
        <v>27.17</v>
      </c>
      <c r="E1061" s="607">
        <v>12.59</v>
      </c>
      <c r="F1061" s="607">
        <v>39.76</v>
      </c>
      <c r="G1061" s="584">
        <v>15</v>
      </c>
    </row>
    <row r="1062" spans="1:7" ht="60" x14ac:dyDescent="0.2">
      <c r="A1062" s="583" t="s">
        <v>14387</v>
      </c>
      <c r="B1062" s="605" t="s">
        <v>14388</v>
      </c>
      <c r="C1062" s="606" t="s">
        <v>2</v>
      </c>
      <c r="D1062" s="607">
        <v>202.03</v>
      </c>
      <c r="E1062" s="607">
        <v>45.32</v>
      </c>
      <c r="F1062" s="607">
        <v>247.35</v>
      </c>
      <c r="G1062" s="584">
        <v>15</v>
      </c>
    </row>
    <row r="1063" spans="1:7" ht="45" x14ac:dyDescent="0.2">
      <c r="A1063" s="583" t="s">
        <v>14389</v>
      </c>
      <c r="B1063" s="605" t="s">
        <v>14390</v>
      </c>
      <c r="C1063" s="606" t="s">
        <v>20358</v>
      </c>
      <c r="D1063" s="607">
        <v>35.93</v>
      </c>
      <c r="E1063" s="607">
        <v>12.59</v>
      </c>
      <c r="F1063" s="607">
        <v>48.52</v>
      </c>
      <c r="G1063" s="584">
        <v>15</v>
      </c>
    </row>
    <row r="1064" spans="1:7" ht="15" x14ac:dyDescent="0.25">
      <c r="A1064" s="583" t="s">
        <v>14391</v>
      </c>
      <c r="B1064" s="605" t="s">
        <v>14392</v>
      </c>
      <c r="C1064" s="606"/>
      <c r="D1064" s="607"/>
      <c r="E1064" s="607"/>
      <c r="F1064" s="607"/>
      <c r="G1064" s="582"/>
    </row>
    <row r="1065" spans="1:7" ht="30" x14ac:dyDescent="0.2">
      <c r="A1065" s="583" t="s">
        <v>14393</v>
      </c>
      <c r="B1065" s="605" t="s">
        <v>14394</v>
      </c>
      <c r="C1065" s="606" t="s">
        <v>2</v>
      </c>
      <c r="D1065" s="607">
        <v>137.80000000000001</v>
      </c>
      <c r="E1065" s="607">
        <v>25.66</v>
      </c>
      <c r="F1065" s="607">
        <v>163.46</v>
      </c>
      <c r="G1065" s="584">
        <v>15</v>
      </c>
    </row>
    <row r="1066" spans="1:7" ht="30" x14ac:dyDescent="0.2">
      <c r="A1066" s="583" t="s">
        <v>14395</v>
      </c>
      <c r="B1066" s="605" t="s">
        <v>14396</v>
      </c>
      <c r="C1066" s="606" t="s">
        <v>2</v>
      </c>
      <c r="D1066" s="607">
        <v>114.06</v>
      </c>
      <c r="E1066" s="607">
        <v>25.66</v>
      </c>
      <c r="F1066" s="607">
        <v>139.72</v>
      </c>
      <c r="G1066" s="584">
        <v>15</v>
      </c>
    </row>
    <row r="1067" spans="1:7" ht="45" x14ac:dyDescent="0.2">
      <c r="A1067" s="583" t="s">
        <v>14397</v>
      </c>
      <c r="B1067" s="605" t="s">
        <v>14398</v>
      </c>
      <c r="C1067" s="606" t="s">
        <v>2</v>
      </c>
      <c r="D1067" s="607">
        <v>75.239999999999995</v>
      </c>
      <c r="E1067" s="607">
        <v>25.66</v>
      </c>
      <c r="F1067" s="607">
        <v>100.9</v>
      </c>
      <c r="G1067" s="584">
        <v>15</v>
      </c>
    </row>
    <row r="1068" spans="1:7" ht="45" x14ac:dyDescent="0.2">
      <c r="A1068" s="583" t="s">
        <v>14399</v>
      </c>
      <c r="B1068" s="605" t="s">
        <v>14400</v>
      </c>
      <c r="C1068" s="606" t="s">
        <v>2</v>
      </c>
      <c r="D1068" s="607">
        <v>89.26</v>
      </c>
      <c r="E1068" s="607">
        <v>25.66</v>
      </c>
      <c r="F1068" s="607">
        <v>114.92</v>
      </c>
      <c r="G1068" s="584">
        <v>15</v>
      </c>
    </row>
    <row r="1069" spans="1:7" ht="30" x14ac:dyDescent="0.2">
      <c r="A1069" s="583" t="s">
        <v>14401</v>
      </c>
      <c r="B1069" s="605" t="s">
        <v>20146</v>
      </c>
      <c r="C1069" s="606" t="s">
        <v>2</v>
      </c>
      <c r="D1069" s="607">
        <v>86.72</v>
      </c>
      <c r="E1069" s="607">
        <v>25.66</v>
      </c>
      <c r="F1069" s="607">
        <v>112.38</v>
      </c>
      <c r="G1069" s="584">
        <v>15</v>
      </c>
    </row>
    <row r="1070" spans="1:7" ht="15" x14ac:dyDescent="0.25">
      <c r="A1070" s="583" t="s">
        <v>14402</v>
      </c>
      <c r="B1070" s="605" t="s">
        <v>14403</v>
      </c>
      <c r="C1070" s="606"/>
      <c r="D1070" s="607"/>
      <c r="E1070" s="607"/>
      <c r="F1070" s="607"/>
      <c r="G1070" s="582"/>
    </row>
    <row r="1071" spans="1:7" ht="45" x14ac:dyDescent="0.2">
      <c r="A1071" s="583" t="s">
        <v>14404</v>
      </c>
      <c r="B1071" s="605" t="s">
        <v>20147</v>
      </c>
      <c r="C1071" s="606" t="s">
        <v>12427</v>
      </c>
      <c r="D1071" s="607">
        <v>175.02</v>
      </c>
      <c r="E1071" s="607">
        <v>32.479999999999997</v>
      </c>
      <c r="F1071" s="607">
        <v>207.5</v>
      </c>
      <c r="G1071" s="584">
        <v>15</v>
      </c>
    </row>
    <row r="1072" spans="1:7" ht="45" x14ac:dyDescent="0.2">
      <c r="A1072" s="583" t="s">
        <v>14405</v>
      </c>
      <c r="B1072" s="605" t="s">
        <v>20148</v>
      </c>
      <c r="C1072" s="606" t="s">
        <v>12427</v>
      </c>
      <c r="D1072" s="607">
        <v>176.2</v>
      </c>
      <c r="E1072" s="607">
        <v>32.479999999999997</v>
      </c>
      <c r="F1072" s="607">
        <v>208.68</v>
      </c>
      <c r="G1072" s="584">
        <v>15</v>
      </c>
    </row>
    <row r="1073" spans="1:7" ht="45" x14ac:dyDescent="0.2">
      <c r="A1073" s="583" t="s">
        <v>14406</v>
      </c>
      <c r="B1073" s="605" t="s">
        <v>20149</v>
      </c>
      <c r="C1073" s="606" t="s">
        <v>12427</v>
      </c>
      <c r="D1073" s="607">
        <v>275.68</v>
      </c>
      <c r="E1073" s="607">
        <v>32.479999999999997</v>
      </c>
      <c r="F1073" s="607">
        <v>308.16000000000003</v>
      </c>
      <c r="G1073" s="584">
        <v>15</v>
      </c>
    </row>
    <row r="1074" spans="1:7" ht="15" x14ac:dyDescent="0.25">
      <c r="A1074" s="583" t="s">
        <v>14407</v>
      </c>
      <c r="B1074" s="605" t="s">
        <v>14408</v>
      </c>
      <c r="C1074" s="606"/>
      <c r="D1074" s="607"/>
      <c r="E1074" s="607"/>
      <c r="F1074" s="607"/>
      <c r="G1074" s="582"/>
    </row>
    <row r="1075" spans="1:7" ht="45" x14ac:dyDescent="0.2">
      <c r="A1075" s="583" t="s">
        <v>14409</v>
      </c>
      <c r="B1075" s="605" t="s">
        <v>14410</v>
      </c>
      <c r="C1075" s="606" t="s">
        <v>12427</v>
      </c>
      <c r="D1075" s="607">
        <v>133.53</v>
      </c>
      <c r="E1075" s="607">
        <v>20.78</v>
      </c>
      <c r="F1075" s="607">
        <v>154.31</v>
      </c>
      <c r="G1075" s="584">
        <v>15</v>
      </c>
    </row>
    <row r="1076" spans="1:7" ht="45" x14ac:dyDescent="0.2">
      <c r="A1076" s="583" t="s">
        <v>14411</v>
      </c>
      <c r="B1076" s="605" t="s">
        <v>14412</v>
      </c>
      <c r="C1076" s="606" t="s">
        <v>12427</v>
      </c>
      <c r="D1076" s="607">
        <v>142.47999999999999</v>
      </c>
      <c r="E1076" s="607">
        <v>20.78</v>
      </c>
      <c r="F1076" s="607">
        <v>163.26</v>
      </c>
      <c r="G1076" s="584">
        <v>15</v>
      </c>
    </row>
    <row r="1077" spans="1:7" ht="45" x14ac:dyDescent="0.2">
      <c r="A1077" s="583" t="s">
        <v>14413</v>
      </c>
      <c r="B1077" s="605" t="s">
        <v>14414</v>
      </c>
      <c r="C1077" s="606" t="s">
        <v>2</v>
      </c>
      <c r="D1077" s="607">
        <v>59.64</v>
      </c>
      <c r="E1077" s="607">
        <v>11.45</v>
      </c>
      <c r="F1077" s="607">
        <v>71.09</v>
      </c>
      <c r="G1077" s="584">
        <v>15</v>
      </c>
    </row>
    <row r="1078" spans="1:7" ht="15" x14ac:dyDescent="0.25">
      <c r="A1078" s="583" t="s">
        <v>14415</v>
      </c>
      <c r="B1078" s="605" t="s">
        <v>14416</v>
      </c>
      <c r="C1078" s="606"/>
      <c r="D1078" s="607"/>
      <c r="E1078" s="607"/>
      <c r="F1078" s="607"/>
      <c r="G1078" s="582"/>
    </row>
    <row r="1079" spans="1:7" ht="15" x14ac:dyDescent="0.25">
      <c r="A1079" s="583" t="s">
        <v>14417</v>
      </c>
      <c r="B1079" s="605" t="s">
        <v>14418</v>
      </c>
      <c r="C1079" s="606"/>
      <c r="D1079" s="607"/>
      <c r="E1079" s="607"/>
      <c r="F1079" s="607"/>
      <c r="G1079" s="582"/>
    </row>
    <row r="1080" spans="1:7" ht="30" x14ac:dyDescent="0.2">
      <c r="A1080" s="583" t="s">
        <v>14419</v>
      </c>
      <c r="B1080" s="605" t="s">
        <v>14420</v>
      </c>
      <c r="C1080" s="606" t="s">
        <v>2</v>
      </c>
      <c r="D1080" s="607">
        <v>463.76</v>
      </c>
      <c r="E1080" s="607">
        <v>50.25</v>
      </c>
      <c r="F1080" s="607">
        <v>514.01</v>
      </c>
      <c r="G1080" s="584">
        <v>15</v>
      </c>
    </row>
    <row r="1081" spans="1:7" ht="30" x14ac:dyDescent="0.2">
      <c r="A1081" s="583" t="s">
        <v>14421</v>
      </c>
      <c r="B1081" s="605" t="s">
        <v>14422</v>
      </c>
      <c r="C1081" s="606" t="s">
        <v>20358</v>
      </c>
      <c r="D1081" s="607">
        <v>164.48</v>
      </c>
      <c r="E1081" s="607">
        <v>15.07</v>
      </c>
      <c r="F1081" s="607">
        <v>179.55</v>
      </c>
      <c r="G1081" s="584">
        <v>15</v>
      </c>
    </row>
    <row r="1082" spans="1:7" ht="30" x14ac:dyDescent="0.2">
      <c r="A1082" s="583" t="s">
        <v>14423</v>
      </c>
      <c r="B1082" s="605" t="s">
        <v>14424</v>
      </c>
      <c r="C1082" s="606" t="s">
        <v>20358</v>
      </c>
      <c r="D1082" s="607">
        <v>193.49</v>
      </c>
      <c r="E1082" s="607">
        <v>22.61</v>
      </c>
      <c r="F1082" s="607">
        <v>216.1</v>
      </c>
      <c r="G1082" s="584">
        <v>15</v>
      </c>
    </row>
    <row r="1083" spans="1:7" ht="30" x14ac:dyDescent="0.2">
      <c r="A1083" s="583" t="s">
        <v>14425</v>
      </c>
      <c r="B1083" s="605" t="s">
        <v>14426</v>
      </c>
      <c r="C1083" s="606" t="s">
        <v>20358</v>
      </c>
      <c r="D1083" s="607">
        <v>397.32</v>
      </c>
      <c r="E1083" s="607">
        <v>37.69</v>
      </c>
      <c r="F1083" s="607">
        <v>435.01</v>
      </c>
      <c r="G1083" s="584">
        <v>15</v>
      </c>
    </row>
    <row r="1084" spans="1:7" ht="30" x14ac:dyDescent="0.2">
      <c r="A1084" s="583" t="s">
        <v>14427</v>
      </c>
      <c r="B1084" s="605" t="s">
        <v>14428</v>
      </c>
      <c r="C1084" s="606" t="s">
        <v>20358</v>
      </c>
      <c r="D1084" s="607">
        <v>78.27</v>
      </c>
      <c r="E1084" s="607">
        <v>7.54</v>
      </c>
      <c r="F1084" s="607">
        <v>85.81</v>
      </c>
      <c r="G1084" s="584">
        <v>15</v>
      </c>
    </row>
    <row r="1085" spans="1:7" ht="30" x14ac:dyDescent="0.2">
      <c r="A1085" s="583" t="s">
        <v>14429</v>
      </c>
      <c r="B1085" s="605" t="s">
        <v>14430</v>
      </c>
      <c r="C1085" s="606" t="s">
        <v>20358</v>
      </c>
      <c r="D1085" s="607">
        <v>91.94</v>
      </c>
      <c r="E1085" s="607">
        <v>7.54</v>
      </c>
      <c r="F1085" s="607">
        <v>99.48</v>
      </c>
      <c r="G1085" s="584">
        <v>15</v>
      </c>
    </row>
    <row r="1086" spans="1:7" ht="15" x14ac:dyDescent="0.25">
      <c r="A1086" s="583" t="s">
        <v>14431</v>
      </c>
      <c r="B1086" s="605" t="s">
        <v>14432</v>
      </c>
      <c r="C1086" s="606"/>
      <c r="D1086" s="607"/>
      <c r="E1086" s="607"/>
      <c r="F1086" s="607"/>
      <c r="G1086" s="582"/>
    </row>
    <row r="1087" spans="1:7" ht="30" x14ac:dyDescent="0.2">
      <c r="A1087" s="583" t="s">
        <v>14433</v>
      </c>
      <c r="B1087" s="605" t="s">
        <v>14434</v>
      </c>
      <c r="C1087" s="606" t="s">
        <v>12427</v>
      </c>
      <c r="D1087" s="607">
        <v>919.96</v>
      </c>
      <c r="E1087" s="607">
        <v>50.25</v>
      </c>
      <c r="F1087" s="607">
        <v>970.21</v>
      </c>
      <c r="G1087" s="584">
        <v>15</v>
      </c>
    </row>
    <row r="1088" spans="1:7" ht="30" x14ac:dyDescent="0.2">
      <c r="A1088" s="583" t="s">
        <v>14435</v>
      </c>
      <c r="B1088" s="605" t="s">
        <v>14436</v>
      </c>
      <c r="C1088" s="606" t="s">
        <v>12427</v>
      </c>
      <c r="D1088" s="607">
        <v>958.02</v>
      </c>
      <c r="E1088" s="607">
        <v>50.25</v>
      </c>
      <c r="F1088" s="607">
        <v>1008.27</v>
      </c>
      <c r="G1088" s="584">
        <v>15</v>
      </c>
    </row>
    <row r="1089" spans="1:7" ht="30" x14ac:dyDescent="0.2">
      <c r="A1089" s="583" t="s">
        <v>14437</v>
      </c>
      <c r="B1089" s="605" t="s">
        <v>14438</v>
      </c>
      <c r="C1089" s="606" t="s">
        <v>12427</v>
      </c>
      <c r="D1089" s="607">
        <v>1079.82</v>
      </c>
      <c r="E1089" s="607">
        <v>50.25</v>
      </c>
      <c r="F1089" s="607">
        <v>1130.07</v>
      </c>
      <c r="G1089" s="584">
        <v>15</v>
      </c>
    </row>
    <row r="1090" spans="1:7" ht="30" x14ac:dyDescent="0.2">
      <c r="A1090" s="583" t="s">
        <v>14439</v>
      </c>
      <c r="B1090" s="605" t="s">
        <v>14440</v>
      </c>
      <c r="C1090" s="606" t="s">
        <v>12427</v>
      </c>
      <c r="D1090" s="607">
        <v>1084.02</v>
      </c>
      <c r="E1090" s="607">
        <v>50.25</v>
      </c>
      <c r="F1090" s="607">
        <v>1134.27</v>
      </c>
      <c r="G1090" s="584">
        <v>15</v>
      </c>
    </row>
    <row r="1091" spans="1:7" ht="15" x14ac:dyDescent="0.2">
      <c r="A1091" s="583" t="s">
        <v>14441</v>
      </c>
      <c r="B1091" s="605" t="s">
        <v>14442</v>
      </c>
      <c r="C1091" s="606" t="s">
        <v>12483</v>
      </c>
      <c r="D1091" s="607">
        <v>441.48</v>
      </c>
      <c r="E1091" s="607">
        <v>37.69</v>
      </c>
      <c r="F1091" s="607">
        <v>479.17</v>
      </c>
      <c r="G1091" s="584">
        <v>15</v>
      </c>
    </row>
    <row r="1092" spans="1:7" ht="30" x14ac:dyDescent="0.2">
      <c r="A1092" s="583" t="s">
        <v>14443</v>
      </c>
      <c r="B1092" s="605" t="s">
        <v>14444</v>
      </c>
      <c r="C1092" s="606" t="s">
        <v>12483</v>
      </c>
      <c r="D1092" s="607">
        <v>495.08</v>
      </c>
      <c r="E1092" s="607">
        <v>37.69</v>
      </c>
      <c r="F1092" s="607">
        <v>532.77</v>
      </c>
      <c r="G1092" s="584">
        <v>15</v>
      </c>
    </row>
    <row r="1093" spans="1:7" ht="30" x14ac:dyDescent="0.2">
      <c r="A1093" s="583" t="s">
        <v>14445</v>
      </c>
      <c r="B1093" s="605" t="s">
        <v>14446</v>
      </c>
      <c r="C1093" s="606" t="s">
        <v>12483</v>
      </c>
      <c r="D1093" s="607">
        <v>69.31</v>
      </c>
      <c r="E1093" s="607">
        <v>10.050000000000001</v>
      </c>
      <c r="F1093" s="607">
        <v>79.36</v>
      </c>
      <c r="G1093" s="584">
        <v>15</v>
      </c>
    </row>
    <row r="1094" spans="1:7" ht="15" x14ac:dyDescent="0.25">
      <c r="A1094" s="583" t="s">
        <v>14447</v>
      </c>
      <c r="B1094" s="605" t="s">
        <v>14448</v>
      </c>
      <c r="C1094" s="606"/>
      <c r="D1094" s="607"/>
      <c r="E1094" s="607"/>
      <c r="F1094" s="607"/>
      <c r="G1094" s="582"/>
    </row>
    <row r="1095" spans="1:7" ht="15" x14ac:dyDescent="0.2">
      <c r="A1095" s="583" t="s">
        <v>14449</v>
      </c>
      <c r="B1095" s="605" t="s">
        <v>14450</v>
      </c>
      <c r="C1095" s="606" t="s">
        <v>12427</v>
      </c>
      <c r="D1095" s="607">
        <v>272.41000000000003</v>
      </c>
      <c r="E1095" s="607">
        <v>45.32</v>
      </c>
      <c r="F1095" s="607">
        <v>317.73</v>
      </c>
      <c r="G1095" s="584">
        <v>15</v>
      </c>
    </row>
    <row r="1096" spans="1:7" ht="15" x14ac:dyDescent="0.2">
      <c r="A1096" s="583" t="s">
        <v>14451</v>
      </c>
      <c r="B1096" s="605" t="s">
        <v>14452</v>
      </c>
      <c r="C1096" s="606" t="s">
        <v>12427</v>
      </c>
      <c r="D1096" s="607">
        <v>65.709999999999994</v>
      </c>
      <c r="E1096" s="607">
        <v>45.32</v>
      </c>
      <c r="F1096" s="607">
        <v>111.03</v>
      </c>
      <c r="G1096" s="584">
        <v>15</v>
      </c>
    </row>
    <row r="1097" spans="1:7" ht="15" x14ac:dyDescent="0.2">
      <c r="A1097" s="583" t="s">
        <v>14453</v>
      </c>
      <c r="B1097" s="605" t="s">
        <v>14454</v>
      </c>
      <c r="C1097" s="606" t="s">
        <v>12483</v>
      </c>
      <c r="D1097" s="607">
        <v>8.93</v>
      </c>
      <c r="E1097" s="607">
        <v>13.59</v>
      </c>
      <c r="F1097" s="607">
        <v>22.52</v>
      </c>
      <c r="G1097" s="584">
        <v>15</v>
      </c>
    </row>
    <row r="1098" spans="1:7" ht="15" x14ac:dyDescent="0.2">
      <c r="A1098" s="583" t="s">
        <v>14455</v>
      </c>
      <c r="B1098" s="605" t="s">
        <v>14456</v>
      </c>
      <c r="C1098" s="606" t="s">
        <v>12483</v>
      </c>
      <c r="D1098" s="607">
        <v>57.31</v>
      </c>
      <c r="E1098" s="607">
        <v>6.8</v>
      </c>
      <c r="F1098" s="607">
        <v>64.11</v>
      </c>
      <c r="G1098" s="584">
        <v>15</v>
      </c>
    </row>
    <row r="1099" spans="1:7" ht="15" x14ac:dyDescent="0.2">
      <c r="A1099" s="583" t="s">
        <v>14457</v>
      </c>
      <c r="B1099" s="605" t="s">
        <v>14458</v>
      </c>
      <c r="C1099" s="606" t="s">
        <v>12427</v>
      </c>
      <c r="D1099" s="607">
        <v>73.34</v>
      </c>
      <c r="E1099" s="607">
        <v>20.14</v>
      </c>
      <c r="F1099" s="607">
        <v>93.48</v>
      </c>
      <c r="G1099" s="584">
        <v>15</v>
      </c>
    </row>
    <row r="1100" spans="1:7" ht="15" x14ac:dyDescent="0.2">
      <c r="A1100" s="583" t="s">
        <v>14459</v>
      </c>
      <c r="B1100" s="605" t="s">
        <v>14460</v>
      </c>
      <c r="C1100" s="606" t="s">
        <v>12483</v>
      </c>
      <c r="D1100" s="607">
        <v>18.190000000000001</v>
      </c>
      <c r="E1100" s="607">
        <v>6.8</v>
      </c>
      <c r="F1100" s="607">
        <v>24.99</v>
      </c>
      <c r="G1100" s="584">
        <v>15</v>
      </c>
    </row>
    <row r="1101" spans="1:7" ht="30" x14ac:dyDescent="0.2">
      <c r="A1101" s="583" t="s">
        <v>14461</v>
      </c>
      <c r="B1101" s="605" t="s">
        <v>14462</v>
      </c>
      <c r="C1101" s="606" t="s">
        <v>12483</v>
      </c>
      <c r="D1101" s="607">
        <v>88.06</v>
      </c>
      <c r="E1101" s="607">
        <v>13.59</v>
      </c>
      <c r="F1101" s="607">
        <v>101.65</v>
      </c>
      <c r="G1101" s="584">
        <v>15</v>
      </c>
    </row>
    <row r="1102" spans="1:7" ht="15" x14ac:dyDescent="0.25">
      <c r="A1102" s="583" t="s">
        <v>14463</v>
      </c>
      <c r="B1102" s="605" t="s">
        <v>14464</v>
      </c>
      <c r="C1102" s="606"/>
      <c r="D1102" s="607"/>
      <c r="E1102" s="607"/>
      <c r="F1102" s="607"/>
      <c r="G1102" s="582"/>
    </row>
    <row r="1103" spans="1:7" ht="30" x14ac:dyDescent="0.2">
      <c r="A1103" s="583" t="s">
        <v>14465</v>
      </c>
      <c r="B1103" s="605" t="s">
        <v>14466</v>
      </c>
      <c r="C1103" s="606" t="s">
        <v>12427</v>
      </c>
      <c r="D1103" s="607">
        <v>25.14</v>
      </c>
      <c r="E1103" s="607">
        <v>45.32</v>
      </c>
      <c r="F1103" s="607">
        <v>70.459999999999994</v>
      </c>
      <c r="G1103" s="584">
        <v>15</v>
      </c>
    </row>
    <row r="1104" spans="1:7" ht="15" x14ac:dyDescent="0.25">
      <c r="A1104" s="583" t="s">
        <v>14467</v>
      </c>
      <c r="B1104" s="605" t="s">
        <v>14468</v>
      </c>
      <c r="C1104" s="606"/>
      <c r="D1104" s="607"/>
      <c r="E1104" s="607"/>
      <c r="F1104" s="607"/>
      <c r="G1104" s="582"/>
    </row>
    <row r="1105" spans="1:7" ht="15" x14ac:dyDescent="0.25">
      <c r="A1105" s="583" t="s">
        <v>14469</v>
      </c>
      <c r="B1105" s="605" t="s">
        <v>14470</v>
      </c>
      <c r="C1105" s="606"/>
      <c r="D1105" s="607"/>
      <c r="E1105" s="607"/>
      <c r="F1105" s="607"/>
      <c r="G1105" s="582"/>
    </row>
    <row r="1106" spans="1:7" ht="15" x14ac:dyDescent="0.2">
      <c r="A1106" s="583" t="s">
        <v>14471</v>
      </c>
      <c r="B1106" s="605" t="s">
        <v>14472</v>
      </c>
      <c r="C1106" s="606" t="s">
        <v>12427</v>
      </c>
      <c r="D1106" s="607">
        <v>103.53</v>
      </c>
      <c r="E1106" s="607">
        <v>77.790000000000006</v>
      </c>
      <c r="F1106" s="607">
        <v>181.32</v>
      </c>
      <c r="G1106" s="584">
        <v>15</v>
      </c>
    </row>
    <row r="1107" spans="1:7" ht="15" x14ac:dyDescent="0.25">
      <c r="A1107" s="583" t="s">
        <v>14473</v>
      </c>
      <c r="B1107" s="605" t="s">
        <v>14474</v>
      </c>
      <c r="C1107" s="606"/>
      <c r="D1107" s="607"/>
      <c r="E1107" s="607"/>
      <c r="F1107" s="607"/>
      <c r="G1107" s="582"/>
    </row>
    <row r="1108" spans="1:7" ht="15" x14ac:dyDescent="0.2">
      <c r="A1108" s="583" t="s">
        <v>14475</v>
      </c>
      <c r="B1108" s="605" t="s">
        <v>14476</v>
      </c>
      <c r="C1108" s="606" t="s">
        <v>12427</v>
      </c>
      <c r="D1108" s="607">
        <v>732.01</v>
      </c>
      <c r="E1108" s="607"/>
      <c r="F1108" s="607">
        <v>732.01</v>
      </c>
      <c r="G1108" s="584">
        <v>15</v>
      </c>
    </row>
    <row r="1109" spans="1:7" ht="15" x14ac:dyDescent="0.25">
      <c r="A1109" s="583" t="s">
        <v>14477</v>
      </c>
      <c r="B1109" s="605" t="s">
        <v>14478</v>
      </c>
      <c r="C1109" s="606"/>
      <c r="D1109" s="607"/>
      <c r="E1109" s="607"/>
      <c r="F1109" s="607"/>
      <c r="G1109" s="582"/>
    </row>
    <row r="1110" spans="1:7" ht="15" x14ac:dyDescent="0.2">
      <c r="A1110" s="583" t="s">
        <v>14479</v>
      </c>
      <c r="B1110" s="605" t="s">
        <v>14480</v>
      </c>
      <c r="C1110" s="606" t="s">
        <v>12427</v>
      </c>
      <c r="D1110" s="607">
        <v>393.64</v>
      </c>
      <c r="E1110" s="607">
        <v>25.57</v>
      </c>
      <c r="F1110" s="607">
        <v>419.21</v>
      </c>
      <c r="G1110" s="584">
        <v>15</v>
      </c>
    </row>
    <row r="1111" spans="1:7" ht="15" x14ac:dyDescent="0.25">
      <c r="A1111" s="583" t="s">
        <v>14481</v>
      </c>
      <c r="B1111" s="605" t="s">
        <v>14482</v>
      </c>
      <c r="C1111" s="606"/>
      <c r="D1111" s="607"/>
      <c r="E1111" s="607"/>
      <c r="F1111" s="607"/>
      <c r="G1111" s="582"/>
    </row>
    <row r="1112" spans="1:7" ht="15" x14ac:dyDescent="0.2">
      <c r="A1112" s="583" t="s">
        <v>14483</v>
      </c>
      <c r="B1112" s="605" t="s">
        <v>14484</v>
      </c>
      <c r="C1112" s="606" t="s">
        <v>12483</v>
      </c>
      <c r="D1112" s="607">
        <v>28.94</v>
      </c>
      <c r="E1112" s="607">
        <v>16.98</v>
      </c>
      <c r="F1112" s="607">
        <v>45.92</v>
      </c>
      <c r="G1112" s="584">
        <v>15</v>
      </c>
    </row>
    <row r="1113" spans="1:7" ht="15" x14ac:dyDescent="0.2">
      <c r="A1113" s="583" t="s">
        <v>14485</v>
      </c>
      <c r="B1113" s="605" t="s">
        <v>14486</v>
      </c>
      <c r="C1113" s="606" t="s">
        <v>12483</v>
      </c>
      <c r="D1113" s="607">
        <v>4.33</v>
      </c>
      <c r="E1113" s="607">
        <v>4.1500000000000004</v>
      </c>
      <c r="F1113" s="607">
        <v>8.48</v>
      </c>
      <c r="G1113" s="584">
        <v>15</v>
      </c>
    </row>
    <row r="1114" spans="1:7" ht="15" x14ac:dyDescent="0.25">
      <c r="A1114" s="583" t="s">
        <v>14487</v>
      </c>
      <c r="B1114" s="605" t="s">
        <v>14488</v>
      </c>
      <c r="C1114" s="606"/>
      <c r="D1114" s="607"/>
      <c r="E1114" s="607"/>
      <c r="F1114" s="607"/>
      <c r="G1114" s="582"/>
    </row>
    <row r="1115" spans="1:7" ht="15" x14ac:dyDescent="0.2">
      <c r="A1115" s="583" t="s">
        <v>14489</v>
      </c>
      <c r="B1115" s="605" t="s">
        <v>14490</v>
      </c>
      <c r="C1115" s="606" t="s">
        <v>12427</v>
      </c>
      <c r="D1115" s="607">
        <v>0.42</v>
      </c>
      <c r="E1115" s="607">
        <v>10.07</v>
      </c>
      <c r="F1115" s="607">
        <v>10.49</v>
      </c>
      <c r="G1115" s="584">
        <v>15</v>
      </c>
    </row>
    <row r="1116" spans="1:7" ht="15" x14ac:dyDescent="0.2">
      <c r="A1116" s="583" t="s">
        <v>14491</v>
      </c>
      <c r="B1116" s="605" t="s">
        <v>14492</v>
      </c>
      <c r="C1116" s="606" t="s">
        <v>12427</v>
      </c>
      <c r="D1116" s="607">
        <v>24.66</v>
      </c>
      <c r="E1116" s="607">
        <v>25.57</v>
      </c>
      <c r="F1116" s="607">
        <v>50.23</v>
      </c>
      <c r="G1116" s="584">
        <v>15</v>
      </c>
    </row>
    <row r="1117" spans="1:7" ht="15" x14ac:dyDescent="0.2">
      <c r="A1117" s="583" t="s">
        <v>14493</v>
      </c>
      <c r="B1117" s="605" t="s">
        <v>14494</v>
      </c>
      <c r="C1117" s="606" t="s">
        <v>12483</v>
      </c>
      <c r="D1117" s="607">
        <v>0.42</v>
      </c>
      <c r="E1117" s="607">
        <v>12.83</v>
      </c>
      <c r="F1117" s="607">
        <v>13.25</v>
      </c>
      <c r="G1117" s="584">
        <v>15</v>
      </c>
    </row>
    <row r="1118" spans="1:7" ht="15" x14ac:dyDescent="0.2">
      <c r="A1118" s="583" t="s">
        <v>14495</v>
      </c>
      <c r="B1118" s="605" t="s">
        <v>14496</v>
      </c>
      <c r="C1118" s="606" t="s">
        <v>12427</v>
      </c>
      <c r="D1118" s="607">
        <v>169.97</v>
      </c>
      <c r="E1118" s="607"/>
      <c r="F1118" s="607">
        <v>169.97</v>
      </c>
      <c r="G1118" s="584">
        <v>15</v>
      </c>
    </row>
    <row r="1119" spans="1:7" ht="15" x14ac:dyDescent="0.25">
      <c r="A1119" s="583" t="s">
        <v>14497</v>
      </c>
      <c r="B1119" s="605" t="s">
        <v>14498</v>
      </c>
      <c r="C1119" s="606"/>
      <c r="D1119" s="607"/>
      <c r="E1119" s="607"/>
      <c r="F1119" s="607"/>
      <c r="G1119" s="582"/>
    </row>
    <row r="1120" spans="1:7" ht="15" x14ac:dyDescent="0.25">
      <c r="A1120" s="583" t="s">
        <v>14499</v>
      </c>
      <c r="B1120" s="605" t="s">
        <v>14500</v>
      </c>
      <c r="C1120" s="606"/>
      <c r="D1120" s="607"/>
      <c r="E1120" s="607"/>
      <c r="F1120" s="607"/>
      <c r="G1120" s="582"/>
    </row>
    <row r="1121" spans="1:7" ht="30" x14ac:dyDescent="0.2">
      <c r="A1121" s="583" t="s">
        <v>14501</v>
      </c>
      <c r="B1121" s="605" t="s">
        <v>14502</v>
      </c>
      <c r="C1121" s="606" t="s">
        <v>12427</v>
      </c>
      <c r="D1121" s="607">
        <v>122.14</v>
      </c>
      <c r="E1121" s="607">
        <v>11.58</v>
      </c>
      <c r="F1121" s="607">
        <v>133.72</v>
      </c>
      <c r="G1121" s="584">
        <v>15</v>
      </c>
    </row>
    <row r="1122" spans="1:7" ht="30" x14ac:dyDescent="0.2">
      <c r="A1122" s="583" t="s">
        <v>14503</v>
      </c>
      <c r="B1122" s="605" t="s">
        <v>14504</v>
      </c>
      <c r="C1122" s="606" t="s">
        <v>12427</v>
      </c>
      <c r="D1122" s="607">
        <v>99.46</v>
      </c>
      <c r="E1122" s="607"/>
      <c r="F1122" s="607">
        <v>99.46</v>
      </c>
      <c r="G1122" s="584">
        <v>15</v>
      </c>
    </row>
    <row r="1123" spans="1:7" ht="15" x14ac:dyDescent="0.25">
      <c r="A1123" s="583" t="s">
        <v>14505</v>
      </c>
      <c r="B1123" s="605" t="s">
        <v>14506</v>
      </c>
      <c r="C1123" s="606"/>
      <c r="D1123" s="607"/>
      <c r="E1123" s="607"/>
      <c r="F1123" s="607"/>
      <c r="G1123" s="582"/>
    </row>
    <row r="1124" spans="1:7" ht="30" x14ac:dyDescent="0.2">
      <c r="A1124" s="583" t="s">
        <v>14507</v>
      </c>
      <c r="B1124" s="605" t="s">
        <v>14508</v>
      </c>
      <c r="C1124" s="606" t="s">
        <v>12427</v>
      </c>
      <c r="D1124" s="607">
        <v>159.01</v>
      </c>
      <c r="E1124" s="607">
        <v>25.7</v>
      </c>
      <c r="F1124" s="607">
        <v>184.71</v>
      </c>
      <c r="G1124" s="584">
        <v>15</v>
      </c>
    </row>
    <row r="1125" spans="1:7" ht="30" x14ac:dyDescent="0.2">
      <c r="A1125" s="583" t="s">
        <v>14509</v>
      </c>
      <c r="B1125" s="605" t="s">
        <v>14510</v>
      </c>
      <c r="C1125" s="606" t="s">
        <v>12427</v>
      </c>
      <c r="D1125" s="607">
        <v>250.5</v>
      </c>
      <c r="E1125" s="607">
        <v>25.7</v>
      </c>
      <c r="F1125" s="607">
        <v>276.2</v>
      </c>
      <c r="G1125" s="584">
        <v>15</v>
      </c>
    </row>
    <row r="1126" spans="1:7" ht="30" x14ac:dyDescent="0.2">
      <c r="A1126" s="583" t="s">
        <v>14511</v>
      </c>
      <c r="B1126" s="605" t="s">
        <v>14512</v>
      </c>
      <c r="C1126" s="606" t="s">
        <v>12427</v>
      </c>
      <c r="D1126" s="607">
        <v>227.94</v>
      </c>
      <c r="E1126" s="607"/>
      <c r="F1126" s="607">
        <v>227.94</v>
      </c>
      <c r="G1126" s="584">
        <v>15</v>
      </c>
    </row>
    <row r="1127" spans="1:7" ht="30" x14ac:dyDescent="0.2">
      <c r="A1127" s="583" t="s">
        <v>14513</v>
      </c>
      <c r="B1127" s="605" t="s">
        <v>14514</v>
      </c>
      <c r="C1127" s="606" t="s">
        <v>12427</v>
      </c>
      <c r="D1127" s="607">
        <v>277.17</v>
      </c>
      <c r="E1127" s="607">
        <v>25.7</v>
      </c>
      <c r="F1127" s="607">
        <v>302.87</v>
      </c>
      <c r="G1127" s="584">
        <v>15</v>
      </c>
    </row>
    <row r="1128" spans="1:7" ht="30" x14ac:dyDescent="0.2">
      <c r="A1128" s="583" t="s">
        <v>14515</v>
      </c>
      <c r="B1128" s="605" t="s">
        <v>14516</v>
      </c>
      <c r="C1128" s="606" t="s">
        <v>12427</v>
      </c>
      <c r="D1128" s="607">
        <v>365.59</v>
      </c>
      <c r="E1128" s="607">
        <v>25.7</v>
      </c>
      <c r="F1128" s="607">
        <v>391.29</v>
      </c>
      <c r="G1128" s="584">
        <v>15</v>
      </c>
    </row>
    <row r="1129" spans="1:7" ht="30" x14ac:dyDescent="0.2">
      <c r="A1129" s="583" t="s">
        <v>14517</v>
      </c>
      <c r="B1129" s="605" t="s">
        <v>14518</v>
      </c>
      <c r="C1129" s="606" t="s">
        <v>12427</v>
      </c>
      <c r="D1129" s="607">
        <v>256.57</v>
      </c>
      <c r="E1129" s="607">
        <v>25.7</v>
      </c>
      <c r="F1129" s="607">
        <v>282.27</v>
      </c>
      <c r="G1129" s="584">
        <v>15</v>
      </c>
    </row>
    <row r="1130" spans="1:7" ht="30" x14ac:dyDescent="0.2">
      <c r="A1130" s="583" t="s">
        <v>14519</v>
      </c>
      <c r="B1130" s="605" t="s">
        <v>14520</v>
      </c>
      <c r="C1130" s="606" t="s">
        <v>12427</v>
      </c>
      <c r="D1130" s="607">
        <v>488.66</v>
      </c>
      <c r="E1130" s="607">
        <v>25.7</v>
      </c>
      <c r="F1130" s="607">
        <v>514.36</v>
      </c>
      <c r="G1130" s="584">
        <v>15</v>
      </c>
    </row>
    <row r="1131" spans="1:7" ht="30" x14ac:dyDescent="0.2">
      <c r="A1131" s="583" t="s">
        <v>14521</v>
      </c>
      <c r="B1131" s="605" t="s">
        <v>14522</v>
      </c>
      <c r="C1131" s="606" t="s">
        <v>12427</v>
      </c>
      <c r="D1131" s="607">
        <v>410.38</v>
      </c>
      <c r="E1131" s="607">
        <v>25.7</v>
      </c>
      <c r="F1131" s="607">
        <v>436.08</v>
      </c>
      <c r="G1131" s="584">
        <v>15</v>
      </c>
    </row>
    <row r="1132" spans="1:7" ht="30" x14ac:dyDescent="0.2">
      <c r="A1132" s="583" t="s">
        <v>14523</v>
      </c>
      <c r="B1132" s="605" t="s">
        <v>14524</v>
      </c>
      <c r="C1132" s="606" t="s">
        <v>12427</v>
      </c>
      <c r="D1132" s="607">
        <v>291.47000000000003</v>
      </c>
      <c r="E1132" s="607">
        <v>52.2</v>
      </c>
      <c r="F1132" s="607">
        <v>343.67</v>
      </c>
      <c r="G1132" s="584">
        <v>15</v>
      </c>
    </row>
    <row r="1133" spans="1:7" ht="15" x14ac:dyDescent="0.25">
      <c r="A1133" s="583" t="s">
        <v>14525</v>
      </c>
      <c r="B1133" s="605" t="s">
        <v>14526</v>
      </c>
      <c r="C1133" s="606"/>
      <c r="D1133" s="607"/>
      <c r="E1133" s="607"/>
      <c r="F1133" s="607"/>
      <c r="G1133" s="582"/>
    </row>
    <row r="1134" spans="1:7" ht="30" x14ac:dyDescent="0.2">
      <c r="A1134" s="583" t="s">
        <v>14527</v>
      </c>
      <c r="B1134" s="605" t="s">
        <v>14528</v>
      </c>
      <c r="C1134" s="606" t="s">
        <v>12427</v>
      </c>
      <c r="D1134" s="607">
        <v>1485</v>
      </c>
      <c r="E1134" s="607"/>
      <c r="F1134" s="607">
        <v>1485</v>
      </c>
      <c r="G1134" s="584">
        <v>15</v>
      </c>
    </row>
    <row r="1135" spans="1:7" ht="30" x14ac:dyDescent="0.2">
      <c r="A1135" s="583" t="s">
        <v>14529</v>
      </c>
      <c r="B1135" s="605" t="s">
        <v>14530</v>
      </c>
      <c r="C1135" s="606" t="s">
        <v>12427</v>
      </c>
      <c r="D1135" s="607">
        <v>333.78</v>
      </c>
      <c r="E1135" s="607"/>
      <c r="F1135" s="607">
        <v>333.78</v>
      </c>
      <c r="G1135" s="584">
        <v>15</v>
      </c>
    </row>
    <row r="1136" spans="1:7" ht="30" x14ac:dyDescent="0.2">
      <c r="A1136" s="583" t="s">
        <v>14531</v>
      </c>
      <c r="B1136" s="605" t="s">
        <v>20288</v>
      </c>
      <c r="C1136" s="606" t="s">
        <v>12427</v>
      </c>
      <c r="D1136" s="607">
        <v>558.78</v>
      </c>
      <c r="E1136" s="607">
        <v>319.47000000000003</v>
      </c>
      <c r="F1136" s="607">
        <v>878.25</v>
      </c>
      <c r="G1136" s="584">
        <v>15</v>
      </c>
    </row>
    <row r="1137" spans="1:7" ht="30" x14ac:dyDescent="0.2">
      <c r="A1137" s="583" t="s">
        <v>20289</v>
      </c>
      <c r="B1137" s="605" t="s">
        <v>20290</v>
      </c>
      <c r="C1137" s="606" t="s">
        <v>12427</v>
      </c>
      <c r="D1137" s="607">
        <v>373.9</v>
      </c>
      <c r="E1137" s="607">
        <v>319.47000000000003</v>
      </c>
      <c r="F1137" s="607">
        <v>693.37</v>
      </c>
      <c r="G1137" s="584">
        <v>15</v>
      </c>
    </row>
    <row r="1138" spans="1:7" ht="15" x14ac:dyDescent="0.25">
      <c r="A1138" s="583" t="s">
        <v>14532</v>
      </c>
      <c r="B1138" s="605" t="s">
        <v>14533</v>
      </c>
      <c r="C1138" s="606"/>
      <c r="D1138" s="607"/>
      <c r="E1138" s="607"/>
      <c r="F1138" s="607"/>
      <c r="G1138" s="582"/>
    </row>
    <row r="1139" spans="1:7" ht="30" x14ac:dyDescent="0.2">
      <c r="A1139" s="583" t="s">
        <v>14534</v>
      </c>
      <c r="B1139" s="605" t="s">
        <v>14535</v>
      </c>
      <c r="C1139" s="606" t="s">
        <v>12427</v>
      </c>
      <c r="D1139" s="607">
        <v>159.66</v>
      </c>
      <c r="E1139" s="607"/>
      <c r="F1139" s="607">
        <v>159.66</v>
      </c>
      <c r="G1139" s="584">
        <v>15</v>
      </c>
    </row>
    <row r="1140" spans="1:7" ht="30" x14ac:dyDescent="0.2">
      <c r="A1140" s="583" t="s">
        <v>14536</v>
      </c>
      <c r="B1140" s="605" t="s">
        <v>14537</v>
      </c>
      <c r="C1140" s="606" t="s">
        <v>12427</v>
      </c>
      <c r="D1140" s="607">
        <v>202.02</v>
      </c>
      <c r="E1140" s="607"/>
      <c r="F1140" s="607">
        <v>202.02</v>
      </c>
      <c r="G1140" s="584">
        <v>15</v>
      </c>
    </row>
    <row r="1141" spans="1:7" ht="15" x14ac:dyDescent="0.25">
      <c r="A1141" s="583" t="s">
        <v>14538</v>
      </c>
      <c r="B1141" s="605" t="s">
        <v>14539</v>
      </c>
      <c r="C1141" s="606"/>
      <c r="D1141" s="607"/>
      <c r="E1141" s="607"/>
      <c r="F1141" s="607"/>
      <c r="G1141" s="582"/>
    </row>
    <row r="1142" spans="1:7" ht="45" x14ac:dyDescent="0.2">
      <c r="A1142" s="583" t="s">
        <v>14540</v>
      </c>
      <c r="B1142" s="605" t="s">
        <v>14541</v>
      </c>
      <c r="C1142" s="606" t="s">
        <v>12427</v>
      </c>
      <c r="D1142" s="607">
        <v>157.15</v>
      </c>
      <c r="E1142" s="607">
        <v>109.59</v>
      </c>
      <c r="F1142" s="607">
        <v>266.74</v>
      </c>
      <c r="G1142" s="584">
        <v>15</v>
      </c>
    </row>
    <row r="1143" spans="1:7" ht="30" x14ac:dyDescent="0.2">
      <c r="A1143" s="583" t="s">
        <v>14542</v>
      </c>
      <c r="B1143" s="605" t="s">
        <v>14543</v>
      </c>
      <c r="C1143" s="606" t="s">
        <v>12427</v>
      </c>
      <c r="D1143" s="607">
        <v>514.49</v>
      </c>
      <c r="E1143" s="607"/>
      <c r="F1143" s="607">
        <v>514.49</v>
      </c>
      <c r="G1143" s="584">
        <v>15</v>
      </c>
    </row>
    <row r="1144" spans="1:7" ht="15" x14ac:dyDescent="0.25">
      <c r="A1144" s="583" t="s">
        <v>14544</v>
      </c>
      <c r="B1144" s="605" t="s">
        <v>14545</v>
      </c>
      <c r="C1144" s="606"/>
      <c r="D1144" s="607"/>
      <c r="E1144" s="607"/>
      <c r="F1144" s="607"/>
      <c r="G1144" s="582"/>
    </row>
    <row r="1145" spans="1:7" ht="15" x14ac:dyDescent="0.2">
      <c r="A1145" s="583" t="s">
        <v>14546</v>
      </c>
      <c r="B1145" s="605" t="s">
        <v>14547</v>
      </c>
      <c r="C1145" s="606" t="s">
        <v>12427</v>
      </c>
      <c r="D1145" s="607">
        <v>788.21</v>
      </c>
      <c r="E1145" s="607"/>
      <c r="F1145" s="607">
        <v>788.21</v>
      </c>
      <c r="G1145" s="584">
        <v>15</v>
      </c>
    </row>
    <row r="1146" spans="1:7" ht="15" x14ac:dyDescent="0.25">
      <c r="A1146" s="583" t="s">
        <v>14548</v>
      </c>
      <c r="B1146" s="605" t="s">
        <v>14549</v>
      </c>
      <c r="C1146" s="606"/>
      <c r="D1146" s="607"/>
      <c r="E1146" s="607"/>
      <c r="F1146" s="607"/>
      <c r="G1146" s="582"/>
    </row>
    <row r="1147" spans="1:7" ht="15" x14ac:dyDescent="0.2">
      <c r="A1147" s="583" t="s">
        <v>14550</v>
      </c>
      <c r="B1147" s="605" t="s">
        <v>14551</v>
      </c>
      <c r="C1147" s="606" t="s">
        <v>12483</v>
      </c>
      <c r="D1147" s="607">
        <v>48.71</v>
      </c>
      <c r="E1147" s="607">
        <v>8.8699999999999992</v>
      </c>
      <c r="F1147" s="607">
        <v>57.58</v>
      </c>
      <c r="G1147" s="584">
        <v>15</v>
      </c>
    </row>
    <row r="1148" spans="1:7" ht="15" x14ac:dyDescent="0.2">
      <c r="A1148" s="583" t="s">
        <v>14552</v>
      </c>
      <c r="B1148" s="605" t="s">
        <v>14553</v>
      </c>
      <c r="C1148" s="606" t="s">
        <v>12483</v>
      </c>
      <c r="D1148" s="607">
        <v>66.760000000000005</v>
      </c>
      <c r="E1148" s="607">
        <v>8.8699999999999992</v>
      </c>
      <c r="F1148" s="607">
        <v>75.63</v>
      </c>
      <c r="G1148" s="584">
        <v>15</v>
      </c>
    </row>
    <row r="1149" spans="1:7" ht="30" x14ac:dyDescent="0.2">
      <c r="A1149" s="583" t="s">
        <v>14554</v>
      </c>
      <c r="B1149" s="605" t="s">
        <v>14555</v>
      </c>
      <c r="C1149" s="606" t="s">
        <v>12483</v>
      </c>
      <c r="D1149" s="607">
        <v>30.38</v>
      </c>
      <c r="E1149" s="607">
        <v>11.6</v>
      </c>
      <c r="F1149" s="607">
        <v>41.98</v>
      </c>
      <c r="G1149" s="584">
        <v>15</v>
      </c>
    </row>
    <row r="1150" spans="1:7" ht="45" x14ac:dyDescent="0.2">
      <c r="A1150" s="583" t="s">
        <v>14556</v>
      </c>
      <c r="B1150" s="605" t="s">
        <v>14557</v>
      </c>
      <c r="C1150" s="606" t="s">
        <v>12483</v>
      </c>
      <c r="D1150" s="607">
        <v>36.81</v>
      </c>
      <c r="E1150" s="607">
        <v>11.6</v>
      </c>
      <c r="F1150" s="607">
        <v>48.41</v>
      </c>
      <c r="G1150" s="584">
        <v>15</v>
      </c>
    </row>
    <row r="1151" spans="1:7" ht="30" x14ac:dyDescent="0.2">
      <c r="A1151" s="583" t="s">
        <v>14558</v>
      </c>
      <c r="B1151" s="605" t="s">
        <v>14559</v>
      </c>
      <c r="C1151" s="606" t="s">
        <v>12483</v>
      </c>
      <c r="D1151" s="607">
        <v>52.27</v>
      </c>
      <c r="E1151" s="607">
        <v>8.8699999999999992</v>
      </c>
      <c r="F1151" s="607">
        <v>61.14</v>
      </c>
      <c r="G1151" s="584">
        <v>15</v>
      </c>
    </row>
    <row r="1152" spans="1:7" ht="15" x14ac:dyDescent="0.2">
      <c r="A1152" s="583" t="s">
        <v>14560</v>
      </c>
      <c r="B1152" s="605" t="s">
        <v>14561</v>
      </c>
      <c r="C1152" s="606" t="s">
        <v>12483</v>
      </c>
      <c r="D1152" s="607">
        <v>23.41</v>
      </c>
      <c r="E1152" s="607">
        <v>3.52</v>
      </c>
      <c r="F1152" s="607">
        <v>26.93</v>
      </c>
      <c r="G1152" s="584">
        <v>15</v>
      </c>
    </row>
    <row r="1153" spans="1:7" ht="15" x14ac:dyDescent="0.2">
      <c r="A1153" s="583" t="s">
        <v>14562</v>
      </c>
      <c r="B1153" s="605" t="s">
        <v>14563</v>
      </c>
      <c r="C1153" s="606" t="s">
        <v>12483</v>
      </c>
      <c r="D1153" s="607">
        <v>11.15</v>
      </c>
      <c r="E1153" s="607"/>
      <c r="F1153" s="607">
        <v>11.15</v>
      </c>
      <c r="G1153" s="584">
        <v>15</v>
      </c>
    </row>
    <row r="1154" spans="1:7" ht="30" x14ac:dyDescent="0.2">
      <c r="A1154" s="583" t="s">
        <v>14564</v>
      </c>
      <c r="B1154" s="605" t="s">
        <v>14565</v>
      </c>
      <c r="C1154" s="606" t="s">
        <v>12483</v>
      </c>
      <c r="D1154" s="607">
        <v>82.57</v>
      </c>
      <c r="E1154" s="607"/>
      <c r="F1154" s="607">
        <v>82.57</v>
      </c>
      <c r="G1154" s="584">
        <v>15</v>
      </c>
    </row>
    <row r="1155" spans="1:7" ht="15" x14ac:dyDescent="0.25">
      <c r="A1155" s="583" t="s">
        <v>14566</v>
      </c>
      <c r="B1155" s="605" t="s">
        <v>14567</v>
      </c>
      <c r="C1155" s="606"/>
      <c r="D1155" s="607"/>
      <c r="E1155" s="607"/>
      <c r="F1155" s="607"/>
      <c r="G1155" s="582"/>
    </row>
    <row r="1156" spans="1:7" ht="30" x14ac:dyDescent="0.2">
      <c r="A1156" s="583" t="s">
        <v>14568</v>
      </c>
      <c r="B1156" s="605" t="s">
        <v>14569</v>
      </c>
      <c r="C1156" s="606" t="s">
        <v>12483</v>
      </c>
      <c r="D1156" s="607">
        <v>218.27</v>
      </c>
      <c r="E1156" s="607">
        <v>9.56</v>
      </c>
      <c r="F1156" s="607">
        <v>227.83</v>
      </c>
      <c r="G1156" s="584">
        <v>15</v>
      </c>
    </row>
    <row r="1157" spans="1:7" ht="30" x14ac:dyDescent="0.2">
      <c r="A1157" s="583" t="s">
        <v>14570</v>
      </c>
      <c r="B1157" s="605" t="s">
        <v>14571</v>
      </c>
      <c r="C1157" s="606" t="s">
        <v>12483</v>
      </c>
      <c r="D1157" s="607">
        <v>52.02</v>
      </c>
      <c r="E1157" s="607">
        <v>8.8699999999999992</v>
      </c>
      <c r="F1157" s="607">
        <v>60.89</v>
      </c>
      <c r="G1157" s="584">
        <v>15</v>
      </c>
    </row>
    <row r="1158" spans="1:7" ht="15" x14ac:dyDescent="0.25">
      <c r="A1158" s="583" t="s">
        <v>14572</v>
      </c>
      <c r="B1158" s="605" t="s">
        <v>14573</v>
      </c>
      <c r="C1158" s="606"/>
      <c r="D1158" s="607"/>
      <c r="E1158" s="607"/>
      <c r="F1158" s="607"/>
      <c r="G1158" s="582"/>
    </row>
    <row r="1159" spans="1:7" ht="15" x14ac:dyDescent="0.2">
      <c r="A1159" s="583" t="s">
        <v>14574</v>
      </c>
      <c r="B1159" s="605" t="s">
        <v>14575</v>
      </c>
      <c r="C1159" s="606" t="s">
        <v>12427</v>
      </c>
      <c r="D1159" s="607">
        <v>12.63</v>
      </c>
      <c r="E1159" s="607">
        <v>10.07</v>
      </c>
      <c r="F1159" s="607">
        <v>22.7</v>
      </c>
      <c r="G1159" s="584">
        <v>15</v>
      </c>
    </row>
    <row r="1160" spans="1:7" ht="15" x14ac:dyDescent="0.2">
      <c r="A1160" s="583" t="s">
        <v>14576</v>
      </c>
      <c r="B1160" s="605" t="s">
        <v>14577</v>
      </c>
      <c r="C1160" s="606" t="s">
        <v>12427</v>
      </c>
      <c r="D1160" s="607">
        <v>4.12</v>
      </c>
      <c r="E1160" s="607">
        <v>35.25</v>
      </c>
      <c r="F1160" s="607">
        <v>39.369999999999997</v>
      </c>
      <c r="G1160" s="584">
        <v>15</v>
      </c>
    </row>
    <row r="1161" spans="1:7" ht="30" x14ac:dyDescent="0.2">
      <c r="A1161" s="583" t="s">
        <v>14578</v>
      </c>
      <c r="B1161" s="605" t="s">
        <v>14579</v>
      </c>
      <c r="C1161" s="606" t="s">
        <v>12427</v>
      </c>
      <c r="D1161" s="607"/>
      <c r="E1161" s="607">
        <v>76.8</v>
      </c>
      <c r="F1161" s="607">
        <v>76.8</v>
      </c>
      <c r="G1161" s="584">
        <v>15</v>
      </c>
    </row>
    <row r="1162" spans="1:7" ht="15" x14ac:dyDescent="0.2">
      <c r="A1162" s="583" t="s">
        <v>14580</v>
      </c>
      <c r="B1162" s="605" t="s">
        <v>14581</v>
      </c>
      <c r="C1162" s="606" t="s">
        <v>12375</v>
      </c>
      <c r="D1162" s="607">
        <v>56.98</v>
      </c>
      <c r="E1162" s="607"/>
      <c r="F1162" s="607">
        <v>56.98</v>
      </c>
      <c r="G1162" s="584">
        <v>15</v>
      </c>
    </row>
    <row r="1163" spans="1:7" ht="15" x14ac:dyDescent="0.2">
      <c r="A1163" s="583" t="s">
        <v>14582</v>
      </c>
      <c r="B1163" s="605" t="s">
        <v>14583</v>
      </c>
      <c r="C1163" s="606" t="s">
        <v>20358</v>
      </c>
      <c r="D1163" s="607"/>
      <c r="E1163" s="607">
        <v>12.83</v>
      </c>
      <c r="F1163" s="607">
        <v>12.83</v>
      </c>
      <c r="G1163" s="584">
        <v>15</v>
      </c>
    </row>
    <row r="1164" spans="1:7" ht="15" x14ac:dyDescent="0.2">
      <c r="A1164" s="583" t="s">
        <v>14584</v>
      </c>
      <c r="B1164" s="605" t="s">
        <v>14585</v>
      </c>
      <c r="C1164" s="606" t="s">
        <v>20358</v>
      </c>
      <c r="D1164" s="607">
        <v>16.77</v>
      </c>
      <c r="E1164" s="607">
        <v>13.82</v>
      </c>
      <c r="F1164" s="607">
        <v>30.59</v>
      </c>
      <c r="G1164" s="584">
        <v>15</v>
      </c>
    </row>
    <row r="1165" spans="1:7" ht="30" x14ac:dyDescent="0.2">
      <c r="A1165" s="583" t="s">
        <v>14586</v>
      </c>
      <c r="B1165" s="605" t="s">
        <v>14587</v>
      </c>
      <c r="C1165" s="606" t="s">
        <v>20358</v>
      </c>
      <c r="D1165" s="607">
        <v>16.440000000000001</v>
      </c>
      <c r="E1165" s="607">
        <v>13.82</v>
      </c>
      <c r="F1165" s="607">
        <v>30.26</v>
      </c>
      <c r="G1165" s="584">
        <v>15</v>
      </c>
    </row>
    <row r="1166" spans="1:7" ht="15" x14ac:dyDescent="0.2">
      <c r="A1166" s="583" t="s">
        <v>14588</v>
      </c>
      <c r="B1166" s="605" t="s">
        <v>14589</v>
      </c>
      <c r="C1166" s="606" t="s">
        <v>20358</v>
      </c>
      <c r="D1166" s="607">
        <v>55.72</v>
      </c>
      <c r="E1166" s="607">
        <v>3.52</v>
      </c>
      <c r="F1166" s="607">
        <v>59.24</v>
      </c>
      <c r="G1166" s="584">
        <v>15</v>
      </c>
    </row>
    <row r="1167" spans="1:7" ht="15" x14ac:dyDescent="0.2">
      <c r="A1167" s="583" t="s">
        <v>14590</v>
      </c>
      <c r="B1167" s="605" t="s">
        <v>14591</v>
      </c>
      <c r="C1167" s="606" t="s">
        <v>20358</v>
      </c>
      <c r="D1167" s="607">
        <v>14.72</v>
      </c>
      <c r="E1167" s="607">
        <v>1.76</v>
      </c>
      <c r="F1167" s="607">
        <v>16.48</v>
      </c>
      <c r="G1167" s="584">
        <v>15</v>
      </c>
    </row>
    <row r="1168" spans="1:7" ht="15" x14ac:dyDescent="0.2">
      <c r="A1168" s="583" t="s">
        <v>14592</v>
      </c>
      <c r="B1168" s="605" t="s">
        <v>14593</v>
      </c>
      <c r="C1168" s="606" t="s">
        <v>20358</v>
      </c>
      <c r="D1168" s="607">
        <v>38.729999999999997</v>
      </c>
      <c r="E1168" s="607">
        <v>7.56</v>
      </c>
      <c r="F1168" s="607">
        <v>46.29</v>
      </c>
      <c r="G1168" s="584">
        <v>15</v>
      </c>
    </row>
    <row r="1169" spans="1:7" ht="15" x14ac:dyDescent="0.25">
      <c r="A1169" s="583" t="s">
        <v>14594</v>
      </c>
      <c r="B1169" s="605" t="s">
        <v>14595</v>
      </c>
      <c r="C1169" s="606"/>
      <c r="D1169" s="607"/>
      <c r="E1169" s="607"/>
      <c r="F1169" s="607"/>
      <c r="G1169" s="582"/>
    </row>
    <row r="1170" spans="1:7" ht="15" x14ac:dyDescent="0.25">
      <c r="A1170" s="583" t="s">
        <v>14596</v>
      </c>
      <c r="B1170" s="605" t="s">
        <v>14597</v>
      </c>
      <c r="C1170" s="606"/>
      <c r="D1170" s="607"/>
      <c r="E1170" s="607"/>
      <c r="F1170" s="607"/>
      <c r="G1170" s="582"/>
    </row>
    <row r="1171" spans="1:7" ht="15" x14ac:dyDescent="0.2">
      <c r="A1171" s="583" t="s">
        <v>14598</v>
      </c>
      <c r="B1171" s="605" t="s">
        <v>14599</v>
      </c>
      <c r="C1171" s="606" t="s">
        <v>2</v>
      </c>
      <c r="D1171" s="607">
        <v>57.91</v>
      </c>
      <c r="E1171" s="607">
        <v>30.21</v>
      </c>
      <c r="F1171" s="607">
        <v>88.12</v>
      </c>
      <c r="G1171" s="584">
        <v>15</v>
      </c>
    </row>
    <row r="1172" spans="1:7" ht="30" x14ac:dyDescent="0.2">
      <c r="A1172" s="583" t="s">
        <v>14600</v>
      </c>
      <c r="B1172" s="605" t="s">
        <v>14601</v>
      </c>
      <c r="C1172" s="606" t="s">
        <v>2</v>
      </c>
      <c r="D1172" s="607">
        <v>75.12</v>
      </c>
      <c r="E1172" s="607">
        <v>60.42</v>
      </c>
      <c r="F1172" s="607">
        <v>135.54</v>
      </c>
      <c r="G1172" s="584">
        <v>15</v>
      </c>
    </row>
    <row r="1173" spans="1:7" ht="30" x14ac:dyDescent="0.2">
      <c r="A1173" s="583" t="s">
        <v>14602</v>
      </c>
      <c r="B1173" s="605" t="s">
        <v>14603</v>
      </c>
      <c r="C1173" s="606" t="s">
        <v>2</v>
      </c>
      <c r="D1173" s="607">
        <v>104.1</v>
      </c>
      <c r="E1173" s="607">
        <v>65.45</v>
      </c>
      <c r="F1173" s="607">
        <v>169.55</v>
      </c>
      <c r="G1173" s="584">
        <v>15</v>
      </c>
    </row>
    <row r="1174" spans="1:7" ht="15" x14ac:dyDescent="0.2">
      <c r="A1174" s="583" t="s">
        <v>14604</v>
      </c>
      <c r="B1174" s="605" t="s">
        <v>20150</v>
      </c>
      <c r="C1174" s="606" t="s">
        <v>20358</v>
      </c>
      <c r="D1174" s="607">
        <v>20.52</v>
      </c>
      <c r="E1174" s="607">
        <v>20.14</v>
      </c>
      <c r="F1174" s="607">
        <v>40.659999999999997</v>
      </c>
      <c r="G1174" s="584">
        <v>15</v>
      </c>
    </row>
    <row r="1175" spans="1:7" ht="30" x14ac:dyDescent="0.2">
      <c r="A1175" s="583" t="s">
        <v>14605</v>
      </c>
      <c r="B1175" s="605" t="s">
        <v>14606</v>
      </c>
      <c r="C1175" s="606" t="s">
        <v>2</v>
      </c>
      <c r="D1175" s="607">
        <v>139.41</v>
      </c>
      <c r="E1175" s="607">
        <v>60.42</v>
      </c>
      <c r="F1175" s="607">
        <v>199.83</v>
      </c>
      <c r="G1175" s="584">
        <v>15</v>
      </c>
    </row>
    <row r="1176" spans="1:7" ht="30" x14ac:dyDescent="0.2">
      <c r="A1176" s="583" t="s">
        <v>14607</v>
      </c>
      <c r="B1176" s="605" t="s">
        <v>14608</v>
      </c>
      <c r="C1176" s="606" t="s">
        <v>2</v>
      </c>
      <c r="D1176" s="607">
        <v>106.03</v>
      </c>
      <c r="E1176" s="607">
        <v>30.21</v>
      </c>
      <c r="F1176" s="607">
        <v>136.24</v>
      </c>
      <c r="G1176" s="584">
        <v>15</v>
      </c>
    </row>
    <row r="1177" spans="1:7" ht="15" x14ac:dyDescent="0.25">
      <c r="A1177" s="583" t="s">
        <v>14609</v>
      </c>
      <c r="B1177" s="605" t="s">
        <v>14610</v>
      </c>
      <c r="C1177" s="606"/>
      <c r="D1177" s="607"/>
      <c r="E1177" s="607"/>
      <c r="F1177" s="607"/>
      <c r="G1177" s="582"/>
    </row>
    <row r="1178" spans="1:7" ht="15" x14ac:dyDescent="0.2">
      <c r="A1178" s="583" t="s">
        <v>14611</v>
      </c>
      <c r="B1178" s="605" t="s">
        <v>21391</v>
      </c>
      <c r="C1178" s="606" t="s">
        <v>2</v>
      </c>
      <c r="D1178" s="607">
        <v>157.08000000000001</v>
      </c>
      <c r="E1178" s="607"/>
      <c r="F1178" s="607">
        <v>157.08000000000001</v>
      </c>
      <c r="G1178" s="584">
        <v>15</v>
      </c>
    </row>
    <row r="1179" spans="1:7" ht="30" x14ac:dyDescent="0.2">
      <c r="A1179" s="583" t="s">
        <v>14612</v>
      </c>
      <c r="B1179" s="605" t="s">
        <v>20151</v>
      </c>
      <c r="C1179" s="606" t="s">
        <v>2</v>
      </c>
      <c r="D1179" s="607">
        <v>127.87</v>
      </c>
      <c r="E1179" s="607"/>
      <c r="F1179" s="607">
        <v>127.87</v>
      </c>
      <c r="G1179" s="584">
        <v>15</v>
      </c>
    </row>
    <row r="1180" spans="1:7" ht="30" x14ac:dyDescent="0.2">
      <c r="A1180" s="583" t="s">
        <v>14613</v>
      </c>
      <c r="B1180" s="605" t="s">
        <v>20291</v>
      </c>
      <c r="C1180" s="606" t="s">
        <v>2</v>
      </c>
      <c r="D1180" s="607">
        <v>105.2</v>
      </c>
      <c r="E1180" s="607"/>
      <c r="F1180" s="607">
        <v>105.2</v>
      </c>
      <c r="G1180" s="584">
        <v>15</v>
      </c>
    </row>
    <row r="1181" spans="1:7" ht="15" x14ac:dyDescent="0.25">
      <c r="A1181" s="583" t="s">
        <v>14614</v>
      </c>
      <c r="B1181" s="605" t="s">
        <v>14615</v>
      </c>
      <c r="C1181" s="606"/>
      <c r="D1181" s="607"/>
      <c r="E1181" s="607"/>
      <c r="F1181" s="607"/>
      <c r="G1181" s="582"/>
    </row>
    <row r="1182" spans="1:7" ht="15" x14ac:dyDescent="0.2">
      <c r="A1182" s="583" t="s">
        <v>14616</v>
      </c>
      <c r="B1182" s="605" t="s">
        <v>20152</v>
      </c>
      <c r="C1182" s="606" t="s">
        <v>2</v>
      </c>
      <c r="D1182" s="607">
        <v>122.54</v>
      </c>
      <c r="E1182" s="607"/>
      <c r="F1182" s="607">
        <v>122.54</v>
      </c>
      <c r="G1182" s="584">
        <v>15</v>
      </c>
    </row>
    <row r="1183" spans="1:7" ht="15" x14ac:dyDescent="0.2">
      <c r="A1183" s="583" t="s">
        <v>14617</v>
      </c>
      <c r="B1183" s="605" t="s">
        <v>20153</v>
      </c>
      <c r="C1183" s="606" t="s">
        <v>2</v>
      </c>
      <c r="D1183" s="607">
        <v>177.48</v>
      </c>
      <c r="E1183" s="607"/>
      <c r="F1183" s="607">
        <v>177.48</v>
      </c>
      <c r="G1183" s="584">
        <v>15</v>
      </c>
    </row>
    <row r="1184" spans="1:7" ht="15" x14ac:dyDescent="0.2">
      <c r="A1184" s="583" t="s">
        <v>14618</v>
      </c>
      <c r="B1184" s="605" t="s">
        <v>14619</v>
      </c>
      <c r="C1184" s="606" t="s">
        <v>2</v>
      </c>
      <c r="D1184" s="607">
        <v>115.1</v>
      </c>
      <c r="E1184" s="607"/>
      <c r="F1184" s="607">
        <v>115.1</v>
      </c>
      <c r="G1184" s="584">
        <v>15</v>
      </c>
    </row>
    <row r="1185" spans="1:7" ht="15" x14ac:dyDescent="0.2">
      <c r="A1185" s="583" t="s">
        <v>14620</v>
      </c>
      <c r="B1185" s="605" t="s">
        <v>20154</v>
      </c>
      <c r="C1185" s="606" t="s">
        <v>2</v>
      </c>
      <c r="D1185" s="607">
        <v>178.83</v>
      </c>
      <c r="E1185" s="607"/>
      <c r="F1185" s="607">
        <v>178.83</v>
      </c>
      <c r="G1185" s="584">
        <v>15</v>
      </c>
    </row>
    <row r="1186" spans="1:7" ht="15" x14ac:dyDescent="0.2">
      <c r="A1186" s="583" t="s">
        <v>14621</v>
      </c>
      <c r="B1186" s="605" t="s">
        <v>14622</v>
      </c>
      <c r="C1186" s="606" t="s">
        <v>2</v>
      </c>
      <c r="D1186" s="607">
        <v>102.93</v>
      </c>
      <c r="E1186" s="607"/>
      <c r="F1186" s="607">
        <v>102.93</v>
      </c>
      <c r="G1186" s="584">
        <v>15</v>
      </c>
    </row>
    <row r="1187" spans="1:7" ht="30" x14ac:dyDescent="0.2">
      <c r="A1187" s="583" t="s">
        <v>14623</v>
      </c>
      <c r="B1187" s="605" t="s">
        <v>20155</v>
      </c>
      <c r="C1187" s="606" t="s">
        <v>2</v>
      </c>
      <c r="D1187" s="607">
        <v>326.83999999999997</v>
      </c>
      <c r="E1187" s="607"/>
      <c r="F1187" s="607">
        <v>326.83999999999997</v>
      </c>
      <c r="G1187" s="584">
        <v>15</v>
      </c>
    </row>
    <row r="1188" spans="1:7" ht="30" x14ac:dyDescent="0.2">
      <c r="A1188" s="583" t="s">
        <v>14624</v>
      </c>
      <c r="B1188" s="605" t="s">
        <v>20156</v>
      </c>
      <c r="C1188" s="606" t="s">
        <v>2</v>
      </c>
      <c r="D1188" s="607">
        <v>280.47000000000003</v>
      </c>
      <c r="E1188" s="607"/>
      <c r="F1188" s="607">
        <v>280.47000000000003</v>
      </c>
      <c r="G1188" s="584">
        <v>15</v>
      </c>
    </row>
    <row r="1189" spans="1:7" ht="30" x14ac:dyDescent="0.2">
      <c r="A1189" s="583" t="s">
        <v>20157</v>
      </c>
      <c r="B1189" s="605" t="s">
        <v>20158</v>
      </c>
      <c r="C1189" s="606" t="s">
        <v>2</v>
      </c>
      <c r="D1189" s="607">
        <v>359.22</v>
      </c>
      <c r="E1189" s="607"/>
      <c r="F1189" s="607">
        <v>359.22</v>
      </c>
      <c r="G1189" s="584">
        <v>15</v>
      </c>
    </row>
    <row r="1190" spans="1:7" ht="15" x14ac:dyDescent="0.25">
      <c r="A1190" s="583" t="s">
        <v>14625</v>
      </c>
      <c r="B1190" s="605" t="s">
        <v>14626</v>
      </c>
      <c r="C1190" s="606"/>
      <c r="D1190" s="607"/>
      <c r="E1190" s="607"/>
      <c r="F1190" s="607"/>
      <c r="G1190" s="582"/>
    </row>
    <row r="1191" spans="1:7" ht="30" x14ac:dyDescent="0.2">
      <c r="A1191" s="583" t="s">
        <v>14627</v>
      </c>
      <c r="B1191" s="605" t="s">
        <v>14628</v>
      </c>
      <c r="C1191" s="606" t="s">
        <v>2</v>
      </c>
      <c r="D1191" s="607">
        <v>875.01</v>
      </c>
      <c r="E1191" s="607"/>
      <c r="F1191" s="607">
        <v>875.01</v>
      </c>
      <c r="G1191" s="584">
        <v>15</v>
      </c>
    </row>
    <row r="1192" spans="1:7" ht="30" x14ac:dyDescent="0.2">
      <c r="A1192" s="583" t="s">
        <v>20071</v>
      </c>
      <c r="B1192" s="605" t="s">
        <v>20072</v>
      </c>
      <c r="C1192" s="606" t="s">
        <v>2</v>
      </c>
      <c r="D1192" s="607">
        <v>434.69</v>
      </c>
      <c r="E1192" s="607"/>
      <c r="F1192" s="607">
        <v>434.69</v>
      </c>
      <c r="G1192" s="584">
        <v>15</v>
      </c>
    </row>
    <row r="1193" spans="1:7" ht="15" x14ac:dyDescent="0.25">
      <c r="A1193" s="583" t="s">
        <v>14629</v>
      </c>
      <c r="B1193" s="605" t="s">
        <v>14630</v>
      </c>
      <c r="C1193" s="606"/>
      <c r="D1193" s="607"/>
      <c r="E1193" s="607"/>
      <c r="F1193" s="607"/>
      <c r="G1193" s="582"/>
    </row>
    <row r="1194" spans="1:7" ht="15" x14ac:dyDescent="0.2">
      <c r="A1194" s="583" t="s">
        <v>14631</v>
      </c>
      <c r="B1194" s="605" t="s">
        <v>14632</v>
      </c>
      <c r="C1194" s="606" t="s">
        <v>2</v>
      </c>
      <c r="D1194" s="607">
        <v>259.10000000000002</v>
      </c>
      <c r="E1194" s="607">
        <v>145.18</v>
      </c>
      <c r="F1194" s="607">
        <v>404.28</v>
      </c>
      <c r="G1194" s="584">
        <v>15</v>
      </c>
    </row>
    <row r="1195" spans="1:7" ht="30" x14ac:dyDescent="0.2">
      <c r="A1195" s="583" t="s">
        <v>14633</v>
      </c>
      <c r="B1195" s="605" t="s">
        <v>20159</v>
      </c>
      <c r="C1195" s="606" t="s">
        <v>2</v>
      </c>
      <c r="D1195" s="607">
        <v>827.02</v>
      </c>
      <c r="E1195" s="607"/>
      <c r="F1195" s="607">
        <v>827.02</v>
      </c>
      <c r="G1195" s="584">
        <v>15</v>
      </c>
    </row>
    <row r="1196" spans="1:7" ht="30" x14ac:dyDescent="0.2">
      <c r="A1196" s="583" t="s">
        <v>14634</v>
      </c>
      <c r="B1196" s="605" t="s">
        <v>14635</v>
      </c>
      <c r="C1196" s="606" t="s">
        <v>2</v>
      </c>
      <c r="D1196" s="607">
        <v>651.12</v>
      </c>
      <c r="E1196" s="607"/>
      <c r="F1196" s="607">
        <v>651.12</v>
      </c>
      <c r="G1196" s="584">
        <v>15</v>
      </c>
    </row>
    <row r="1197" spans="1:7" ht="30" x14ac:dyDescent="0.2">
      <c r="A1197" s="583" t="s">
        <v>14636</v>
      </c>
      <c r="B1197" s="605" t="s">
        <v>14637</v>
      </c>
      <c r="C1197" s="606" t="s">
        <v>2</v>
      </c>
      <c r="D1197" s="607">
        <v>1085.2</v>
      </c>
      <c r="E1197" s="607"/>
      <c r="F1197" s="607">
        <v>1085.2</v>
      </c>
      <c r="G1197" s="584">
        <v>15</v>
      </c>
    </row>
    <row r="1198" spans="1:7" ht="15" x14ac:dyDescent="0.25">
      <c r="A1198" s="583" t="s">
        <v>14638</v>
      </c>
      <c r="B1198" s="605" t="s">
        <v>14639</v>
      </c>
      <c r="C1198" s="606"/>
      <c r="D1198" s="607"/>
      <c r="E1198" s="607"/>
      <c r="F1198" s="607"/>
      <c r="G1198" s="582"/>
    </row>
    <row r="1199" spans="1:7" ht="15" x14ac:dyDescent="0.2">
      <c r="A1199" s="583" t="s">
        <v>14640</v>
      </c>
      <c r="B1199" s="605" t="s">
        <v>14641</v>
      </c>
      <c r="C1199" s="606" t="s">
        <v>2</v>
      </c>
      <c r="D1199" s="607">
        <v>69.930000000000007</v>
      </c>
      <c r="E1199" s="607">
        <v>7.56</v>
      </c>
      <c r="F1199" s="607">
        <v>77.489999999999995</v>
      </c>
      <c r="G1199" s="584">
        <v>15</v>
      </c>
    </row>
    <row r="1200" spans="1:7" ht="15" x14ac:dyDescent="0.2">
      <c r="A1200" s="583" t="s">
        <v>14642</v>
      </c>
      <c r="B1200" s="605" t="s">
        <v>14643</v>
      </c>
      <c r="C1200" s="606" t="s">
        <v>2</v>
      </c>
      <c r="D1200" s="607">
        <v>0.83</v>
      </c>
      <c r="E1200" s="607">
        <v>15.1</v>
      </c>
      <c r="F1200" s="607">
        <v>15.93</v>
      </c>
      <c r="G1200" s="584">
        <v>15</v>
      </c>
    </row>
    <row r="1201" spans="1:7" ht="15" x14ac:dyDescent="0.2">
      <c r="A1201" s="583" t="s">
        <v>14644</v>
      </c>
      <c r="B1201" s="605" t="s">
        <v>14645</v>
      </c>
      <c r="C1201" s="606" t="s">
        <v>2</v>
      </c>
      <c r="D1201" s="607"/>
      <c r="E1201" s="607">
        <v>7.56</v>
      </c>
      <c r="F1201" s="607">
        <v>7.56</v>
      </c>
      <c r="G1201" s="584">
        <v>15</v>
      </c>
    </row>
    <row r="1202" spans="1:7" ht="15" x14ac:dyDescent="0.2">
      <c r="A1202" s="583" t="s">
        <v>14646</v>
      </c>
      <c r="B1202" s="605" t="s">
        <v>20160</v>
      </c>
      <c r="C1202" s="606" t="s">
        <v>20358</v>
      </c>
      <c r="D1202" s="607">
        <v>25.9</v>
      </c>
      <c r="E1202" s="607"/>
      <c r="F1202" s="607">
        <v>25.9</v>
      </c>
      <c r="G1202" s="584">
        <v>15</v>
      </c>
    </row>
    <row r="1203" spans="1:7" ht="15" x14ac:dyDescent="0.2">
      <c r="A1203" s="583" t="s">
        <v>14647</v>
      </c>
      <c r="B1203" s="605" t="s">
        <v>14648</v>
      </c>
      <c r="C1203" s="606" t="s">
        <v>20385</v>
      </c>
      <c r="D1203" s="607">
        <v>31.12</v>
      </c>
      <c r="E1203" s="607"/>
      <c r="F1203" s="607">
        <v>31.12</v>
      </c>
      <c r="G1203" s="584">
        <v>15</v>
      </c>
    </row>
    <row r="1204" spans="1:7" ht="15" x14ac:dyDescent="0.25">
      <c r="A1204" s="583" t="s">
        <v>14649</v>
      </c>
      <c r="B1204" s="605" t="s">
        <v>14650</v>
      </c>
      <c r="C1204" s="606"/>
      <c r="D1204" s="607"/>
      <c r="E1204" s="607"/>
      <c r="F1204" s="607"/>
      <c r="G1204" s="582"/>
    </row>
    <row r="1205" spans="1:7" ht="15" x14ac:dyDescent="0.25">
      <c r="A1205" s="583" t="s">
        <v>14651</v>
      </c>
      <c r="B1205" s="605" t="s">
        <v>14652</v>
      </c>
      <c r="C1205" s="606"/>
      <c r="D1205" s="607"/>
      <c r="E1205" s="607"/>
      <c r="F1205" s="607"/>
      <c r="G1205" s="582"/>
    </row>
    <row r="1206" spans="1:7" ht="15" x14ac:dyDescent="0.2">
      <c r="A1206" s="583" t="s">
        <v>14653</v>
      </c>
      <c r="B1206" s="605" t="s">
        <v>14654</v>
      </c>
      <c r="C1206" s="606" t="s">
        <v>2</v>
      </c>
      <c r="D1206" s="607">
        <v>1013.81</v>
      </c>
      <c r="E1206" s="607">
        <v>65.95</v>
      </c>
      <c r="F1206" s="607">
        <v>1079.76</v>
      </c>
      <c r="G1206" s="584">
        <v>15</v>
      </c>
    </row>
    <row r="1207" spans="1:7" ht="15" x14ac:dyDescent="0.2">
      <c r="A1207" s="583" t="s">
        <v>14655</v>
      </c>
      <c r="B1207" s="605" t="s">
        <v>14656</v>
      </c>
      <c r="C1207" s="606" t="s">
        <v>2</v>
      </c>
      <c r="D1207" s="607">
        <v>905.3</v>
      </c>
      <c r="E1207" s="607">
        <v>65.95</v>
      </c>
      <c r="F1207" s="607">
        <v>971.25</v>
      </c>
      <c r="G1207" s="584">
        <v>15</v>
      </c>
    </row>
    <row r="1208" spans="1:7" ht="15" x14ac:dyDescent="0.25">
      <c r="A1208" s="583" t="s">
        <v>14657</v>
      </c>
      <c r="B1208" s="605" t="s">
        <v>14658</v>
      </c>
      <c r="C1208" s="606"/>
      <c r="D1208" s="607"/>
      <c r="E1208" s="607"/>
      <c r="F1208" s="607"/>
      <c r="G1208" s="582"/>
    </row>
    <row r="1209" spans="1:7" ht="30" x14ac:dyDescent="0.2">
      <c r="A1209" s="583" t="s">
        <v>14659</v>
      </c>
      <c r="B1209" s="605" t="s">
        <v>14660</v>
      </c>
      <c r="C1209" s="606" t="s">
        <v>2</v>
      </c>
      <c r="D1209" s="607">
        <v>804.76</v>
      </c>
      <c r="E1209" s="607">
        <v>69.48</v>
      </c>
      <c r="F1209" s="607">
        <v>874.24</v>
      </c>
      <c r="G1209" s="584">
        <v>15</v>
      </c>
    </row>
    <row r="1210" spans="1:7" ht="15" x14ac:dyDescent="0.2">
      <c r="A1210" s="583" t="s">
        <v>14661</v>
      </c>
      <c r="B1210" s="605" t="s">
        <v>14662</v>
      </c>
      <c r="C1210" s="606" t="s">
        <v>20385</v>
      </c>
      <c r="D1210" s="607">
        <v>1341.38</v>
      </c>
      <c r="E1210" s="607">
        <v>140.97999999999999</v>
      </c>
      <c r="F1210" s="607">
        <v>1482.36</v>
      </c>
      <c r="G1210" s="584">
        <v>15</v>
      </c>
    </row>
    <row r="1211" spans="1:7" ht="15" x14ac:dyDescent="0.2">
      <c r="A1211" s="583" t="s">
        <v>14663</v>
      </c>
      <c r="B1211" s="605" t="s">
        <v>14664</v>
      </c>
      <c r="C1211" s="606" t="s">
        <v>20385</v>
      </c>
      <c r="D1211" s="607">
        <v>1351.72</v>
      </c>
      <c r="E1211" s="607">
        <v>140.97999999999999</v>
      </c>
      <c r="F1211" s="607">
        <v>1492.7</v>
      </c>
      <c r="G1211" s="584">
        <v>15</v>
      </c>
    </row>
    <row r="1212" spans="1:7" ht="15" x14ac:dyDescent="0.2">
      <c r="A1212" s="583" t="s">
        <v>14665</v>
      </c>
      <c r="B1212" s="605" t="s">
        <v>14666</v>
      </c>
      <c r="C1212" s="606" t="s">
        <v>20385</v>
      </c>
      <c r="D1212" s="607">
        <v>1452.94</v>
      </c>
      <c r="E1212" s="607">
        <v>140.97999999999999</v>
      </c>
      <c r="F1212" s="607">
        <v>1593.92</v>
      </c>
      <c r="G1212" s="584">
        <v>15</v>
      </c>
    </row>
    <row r="1213" spans="1:7" ht="15" x14ac:dyDescent="0.2">
      <c r="A1213" s="583" t="s">
        <v>14667</v>
      </c>
      <c r="B1213" s="605" t="s">
        <v>14668</v>
      </c>
      <c r="C1213" s="606" t="s">
        <v>20385</v>
      </c>
      <c r="D1213" s="607">
        <v>2545.38</v>
      </c>
      <c r="E1213" s="607">
        <v>176.23</v>
      </c>
      <c r="F1213" s="607">
        <v>2721.61</v>
      </c>
      <c r="G1213" s="584">
        <v>15</v>
      </c>
    </row>
    <row r="1214" spans="1:7" ht="15" x14ac:dyDescent="0.25">
      <c r="A1214" s="583" t="s">
        <v>14669</v>
      </c>
      <c r="B1214" s="605" t="s">
        <v>14670</v>
      </c>
      <c r="C1214" s="606"/>
      <c r="D1214" s="607"/>
      <c r="E1214" s="607"/>
      <c r="F1214" s="607"/>
      <c r="G1214" s="582"/>
    </row>
    <row r="1215" spans="1:7" ht="30" x14ac:dyDescent="0.2">
      <c r="A1215" s="583" t="s">
        <v>14671</v>
      </c>
      <c r="B1215" s="605" t="s">
        <v>14672</v>
      </c>
      <c r="C1215" s="606" t="s">
        <v>20385</v>
      </c>
      <c r="D1215" s="607">
        <v>1333.81</v>
      </c>
      <c r="E1215" s="607">
        <v>70.489999999999995</v>
      </c>
      <c r="F1215" s="607">
        <v>1404.3</v>
      </c>
      <c r="G1215" s="584">
        <v>15</v>
      </c>
    </row>
    <row r="1216" spans="1:7" ht="30" x14ac:dyDescent="0.2">
      <c r="A1216" s="583" t="s">
        <v>14673</v>
      </c>
      <c r="B1216" s="605" t="s">
        <v>14674</v>
      </c>
      <c r="C1216" s="606" t="s">
        <v>20385</v>
      </c>
      <c r="D1216" s="607">
        <v>1124.27</v>
      </c>
      <c r="E1216" s="607">
        <v>70.489999999999995</v>
      </c>
      <c r="F1216" s="607">
        <v>1194.76</v>
      </c>
      <c r="G1216" s="584">
        <v>15</v>
      </c>
    </row>
    <row r="1217" spans="1:7" ht="30" x14ac:dyDescent="0.2">
      <c r="A1217" s="583" t="s">
        <v>14675</v>
      </c>
      <c r="B1217" s="605" t="s">
        <v>14676</v>
      </c>
      <c r="C1217" s="606" t="s">
        <v>20385</v>
      </c>
      <c r="D1217" s="607">
        <v>1289.73</v>
      </c>
      <c r="E1217" s="607">
        <v>140.97999999999999</v>
      </c>
      <c r="F1217" s="607">
        <v>1430.71</v>
      </c>
      <c r="G1217" s="584">
        <v>15</v>
      </c>
    </row>
    <row r="1218" spans="1:7" ht="30" x14ac:dyDescent="0.2">
      <c r="A1218" s="583" t="s">
        <v>14677</v>
      </c>
      <c r="B1218" s="605" t="s">
        <v>14678</v>
      </c>
      <c r="C1218" s="606" t="s">
        <v>20385</v>
      </c>
      <c r="D1218" s="607">
        <v>1398.11</v>
      </c>
      <c r="E1218" s="607">
        <v>140.97999999999999</v>
      </c>
      <c r="F1218" s="607">
        <v>1539.09</v>
      </c>
      <c r="G1218" s="584">
        <v>15</v>
      </c>
    </row>
    <row r="1219" spans="1:7" ht="30" x14ac:dyDescent="0.2">
      <c r="A1219" s="583" t="s">
        <v>14679</v>
      </c>
      <c r="B1219" s="605" t="s">
        <v>14680</v>
      </c>
      <c r="C1219" s="606" t="s">
        <v>20385</v>
      </c>
      <c r="D1219" s="607">
        <v>1399.95</v>
      </c>
      <c r="E1219" s="607">
        <v>140.97999999999999</v>
      </c>
      <c r="F1219" s="607">
        <v>1540.93</v>
      </c>
      <c r="G1219" s="584">
        <v>15</v>
      </c>
    </row>
    <row r="1220" spans="1:7" ht="30" x14ac:dyDescent="0.2">
      <c r="A1220" s="583" t="s">
        <v>14681</v>
      </c>
      <c r="B1220" s="605" t="s">
        <v>14682</v>
      </c>
      <c r="C1220" s="606" t="s">
        <v>20385</v>
      </c>
      <c r="D1220" s="607">
        <v>2323.6</v>
      </c>
      <c r="E1220" s="607">
        <v>176.23</v>
      </c>
      <c r="F1220" s="607">
        <v>2499.83</v>
      </c>
      <c r="G1220" s="584">
        <v>15</v>
      </c>
    </row>
    <row r="1221" spans="1:7" ht="30" x14ac:dyDescent="0.2">
      <c r="A1221" s="583" t="s">
        <v>14683</v>
      </c>
      <c r="B1221" s="605" t="s">
        <v>14684</v>
      </c>
      <c r="C1221" s="606" t="s">
        <v>20385</v>
      </c>
      <c r="D1221" s="607">
        <v>2438.69</v>
      </c>
      <c r="E1221" s="607">
        <v>176.23</v>
      </c>
      <c r="F1221" s="607">
        <v>2614.92</v>
      </c>
      <c r="G1221" s="584">
        <v>15</v>
      </c>
    </row>
    <row r="1222" spans="1:7" ht="30" x14ac:dyDescent="0.2">
      <c r="A1222" s="583" t="s">
        <v>14685</v>
      </c>
      <c r="B1222" s="605" t="s">
        <v>14686</v>
      </c>
      <c r="C1222" s="606" t="s">
        <v>20385</v>
      </c>
      <c r="D1222" s="607">
        <v>4404.04</v>
      </c>
      <c r="E1222" s="607">
        <v>201.41</v>
      </c>
      <c r="F1222" s="607">
        <v>4605.45</v>
      </c>
      <c r="G1222" s="584">
        <v>15</v>
      </c>
    </row>
    <row r="1223" spans="1:7" ht="30" x14ac:dyDescent="0.2">
      <c r="A1223" s="583" t="s">
        <v>14687</v>
      </c>
      <c r="B1223" s="605" t="s">
        <v>14688</v>
      </c>
      <c r="C1223" s="606" t="s">
        <v>20385</v>
      </c>
      <c r="D1223" s="607">
        <v>1296.6099999999999</v>
      </c>
      <c r="E1223" s="607">
        <v>17.62</v>
      </c>
      <c r="F1223" s="607">
        <v>1314.23</v>
      </c>
      <c r="G1223" s="584">
        <v>15</v>
      </c>
    </row>
    <row r="1224" spans="1:7" ht="30" x14ac:dyDescent="0.2">
      <c r="A1224" s="583" t="s">
        <v>14689</v>
      </c>
      <c r="B1224" s="605" t="s">
        <v>14690</v>
      </c>
      <c r="C1224" s="606" t="s">
        <v>20385</v>
      </c>
      <c r="D1224" s="607">
        <v>2065.59</v>
      </c>
      <c r="E1224" s="607">
        <v>135.94</v>
      </c>
      <c r="F1224" s="607">
        <v>2201.5300000000002</v>
      </c>
      <c r="G1224" s="584">
        <v>15</v>
      </c>
    </row>
    <row r="1225" spans="1:7" ht="30" x14ac:dyDescent="0.2">
      <c r="A1225" s="583" t="s">
        <v>14691</v>
      </c>
      <c r="B1225" s="605" t="s">
        <v>14692</v>
      </c>
      <c r="C1225" s="606" t="s">
        <v>20385</v>
      </c>
      <c r="D1225" s="607">
        <v>2159.89</v>
      </c>
      <c r="E1225" s="607">
        <v>130.9</v>
      </c>
      <c r="F1225" s="607">
        <v>2290.79</v>
      </c>
      <c r="G1225" s="584">
        <v>15</v>
      </c>
    </row>
    <row r="1226" spans="1:7" ht="30" x14ac:dyDescent="0.2">
      <c r="A1226" s="583" t="s">
        <v>14693</v>
      </c>
      <c r="B1226" s="605" t="s">
        <v>14694</v>
      </c>
      <c r="C1226" s="606" t="s">
        <v>20385</v>
      </c>
      <c r="D1226" s="607">
        <v>2313.61</v>
      </c>
      <c r="E1226" s="607">
        <v>130.9</v>
      </c>
      <c r="F1226" s="607">
        <v>2444.5100000000002</v>
      </c>
      <c r="G1226" s="584">
        <v>15</v>
      </c>
    </row>
    <row r="1227" spans="1:7" ht="30" x14ac:dyDescent="0.2">
      <c r="A1227" s="583" t="s">
        <v>14695</v>
      </c>
      <c r="B1227" s="605" t="s">
        <v>14696</v>
      </c>
      <c r="C1227" s="606" t="s">
        <v>20385</v>
      </c>
      <c r="D1227" s="607">
        <v>2315.4499999999998</v>
      </c>
      <c r="E1227" s="607">
        <v>130.9</v>
      </c>
      <c r="F1227" s="607">
        <v>2446.35</v>
      </c>
      <c r="G1227" s="584">
        <v>15</v>
      </c>
    </row>
    <row r="1228" spans="1:7" ht="30" x14ac:dyDescent="0.2">
      <c r="A1228" s="583" t="s">
        <v>14697</v>
      </c>
      <c r="B1228" s="605" t="s">
        <v>14698</v>
      </c>
      <c r="C1228" s="606" t="s">
        <v>20385</v>
      </c>
      <c r="D1228" s="607">
        <v>3152.21</v>
      </c>
      <c r="E1228" s="607">
        <v>171.2</v>
      </c>
      <c r="F1228" s="607">
        <v>3323.41</v>
      </c>
      <c r="G1228" s="584">
        <v>15</v>
      </c>
    </row>
    <row r="1229" spans="1:7" ht="15" x14ac:dyDescent="0.25">
      <c r="A1229" s="583" t="s">
        <v>14699</v>
      </c>
      <c r="B1229" s="605" t="s">
        <v>14700</v>
      </c>
      <c r="C1229" s="606"/>
      <c r="D1229" s="607"/>
      <c r="E1229" s="607"/>
      <c r="F1229" s="607"/>
      <c r="G1229" s="582"/>
    </row>
    <row r="1230" spans="1:7" ht="15" x14ac:dyDescent="0.2">
      <c r="A1230" s="583" t="s">
        <v>14701</v>
      </c>
      <c r="B1230" s="605" t="s">
        <v>14702</v>
      </c>
      <c r="C1230" s="606" t="s">
        <v>2</v>
      </c>
      <c r="D1230" s="607">
        <v>95.34</v>
      </c>
      <c r="E1230" s="607">
        <v>50.35</v>
      </c>
      <c r="F1230" s="607">
        <v>145.69</v>
      </c>
      <c r="G1230" s="584">
        <v>15</v>
      </c>
    </row>
    <row r="1231" spans="1:7" ht="30" x14ac:dyDescent="0.2">
      <c r="A1231" s="583" t="s">
        <v>14703</v>
      </c>
      <c r="B1231" s="605" t="s">
        <v>14704</v>
      </c>
      <c r="C1231" s="606" t="s">
        <v>20358</v>
      </c>
      <c r="D1231" s="607">
        <v>7.13</v>
      </c>
      <c r="E1231" s="607">
        <v>10.07</v>
      </c>
      <c r="F1231" s="607">
        <v>17.2</v>
      </c>
      <c r="G1231" s="584">
        <v>15</v>
      </c>
    </row>
    <row r="1232" spans="1:7" ht="30" x14ac:dyDescent="0.2">
      <c r="A1232" s="583" t="s">
        <v>14705</v>
      </c>
      <c r="B1232" s="605" t="s">
        <v>14706</v>
      </c>
      <c r="C1232" s="606" t="s">
        <v>20358</v>
      </c>
      <c r="D1232" s="607">
        <v>103.58</v>
      </c>
      <c r="E1232" s="607">
        <v>100.7</v>
      </c>
      <c r="F1232" s="607">
        <v>204.28</v>
      </c>
      <c r="G1232" s="584">
        <v>15</v>
      </c>
    </row>
    <row r="1233" spans="1:7" ht="30" x14ac:dyDescent="0.2">
      <c r="A1233" s="583" t="s">
        <v>14707</v>
      </c>
      <c r="B1233" s="605" t="s">
        <v>14708</v>
      </c>
      <c r="C1233" s="606" t="s">
        <v>2</v>
      </c>
      <c r="D1233" s="607">
        <v>2708.47</v>
      </c>
      <c r="E1233" s="607"/>
      <c r="F1233" s="607">
        <v>2708.47</v>
      </c>
      <c r="G1233" s="584">
        <v>15</v>
      </c>
    </row>
    <row r="1234" spans="1:7" ht="30" x14ac:dyDescent="0.2">
      <c r="A1234" s="583" t="s">
        <v>14709</v>
      </c>
      <c r="B1234" s="605" t="s">
        <v>14710</v>
      </c>
      <c r="C1234" s="606" t="s">
        <v>2</v>
      </c>
      <c r="D1234" s="607">
        <v>900.78</v>
      </c>
      <c r="E1234" s="607"/>
      <c r="F1234" s="607">
        <v>900.78</v>
      </c>
      <c r="G1234" s="584">
        <v>15</v>
      </c>
    </row>
    <row r="1235" spans="1:7" ht="30" x14ac:dyDescent="0.2">
      <c r="A1235" s="583" t="s">
        <v>14711</v>
      </c>
      <c r="B1235" s="605" t="s">
        <v>14712</v>
      </c>
      <c r="C1235" s="606" t="s">
        <v>2</v>
      </c>
      <c r="D1235" s="607">
        <v>676.01</v>
      </c>
      <c r="E1235" s="607">
        <v>20.14</v>
      </c>
      <c r="F1235" s="607">
        <v>696.15</v>
      </c>
      <c r="G1235" s="584">
        <v>15</v>
      </c>
    </row>
    <row r="1236" spans="1:7" ht="30" x14ac:dyDescent="0.2">
      <c r="A1236" s="583" t="s">
        <v>14713</v>
      </c>
      <c r="B1236" s="605" t="s">
        <v>14714</v>
      </c>
      <c r="C1236" s="606" t="s">
        <v>2</v>
      </c>
      <c r="D1236" s="607">
        <v>2302.7399999999998</v>
      </c>
      <c r="E1236" s="607"/>
      <c r="F1236" s="607">
        <v>2302.7399999999998</v>
      </c>
      <c r="G1236" s="584">
        <v>15</v>
      </c>
    </row>
    <row r="1237" spans="1:7" ht="15" x14ac:dyDescent="0.2">
      <c r="A1237" s="583" t="s">
        <v>14715</v>
      </c>
      <c r="B1237" s="605" t="s">
        <v>14716</v>
      </c>
      <c r="C1237" s="606" t="s">
        <v>2</v>
      </c>
      <c r="D1237" s="607">
        <v>178.7</v>
      </c>
      <c r="E1237" s="607">
        <v>50.35</v>
      </c>
      <c r="F1237" s="607">
        <v>229.05</v>
      </c>
      <c r="G1237" s="584">
        <v>15</v>
      </c>
    </row>
    <row r="1238" spans="1:7" ht="30" x14ac:dyDescent="0.2">
      <c r="A1238" s="583" t="s">
        <v>14717</v>
      </c>
      <c r="B1238" s="605" t="s">
        <v>14718</v>
      </c>
      <c r="C1238" s="606" t="s">
        <v>21478</v>
      </c>
      <c r="D1238" s="607">
        <v>1195.1400000000001</v>
      </c>
      <c r="E1238" s="607">
        <v>216.5</v>
      </c>
      <c r="F1238" s="607">
        <v>1411.64</v>
      </c>
      <c r="G1238" s="584">
        <v>15</v>
      </c>
    </row>
    <row r="1239" spans="1:7" ht="15" x14ac:dyDescent="0.2">
      <c r="A1239" s="583" t="s">
        <v>14719</v>
      </c>
      <c r="B1239" s="605" t="s">
        <v>14720</v>
      </c>
      <c r="C1239" s="606" t="s">
        <v>2</v>
      </c>
      <c r="D1239" s="607">
        <v>283.47000000000003</v>
      </c>
      <c r="E1239" s="607">
        <v>9.8699999999999992</v>
      </c>
      <c r="F1239" s="607">
        <v>293.33999999999997</v>
      </c>
      <c r="G1239" s="584">
        <v>15</v>
      </c>
    </row>
    <row r="1240" spans="1:7" ht="30" x14ac:dyDescent="0.2">
      <c r="A1240" s="583" t="s">
        <v>14721</v>
      </c>
      <c r="B1240" s="605" t="s">
        <v>14722</v>
      </c>
      <c r="C1240" s="606" t="s">
        <v>2</v>
      </c>
      <c r="D1240" s="607">
        <v>2179.79</v>
      </c>
      <c r="E1240" s="607"/>
      <c r="F1240" s="607">
        <v>2179.79</v>
      </c>
      <c r="G1240" s="584">
        <v>15</v>
      </c>
    </row>
    <row r="1241" spans="1:7" ht="30" x14ac:dyDescent="0.2">
      <c r="A1241" s="583" t="s">
        <v>14723</v>
      </c>
      <c r="B1241" s="605" t="s">
        <v>14724</v>
      </c>
      <c r="C1241" s="606" t="s">
        <v>2</v>
      </c>
      <c r="D1241" s="607">
        <v>2031.33</v>
      </c>
      <c r="E1241" s="607"/>
      <c r="F1241" s="607">
        <v>2031.33</v>
      </c>
      <c r="G1241" s="584">
        <v>15</v>
      </c>
    </row>
    <row r="1242" spans="1:7" ht="15" x14ac:dyDescent="0.2">
      <c r="A1242" s="583" t="s">
        <v>20073</v>
      </c>
      <c r="B1242" s="605" t="s">
        <v>20074</v>
      </c>
      <c r="C1242" s="606" t="s">
        <v>12427</v>
      </c>
      <c r="D1242" s="607">
        <v>433.15</v>
      </c>
      <c r="E1242" s="607">
        <v>41.46</v>
      </c>
      <c r="F1242" s="607">
        <v>474.61</v>
      </c>
      <c r="G1242" s="584">
        <v>15</v>
      </c>
    </row>
    <row r="1243" spans="1:7" ht="30" x14ac:dyDescent="0.2">
      <c r="A1243" s="583" t="s">
        <v>20161</v>
      </c>
      <c r="B1243" s="605" t="s">
        <v>20162</v>
      </c>
      <c r="C1243" s="606" t="s">
        <v>12427</v>
      </c>
      <c r="D1243" s="607">
        <v>858.12</v>
      </c>
      <c r="E1243" s="607">
        <v>201.4</v>
      </c>
      <c r="F1243" s="607">
        <v>1059.52</v>
      </c>
      <c r="G1243" s="584">
        <v>15</v>
      </c>
    </row>
    <row r="1244" spans="1:7" ht="15" x14ac:dyDescent="0.2">
      <c r="A1244" s="583" t="s">
        <v>14725</v>
      </c>
      <c r="B1244" s="605" t="s">
        <v>14726</v>
      </c>
      <c r="C1244" s="606" t="s">
        <v>12427</v>
      </c>
      <c r="D1244" s="607">
        <v>501.34</v>
      </c>
      <c r="E1244" s="607">
        <v>100.42</v>
      </c>
      <c r="F1244" s="607">
        <v>601.76</v>
      </c>
      <c r="G1244" s="584">
        <v>15</v>
      </c>
    </row>
    <row r="1245" spans="1:7" ht="30" x14ac:dyDescent="0.2">
      <c r="A1245" s="583" t="s">
        <v>14727</v>
      </c>
      <c r="B1245" s="605" t="s">
        <v>14728</v>
      </c>
      <c r="C1245" s="606" t="s">
        <v>12483</v>
      </c>
      <c r="D1245" s="607">
        <v>278.99</v>
      </c>
      <c r="E1245" s="607">
        <v>10.07</v>
      </c>
      <c r="F1245" s="607">
        <v>289.06</v>
      </c>
      <c r="G1245" s="584">
        <v>15</v>
      </c>
    </row>
    <row r="1246" spans="1:7" ht="15" x14ac:dyDescent="0.25">
      <c r="A1246" s="583" t="s">
        <v>14729</v>
      </c>
      <c r="B1246" s="605" t="s">
        <v>14730</v>
      </c>
      <c r="C1246" s="606"/>
      <c r="D1246" s="607"/>
      <c r="E1246" s="607"/>
      <c r="F1246" s="607"/>
      <c r="G1246" s="582"/>
    </row>
    <row r="1247" spans="1:7" ht="30" x14ac:dyDescent="0.2">
      <c r="A1247" s="583" t="s">
        <v>14731</v>
      </c>
      <c r="B1247" s="605" t="s">
        <v>14732</v>
      </c>
      <c r="C1247" s="606" t="s">
        <v>12427</v>
      </c>
      <c r="D1247" s="607">
        <v>251.18</v>
      </c>
      <c r="E1247" s="607">
        <v>69.48</v>
      </c>
      <c r="F1247" s="607">
        <v>320.66000000000003</v>
      </c>
      <c r="G1247" s="584">
        <v>15</v>
      </c>
    </row>
    <row r="1248" spans="1:7" ht="15" x14ac:dyDescent="0.2">
      <c r="A1248" s="583" t="s">
        <v>14733</v>
      </c>
      <c r="B1248" s="605" t="s">
        <v>14734</v>
      </c>
      <c r="C1248" s="606" t="s">
        <v>12375</v>
      </c>
      <c r="D1248" s="607">
        <v>503.81</v>
      </c>
      <c r="E1248" s="607">
        <v>140.97999999999999</v>
      </c>
      <c r="F1248" s="607">
        <v>644.79</v>
      </c>
      <c r="G1248" s="584">
        <v>15</v>
      </c>
    </row>
    <row r="1249" spans="1:7" ht="15" x14ac:dyDescent="0.2">
      <c r="A1249" s="583" t="s">
        <v>14735</v>
      </c>
      <c r="B1249" s="605" t="s">
        <v>14736</v>
      </c>
      <c r="C1249" s="606" t="s">
        <v>12375</v>
      </c>
      <c r="D1249" s="607">
        <v>499.36</v>
      </c>
      <c r="E1249" s="607">
        <v>140.97999999999999</v>
      </c>
      <c r="F1249" s="607">
        <v>640.34</v>
      </c>
      <c r="G1249" s="584">
        <v>15</v>
      </c>
    </row>
    <row r="1250" spans="1:7" ht="15" x14ac:dyDescent="0.2">
      <c r="A1250" s="583" t="s">
        <v>14737</v>
      </c>
      <c r="B1250" s="605" t="s">
        <v>14738</v>
      </c>
      <c r="C1250" s="606" t="s">
        <v>12375</v>
      </c>
      <c r="D1250" s="607">
        <v>505.85</v>
      </c>
      <c r="E1250" s="607">
        <v>140.97999999999999</v>
      </c>
      <c r="F1250" s="607">
        <v>646.83000000000004</v>
      </c>
      <c r="G1250" s="584">
        <v>15</v>
      </c>
    </row>
    <row r="1251" spans="1:7" ht="15" x14ac:dyDescent="0.2">
      <c r="A1251" s="583" t="s">
        <v>14739</v>
      </c>
      <c r="B1251" s="605" t="s">
        <v>14740</v>
      </c>
      <c r="C1251" s="606" t="s">
        <v>12375</v>
      </c>
      <c r="D1251" s="607">
        <v>530.27</v>
      </c>
      <c r="E1251" s="607">
        <v>140.97999999999999</v>
      </c>
      <c r="F1251" s="607">
        <v>671.25</v>
      </c>
      <c r="G1251" s="584">
        <v>15</v>
      </c>
    </row>
    <row r="1252" spans="1:7" ht="15" x14ac:dyDescent="0.2">
      <c r="A1252" s="583" t="s">
        <v>14741</v>
      </c>
      <c r="B1252" s="605" t="s">
        <v>14742</v>
      </c>
      <c r="C1252" s="606" t="s">
        <v>12375</v>
      </c>
      <c r="D1252" s="607">
        <v>756.27</v>
      </c>
      <c r="E1252" s="607">
        <v>140.97999999999999</v>
      </c>
      <c r="F1252" s="607">
        <v>897.25</v>
      </c>
      <c r="G1252" s="584">
        <v>15</v>
      </c>
    </row>
    <row r="1253" spans="1:7" ht="15" x14ac:dyDescent="0.2">
      <c r="A1253" s="583" t="s">
        <v>14743</v>
      </c>
      <c r="B1253" s="605" t="s">
        <v>14744</v>
      </c>
      <c r="C1253" s="606" t="s">
        <v>12375</v>
      </c>
      <c r="D1253" s="607">
        <v>896.4</v>
      </c>
      <c r="E1253" s="607">
        <v>176.23</v>
      </c>
      <c r="F1253" s="607">
        <v>1072.6300000000001</v>
      </c>
      <c r="G1253" s="584">
        <v>15</v>
      </c>
    </row>
    <row r="1254" spans="1:7" ht="15" x14ac:dyDescent="0.2">
      <c r="A1254" s="583" t="s">
        <v>14745</v>
      </c>
      <c r="B1254" s="605" t="s">
        <v>14746</v>
      </c>
      <c r="C1254" s="606" t="s">
        <v>12375</v>
      </c>
      <c r="D1254" s="607">
        <v>896.96</v>
      </c>
      <c r="E1254" s="607">
        <v>203.91</v>
      </c>
      <c r="F1254" s="607">
        <v>1100.8699999999999</v>
      </c>
      <c r="G1254" s="584">
        <v>15</v>
      </c>
    </row>
    <row r="1255" spans="1:7" ht="30" x14ac:dyDescent="0.2">
      <c r="A1255" s="583" t="s">
        <v>14747</v>
      </c>
      <c r="B1255" s="605" t="s">
        <v>14748</v>
      </c>
      <c r="C1255" s="606" t="s">
        <v>12375</v>
      </c>
      <c r="D1255" s="607">
        <v>353.72</v>
      </c>
      <c r="E1255" s="607">
        <v>70.489999999999995</v>
      </c>
      <c r="F1255" s="607">
        <v>424.21</v>
      </c>
      <c r="G1255" s="584">
        <v>15</v>
      </c>
    </row>
    <row r="1256" spans="1:7" ht="30" x14ac:dyDescent="0.2">
      <c r="A1256" s="583" t="s">
        <v>14749</v>
      </c>
      <c r="B1256" s="605" t="s">
        <v>14750</v>
      </c>
      <c r="C1256" s="606" t="s">
        <v>12375</v>
      </c>
      <c r="D1256" s="607">
        <v>355.76</v>
      </c>
      <c r="E1256" s="607">
        <v>70.489999999999995</v>
      </c>
      <c r="F1256" s="607">
        <v>426.25</v>
      </c>
      <c r="G1256" s="584">
        <v>15</v>
      </c>
    </row>
    <row r="1257" spans="1:7" ht="30" x14ac:dyDescent="0.2">
      <c r="A1257" s="583" t="s">
        <v>14751</v>
      </c>
      <c r="B1257" s="605" t="s">
        <v>14752</v>
      </c>
      <c r="C1257" s="606" t="s">
        <v>12375</v>
      </c>
      <c r="D1257" s="607">
        <v>380.18</v>
      </c>
      <c r="E1257" s="607">
        <v>70.489999999999995</v>
      </c>
      <c r="F1257" s="607">
        <v>450.67</v>
      </c>
      <c r="G1257" s="584">
        <v>15</v>
      </c>
    </row>
    <row r="1258" spans="1:7" ht="15" x14ac:dyDescent="0.2">
      <c r="A1258" s="583" t="s">
        <v>14753</v>
      </c>
      <c r="B1258" s="605" t="s">
        <v>14754</v>
      </c>
      <c r="C1258" s="606" t="s">
        <v>12375</v>
      </c>
      <c r="D1258" s="607">
        <v>965.74</v>
      </c>
      <c r="E1258" s="607">
        <v>70.489999999999995</v>
      </c>
      <c r="F1258" s="607">
        <v>1036.23</v>
      </c>
      <c r="G1258" s="584">
        <v>15</v>
      </c>
    </row>
    <row r="1259" spans="1:7" ht="15" x14ac:dyDescent="0.2">
      <c r="A1259" s="583" t="s">
        <v>14755</v>
      </c>
      <c r="B1259" s="605" t="s">
        <v>14756</v>
      </c>
      <c r="C1259" s="606" t="s">
        <v>12375</v>
      </c>
      <c r="D1259" s="607">
        <v>967.78</v>
      </c>
      <c r="E1259" s="607">
        <v>70.489999999999995</v>
      </c>
      <c r="F1259" s="607">
        <v>1038.27</v>
      </c>
      <c r="G1259" s="584">
        <v>15</v>
      </c>
    </row>
    <row r="1260" spans="1:7" ht="15" x14ac:dyDescent="0.2">
      <c r="A1260" s="583" t="s">
        <v>14757</v>
      </c>
      <c r="B1260" s="605" t="s">
        <v>14758</v>
      </c>
      <c r="C1260" s="606" t="s">
        <v>12375</v>
      </c>
      <c r="D1260" s="607">
        <v>1369.52</v>
      </c>
      <c r="E1260" s="607">
        <v>130.9</v>
      </c>
      <c r="F1260" s="607">
        <v>1500.42</v>
      </c>
      <c r="G1260" s="584">
        <v>15</v>
      </c>
    </row>
    <row r="1261" spans="1:7" ht="15" x14ac:dyDescent="0.2">
      <c r="A1261" s="583" t="s">
        <v>14759</v>
      </c>
      <c r="B1261" s="605" t="s">
        <v>14760</v>
      </c>
      <c r="C1261" s="606" t="s">
        <v>12375</v>
      </c>
      <c r="D1261" s="607">
        <v>1398.68</v>
      </c>
      <c r="E1261" s="607">
        <v>130.9</v>
      </c>
      <c r="F1261" s="607">
        <v>1529.58</v>
      </c>
      <c r="G1261" s="584">
        <v>15</v>
      </c>
    </row>
    <row r="1262" spans="1:7" ht="15" x14ac:dyDescent="0.2">
      <c r="A1262" s="583" t="s">
        <v>14761</v>
      </c>
      <c r="B1262" s="605" t="s">
        <v>14762</v>
      </c>
      <c r="C1262" s="606" t="s">
        <v>12375</v>
      </c>
      <c r="D1262" s="607">
        <v>1445.77</v>
      </c>
      <c r="E1262" s="607">
        <v>130.9</v>
      </c>
      <c r="F1262" s="607">
        <v>1576.67</v>
      </c>
      <c r="G1262" s="584">
        <v>15</v>
      </c>
    </row>
    <row r="1263" spans="1:7" ht="15" x14ac:dyDescent="0.2">
      <c r="A1263" s="583" t="s">
        <v>14763</v>
      </c>
      <c r="B1263" s="605" t="s">
        <v>14764</v>
      </c>
      <c r="C1263" s="606" t="s">
        <v>12375</v>
      </c>
      <c r="D1263" s="607">
        <v>1725.01</v>
      </c>
      <c r="E1263" s="607">
        <v>171.2</v>
      </c>
      <c r="F1263" s="607">
        <v>1896.21</v>
      </c>
      <c r="G1263" s="584">
        <v>15</v>
      </c>
    </row>
    <row r="1264" spans="1:7" ht="15" x14ac:dyDescent="0.2">
      <c r="A1264" s="583" t="s">
        <v>14765</v>
      </c>
      <c r="B1264" s="605" t="s">
        <v>14766</v>
      </c>
      <c r="C1264" s="606" t="s">
        <v>12375</v>
      </c>
      <c r="D1264" s="607">
        <v>1819.76</v>
      </c>
      <c r="E1264" s="607">
        <v>171.2</v>
      </c>
      <c r="F1264" s="607">
        <v>1990.96</v>
      </c>
      <c r="G1264" s="584">
        <v>15</v>
      </c>
    </row>
    <row r="1265" spans="1:7" ht="15" x14ac:dyDescent="0.2">
      <c r="A1265" s="583" t="s">
        <v>14767</v>
      </c>
      <c r="B1265" s="605" t="s">
        <v>14768</v>
      </c>
      <c r="C1265" s="606" t="s">
        <v>12375</v>
      </c>
      <c r="D1265" s="607">
        <v>1147.97</v>
      </c>
      <c r="E1265" s="607">
        <v>70.489999999999995</v>
      </c>
      <c r="F1265" s="607">
        <v>1218.46</v>
      </c>
      <c r="G1265" s="584">
        <v>15</v>
      </c>
    </row>
    <row r="1266" spans="1:7" ht="15" x14ac:dyDescent="0.2">
      <c r="A1266" s="583" t="s">
        <v>14769</v>
      </c>
      <c r="B1266" s="605" t="s">
        <v>14770</v>
      </c>
      <c r="C1266" s="606" t="s">
        <v>12375</v>
      </c>
      <c r="D1266" s="607">
        <v>1351.3</v>
      </c>
      <c r="E1266" s="607">
        <v>70.489999999999995</v>
      </c>
      <c r="F1266" s="607">
        <v>1421.79</v>
      </c>
      <c r="G1266" s="584">
        <v>15</v>
      </c>
    </row>
    <row r="1267" spans="1:7" ht="15" x14ac:dyDescent="0.2">
      <c r="A1267" s="583" t="s">
        <v>14771</v>
      </c>
      <c r="B1267" s="605" t="s">
        <v>14772</v>
      </c>
      <c r="C1267" s="606" t="s">
        <v>12375</v>
      </c>
      <c r="D1267" s="607">
        <v>781.7</v>
      </c>
      <c r="E1267" s="607">
        <v>176.23</v>
      </c>
      <c r="F1267" s="607">
        <v>957.93</v>
      </c>
      <c r="G1267" s="584">
        <v>15</v>
      </c>
    </row>
    <row r="1268" spans="1:7" ht="15" x14ac:dyDescent="0.25">
      <c r="A1268" s="583" t="s">
        <v>14773</v>
      </c>
      <c r="B1268" s="605" t="s">
        <v>14774</v>
      </c>
      <c r="C1268" s="606"/>
      <c r="D1268" s="607"/>
      <c r="E1268" s="607"/>
      <c r="F1268" s="607"/>
      <c r="G1268" s="582"/>
    </row>
    <row r="1269" spans="1:7" ht="30" x14ac:dyDescent="0.2">
      <c r="A1269" s="583" t="s">
        <v>14775</v>
      </c>
      <c r="B1269" s="605" t="s">
        <v>14776</v>
      </c>
      <c r="C1269" s="606" t="s">
        <v>12427</v>
      </c>
      <c r="D1269" s="607">
        <v>261.63</v>
      </c>
      <c r="E1269" s="607">
        <v>69.48</v>
      </c>
      <c r="F1269" s="607">
        <v>331.11</v>
      </c>
      <c r="G1269" s="584">
        <v>15</v>
      </c>
    </row>
    <row r="1270" spans="1:7" ht="30" x14ac:dyDescent="0.2">
      <c r="A1270" s="583" t="s">
        <v>14777</v>
      </c>
      <c r="B1270" s="605" t="s">
        <v>14778</v>
      </c>
      <c r="C1270" s="606" t="s">
        <v>12375</v>
      </c>
      <c r="D1270" s="607">
        <v>506.48</v>
      </c>
      <c r="E1270" s="607">
        <v>140.97999999999999</v>
      </c>
      <c r="F1270" s="607">
        <v>647.46</v>
      </c>
      <c r="G1270" s="584">
        <v>15</v>
      </c>
    </row>
    <row r="1271" spans="1:7" ht="30" x14ac:dyDescent="0.2">
      <c r="A1271" s="583" t="s">
        <v>14779</v>
      </c>
      <c r="B1271" s="605" t="s">
        <v>14780</v>
      </c>
      <c r="C1271" s="606" t="s">
        <v>12375</v>
      </c>
      <c r="D1271" s="607">
        <v>515.11</v>
      </c>
      <c r="E1271" s="607">
        <v>140.97999999999999</v>
      </c>
      <c r="F1271" s="607">
        <v>656.09</v>
      </c>
      <c r="G1271" s="584">
        <v>15</v>
      </c>
    </row>
    <row r="1272" spans="1:7" ht="30" x14ac:dyDescent="0.2">
      <c r="A1272" s="583" t="s">
        <v>14781</v>
      </c>
      <c r="B1272" s="605" t="s">
        <v>14782</v>
      </c>
      <c r="C1272" s="606" t="s">
        <v>12375</v>
      </c>
      <c r="D1272" s="607">
        <v>547.84</v>
      </c>
      <c r="E1272" s="607">
        <v>140.97999999999999</v>
      </c>
      <c r="F1272" s="607">
        <v>688.82</v>
      </c>
      <c r="G1272" s="584">
        <v>15</v>
      </c>
    </row>
    <row r="1273" spans="1:7" ht="30" x14ac:dyDescent="0.25">
      <c r="A1273" s="583" t="s">
        <v>14783</v>
      </c>
      <c r="B1273" s="605" t="s">
        <v>14784</v>
      </c>
      <c r="C1273" s="606"/>
      <c r="D1273" s="607"/>
      <c r="E1273" s="607"/>
      <c r="F1273" s="607"/>
      <c r="G1273" s="582"/>
    </row>
    <row r="1274" spans="1:7" ht="45" x14ac:dyDescent="0.2">
      <c r="A1274" s="583" t="s">
        <v>14785</v>
      </c>
      <c r="B1274" s="605" t="s">
        <v>14786</v>
      </c>
      <c r="C1274" s="606" t="s">
        <v>12375</v>
      </c>
      <c r="D1274" s="607">
        <v>624.34</v>
      </c>
      <c r="E1274" s="607"/>
      <c r="F1274" s="607">
        <v>624.34</v>
      </c>
      <c r="G1274" s="584">
        <v>15</v>
      </c>
    </row>
    <row r="1275" spans="1:7" ht="30" x14ac:dyDescent="0.25">
      <c r="A1275" s="583" t="s">
        <v>14787</v>
      </c>
      <c r="B1275" s="605" t="s">
        <v>14788</v>
      </c>
      <c r="C1275" s="606"/>
      <c r="D1275" s="607"/>
      <c r="E1275" s="607"/>
      <c r="F1275" s="607"/>
      <c r="G1275" s="582"/>
    </row>
    <row r="1276" spans="1:7" ht="45" x14ac:dyDescent="0.2">
      <c r="A1276" s="583" t="s">
        <v>14789</v>
      </c>
      <c r="B1276" s="605" t="s">
        <v>14790</v>
      </c>
      <c r="C1276" s="606" t="s">
        <v>12375</v>
      </c>
      <c r="D1276" s="607">
        <v>624.34</v>
      </c>
      <c r="E1276" s="607"/>
      <c r="F1276" s="607">
        <v>624.34</v>
      </c>
      <c r="G1276" s="584">
        <v>15</v>
      </c>
    </row>
    <row r="1277" spans="1:7" ht="45" x14ac:dyDescent="0.2">
      <c r="A1277" s="583" t="s">
        <v>14791</v>
      </c>
      <c r="B1277" s="605" t="s">
        <v>14792</v>
      </c>
      <c r="C1277" s="606" t="s">
        <v>12375</v>
      </c>
      <c r="D1277" s="607">
        <v>641.89</v>
      </c>
      <c r="E1277" s="607"/>
      <c r="F1277" s="607">
        <v>641.89</v>
      </c>
      <c r="G1277" s="584">
        <v>15</v>
      </c>
    </row>
    <row r="1278" spans="1:7" ht="45" x14ac:dyDescent="0.2">
      <c r="A1278" s="583" t="s">
        <v>14793</v>
      </c>
      <c r="B1278" s="605" t="s">
        <v>14794</v>
      </c>
      <c r="C1278" s="606" t="s">
        <v>12375</v>
      </c>
      <c r="D1278" s="607">
        <v>624.34</v>
      </c>
      <c r="E1278" s="607"/>
      <c r="F1278" s="607">
        <v>624.34</v>
      </c>
      <c r="G1278" s="584">
        <v>15</v>
      </c>
    </row>
    <row r="1279" spans="1:7" ht="60" x14ac:dyDescent="0.2">
      <c r="A1279" s="583" t="s">
        <v>14795</v>
      </c>
      <c r="B1279" s="605" t="s">
        <v>14796</v>
      </c>
      <c r="C1279" s="606" t="s">
        <v>12375</v>
      </c>
      <c r="D1279" s="607">
        <v>775.59</v>
      </c>
      <c r="E1279" s="607"/>
      <c r="F1279" s="607">
        <v>775.59</v>
      </c>
      <c r="G1279" s="584">
        <v>15</v>
      </c>
    </row>
    <row r="1280" spans="1:7" ht="60" x14ac:dyDescent="0.2">
      <c r="A1280" s="583" t="s">
        <v>14797</v>
      </c>
      <c r="B1280" s="605" t="s">
        <v>14798</v>
      </c>
      <c r="C1280" s="606" t="s">
        <v>12375</v>
      </c>
      <c r="D1280" s="607">
        <v>812.83</v>
      </c>
      <c r="E1280" s="607"/>
      <c r="F1280" s="607">
        <v>812.83</v>
      </c>
      <c r="G1280" s="584">
        <v>15</v>
      </c>
    </row>
    <row r="1281" spans="1:7" ht="60" x14ac:dyDescent="0.2">
      <c r="A1281" s="583" t="s">
        <v>14799</v>
      </c>
      <c r="B1281" s="605" t="s">
        <v>14800</v>
      </c>
      <c r="C1281" s="606" t="s">
        <v>20385</v>
      </c>
      <c r="D1281" s="607">
        <v>908.56</v>
      </c>
      <c r="E1281" s="607"/>
      <c r="F1281" s="607">
        <v>908.56</v>
      </c>
      <c r="G1281" s="584">
        <v>15</v>
      </c>
    </row>
    <row r="1282" spans="1:7" ht="15" x14ac:dyDescent="0.25">
      <c r="A1282" s="583" t="s">
        <v>14801</v>
      </c>
      <c r="B1282" s="605" t="s">
        <v>14802</v>
      </c>
      <c r="C1282" s="606"/>
      <c r="D1282" s="607"/>
      <c r="E1282" s="607"/>
      <c r="F1282" s="607"/>
      <c r="G1282" s="582"/>
    </row>
    <row r="1283" spans="1:7" ht="15" x14ac:dyDescent="0.2">
      <c r="A1283" s="583" t="s">
        <v>14803</v>
      </c>
      <c r="B1283" s="605" t="s">
        <v>14804</v>
      </c>
      <c r="C1283" s="606" t="s">
        <v>20385</v>
      </c>
      <c r="D1283" s="607"/>
      <c r="E1283" s="607">
        <v>65.45</v>
      </c>
      <c r="F1283" s="607">
        <v>65.45</v>
      </c>
      <c r="G1283" s="584">
        <v>15</v>
      </c>
    </row>
    <row r="1284" spans="1:7" ht="15" x14ac:dyDescent="0.2">
      <c r="A1284" s="583" t="s">
        <v>14805</v>
      </c>
      <c r="B1284" s="605" t="s">
        <v>14806</v>
      </c>
      <c r="C1284" s="606" t="s">
        <v>20385</v>
      </c>
      <c r="D1284" s="607"/>
      <c r="E1284" s="607">
        <v>80.56</v>
      </c>
      <c r="F1284" s="607">
        <v>80.56</v>
      </c>
      <c r="G1284" s="584">
        <v>15</v>
      </c>
    </row>
    <row r="1285" spans="1:7" ht="15" x14ac:dyDescent="0.2">
      <c r="A1285" s="583" t="s">
        <v>14807</v>
      </c>
      <c r="B1285" s="605" t="s">
        <v>14808</v>
      </c>
      <c r="C1285" s="606" t="s">
        <v>20358</v>
      </c>
      <c r="D1285" s="607"/>
      <c r="E1285" s="607">
        <v>2.52</v>
      </c>
      <c r="F1285" s="607">
        <v>2.52</v>
      </c>
      <c r="G1285" s="584">
        <v>15</v>
      </c>
    </row>
    <row r="1286" spans="1:7" ht="15" x14ac:dyDescent="0.2">
      <c r="A1286" s="583" t="s">
        <v>14809</v>
      </c>
      <c r="B1286" s="605" t="s">
        <v>14810</v>
      </c>
      <c r="C1286" s="606" t="s">
        <v>20358</v>
      </c>
      <c r="D1286" s="607">
        <v>40.97</v>
      </c>
      <c r="E1286" s="607">
        <v>15.1</v>
      </c>
      <c r="F1286" s="607">
        <v>56.07</v>
      </c>
      <c r="G1286" s="584">
        <v>15</v>
      </c>
    </row>
    <row r="1287" spans="1:7" ht="30" x14ac:dyDescent="0.2">
      <c r="A1287" s="583" t="s">
        <v>14811</v>
      </c>
      <c r="B1287" s="605" t="s">
        <v>14812</v>
      </c>
      <c r="C1287" s="606" t="s">
        <v>2</v>
      </c>
      <c r="D1287" s="607">
        <v>1716</v>
      </c>
      <c r="E1287" s="607">
        <v>201.4</v>
      </c>
      <c r="F1287" s="607">
        <v>1917.4</v>
      </c>
      <c r="G1287" s="584">
        <v>15</v>
      </c>
    </row>
    <row r="1288" spans="1:7" ht="15" x14ac:dyDescent="0.2">
      <c r="A1288" s="583" t="s">
        <v>14813</v>
      </c>
      <c r="B1288" s="605" t="s">
        <v>14814</v>
      </c>
      <c r="C1288" s="606" t="s">
        <v>20358</v>
      </c>
      <c r="D1288" s="607">
        <v>6.84</v>
      </c>
      <c r="E1288" s="607">
        <v>2.52</v>
      </c>
      <c r="F1288" s="607">
        <v>9.36</v>
      </c>
      <c r="G1288" s="584">
        <v>15</v>
      </c>
    </row>
    <row r="1289" spans="1:7" ht="15" x14ac:dyDescent="0.2">
      <c r="A1289" s="583" t="s">
        <v>14815</v>
      </c>
      <c r="B1289" s="605" t="s">
        <v>14816</v>
      </c>
      <c r="C1289" s="606" t="s">
        <v>20385</v>
      </c>
      <c r="D1289" s="607">
        <v>325.32</v>
      </c>
      <c r="E1289" s="607"/>
      <c r="F1289" s="607">
        <v>325.32</v>
      </c>
      <c r="G1289" s="584">
        <v>15</v>
      </c>
    </row>
    <row r="1290" spans="1:7" ht="15" x14ac:dyDescent="0.2">
      <c r="A1290" s="583" t="s">
        <v>14817</v>
      </c>
      <c r="B1290" s="605" t="s">
        <v>14818</v>
      </c>
      <c r="C1290" s="606" t="s">
        <v>2</v>
      </c>
      <c r="D1290" s="607">
        <v>1201.98</v>
      </c>
      <c r="E1290" s="607">
        <v>25.18</v>
      </c>
      <c r="F1290" s="607">
        <v>1227.1600000000001</v>
      </c>
      <c r="G1290" s="584">
        <v>15</v>
      </c>
    </row>
    <row r="1291" spans="1:7" ht="15" x14ac:dyDescent="0.2">
      <c r="A1291" s="583" t="s">
        <v>14819</v>
      </c>
      <c r="B1291" s="605" t="s">
        <v>14820</v>
      </c>
      <c r="C1291" s="606" t="s">
        <v>2</v>
      </c>
      <c r="D1291" s="607">
        <v>132.72999999999999</v>
      </c>
      <c r="E1291" s="607">
        <v>25.18</v>
      </c>
      <c r="F1291" s="607">
        <v>157.91</v>
      </c>
      <c r="G1291" s="584">
        <v>15</v>
      </c>
    </row>
    <row r="1292" spans="1:7" ht="15" x14ac:dyDescent="0.2">
      <c r="A1292" s="583" t="s">
        <v>14821</v>
      </c>
      <c r="B1292" s="605" t="s">
        <v>14822</v>
      </c>
      <c r="C1292" s="606" t="s">
        <v>2</v>
      </c>
      <c r="D1292" s="607">
        <v>482.05</v>
      </c>
      <c r="E1292" s="607">
        <v>25.18</v>
      </c>
      <c r="F1292" s="607">
        <v>507.23</v>
      </c>
      <c r="G1292" s="584">
        <v>15</v>
      </c>
    </row>
    <row r="1293" spans="1:7" ht="15" x14ac:dyDescent="0.2">
      <c r="A1293" s="583" t="s">
        <v>14823</v>
      </c>
      <c r="B1293" s="605" t="s">
        <v>14824</v>
      </c>
      <c r="C1293" s="606" t="s">
        <v>20385</v>
      </c>
      <c r="D1293" s="607">
        <v>237.69</v>
      </c>
      <c r="E1293" s="607">
        <v>75.53</v>
      </c>
      <c r="F1293" s="607">
        <v>313.22000000000003</v>
      </c>
      <c r="G1293" s="584">
        <v>15</v>
      </c>
    </row>
    <row r="1294" spans="1:7" ht="15" x14ac:dyDescent="0.2">
      <c r="A1294" s="583" t="s">
        <v>14825</v>
      </c>
      <c r="B1294" s="605" t="s">
        <v>14826</v>
      </c>
      <c r="C1294" s="606" t="s">
        <v>20385</v>
      </c>
      <c r="D1294" s="607">
        <v>233.24</v>
      </c>
      <c r="E1294" s="607">
        <v>75.53</v>
      </c>
      <c r="F1294" s="607">
        <v>308.77</v>
      </c>
      <c r="G1294" s="584">
        <v>15</v>
      </c>
    </row>
    <row r="1295" spans="1:7" ht="15" x14ac:dyDescent="0.2">
      <c r="A1295" s="583" t="s">
        <v>14827</v>
      </c>
      <c r="B1295" s="605" t="s">
        <v>14828</v>
      </c>
      <c r="C1295" s="606" t="s">
        <v>20385</v>
      </c>
      <c r="D1295" s="607">
        <v>239.73</v>
      </c>
      <c r="E1295" s="607">
        <v>75.53</v>
      </c>
      <c r="F1295" s="607">
        <v>315.26</v>
      </c>
      <c r="G1295" s="584">
        <v>15</v>
      </c>
    </row>
    <row r="1296" spans="1:7" ht="15" x14ac:dyDescent="0.2">
      <c r="A1296" s="583" t="s">
        <v>14829</v>
      </c>
      <c r="B1296" s="605" t="s">
        <v>14830</v>
      </c>
      <c r="C1296" s="606" t="s">
        <v>20385</v>
      </c>
      <c r="D1296" s="607">
        <v>264.14999999999998</v>
      </c>
      <c r="E1296" s="607">
        <v>75.53</v>
      </c>
      <c r="F1296" s="607">
        <v>339.68</v>
      </c>
      <c r="G1296" s="584">
        <v>15</v>
      </c>
    </row>
    <row r="1297" spans="1:7" ht="30" x14ac:dyDescent="0.2">
      <c r="A1297" s="583" t="s">
        <v>14831</v>
      </c>
      <c r="B1297" s="605" t="s">
        <v>14832</v>
      </c>
      <c r="C1297" s="606" t="s">
        <v>20385</v>
      </c>
      <c r="D1297" s="607">
        <v>1023.61</v>
      </c>
      <c r="E1297" s="607">
        <v>75.53</v>
      </c>
      <c r="F1297" s="607">
        <v>1099.1400000000001</v>
      </c>
      <c r="G1297" s="584">
        <v>15</v>
      </c>
    </row>
    <row r="1298" spans="1:7" ht="30" x14ac:dyDescent="0.2">
      <c r="A1298" s="583" t="s">
        <v>14833</v>
      </c>
      <c r="B1298" s="605" t="s">
        <v>14834</v>
      </c>
      <c r="C1298" s="606" t="s">
        <v>20385</v>
      </c>
      <c r="D1298" s="607">
        <v>1133.83</v>
      </c>
      <c r="E1298" s="607">
        <v>75.53</v>
      </c>
      <c r="F1298" s="607">
        <v>1209.3599999999999</v>
      </c>
      <c r="G1298" s="584">
        <v>15</v>
      </c>
    </row>
    <row r="1299" spans="1:7" ht="30" x14ac:dyDescent="0.2">
      <c r="A1299" s="583" t="s">
        <v>14835</v>
      </c>
      <c r="B1299" s="605" t="s">
        <v>14836</v>
      </c>
      <c r="C1299" s="606" t="s">
        <v>20385</v>
      </c>
      <c r="D1299" s="607">
        <v>1131.99</v>
      </c>
      <c r="E1299" s="607">
        <v>75.53</v>
      </c>
      <c r="F1299" s="607">
        <v>1207.52</v>
      </c>
      <c r="G1299" s="584">
        <v>15</v>
      </c>
    </row>
    <row r="1300" spans="1:7" ht="30" x14ac:dyDescent="0.2">
      <c r="A1300" s="583" t="s">
        <v>21392</v>
      </c>
      <c r="B1300" s="605" t="s">
        <v>21393</v>
      </c>
      <c r="C1300" s="606" t="s">
        <v>2</v>
      </c>
      <c r="D1300" s="607">
        <v>599.91</v>
      </c>
      <c r="E1300" s="607">
        <v>40.880000000000003</v>
      </c>
      <c r="F1300" s="607">
        <v>640.79</v>
      </c>
      <c r="G1300" s="584">
        <v>15</v>
      </c>
    </row>
    <row r="1301" spans="1:7" ht="30" x14ac:dyDescent="0.2">
      <c r="A1301" s="583" t="s">
        <v>14837</v>
      </c>
      <c r="B1301" s="605" t="s">
        <v>14838</v>
      </c>
      <c r="C1301" s="606" t="s">
        <v>2</v>
      </c>
      <c r="D1301" s="607">
        <v>1139.19</v>
      </c>
      <c r="E1301" s="607">
        <v>75.53</v>
      </c>
      <c r="F1301" s="607">
        <v>1214.72</v>
      </c>
      <c r="G1301" s="584">
        <v>15</v>
      </c>
    </row>
    <row r="1302" spans="1:7" ht="15" x14ac:dyDescent="0.25">
      <c r="A1302" s="583" t="s">
        <v>14839</v>
      </c>
      <c r="B1302" s="605" t="s">
        <v>14840</v>
      </c>
      <c r="C1302" s="606"/>
      <c r="D1302" s="607"/>
      <c r="E1302" s="607"/>
      <c r="F1302" s="607"/>
      <c r="G1302" s="582"/>
    </row>
    <row r="1303" spans="1:7" ht="15" x14ac:dyDescent="0.25">
      <c r="A1303" s="583" t="s">
        <v>14841</v>
      </c>
      <c r="B1303" s="605" t="s">
        <v>14842</v>
      </c>
      <c r="C1303" s="606"/>
      <c r="D1303" s="607"/>
      <c r="E1303" s="607"/>
      <c r="F1303" s="607"/>
      <c r="G1303" s="582"/>
    </row>
    <row r="1304" spans="1:7" ht="15" x14ac:dyDescent="0.2">
      <c r="A1304" s="583" t="s">
        <v>14843</v>
      </c>
      <c r="B1304" s="605" t="s">
        <v>14844</v>
      </c>
      <c r="C1304" s="606" t="s">
        <v>2</v>
      </c>
      <c r="D1304" s="607">
        <v>540.87</v>
      </c>
      <c r="E1304" s="607">
        <v>31.96</v>
      </c>
      <c r="F1304" s="607">
        <v>572.83000000000004</v>
      </c>
      <c r="G1304" s="584">
        <v>15</v>
      </c>
    </row>
    <row r="1305" spans="1:7" ht="15" x14ac:dyDescent="0.2">
      <c r="A1305" s="583" t="s">
        <v>14845</v>
      </c>
      <c r="B1305" s="605" t="s">
        <v>14846</v>
      </c>
      <c r="C1305" s="606" t="s">
        <v>2</v>
      </c>
      <c r="D1305" s="607">
        <v>1499.26</v>
      </c>
      <c r="E1305" s="607">
        <v>31.96</v>
      </c>
      <c r="F1305" s="607">
        <v>1531.22</v>
      </c>
      <c r="G1305" s="584">
        <v>15</v>
      </c>
    </row>
    <row r="1306" spans="1:7" ht="15" x14ac:dyDescent="0.2">
      <c r="A1306" s="583" t="s">
        <v>14847</v>
      </c>
      <c r="B1306" s="605" t="s">
        <v>14848</v>
      </c>
      <c r="C1306" s="606" t="s">
        <v>2</v>
      </c>
      <c r="D1306" s="607">
        <v>909.99</v>
      </c>
      <c r="E1306" s="607">
        <v>31.96</v>
      </c>
      <c r="F1306" s="607">
        <v>941.95</v>
      </c>
      <c r="G1306" s="584">
        <v>15</v>
      </c>
    </row>
    <row r="1307" spans="1:7" ht="15" x14ac:dyDescent="0.2">
      <c r="A1307" s="583" t="s">
        <v>14849</v>
      </c>
      <c r="B1307" s="605" t="s">
        <v>14850</v>
      </c>
      <c r="C1307" s="606" t="s">
        <v>2</v>
      </c>
      <c r="D1307" s="607">
        <v>607.79999999999995</v>
      </c>
      <c r="E1307" s="607">
        <v>31.96</v>
      </c>
      <c r="F1307" s="607">
        <v>639.76</v>
      </c>
      <c r="G1307" s="584">
        <v>15</v>
      </c>
    </row>
    <row r="1308" spans="1:7" ht="15" x14ac:dyDescent="0.2">
      <c r="A1308" s="583" t="s">
        <v>14851</v>
      </c>
      <c r="B1308" s="605" t="s">
        <v>14852</v>
      </c>
      <c r="C1308" s="606" t="s">
        <v>2</v>
      </c>
      <c r="D1308" s="607">
        <v>380.79</v>
      </c>
      <c r="E1308" s="607">
        <v>31.96</v>
      </c>
      <c r="F1308" s="607">
        <v>412.75</v>
      </c>
      <c r="G1308" s="584">
        <v>15</v>
      </c>
    </row>
    <row r="1309" spans="1:7" ht="15" x14ac:dyDescent="0.2">
      <c r="A1309" s="583" t="s">
        <v>14853</v>
      </c>
      <c r="B1309" s="605" t="s">
        <v>14854</v>
      </c>
      <c r="C1309" s="606" t="s">
        <v>2</v>
      </c>
      <c r="D1309" s="607">
        <v>808.12</v>
      </c>
      <c r="E1309" s="607">
        <v>31.96</v>
      </c>
      <c r="F1309" s="607">
        <v>840.08</v>
      </c>
      <c r="G1309" s="584">
        <v>15</v>
      </c>
    </row>
    <row r="1310" spans="1:7" ht="30" x14ac:dyDescent="0.2">
      <c r="A1310" s="583" t="s">
        <v>14855</v>
      </c>
      <c r="B1310" s="605" t="s">
        <v>14856</v>
      </c>
      <c r="C1310" s="606" t="s">
        <v>2</v>
      </c>
      <c r="D1310" s="607">
        <v>291.92</v>
      </c>
      <c r="E1310" s="607"/>
      <c r="F1310" s="607">
        <v>291.92</v>
      </c>
      <c r="G1310" s="584">
        <v>15</v>
      </c>
    </row>
    <row r="1311" spans="1:7" ht="45" x14ac:dyDescent="0.2">
      <c r="A1311" s="583" t="s">
        <v>14857</v>
      </c>
      <c r="B1311" s="605" t="s">
        <v>14858</v>
      </c>
      <c r="C1311" s="606" t="s">
        <v>2</v>
      </c>
      <c r="D1311" s="607">
        <v>872.44</v>
      </c>
      <c r="E1311" s="607">
        <v>30.69</v>
      </c>
      <c r="F1311" s="607">
        <v>903.13</v>
      </c>
      <c r="G1311" s="584">
        <v>15</v>
      </c>
    </row>
    <row r="1312" spans="1:7" ht="45" x14ac:dyDescent="0.2">
      <c r="A1312" s="583" t="s">
        <v>14859</v>
      </c>
      <c r="B1312" s="605" t="s">
        <v>14860</v>
      </c>
      <c r="C1312" s="606" t="s">
        <v>2</v>
      </c>
      <c r="D1312" s="607">
        <v>647.13</v>
      </c>
      <c r="E1312" s="607">
        <v>30.69</v>
      </c>
      <c r="F1312" s="607">
        <v>677.82</v>
      </c>
      <c r="G1312" s="584">
        <v>15</v>
      </c>
    </row>
    <row r="1313" spans="1:7" ht="30" x14ac:dyDescent="0.2">
      <c r="A1313" s="583" t="s">
        <v>14861</v>
      </c>
      <c r="B1313" s="605" t="s">
        <v>14862</v>
      </c>
      <c r="C1313" s="606" t="s">
        <v>2</v>
      </c>
      <c r="D1313" s="607">
        <v>2136.7800000000002</v>
      </c>
      <c r="E1313" s="607">
        <v>81.209999999999994</v>
      </c>
      <c r="F1313" s="607">
        <v>2217.9899999999998</v>
      </c>
      <c r="G1313" s="584">
        <v>15</v>
      </c>
    </row>
    <row r="1314" spans="1:7" ht="15" x14ac:dyDescent="0.2">
      <c r="A1314" s="583" t="s">
        <v>14863</v>
      </c>
      <c r="B1314" s="605" t="s">
        <v>14864</v>
      </c>
      <c r="C1314" s="606" t="s">
        <v>2</v>
      </c>
      <c r="D1314" s="607">
        <v>998.26</v>
      </c>
      <c r="E1314" s="607">
        <v>95.77</v>
      </c>
      <c r="F1314" s="607">
        <v>1094.03</v>
      </c>
      <c r="G1314" s="584">
        <v>15</v>
      </c>
    </row>
    <row r="1315" spans="1:7" ht="15" x14ac:dyDescent="0.25">
      <c r="A1315" s="583" t="s">
        <v>14865</v>
      </c>
      <c r="B1315" s="605" t="s">
        <v>14866</v>
      </c>
      <c r="C1315" s="606"/>
      <c r="D1315" s="607"/>
      <c r="E1315" s="607"/>
      <c r="F1315" s="607"/>
      <c r="G1315" s="582"/>
    </row>
    <row r="1316" spans="1:7" ht="15" x14ac:dyDescent="0.2">
      <c r="A1316" s="583" t="s">
        <v>14867</v>
      </c>
      <c r="B1316" s="605" t="s">
        <v>14868</v>
      </c>
      <c r="C1316" s="606" t="s">
        <v>2</v>
      </c>
      <c r="D1316" s="607">
        <v>967.73</v>
      </c>
      <c r="E1316" s="607">
        <v>95.77</v>
      </c>
      <c r="F1316" s="607">
        <v>1063.5</v>
      </c>
      <c r="G1316" s="584">
        <v>15</v>
      </c>
    </row>
    <row r="1317" spans="1:7" ht="15" x14ac:dyDescent="0.2">
      <c r="A1317" s="583" t="s">
        <v>14869</v>
      </c>
      <c r="B1317" s="605" t="s">
        <v>14870</v>
      </c>
      <c r="C1317" s="606" t="s">
        <v>2</v>
      </c>
      <c r="D1317" s="607">
        <v>861.84</v>
      </c>
      <c r="E1317" s="607">
        <v>95.77</v>
      </c>
      <c r="F1317" s="607">
        <v>957.61</v>
      </c>
      <c r="G1317" s="584">
        <v>15</v>
      </c>
    </row>
    <row r="1318" spans="1:7" ht="30" x14ac:dyDescent="0.2">
      <c r="A1318" s="583" t="s">
        <v>14871</v>
      </c>
      <c r="B1318" s="605" t="s">
        <v>14872</v>
      </c>
      <c r="C1318" s="606" t="s">
        <v>20385</v>
      </c>
      <c r="D1318" s="607">
        <v>1404.69</v>
      </c>
      <c r="E1318" s="607">
        <v>168.83</v>
      </c>
      <c r="F1318" s="607">
        <v>1573.52</v>
      </c>
      <c r="G1318" s="584">
        <v>15</v>
      </c>
    </row>
    <row r="1319" spans="1:7" ht="30" x14ac:dyDescent="0.2">
      <c r="A1319" s="583" t="s">
        <v>14873</v>
      </c>
      <c r="B1319" s="605" t="s">
        <v>14874</v>
      </c>
      <c r="C1319" s="606" t="s">
        <v>20385</v>
      </c>
      <c r="D1319" s="607">
        <v>1513.37</v>
      </c>
      <c r="E1319" s="607">
        <v>168.83</v>
      </c>
      <c r="F1319" s="607">
        <v>1682.2</v>
      </c>
      <c r="G1319" s="584">
        <v>15</v>
      </c>
    </row>
    <row r="1320" spans="1:7" ht="30" x14ac:dyDescent="0.2">
      <c r="A1320" s="583" t="s">
        <v>14875</v>
      </c>
      <c r="B1320" s="605" t="s">
        <v>14876</v>
      </c>
      <c r="C1320" s="606" t="s">
        <v>2</v>
      </c>
      <c r="D1320" s="607">
        <v>1144.56</v>
      </c>
      <c r="E1320" s="607">
        <v>95.77</v>
      </c>
      <c r="F1320" s="607">
        <v>1240.33</v>
      </c>
      <c r="G1320" s="584">
        <v>15</v>
      </c>
    </row>
    <row r="1321" spans="1:7" ht="30" x14ac:dyDescent="0.2">
      <c r="A1321" s="583" t="s">
        <v>14877</v>
      </c>
      <c r="B1321" s="605" t="s">
        <v>14878</v>
      </c>
      <c r="C1321" s="606" t="s">
        <v>20385</v>
      </c>
      <c r="D1321" s="607">
        <v>2460.1799999999998</v>
      </c>
      <c r="E1321" s="607">
        <v>168.83</v>
      </c>
      <c r="F1321" s="607">
        <v>2629.01</v>
      </c>
      <c r="G1321" s="584">
        <v>15</v>
      </c>
    </row>
    <row r="1322" spans="1:7" ht="30" x14ac:dyDescent="0.2">
      <c r="A1322" s="583" t="s">
        <v>14879</v>
      </c>
      <c r="B1322" s="605" t="s">
        <v>14880</v>
      </c>
      <c r="C1322" s="606" t="s">
        <v>20385</v>
      </c>
      <c r="D1322" s="607">
        <v>2454.31</v>
      </c>
      <c r="E1322" s="607">
        <v>168.83</v>
      </c>
      <c r="F1322" s="607">
        <v>2623.14</v>
      </c>
      <c r="G1322" s="584">
        <v>15</v>
      </c>
    </row>
    <row r="1323" spans="1:7" ht="15" x14ac:dyDescent="0.2">
      <c r="A1323" s="583" t="s">
        <v>14881</v>
      </c>
      <c r="B1323" s="605" t="s">
        <v>14882</v>
      </c>
      <c r="C1323" s="606" t="s">
        <v>2</v>
      </c>
      <c r="D1323" s="607">
        <v>943.23</v>
      </c>
      <c r="E1323" s="607">
        <v>95.77</v>
      </c>
      <c r="F1323" s="607">
        <v>1039</v>
      </c>
      <c r="G1323" s="584">
        <v>15</v>
      </c>
    </row>
    <row r="1324" spans="1:7" ht="15" x14ac:dyDescent="0.2">
      <c r="A1324" s="583" t="s">
        <v>14883</v>
      </c>
      <c r="B1324" s="605" t="s">
        <v>14884</v>
      </c>
      <c r="C1324" s="606" t="s">
        <v>2</v>
      </c>
      <c r="D1324" s="607">
        <v>314.37</v>
      </c>
      <c r="E1324" s="607">
        <v>95.77</v>
      </c>
      <c r="F1324" s="607">
        <v>410.14</v>
      </c>
      <c r="G1324" s="584">
        <v>15</v>
      </c>
    </row>
    <row r="1325" spans="1:7" ht="15" x14ac:dyDescent="0.2">
      <c r="A1325" s="583" t="s">
        <v>14885</v>
      </c>
      <c r="B1325" s="605" t="s">
        <v>20395</v>
      </c>
      <c r="C1325" s="606" t="s">
        <v>2</v>
      </c>
      <c r="D1325" s="607">
        <v>1554.01</v>
      </c>
      <c r="E1325" s="607">
        <v>95.77</v>
      </c>
      <c r="F1325" s="607">
        <v>1649.78</v>
      </c>
      <c r="G1325" s="584">
        <v>15</v>
      </c>
    </row>
    <row r="1326" spans="1:7" ht="30" x14ac:dyDescent="0.2">
      <c r="A1326" s="583" t="s">
        <v>14886</v>
      </c>
      <c r="B1326" s="605" t="s">
        <v>14887</v>
      </c>
      <c r="C1326" s="606" t="s">
        <v>2</v>
      </c>
      <c r="D1326" s="607">
        <v>981.2</v>
      </c>
      <c r="E1326" s="607">
        <v>73.06</v>
      </c>
      <c r="F1326" s="607">
        <v>1054.26</v>
      </c>
      <c r="G1326" s="584">
        <v>15</v>
      </c>
    </row>
    <row r="1327" spans="1:7" ht="30" x14ac:dyDescent="0.2">
      <c r="A1327" s="583" t="s">
        <v>14888</v>
      </c>
      <c r="B1327" s="605" t="s">
        <v>14889</v>
      </c>
      <c r="C1327" s="606" t="s">
        <v>2</v>
      </c>
      <c r="D1327" s="607">
        <v>783.69</v>
      </c>
      <c r="E1327" s="607">
        <v>95.77</v>
      </c>
      <c r="F1327" s="607">
        <v>879.46</v>
      </c>
      <c r="G1327" s="584">
        <v>15</v>
      </c>
    </row>
    <row r="1328" spans="1:7" ht="30" x14ac:dyDescent="0.2">
      <c r="A1328" s="583" t="s">
        <v>14890</v>
      </c>
      <c r="B1328" s="605" t="s">
        <v>14891</v>
      </c>
      <c r="C1328" s="606" t="s">
        <v>2</v>
      </c>
      <c r="D1328" s="607">
        <v>699.93</v>
      </c>
      <c r="E1328" s="607">
        <v>95.77</v>
      </c>
      <c r="F1328" s="607">
        <v>795.7</v>
      </c>
      <c r="G1328" s="584">
        <v>15</v>
      </c>
    </row>
    <row r="1329" spans="1:7" ht="15" x14ac:dyDescent="0.2">
      <c r="A1329" s="583" t="s">
        <v>14892</v>
      </c>
      <c r="B1329" s="605" t="s">
        <v>14893</v>
      </c>
      <c r="C1329" s="606" t="s">
        <v>2</v>
      </c>
      <c r="D1329" s="607">
        <v>1266.74</v>
      </c>
      <c r="E1329" s="607">
        <v>95.77</v>
      </c>
      <c r="F1329" s="607">
        <v>1362.51</v>
      </c>
      <c r="G1329" s="584">
        <v>15</v>
      </c>
    </row>
    <row r="1330" spans="1:7" ht="15" x14ac:dyDescent="0.2">
      <c r="A1330" s="583" t="s">
        <v>14894</v>
      </c>
      <c r="B1330" s="605" t="s">
        <v>14895</v>
      </c>
      <c r="C1330" s="606" t="s">
        <v>2</v>
      </c>
      <c r="D1330" s="607">
        <v>1376.8</v>
      </c>
      <c r="E1330" s="607">
        <v>95.77</v>
      </c>
      <c r="F1330" s="607">
        <v>1472.57</v>
      </c>
      <c r="G1330" s="584">
        <v>15</v>
      </c>
    </row>
    <row r="1331" spans="1:7" ht="30" x14ac:dyDescent="0.2">
      <c r="A1331" s="583" t="s">
        <v>14896</v>
      </c>
      <c r="B1331" s="605" t="s">
        <v>14897</v>
      </c>
      <c r="C1331" s="606" t="s">
        <v>2</v>
      </c>
      <c r="D1331" s="607">
        <v>819.8</v>
      </c>
      <c r="E1331" s="607">
        <v>95.77</v>
      </c>
      <c r="F1331" s="607">
        <v>915.57</v>
      </c>
      <c r="G1331" s="584">
        <v>15</v>
      </c>
    </row>
    <row r="1332" spans="1:7" ht="15" x14ac:dyDescent="0.2">
      <c r="A1332" s="583" t="s">
        <v>14898</v>
      </c>
      <c r="B1332" s="605" t="s">
        <v>14899</v>
      </c>
      <c r="C1332" s="606" t="s">
        <v>2</v>
      </c>
      <c r="D1332" s="607">
        <v>1466.99</v>
      </c>
      <c r="E1332" s="607">
        <v>63.64</v>
      </c>
      <c r="F1332" s="607">
        <v>1530.63</v>
      </c>
      <c r="G1332" s="584">
        <v>15</v>
      </c>
    </row>
    <row r="1333" spans="1:7" ht="15" x14ac:dyDescent="0.2">
      <c r="A1333" s="583" t="s">
        <v>14900</v>
      </c>
      <c r="B1333" s="605" t="s">
        <v>14901</v>
      </c>
      <c r="C1333" s="606" t="s">
        <v>2</v>
      </c>
      <c r="D1333" s="607">
        <v>1257.82</v>
      </c>
      <c r="E1333" s="607">
        <v>73.06</v>
      </c>
      <c r="F1333" s="607">
        <v>1330.88</v>
      </c>
      <c r="G1333" s="584">
        <v>15</v>
      </c>
    </row>
    <row r="1334" spans="1:7" ht="30" x14ac:dyDescent="0.2">
      <c r="A1334" s="583" t="s">
        <v>14902</v>
      </c>
      <c r="B1334" s="605" t="s">
        <v>14903</v>
      </c>
      <c r="C1334" s="606" t="s">
        <v>2</v>
      </c>
      <c r="D1334" s="607">
        <v>1952.94</v>
      </c>
      <c r="E1334" s="607">
        <v>63.64</v>
      </c>
      <c r="F1334" s="607">
        <v>2016.58</v>
      </c>
      <c r="G1334" s="584">
        <v>15</v>
      </c>
    </row>
    <row r="1335" spans="1:7" ht="30" x14ac:dyDescent="0.2">
      <c r="A1335" s="583" t="s">
        <v>14904</v>
      </c>
      <c r="B1335" s="605" t="s">
        <v>14905</v>
      </c>
      <c r="C1335" s="606" t="s">
        <v>2</v>
      </c>
      <c r="D1335" s="607">
        <v>1385.28</v>
      </c>
      <c r="E1335" s="607">
        <v>63.64</v>
      </c>
      <c r="F1335" s="607">
        <v>1448.92</v>
      </c>
      <c r="G1335" s="584">
        <v>15</v>
      </c>
    </row>
    <row r="1336" spans="1:7" ht="15" x14ac:dyDescent="0.2">
      <c r="A1336" s="583" t="s">
        <v>14906</v>
      </c>
      <c r="B1336" s="605" t="s">
        <v>14907</v>
      </c>
      <c r="C1336" s="606" t="s">
        <v>2</v>
      </c>
      <c r="D1336" s="607">
        <v>1709.27</v>
      </c>
      <c r="E1336" s="607">
        <v>31.96</v>
      </c>
      <c r="F1336" s="607">
        <v>1741.23</v>
      </c>
      <c r="G1336" s="584">
        <v>15</v>
      </c>
    </row>
    <row r="1337" spans="1:7" ht="15" x14ac:dyDescent="0.2">
      <c r="A1337" s="583" t="s">
        <v>14908</v>
      </c>
      <c r="B1337" s="605" t="s">
        <v>14909</v>
      </c>
      <c r="C1337" s="606" t="s">
        <v>2</v>
      </c>
      <c r="D1337" s="607">
        <v>294.05</v>
      </c>
      <c r="E1337" s="607">
        <v>50.35</v>
      </c>
      <c r="F1337" s="607">
        <v>344.4</v>
      </c>
      <c r="G1337" s="584">
        <v>15</v>
      </c>
    </row>
    <row r="1338" spans="1:7" ht="30" x14ac:dyDescent="0.2">
      <c r="A1338" s="583" t="s">
        <v>14910</v>
      </c>
      <c r="B1338" s="605" t="s">
        <v>14911</v>
      </c>
      <c r="C1338" s="606" t="s">
        <v>2</v>
      </c>
      <c r="D1338" s="607">
        <v>824.54</v>
      </c>
      <c r="E1338" s="607">
        <v>95.77</v>
      </c>
      <c r="F1338" s="607">
        <v>920.31</v>
      </c>
      <c r="G1338" s="584">
        <v>15</v>
      </c>
    </row>
    <row r="1339" spans="1:7" ht="30" x14ac:dyDescent="0.2">
      <c r="A1339" s="583" t="s">
        <v>14912</v>
      </c>
      <c r="B1339" s="605" t="s">
        <v>14913</v>
      </c>
      <c r="C1339" s="606" t="s">
        <v>2</v>
      </c>
      <c r="D1339" s="607">
        <v>1191.73</v>
      </c>
      <c r="E1339" s="607">
        <v>151.97999999999999</v>
      </c>
      <c r="F1339" s="607">
        <v>1343.71</v>
      </c>
      <c r="G1339" s="584">
        <v>15</v>
      </c>
    </row>
    <row r="1340" spans="1:7" ht="30" x14ac:dyDescent="0.2">
      <c r="A1340" s="583" t="s">
        <v>14914</v>
      </c>
      <c r="B1340" s="605" t="s">
        <v>14915</v>
      </c>
      <c r="C1340" s="606" t="s">
        <v>2</v>
      </c>
      <c r="D1340" s="607">
        <v>6775.37</v>
      </c>
      <c r="E1340" s="607">
        <v>187.59</v>
      </c>
      <c r="F1340" s="607">
        <v>6962.96</v>
      </c>
      <c r="G1340" s="584">
        <v>15</v>
      </c>
    </row>
    <row r="1341" spans="1:7" ht="30" x14ac:dyDescent="0.2">
      <c r="A1341" s="583" t="s">
        <v>14916</v>
      </c>
      <c r="B1341" s="605" t="s">
        <v>14917</v>
      </c>
      <c r="C1341" s="606" t="s">
        <v>2</v>
      </c>
      <c r="D1341" s="607">
        <v>1052.71</v>
      </c>
      <c r="E1341" s="607">
        <v>63.64</v>
      </c>
      <c r="F1341" s="607">
        <v>1116.3499999999999</v>
      </c>
      <c r="G1341" s="584">
        <v>15</v>
      </c>
    </row>
    <row r="1342" spans="1:7" ht="30" x14ac:dyDescent="0.2">
      <c r="A1342" s="583" t="s">
        <v>14918</v>
      </c>
      <c r="B1342" s="605" t="s">
        <v>14919</v>
      </c>
      <c r="C1342" s="606" t="s">
        <v>2</v>
      </c>
      <c r="D1342" s="607">
        <v>1719.05</v>
      </c>
      <c r="E1342" s="607">
        <v>72.73</v>
      </c>
      <c r="F1342" s="607">
        <v>1791.78</v>
      </c>
      <c r="G1342" s="584">
        <v>15</v>
      </c>
    </row>
    <row r="1343" spans="1:7" ht="30" x14ac:dyDescent="0.2">
      <c r="A1343" s="583" t="s">
        <v>14920</v>
      </c>
      <c r="B1343" s="605" t="s">
        <v>14921</v>
      </c>
      <c r="C1343" s="606" t="s">
        <v>2</v>
      </c>
      <c r="D1343" s="607">
        <v>1408.58</v>
      </c>
      <c r="E1343" s="607">
        <v>95.77</v>
      </c>
      <c r="F1343" s="607">
        <v>1504.35</v>
      </c>
      <c r="G1343" s="584">
        <v>15</v>
      </c>
    </row>
    <row r="1344" spans="1:7" ht="15" x14ac:dyDescent="0.25">
      <c r="A1344" s="583" t="s">
        <v>14922</v>
      </c>
      <c r="B1344" s="605" t="s">
        <v>14923</v>
      </c>
      <c r="C1344" s="606"/>
      <c r="D1344" s="607"/>
      <c r="E1344" s="607"/>
      <c r="F1344" s="607"/>
      <c r="G1344" s="582"/>
    </row>
    <row r="1345" spans="1:7" ht="30" x14ac:dyDescent="0.2">
      <c r="A1345" s="583" t="s">
        <v>14924</v>
      </c>
      <c r="B1345" s="605" t="s">
        <v>14925</v>
      </c>
      <c r="C1345" s="606" t="s">
        <v>20358</v>
      </c>
      <c r="D1345" s="607">
        <v>801.66</v>
      </c>
      <c r="E1345" s="607">
        <v>50.35</v>
      </c>
      <c r="F1345" s="607">
        <v>852.01</v>
      </c>
      <c r="G1345" s="584">
        <v>15</v>
      </c>
    </row>
    <row r="1346" spans="1:7" ht="15" x14ac:dyDescent="0.2">
      <c r="A1346" s="583" t="s">
        <v>14926</v>
      </c>
      <c r="B1346" s="605" t="s">
        <v>20292</v>
      </c>
      <c r="C1346" s="606" t="s">
        <v>20358</v>
      </c>
      <c r="D1346" s="607">
        <v>830.25</v>
      </c>
      <c r="E1346" s="607">
        <v>20.14</v>
      </c>
      <c r="F1346" s="607">
        <v>850.39</v>
      </c>
      <c r="G1346" s="584">
        <v>15</v>
      </c>
    </row>
    <row r="1347" spans="1:7" ht="15" x14ac:dyDescent="0.2">
      <c r="A1347" s="583" t="s">
        <v>14927</v>
      </c>
      <c r="B1347" s="605" t="s">
        <v>20293</v>
      </c>
      <c r="C1347" s="606" t="s">
        <v>20358</v>
      </c>
      <c r="D1347" s="607">
        <v>1348.99</v>
      </c>
      <c r="E1347" s="607">
        <v>50.35</v>
      </c>
      <c r="F1347" s="607">
        <v>1399.34</v>
      </c>
      <c r="G1347" s="584">
        <v>15</v>
      </c>
    </row>
    <row r="1348" spans="1:7" ht="15" x14ac:dyDescent="0.2">
      <c r="A1348" s="583" t="s">
        <v>14928</v>
      </c>
      <c r="B1348" s="605" t="s">
        <v>14929</v>
      </c>
      <c r="C1348" s="606" t="s">
        <v>2</v>
      </c>
      <c r="D1348" s="607">
        <v>1461.19</v>
      </c>
      <c r="E1348" s="607">
        <v>100.7</v>
      </c>
      <c r="F1348" s="607">
        <v>1561.89</v>
      </c>
      <c r="G1348" s="584">
        <v>15</v>
      </c>
    </row>
    <row r="1349" spans="1:7" ht="30" x14ac:dyDescent="0.2">
      <c r="A1349" s="583" t="s">
        <v>14930</v>
      </c>
      <c r="B1349" s="605" t="s">
        <v>14931</v>
      </c>
      <c r="C1349" s="606" t="s">
        <v>2</v>
      </c>
      <c r="D1349" s="607">
        <v>992.19</v>
      </c>
      <c r="E1349" s="607">
        <v>16.61</v>
      </c>
      <c r="F1349" s="607">
        <v>1008.8</v>
      </c>
      <c r="G1349" s="584">
        <v>15</v>
      </c>
    </row>
    <row r="1350" spans="1:7" ht="30" x14ac:dyDescent="0.2">
      <c r="A1350" s="583" t="s">
        <v>14932</v>
      </c>
      <c r="B1350" s="605" t="s">
        <v>20396</v>
      </c>
      <c r="C1350" s="606" t="s">
        <v>2</v>
      </c>
      <c r="D1350" s="607">
        <v>398.94</v>
      </c>
      <c r="E1350" s="607">
        <v>219.12</v>
      </c>
      <c r="F1350" s="607">
        <v>618.05999999999995</v>
      </c>
      <c r="G1350" s="584">
        <v>15</v>
      </c>
    </row>
    <row r="1351" spans="1:7" ht="45" x14ac:dyDescent="0.2">
      <c r="A1351" s="583" t="s">
        <v>14933</v>
      </c>
      <c r="B1351" s="605" t="s">
        <v>14934</v>
      </c>
      <c r="C1351" s="606" t="s">
        <v>2</v>
      </c>
      <c r="D1351" s="607">
        <v>991.82</v>
      </c>
      <c r="E1351" s="607">
        <v>31.96</v>
      </c>
      <c r="F1351" s="607">
        <v>1023.78</v>
      </c>
      <c r="G1351" s="584">
        <v>15</v>
      </c>
    </row>
    <row r="1352" spans="1:7" ht="30" x14ac:dyDescent="0.2">
      <c r="A1352" s="583" t="s">
        <v>14935</v>
      </c>
      <c r="B1352" s="605" t="s">
        <v>14936</v>
      </c>
      <c r="C1352" s="606" t="s">
        <v>2</v>
      </c>
      <c r="D1352" s="607">
        <v>777.99</v>
      </c>
      <c r="E1352" s="607">
        <v>63.64</v>
      </c>
      <c r="F1352" s="607">
        <v>841.63</v>
      </c>
      <c r="G1352" s="584">
        <v>15</v>
      </c>
    </row>
    <row r="1353" spans="1:7" ht="15" x14ac:dyDescent="0.2">
      <c r="A1353" s="583" t="s">
        <v>14937</v>
      </c>
      <c r="B1353" s="605" t="s">
        <v>14938</v>
      </c>
      <c r="C1353" s="606" t="s">
        <v>20358</v>
      </c>
      <c r="D1353" s="607">
        <v>215.84</v>
      </c>
      <c r="E1353" s="607">
        <v>25.18</v>
      </c>
      <c r="F1353" s="607">
        <v>241.02</v>
      </c>
      <c r="G1353" s="584">
        <v>15</v>
      </c>
    </row>
    <row r="1354" spans="1:7" ht="15" x14ac:dyDescent="0.2">
      <c r="A1354" s="583" t="s">
        <v>14939</v>
      </c>
      <c r="B1354" s="605" t="s">
        <v>14940</v>
      </c>
      <c r="C1354" s="606" t="s">
        <v>20358</v>
      </c>
      <c r="D1354" s="607">
        <v>256.11</v>
      </c>
      <c r="E1354" s="607">
        <v>25.18</v>
      </c>
      <c r="F1354" s="607">
        <v>281.29000000000002</v>
      </c>
      <c r="G1354" s="584">
        <v>15</v>
      </c>
    </row>
    <row r="1355" spans="1:7" ht="30" x14ac:dyDescent="0.2">
      <c r="A1355" s="583" t="s">
        <v>14941</v>
      </c>
      <c r="B1355" s="605" t="s">
        <v>14942</v>
      </c>
      <c r="C1355" s="606" t="s">
        <v>2</v>
      </c>
      <c r="D1355" s="607">
        <v>1341.78</v>
      </c>
      <c r="E1355" s="607">
        <v>73.06</v>
      </c>
      <c r="F1355" s="607">
        <v>1414.84</v>
      </c>
      <c r="G1355" s="584">
        <v>15</v>
      </c>
    </row>
    <row r="1356" spans="1:7" ht="30" x14ac:dyDescent="0.2">
      <c r="A1356" s="583" t="s">
        <v>14943</v>
      </c>
      <c r="B1356" s="605" t="s">
        <v>14944</v>
      </c>
      <c r="C1356" s="606" t="s">
        <v>2</v>
      </c>
      <c r="D1356" s="607">
        <v>1081.74</v>
      </c>
      <c r="E1356" s="607">
        <v>31.96</v>
      </c>
      <c r="F1356" s="607">
        <v>1113.7</v>
      </c>
      <c r="G1356" s="584">
        <v>15</v>
      </c>
    </row>
    <row r="1357" spans="1:7" ht="30" x14ac:dyDescent="0.2">
      <c r="A1357" s="583" t="s">
        <v>14945</v>
      </c>
      <c r="B1357" s="605" t="s">
        <v>21394</v>
      </c>
      <c r="C1357" s="606" t="s">
        <v>2</v>
      </c>
      <c r="D1357" s="607">
        <v>935.16</v>
      </c>
      <c r="E1357" s="607">
        <v>63.64</v>
      </c>
      <c r="F1357" s="607">
        <v>998.8</v>
      </c>
      <c r="G1357" s="584">
        <v>15</v>
      </c>
    </row>
    <row r="1358" spans="1:7" ht="30" x14ac:dyDescent="0.2">
      <c r="A1358" s="583" t="s">
        <v>14946</v>
      </c>
      <c r="B1358" s="605" t="s">
        <v>21395</v>
      </c>
      <c r="C1358" s="606" t="s">
        <v>2</v>
      </c>
      <c r="D1358" s="607">
        <v>680.47</v>
      </c>
      <c r="E1358" s="607">
        <v>20.14</v>
      </c>
      <c r="F1358" s="607">
        <v>700.61</v>
      </c>
      <c r="G1358" s="584">
        <v>15</v>
      </c>
    </row>
    <row r="1359" spans="1:7" ht="45" x14ac:dyDescent="0.2">
      <c r="A1359" s="583" t="s">
        <v>14947</v>
      </c>
      <c r="B1359" s="605" t="s">
        <v>14948</v>
      </c>
      <c r="C1359" s="606" t="s">
        <v>2</v>
      </c>
      <c r="D1359" s="607">
        <v>682.96</v>
      </c>
      <c r="E1359" s="607"/>
      <c r="F1359" s="607">
        <v>682.96</v>
      </c>
      <c r="G1359" s="584">
        <v>15</v>
      </c>
    </row>
    <row r="1360" spans="1:7" ht="15" x14ac:dyDescent="0.25">
      <c r="A1360" s="583" t="s">
        <v>14949</v>
      </c>
      <c r="B1360" s="605" t="s">
        <v>14950</v>
      </c>
      <c r="C1360" s="606"/>
      <c r="D1360" s="607"/>
      <c r="E1360" s="607"/>
      <c r="F1360" s="607"/>
      <c r="G1360" s="582"/>
    </row>
    <row r="1361" spans="1:7" ht="30" x14ac:dyDescent="0.2">
      <c r="A1361" s="583" t="s">
        <v>14951</v>
      </c>
      <c r="B1361" s="605" t="s">
        <v>14952</v>
      </c>
      <c r="C1361" s="606" t="s">
        <v>2</v>
      </c>
      <c r="D1361" s="607">
        <v>3213.87</v>
      </c>
      <c r="E1361" s="607">
        <v>70.709999999999994</v>
      </c>
      <c r="F1361" s="607">
        <v>3284.58</v>
      </c>
      <c r="G1361" s="584">
        <v>15</v>
      </c>
    </row>
    <row r="1362" spans="1:7" ht="30" x14ac:dyDescent="0.2">
      <c r="A1362" s="583" t="s">
        <v>14953</v>
      </c>
      <c r="B1362" s="605" t="s">
        <v>14954</v>
      </c>
      <c r="C1362" s="606" t="s">
        <v>2</v>
      </c>
      <c r="D1362" s="607">
        <v>1892.09</v>
      </c>
      <c r="E1362" s="607">
        <v>70.709999999999994</v>
      </c>
      <c r="F1362" s="607">
        <v>1962.8</v>
      </c>
      <c r="G1362" s="584">
        <v>15</v>
      </c>
    </row>
    <row r="1363" spans="1:7" ht="30" x14ac:dyDescent="0.2">
      <c r="A1363" s="583" t="s">
        <v>14955</v>
      </c>
      <c r="B1363" s="605" t="s">
        <v>14956</v>
      </c>
      <c r="C1363" s="606" t="s">
        <v>2</v>
      </c>
      <c r="D1363" s="607">
        <v>2029.4</v>
      </c>
      <c r="E1363" s="607">
        <v>70.709999999999994</v>
      </c>
      <c r="F1363" s="607">
        <v>2100.11</v>
      </c>
      <c r="G1363" s="584">
        <v>15</v>
      </c>
    </row>
    <row r="1364" spans="1:7" ht="30" x14ac:dyDescent="0.2">
      <c r="A1364" s="583" t="s">
        <v>14957</v>
      </c>
      <c r="B1364" s="605" t="s">
        <v>14958</v>
      </c>
      <c r="C1364" s="606" t="s">
        <v>2</v>
      </c>
      <c r="D1364" s="607">
        <v>3074.11</v>
      </c>
      <c r="E1364" s="607">
        <v>70.709999999999994</v>
      </c>
      <c r="F1364" s="607">
        <v>3144.82</v>
      </c>
      <c r="G1364" s="584">
        <v>15</v>
      </c>
    </row>
    <row r="1365" spans="1:7" ht="30" x14ac:dyDescent="0.2">
      <c r="A1365" s="583" t="s">
        <v>14959</v>
      </c>
      <c r="B1365" s="605" t="s">
        <v>14960</v>
      </c>
      <c r="C1365" s="606" t="s">
        <v>2</v>
      </c>
      <c r="D1365" s="607">
        <v>2478.12</v>
      </c>
      <c r="E1365" s="607">
        <v>129.47999999999999</v>
      </c>
      <c r="F1365" s="607">
        <v>2607.6</v>
      </c>
      <c r="G1365" s="584">
        <v>15</v>
      </c>
    </row>
    <row r="1366" spans="1:7" ht="30" x14ac:dyDescent="0.2">
      <c r="A1366" s="583" t="s">
        <v>14961</v>
      </c>
      <c r="B1366" s="605" t="s">
        <v>14962</v>
      </c>
      <c r="C1366" s="606" t="s">
        <v>2</v>
      </c>
      <c r="D1366" s="607">
        <v>3733.78</v>
      </c>
      <c r="E1366" s="607">
        <v>129.47999999999999</v>
      </c>
      <c r="F1366" s="607">
        <v>3863.26</v>
      </c>
      <c r="G1366" s="584">
        <v>15</v>
      </c>
    </row>
    <row r="1367" spans="1:7" ht="45" x14ac:dyDescent="0.2">
      <c r="A1367" s="583" t="s">
        <v>14963</v>
      </c>
      <c r="B1367" s="605" t="s">
        <v>14964</v>
      </c>
      <c r="C1367" s="606" t="s">
        <v>2</v>
      </c>
      <c r="D1367" s="607">
        <v>2986.35</v>
      </c>
      <c r="E1367" s="607">
        <v>129.47999999999999</v>
      </c>
      <c r="F1367" s="607">
        <v>3115.83</v>
      </c>
      <c r="G1367" s="584">
        <v>15</v>
      </c>
    </row>
    <row r="1368" spans="1:7" ht="45" x14ac:dyDescent="0.2">
      <c r="A1368" s="583" t="s">
        <v>14965</v>
      </c>
      <c r="B1368" s="605" t="s">
        <v>14966</v>
      </c>
      <c r="C1368" s="606" t="s">
        <v>2</v>
      </c>
      <c r="D1368" s="607">
        <v>3779.68</v>
      </c>
      <c r="E1368" s="607">
        <v>129.47999999999999</v>
      </c>
      <c r="F1368" s="607">
        <v>3909.16</v>
      </c>
      <c r="G1368" s="584">
        <v>15</v>
      </c>
    </row>
    <row r="1369" spans="1:7" ht="30" x14ac:dyDescent="0.2">
      <c r="A1369" s="583" t="s">
        <v>14967</v>
      </c>
      <c r="B1369" s="605" t="s">
        <v>14968</v>
      </c>
      <c r="C1369" s="606" t="s">
        <v>2</v>
      </c>
      <c r="D1369" s="607">
        <v>2454.5700000000002</v>
      </c>
      <c r="E1369" s="607">
        <v>70.709999999999994</v>
      </c>
      <c r="F1369" s="607">
        <v>2525.2800000000002</v>
      </c>
      <c r="G1369" s="584">
        <v>15</v>
      </c>
    </row>
    <row r="1370" spans="1:7" ht="30" x14ac:dyDescent="0.2">
      <c r="A1370" s="583" t="s">
        <v>14969</v>
      </c>
      <c r="B1370" s="605" t="s">
        <v>14970</v>
      </c>
      <c r="C1370" s="606" t="s">
        <v>2</v>
      </c>
      <c r="D1370" s="607">
        <v>2477.1799999999998</v>
      </c>
      <c r="E1370" s="607">
        <v>70.709999999999994</v>
      </c>
      <c r="F1370" s="607">
        <v>2547.89</v>
      </c>
      <c r="G1370" s="584">
        <v>15</v>
      </c>
    </row>
    <row r="1371" spans="1:7" ht="30" x14ac:dyDescent="0.2">
      <c r="A1371" s="583" t="s">
        <v>14971</v>
      </c>
      <c r="B1371" s="605" t="s">
        <v>14972</v>
      </c>
      <c r="C1371" s="606" t="s">
        <v>2</v>
      </c>
      <c r="D1371" s="607">
        <v>3675.88</v>
      </c>
      <c r="E1371" s="607">
        <v>70.709999999999994</v>
      </c>
      <c r="F1371" s="607">
        <v>3746.59</v>
      </c>
      <c r="G1371" s="584">
        <v>15</v>
      </c>
    </row>
    <row r="1372" spans="1:7" ht="30" x14ac:dyDescent="0.2">
      <c r="A1372" s="583" t="s">
        <v>14973</v>
      </c>
      <c r="B1372" s="605" t="s">
        <v>14974</v>
      </c>
      <c r="C1372" s="606" t="s">
        <v>2</v>
      </c>
      <c r="D1372" s="607">
        <v>3057.5</v>
      </c>
      <c r="E1372" s="607">
        <v>129.47999999999999</v>
      </c>
      <c r="F1372" s="607">
        <v>3186.98</v>
      </c>
      <c r="G1372" s="584">
        <v>15</v>
      </c>
    </row>
    <row r="1373" spans="1:7" ht="30" x14ac:dyDescent="0.2">
      <c r="A1373" s="583" t="s">
        <v>14975</v>
      </c>
      <c r="B1373" s="605" t="s">
        <v>14976</v>
      </c>
      <c r="C1373" s="606" t="s">
        <v>2</v>
      </c>
      <c r="D1373" s="607">
        <v>4327.47</v>
      </c>
      <c r="E1373" s="607">
        <v>129.47999999999999</v>
      </c>
      <c r="F1373" s="607">
        <v>4456.95</v>
      </c>
      <c r="G1373" s="584">
        <v>15</v>
      </c>
    </row>
    <row r="1374" spans="1:7" ht="45" x14ac:dyDescent="0.2">
      <c r="A1374" s="583" t="s">
        <v>14977</v>
      </c>
      <c r="B1374" s="605" t="s">
        <v>14978</v>
      </c>
      <c r="C1374" s="606" t="s">
        <v>2</v>
      </c>
      <c r="D1374" s="607">
        <v>3312.32</v>
      </c>
      <c r="E1374" s="607">
        <v>129.47999999999999</v>
      </c>
      <c r="F1374" s="607">
        <v>3441.8</v>
      </c>
      <c r="G1374" s="584">
        <v>15</v>
      </c>
    </row>
    <row r="1375" spans="1:7" ht="45" x14ac:dyDescent="0.2">
      <c r="A1375" s="583" t="s">
        <v>14979</v>
      </c>
      <c r="B1375" s="605" t="s">
        <v>14980</v>
      </c>
      <c r="C1375" s="606" t="s">
        <v>2</v>
      </c>
      <c r="D1375" s="607">
        <v>4363.55</v>
      </c>
      <c r="E1375" s="607">
        <v>129.47999999999999</v>
      </c>
      <c r="F1375" s="607">
        <v>4493.03</v>
      </c>
      <c r="G1375" s="584">
        <v>15</v>
      </c>
    </row>
    <row r="1376" spans="1:7" ht="45" x14ac:dyDescent="0.2">
      <c r="A1376" s="583" t="s">
        <v>14981</v>
      </c>
      <c r="B1376" s="605" t="s">
        <v>14982</v>
      </c>
      <c r="C1376" s="606" t="s">
        <v>2</v>
      </c>
      <c r="D1376" s="607">
        <v>4428.6899999999996</v>
      </c>
      <c r="E1376" s="607">
        <v>129.47999999999999</v>
      </c>
      <c r="F1376" s="607">
        <v>4558.17</v>
      </c>
      <c r="G1376" s="584">
        <v>15</v>
      </c>
    </row>
    <row r="1377" spans="1:7" ht="45" x14ac:dyDescent="0.2">
      <c r="A1377" s="583" t="s">
        <v>14983</v>
      </c>
      <c r="B1377" s="605" t="s">
        <v>14984</v>
      </c>
      <c r="C1377" s="606" t="s">
        <v>2</v>
      </c>
      <c r="D1377" s="607">
        <v>4250.1499999999996</v>
      </c>
      <c r="E1377" s="607">
        <v>70.709999999999994</v>
      </c>
      <c r="F1377" s="607">
        <v>4320.8599999999997</v>
      </c>
      <c r="G1377" s="584">
        <v>15</v>
      </c>
    </row>
    <row r="1378" spans="1:7" ht="30" x14ac:dyDescent="0.2">
      <c r="A1378" s="583" t="s">
        <v>14985</v>
      </c>
      <c r="B1378" s="605" t="s">
        <v>14986</v>
      </c>
      <c r="C1378" s="606" t="s">
        <v>2</v>
      </c>
      <c r="D1378" s="607">
        <v>2691.27</v>
      </c>
      <c r="E1378" s="607">
        <v>70.709999999999994</v>
      </c>
      <c r="F1378" s="607">
        <v>2761.98</v>
      </c>
      <c r="G1378" s="584">
        <v>15</v>
      </c>
    </row>
    <row r="1379" spans="1:7" ht="45" x14ac:dyDescent="0.2">
      <c r="A1379" s="583" t="s">
        <v>14987</v>
      </c>
      <c r="B1379" s="605" t="s">
        <v>14988</v>
      </c>
      <c r="C1379" s="606" t="s">
        <v>2</v>
      </c>
      <c r="D1379" s="607">
        <v>4564.43</v>
      </c>
      <c r="E1379" s="607">
        <v>70.709999999999994</v>
      </c>
      <c r="F1379" s="607">
        <v>4635.1400000000003</v>
      </c>
      <c r="G1379" s="584">
        <v>15</v>
      </c>
    </row>
    <row r="1380" spans="1:7" ht="45" x14ac:dyDescent="0.2">
      <c r="A1380" s="583" t="s">
        <v>14989</v>
      </c>
      <c r="B1380" s="605" t="s">
        <v>14990</v>
      </c>
      <c r="C1380" s="606" t="s">
        <v>2</v>
      </c>
      <c r="D1380" s="607">
        <v>3936.12</v>
      </c>
      <c r="E1380" s="607">
        <v>283.7</v>
      </c>
      <c r="F1380" s="607">
        <v>4219.82</v>
      </c>
      <c r="G1380" s="584">
        <v>15</v>
      </c>
    </row>
    <row r="1381" spans="1:7" ht="30" x14ac:dyDescent="0.2">
      <c r="A1381" s="583" t="s">
        <v>14991</v>
      </c>
      <c r="B1381" s="605" t="s">
        <v>14992</v>
      </c>
      <c r="C1381" s="606" t="s">
        <v>2</v>
      </c>
      <c r="D1381" s="607">
        <v>3537.32</v>
      </c>
      <c r="E1381" s="607">
        <v>70.709999999999994</v>
      </c>
      <c r="F1381" s="607">
        <v>3608.03</v>
      </c>
      <c r="G1381" s="584">
        <v>15</v>
      </c>
    </row>
    <row r="1382" spans="1:7" ht="30" x14ac:dyDescent="0.2">
      <c r="A1382" s="583" t="s">
        <v>14993</v>
      </c>
      <c r="B1382" s="605" t="s">
        <v>14994</v>
      </c>
      <c r="C1382" s="606" t="s">
        <v>2</v>
      </c>
      <c r="D1382" s="607">
        <v>1735.2</v>
      </c>
      <c r="E1382" s="607">
        <v>70.709999999999994</v>
      </c>
      <c r="F1382" s="607">
        <v>1805.91</v>
      </c>
      <c r="G1382" s="584">
        <v>15</v>
      </c>
    </row>
    <row r="1383" spans="1:7" ht="30" x14ac:dyDescent="0.2">
      <c r="A1383" s="583" t="s">
        <v>14995</v>
      </c>
      <c r="B1383" s="605" t="s">
        <v>14996</v>
      </c>
      <c r="C1383" s="606" t="s">
        <v>2</v>
      </c>
      <c r="D1383" s="607">
        <v>2815.67</v>
      </c>
      <c r="E1383" s="607">
        <v>70.709999999999994</v>
      </c>
      <c r="F1383" s="607">
        <v>2886.38</v>
      </c>
      <c r="G1383" s="584">
        <v>15</v>
      </c>
    </row>
    <row r="1384" spans="1:7" ht="30" x14ac:dyDescent="0.2">
      <c r="A1384" s="583" t="s">
        <v>14997</v>
      </c>
      <c r="B1384" s="605" t="s">
        <v>14998</v>
      </c>
      <c r="C1384" s="606" t="s">
        <v>2</v>
      </c>
      <c r="D1384" s="607">
        <v>2306.8000000000002</v>
      </c>
      <c r="E1384" s="607">
        <v>70.709999999999994</v>
      </c>
      <c r="F1384" s="607">
        <v>2377.5100000000002</v>
      </c>
      <c r="G1384" s="584">
        <v>15</v>
      </c>
    </row>
    <row r="1385" spans="1:7" ht="15" x14ac:dyDescent="0.25">
      <c r="A1385" s="583" t="s">
        <v>14999</v>
      </c>
      <c r="B1385" s="605" t="s">
        <v>15000</v>
      </c>
      <c r="C1385" s="606"/>
      <c r="D1385" s="607"/>
      <c r="E1385" s="607"/>
      <c r="F1385" s="607"/>
      <c r="G1385" s="582"/>
    </row>
    <row r="1386" spans="1:7" ht="30" x14ac:dyDescent="0.2">
      <c r="A1386" s="583" t="s">
        <v>15001</v>
      </c>
      <c r="B1386" s="605" t="s">
        <v>15002</v>
      </c>
      <c r="C1386" s="606" t="s">
        <v>20358</v>
      </c>
      <c r="D1386" s="607">
        <v>912.86</v>
      </c>
      <c r="E1386" s="607">
        <v>58.77</v>
      </c>
      <c r="F1386" s="607">
        <v>971.63</v>
      </c>
      <c r="G1386" s="584">
        <v>15</v>
      </c>
    </row>
    <row r="1387" spans="1:7" ht="15" x14ac:dyDescent="0.25">
      <c r="A1387" s="583" t="s">
        <v>15003</v>
      </c>
      <c r="B1387" s="605" t="s">
        <v>15004</v>
      </c>
      <c r="C1387" s="606"/>
      <c r="D1387" s="607"/>
      <c r="E1387" s="607"/>
      <c r="F1387" s="607"/>
      <c r="G1387" s="582"/>
    </row>
    <row r="1388" spans="1:7" ht="30" x14ac:dyDescent="0.2">
      <c r="A1388" s="583" t="s">
        <v>15005</v>
      </c>
      <c r="B1388" s="605" t="s">
        <v>15006</v>
      </c>
      <c r="C1388" s="606" t="s">
        <v>2</v>
      </c>
      <c r="D1388" s="607">
        <v>679.74</v>
      </c>
      <c r="E1388" s="607">
        <v>50.35</v>
      </c>
      <c r="F1388" s="607">
        <v>730.09</v>
      </c>
      <c r="G1388" s="584">
        <v>15</v>
      </c>
    </row>
    <row r="1389" spans="1:7" ht="30" x14ac:dyDescent="0.2">
      <c r="A1389" s="583" t="s">
        <v>15007</v>
      </c>
      <c r="B1389" s="605" t="s">
        <v>15008</v>
      </c>
      <c r="C1389" s="606" t="s">
        <v>2</v>
      </c>
      <c r="D1389" s="607">
        <v>962.74</v>
      </c>
      <c r="E1389" s="607">
        <v>141.26</v>
      </c>
      <c r="F1389" s="607">
        <v>1104</v>
      </c>
      <c r="G1389" s="584">
        <v>15</v>
      </c>
    </row>
    <row r="1390" spans="1:7" ht="15" x14ac:dyDescent="0.25">
      <c r="A1390" s="583" t="s">
        <v>15009</v>
      </c>
      <c r="B1390" s="605" t="s">
        <v>15010</v>
      </c>
      <c r="C1390" s="606"/>
      <c r="D1390" s="607"/>
      <c r="E1390" s="607"/>
      <c r="F1390" s="607"/>
      <c r="G1390" s="582"/>
    </row>
    <row r="1391" spans="1:7" ht="30" x14ac:dyDescent="0.2">
      <c r="A1391" s="583" t="s">
        <v>15011</v>
      </c>
      <c r="B1391" s="605" t="s">
        <v>15012</v>
      </c>
      <c r="C1391" s="606" t="s">
        <v>20358</v>
      </c>
      <c r="D1391" s="607">
        <v>684.76</v>
      </c>
      <c r="E1391" s="607">
        <v>60.42</v>
      </c>
      <c r="F1391" s="607">
        <v>745.18</v>
      </c>
      <c r="G1391" s="584">
        <v>15</v>
      </c>
    </row>
    <row r="1392" spans="1:7" ht="30" x14ac:dyDescent="0.2">
      <c r="A1392" s="583" t="s">
        <v>15013</v>
      </c>
      <c r="B1392" s="605" t="s">
        <v>15014</v>
      </c>
      <c r="C1392" s="606" t="s">
        <v>20358</v>
      </c>
      <c r="D1392" s="607">
        <v>571.14</v>
      </c>
      <c r="E1392" s="607">
        <v>25.18</v>
      </c>
      <c r="F1392" s="607">
        <v>596.32000000000005</v>
      </c>
      <c r="G1392" s="584">
        <v>15</v>
      </c>
    </row>
    <row r="1393" spans="1:7" ht="30" x14ac:dyDescent="0.2">
      <c r="A1393" s="583" t="s">
        <v>15015</v>
      </c>
      <c r="B1393" s="605" t="s">
        <v>15016</v>
      </c>
      <c r="C1393" s="606" t="s">
        <v>20358</v>
      </c>
      <c r="D1393" s="607">
        <v>592.75</v>
      </c>
      <c r="E1393" s="607">
        <v>50.35</v>
      </c>
      <c r="F1393" s="607">
        <v>643.1</v>
      </c>
      <c r="G1393" s="584">
        <v>15</v>
      </c>
    </row>
    <row r="1394" spans="1:7" ht="15" x14ac:dyDescent="0.25">
      <c r="A1394" s="583" t="s">
        <v>15017</v>
      </c>
      <c r="B1394" s="605" t="s">
        <v>15018</v>
      </c>
      <c r="C1394" s="606"/>
      <c r="D1394" s="607"/>
      <c r="E1394" s="607"/>
      <c r="F1394" s="607"/>
      <c r="G1394" s="582"/>
    </row>
    <row r="1395" spans="1:7" ht="15" x14ac:dyDescent="0.2">
      <c r="A1395" s="583" t="s">
        <v>15019</v>
      </c>
      <c r="B1395" s="605" t="s">
        <v>15020</v>
      </c>
      <c r="C1395" s="606" t="s">
        <v>12427</v>
      </c>
      <c r="D1395" s="607"/>
      <c r="E1395" s="607">
        <v>50.35</v>
      </c>
      <c r="F1395" s="607">
        <v>50.35</v>
      </c>
      <c r="G1395" s="584">
        <v>15</v>
      </c>
    </row>
    <row r="1396" spans="1:7" ht="15" x14ac:dyDescent="0.2">
      <c r="A1396" s="583" t="s">
        <v>15021</v>
      </c>
      <c r="B1396" s="605" t="s">
        <v>15022</v>
      </c>
      <c r="C1396" s="606" t="s">
        <v>12483</v>
      </c>
      <c r="D1396" s="607">
        <v>2.0499999999999998</v>
      </c>
      <c r="E1396" s="607">
        <v>13.09</v>
      </c>
      <c r="F1396" s="607">
        <v>15.14</v>
      </c>
      <c r="G1396" s="584">
        <v>15</v>
      </c>
    </row>
    <row r="1397" spans="1:7" ht="15" x14ac:dyDescent="0.2">
      <c r="A1397" s="583" t="s">
        <v>15023</v>
      </c>
      <c r="B1397" s="605" t="s">
        <v>15024</v>
      </c>
      <c r="C1397" s="606" t="s">
        <v>12483</v>
      </c>
      <c r="D1397" s="607"/>
      <c r="E1397" s="607">
        <v>30.21</v>
      </c>
      <c r="F1397" s="607">
        <v>30.21</v>
      </c>
      <c r="G1397" s="584">
        <v>15</v>
      </c>
    </row>
    <row r="1398" spans="1:7" ht="15" x14ac:dyDescent="0.2">
      <c r="A1398" s="583" t="s">
        <v>15025</v>
      </c>
      <c r="B1398" s="605" t="s">
        <v>15026</v>
      </c>
      <c r="C1398" s="606" t="s">
        <v>12483</v>
      </c>
      <c r="D1398" s="607">
        <v>23.94</v>
      </c>
      <c r="E1398" s="607">
        <v>31.46</v>
      </c>
      <c r="F1398" s="607">
        <v>55.4</v>
      </c>
      <c r="G1398" s="584">
        <v>15</v>
      </c>
    </row>
    <row r="1399" spans="1:7" ht="15" x14ac:dyDescent="0.2">
      <c r="A1399" s="583" t="s">
        <v>15027</v>
      </c>
      <c r="B1399" s="605" t="s">
        <v>15028</v>
      </c>
      <c r="C1399" s="606" t="s">
        <v>12676</v>
      </c>
      <c r="D1399" s="607">
        <v>3992.52</v>
      </c>
      <c r="E1399" s="607">
        <v>117.54</v>
      </c>
      <c r="F1399" s="607">
        <v>4110.0600000000004</v>
      </c>
      <c r="G1399" s="584">
        <v>15</v>
      </c>
    </row>
    <row r="1400" spans="1:7" ht="15" x14ac:dyDescent="0.2">
      <c r="A1400" s="583" t="s">
        <v>15029</v>
      </c>
      <c r="B1400" s="605" t="s">
        <v>15030</v>
      </c>
      <c r="C1400" s="606" t="s">
        <v>12483</v>
      </c>
      <c r="D1400" s="607">
        <v>229.67</v>
      </c>
      <c r="E1400" s="607">
        <v>13.09</v>
      </c>
      <c r="F1400" s="607">
        <v>242.76</v>
      </c>
      <c r="G1400" s="584">
        <v>15</v>
      </c>
    </row>
    <row r="1401" spans="1:7" ht="30" x14ac:dyDescent="0.2">
      <c r="A1401" s="583" t="s">
        <v>15031</v>
      </c>
      <c r="B1401" s="605" t="s">
        <v>15032</v>
      </c>
      <c r="C1401" s="606" t="s">
        <v>12483</v>
      </c>
      <c r="D1401" s="607">
        <v>327.11</v>
      </c>
      <c r="E1401" s="607">
        <v>13.09</v>
      </c>
      <c r="F1401" s="607">
        <v>340.2</v>
      </c>
      <c r="G1401" s="584">
        <v>15</v>
      </c>
    </row>
    <row r="1402" spans="1:7" ht="15" x14ac:dyDescent="0.2">
      <c r="A1402" s="583" t="s">
        <v>15033</v>
      </c>
      <c r="B1402" s="605" t="s">
        <v>15034</v>
      </c>
      <c r="C1402" s="606" t="s">
        <v>12427</v>
      </c>
      <c r="D1402" s="607">
        <v>230.46</v>
      </c>
      <c r="E1402" s="607">
        <v>60.42</v>
      </c>
      <c r="F1402" s="607">
        <v>290.88</v>
      </c>
      <c r="G1402" s="584">
        <v>15</v>
      </c>
    </row>
    <row r="1403" spans="1:7" ht="15" x14ac:dyDescent="0.2">
      <c r="A1403" s="583" t="s">
        <v>15035</v>
      </c>
      <c r="B1403" s="605" t="s">
        <v>15036</v>
      </c>
      <c r="C1403" s="606" t="s">
        <v>12427</v>
      </c>
      <c r="D1403" s="607">
        <v>106.06</v>
      </c>
      <c r="E1403" s="607">
        <v>10.96</v>
      </c>
      <c r="F1403" s="607">
        <v>117.02</v>
      </c>
      <c r="G1403" s="584">
        <v>15</v>
      </c>
    </row>
    <row r="1404" spans="1:7" ht="30" x14ac:dyDescent="0.2">
      <c r="A1404" s="583" t="s">
        <v>15037</v>
      </c>
      <c r="B1404" s="605" t="s">
        <v>15038</v>
      </c>
      <c r="C1404" s="606" t="s">
        <v>12427</v>
      </c>
      <c r="D1404" s="607">
        <v>37.020000000000003</v>
      </c>
      <c r="E1404" s="607">
        <v>10.96</v>
      </c>
      <c r="F1404" s="607">
        <v>47.98</v>
      </c>
      <c r="G1404" s="584">
        <v>15</v>
      </c>
    </row>
    <row r="1405" spans="1:7" ht="30" x14ac:dyDescent="0.2">
      <c r="A1405" s="583" t="s">
        <v>15039</v>
      </c>
      <c r="B1405" s="605" t="s">
        <v>15040</v>
      </c>
      <c r="C1405" s="606" t="s">
        <v>12427</v>
      </c>
      <c r="D1405" s="607">
        <v>569.55999999999995</v>
      </c>
      <c r="E1405" s="607">
        <v>107.85</v>
      </c>
      <c r="F1405" s="607">
        <v>677.41</v>
      </c>
      <c r="G1405" s="584">
        <v>15</v>
      </c>
    </row>
    <row r="1406" spans="1:7" ht="30" x14ac:dyDescent="0.2">
      <c r="A1406" s="583" t="s">
        <v>15041</v>
      </c>
      <c r="B1406" s="605" t="s">
        <v>15042</v>
      </c>
      <c r="C1406" s="606" t="s">
        <v>12427</v>
      </c>
      <c r="D1406" s="607">
        <v>867.83</v>
      </c>
      <c r="E1406" s="607">
        <v>107.85</v>
      </c>
      <c r="F1406" s="607">
        <v>975.68</v>
      </c>
      <c r="G1406" s="584">
        <v>15</v>
      </c>
    </row>
    <row r="1407" spans="1:7" ht="15" x14ac:dyDescent="0.25">
      <c r="A1407" s="583" t="s">
        <v>15043</v>
      </c>
      <c r="B1407" s="605" t="s">
        <v>15044</v>
      </c>
      <c r="C1407" s="606"/>
      <c r="D1407" s="607"/>
      <c r="E1407" s="607"/>
      <c r="F1407" s="607"/>
      <c r="G1407" s="582"/>
    </row>
    <row r="1408" spans="1:7" ht="15" x14ac:dyDescent="0.25">
      <c r="A1408" s="583" t="s">
        <v>15045</v>
      </c>
      <c r="B1408" s="605" t="s">
        <v>15046</v>
      </c>
      <c r="C1408" s="606"/>
      <c r="D1408" s="607"/>
      <c r="E1408" s="607"/>
      <c r="F1408" s="607"/>
      <c r="G1408" s="582"/>
    </row>
    <row r="1409" spans="1:7" ht="15" x14ac:dyDescent="0.2">
      <c r="A1409" s="583" t="s">
        <v>15047</v>
      </c>
      <c r="B1409" s="605" t="s">
        <v>15048</v>
      </c>
      <c r="C1409" s="606" t="s">
        <v>12427</v>
      </c>
      <c r="D1409" s="607">
        <v>867.35</v>
      </c>
      <c r="E1409" s="607">
        <v>75.53</v>
      </c>
      <c r="F1409" s="607">
        <v>942.88</v>
      </c>
      <c r="G1409" s="584">
        <v>15</v>
      </c>
    </row>
    <row r="1410" spans="1:7" ht="15" x14ac:dyDescent="0.2">
      <c r="A1410" s="583" t="s">
        <v>15049</v>
      </c>
      <c r="B1410" s="605" t="s">
        <v>15050</v>
      </c>
      <c r="C1410" s="606" t="s">
        <v>12427</v>
      </c>
      <c r="D1410" s="607">
        <v>368.73</v>
      </c>
      <c r="E1410" s="607">
        <v>75.53</v>
      </c>
      <c r="F1410" s="607">
        <v>444.26</v>
      </c>
      <c r="G1410" s="584">
        <v>15</v>
      </c>
    </row>
    <row r="1411" spans="1:7" ht="15" x14ac:dyDescent="0.2">
      <c r="A1411" s="583" t="s">
        <v>15051</v>
      </c>
      <c r="B1411" s="605" t="s">
        <v>15052</v>
      </c>
      <c r="C1411" s="606" t="s">
        <v>12427</v>
      </c>
      <c r="D1411" s="607">
        <v>1232.19</v>
      </c>
      <c r="E1411" s="607">
        <v>75.53</v>
      </c>
      <c r="F1411" s="607">
        <v>1307.72</v>
      </c>
      <c r="G1411" s="584">
        <v>15</v>
      </c>
    </row>
    <row r="1412" spans="1:7" ht="15" x14ac:dyDescent="0.2">
      <c r="A1412" s="583" t="s">
        <v>15053</v>
      </c>
      <c r="B1412" s="605" t="s">
        <v>15054</v>
      </c>
      <c r="C1412" s="606" t="s">
        <v>12427</v>
      </c>
      <c r="D1412" s="607">
        <v>442.32</v>
      </c>
      <c r="E1412" s="607">
        <v>75.53</v>
      </c>
      <c r="F1412" s="607">
        <v>517.85</v>
      </c>
      <c r="G1412" s="584">
        <v>15</v>
      </c>
    </row>
    <row r="1413" spans="1:7" ht="15" x14ac:dyDescent="0.2">
      <c r="A1413" s="583" t="s">
        <v>15055</v>
      </c>
      <c r="B1413" s="605" t="s">
        <v>15056</v>
      </c>
      <c r="C1413" s="606" t="s">
        <v>12427</v>
      </c>
      <c r="D1413" s="607">
        <v>945.95</v>
      </c>
      <c r="E1413" s="607">
        <v>75.53</v>
      </c>
      <c r="F1413" s="607">
        <v>1021.48</v>
      </c>
      <c r="G1413" s="584">
        <v>15</v>
      </c>
    </row>
    <row r="1414" spans="1:7" ht="15" x14ac:dyDescent="0.2">
      <c r="A1414" s="583" t="s">
        <v>15057</v>
      </c>
      <c r="B1414" s="605" t="s">
        <v>15058</v>
      </c>
      <c r="C1414" s="606" t="s">
        <v>12427</v>
      </c>
      <c r="D1414" s="607">
        <v>257.45999999999998</v>
      </c>
      <c r="E1414" s="607">
        <v>75.53</v>
      </c>
      <c r="F1414" s="607">
        <v>332.99</v>
      </c>
      <c r="G1414" s="584">
        <v>15</v>
      </c>
    </row>
    <row r="1415" spans="1:7" ht="15" x14ac:dyDescent="0.2">
      <c r="A1415" s="583" t="s">
        <v>15059</v>
      </c>
      <c r="B1415" s="605" t="s">
        <v>15060</v>
      </c>
      <c r="C1415" s="606" t="s">
        <v>12427</v>
      </c>
      <c r="D1415" s="607">
        <v>813.02</v>
      </c>
      <c r="E1415" s="607">
        <v>75.53</v>
      </c>
      <c r="F1415" s="607">
        <v>888.55</v>
      </c>
      <c r="G1415" s="584">
        <v>15</v>
      </c>
    </row>
    <row r="1416" spans="1:7" ht="30" x14ac:dyDescent="0.2">
      <c r="A1416" s="583" t="s">
        <v>15061</v>
      </c>
      <c r="B1416" s="605" t="s">
        <v>15062</v>
      </c>
      <c r="C1416" s="606" t="s">
        <v>2</v>
      </c>
      <c r="D1416" s="607">
        <v>369.28</v>
      </c>
      <c r="E1416" s="607">
        <v>75.53</v>
      </c>
      <c r="F1416" s="607">
        <v>444.81</v>
      </c>
      <c r="G1416" s="584">
        <v>15</v>
      </c>
    </row>
    <row r="1417" spans="1:7" ht="15" x14ac:dyDescent="0.2">
      <c r="A1417" s="583" t="s">
        <v>15063</v>
      </c>
      <c r="B1417" s="605" t="s">
        <v>15064</v>
      </c>
      <c r="C1417" s="606" t="s">
        <v>2</v>
      </c>
      <c r="D1417" s="607">
        <v>1306.57</v>
      </c>
      <c r="E1417" s="607">
        <v>75.53</v>
      </c>
      <c r="F1417" s="607">
        <v>1382.1</v>
      </c>
      <c r="G1417" s="584">
        <v>15</v>
      </c>
    </row>
    <row r="1418" spans="1:7" ht="15" x14ac:dyDescent="0.2">
      <c r="A1418" s="583" t="s">
        <v>15065</v>
      </c>
      <c r="B1418" s="605" t="s">
        <v>15066</v>
      </c>
      <c r="C1418" s="606" t="s">
        <v>2</v>
      </c>
      <c r="D1418" s="607">
        <v>1205.98</v>
      </c>
      <c r="E1418" s="607">
        <v>75.53</v>
      </c>
      <c r="F1418" s="607">
        <v>1281.51</v>
      </c>
      <c r="G1418" s="584">
        <v>15</v>
      </c>
    </row>
    <row r="1419" spans="1:7" ht="30" x14ac:dyDescent="0.2">
      <c r="A1419" s="583" t="s">
        <v>15067</v>
      </c>
      <c r="B1419" s="605" t="s">
        <v>15068</v>
      </c>
      <c r="C1419" s="606" t="s">
        <v>2</v>
      </c>
      <c r="D1419" s="607">
        <v>502.42</v>
      </c>
      <c r="E1419" s="607"/>
      <c r="F1419" s="607">
        <v>502.42</v>
      </c>
      <c r="G1419" s="584">
        <v>15</v>
      </c>
    </row>
    <row r="1420" spans="1:7" ht="15" x14ac:dyDescent="0.2">
      <c r="A1420" s="583" t="s">
        <v>15069</v>
      </c>
      <c r="B1420" s="605" t="s">
        <v>15070</v>
      </c>
      <c r="C1420" s="606" t="s">
        <v>2</v>
      </c>
      <c r="D1420" s="607">
        <v>869.99</v>
      </c>
      <c r="E1420" s="607">
        <v>58.04</v>
      </c>
      <c r="F1420" s="607">
        <v>928.03</v>
      </c>
      <c r="G1420" s="584">
        <v>15</v>
      </c>
    </row>
    <row r="1421" spans="1:7" ht="15" x14ac:dyDescent="0.2">
      <c r="A1421" s="583" t="s">
        <v>15071</v>
      </c>
      <c r="B1421" s="605" t="s">
        <v>15072</v>
      </c>
      <c r="C1421" s="606" t="s">
        <v>2</v>
      </c>
      <c r="D1421" s="607">
        <v>1361.32</v>
      </c>
      <c r="E1421" s="607">
        <v>75.53</v>
      </c>
      <c r="F1421" s="607">
        <v>1436.85</v>
      </c>
      <c r="G1421" s="584">
        <v>15</v>
      </c>
    </row>
    <row r="1422" spans="1:7" ht="15" x14ac:dyDescent="0.2">
      <c r="A1422" s="583" t="s">
        <v>15073</v>
      </c>
      <c r="B1422" s="605" t="s">
        <v>15074</v>
      </c>
      <c r="C1422" s="606" t="s">
        <v>2</v>
      </c>
      <c r="D1422" s="607">
        <v>1022.35</v>
      </c>
      <c r="E1422" s="607">
        <v>75.53</v>
      </c>
      <c r="F1422" s="607">
        <v>1097.8800000000001</v>
      </c>
      <c r="G1422" s="584">
        <v>15</v>
      </c>
    </row>
    <row r="1423" spans="1:7" ht="15" x14ac:dyDescent="0.2">
      <c r="A1423" s="583" t="s">
        <v>15075</v>
      </c>
      <c r="B1423" s="605" t="s">
        <v>15076</v>
      </c>
      <c r="C1423" s="606" t="s">
        <v>2</v>
      </c>
      <c r="D1423" s="607">
        <v>684.66</v>
      </c>
      <c r="E1423" s="607">
        <v>75.53</v>
      </c>
      <c r="F1423" s="607">
        <v>760.19</v>
      </c>
      <c r="G1423" s="584">
        <v>15</v>
      </c>
    </row>
    <row r="1424" spans="1:7" ht="15" x14ac:dyDescent="0.2">
      <c r="A1424" s="583" t="s">
        <v>15077</v>
      </c>
      <c r="B1424" s="605" t="s">
        <v>15078</v>
      </c>
      <c r="C1424" s="606" t="s">
        <v>2</v>
      </c>
      <c r="D1424" s="607">
        <v>592.61</v>
      </c>
      <c r="E1424" s="607">
        <v>58.04</v>
      </c>
      <c r="F1424" s="607">
        <v>650.65</v>
      </c>
      <c r="G1424" s="584">
        <v>15</v>
      </c>
    </row>
    <row r="1425" spans="1:7" ht="15" x14ac:dyDescent="0.2">
      <c r="A1425" s="583" t="s">
        <v>15079</v>
      </c>
      <c r="B1425" s="605" t="s">
        <v>15080</v>
      </c>
      <c r="C1425" s="606" t="s">
        <v>2</v>
      </c>
      <c r="D1425" s="607">
        <v>1004.92</v>
      </c>
      <c r="E1425" s="607">
        <v>58.04</v>
      </c>
      <c r="F1425" s="607">
        <v>1062.96</v>
      </c>
      <c r="G1425" s="584">
        <v>15</v>
      </c>
    </row>
    <row r="1426" spans="1:7" ht="15" x14ac:dyDescent="0.2">
      <c r="A1426" s="583" t="s">
        <v>15081</v>
      </c>
      <c r="B1426" s="605" t="s">
        <v>15082</v>
      </c>
      <c r="C1426" s="606" t="s">
        <v>2</v>
      </c>
      <c r="D1426" s="607">
        <v>929.42</v>
      </c>
      <c r="E1426" s="607">
        <v>43.54</v>
      </c>
      <c r="F1426" s="607">
        <v>972.96</v>
      </c>
      <c r="G1426" s="584">
        <v>15</v>
      </c>
    </row>
    <row r="1427" spans="1:7" ht="15" x14ac:dyDescent="0.2">
      <c r="A1427" s="583" t="s">
        <v>15083</v>
      </c>
      <c r="B1427" s="605" t="s">
        <v>15084</v>
      </c>
      <c r="C1427" s="606" t="s">
        <v>2</v>
      </c>
      <c r="D1427" s="607">
        <v>986.06</v>
      </c>
      <c r="E1427" s="607">
        <v>43.54</v>
      </c>
      <c r="F1427" s="607">
        <v>1029.5999999999999</v>
      </c>
      <c r="G1427" s="584">
        <v>15</v>
      </c>
    </row>
    <row r="1428" spans="1:7" ht="15" x14ac:dyDescent="0.2">
      <c r="A1428" s="583" t="s">
        <v>15085</v>
      </c>
      <c r="B1428" s="605" t="s">
        <v>15086</v>
      </c>
      <c r="C1428" s="606" t="s">
        <v>2</v>
      </c>
      <c r="D1428" s="607">
        <v>1374.81</v>
      </c>
      <c r="E1428" s="607">
        <v>43.54</v>
      </c>
      <c r="F1428" s="607">
        <v>1418.35</v>
      </c>
      <c r="G1428" s="584">
        <v>15</v>
      </c>
    </row>
    <row r="1429" spans="1:7" ht="15" x14ac:dyDescent="0.2">
      <c r="A1429" s="583" t="s">
        <v>15087</v>
      </c>
      <c r="B1429" s="605" t="s">
        <v>15088</v>
      </c>
      <c r="C1429" s="606" t="s">
        <v>2</v>
      </c>
      <c r="D1429" s="607">
        <v>853.76</v>
      </c>
      <c r="E1429" s="607"/>
      <c r="F1429" s="607">
        <v>853.76</v>
      </c>
      <c r="G1429" s="584">
        <v>15</v>
      </c>
    </row>
    <row r="1430" spans="1:7" ht="30" x14ac:dyDescent="0.2">
      <c r="A1430" s="583" t="s">
        <v>15089</v>
      </c>
      <c r="B1430" s="605" t="s">
        <v>15090</v>
      </c>
      <c r="C1430" s="606" t="s">
        <v>2</v>
      </c>
      <c r="D1430" s="607">
        <v>1442.27</v>
      </c>
      <c r="E1430" s="607"/>
      <c r="F1430" s="607">
        <v>1442.27</v>
      </c>
      <c r="G1430" s="584">
        <v>15</v>
      </c>
    </row>
    <row r="1431" spans="1:7" ht="30" x14ac:dyDescent="0.2">
      <c r="A1431" s="583" t="s">
        <v>15091</v>
      </c>
      <c r="B1431" s="605" t="s">
        <v>15092</v>
      </c>
      <c r="C1431" s="606" t="s">
        <v>2</v>
      </c>
      <c r="D1431" s="607">
        <v>933.95</v>
      </c>
      <c r="E1431" s="607"/>
      <c r="F1431" s="607">
        <v>933.95</v>
      </c>
      <c r="G1431" s="584">
        <v>15</v>
      </c>
    </row>
    <row r="1432" spans="1:7" ht="30" x14ac:dyDescent="0.2">
      <c r="A1432" s="583" t="s">
        <v>15093</v>
      </c>
      <c r="B1432" s="605" t="s">
        <v>15094</v>
      </c>
      <c r="C1432" s="606" t="s">
        <v>2</v>
      </c>
      <c r="D1432" s="607">
        <v>923.67</v>
      </c>
      <c r="E1432" s="607"/>
      <c r="F1432" s="607">
        <v>923.67</v>
      </c>
      <c r="G1432" s="584">
        <v>15</v>
      </c>
    </row>
    <row r="1433" spans="1:7" ht="30" x14ac:dyDescent="0.2">
      <c r="A1433" s="583" t="s">
        <v>15095</v>
      </c>
      <c r="B1433" s="605" t="s">
        <v>15096</v>
      </c>
      <c r="C1433" s="606" t="s">
        <v>2</v>
      </c>
      <c r="D1433" s="607">
        <v>1014.81</v>
      </c>
      <c r="E1433" s="607">
        <v>75.53</v>
      </c>
      <c r="F1433" s="607">
        <v>1090.3399999999999</v>
      </c>
      <c r="G1433" s="584">
        <v>15</v>
      </c>
    </row>
    <row r="1434" spans="1:7" ht="30" x14ac:dyDescent="0.2">
      <c r="A1434" s="583" t="s">
        <v>15097</v>
      </c>
      <c r="B1434" s="605" t="s">
        <v>15098</v>
      </c>
      <c r="C1434" s="606" t="s">
        <v>2</v>
      </c>
      <c r="D1434" s="607">
        <v>1139.8</v>
      </c>
      <c r="E1434" s="607">
        <v>75.53</v>
      </c>
      <c r="F1434" s="607">
        <v>1215.33</v>
      </c>
      <c r="G1434" s="584">
        <v>15</v>
      </c>
    </row>
    <row r="1435" spans="1:7" ht="30" x14ac:dyDescent="0.2">
      <c r="A1435" s="583" t="s">
        <v>15099</v>
      </c>
      <c r="B1435" s="605" t="s">
        <v>15100</v>
      </c>
      <c r="C1435" s="606" t="s">
        <v>2</v>
      </c>
      <c r="D1435" s="607">
        <v>1210.76</v>
      </c>
      <c r="E1435" s="607">
        <v>75.53</v>
      </c>
      <c r="F1435" s="607">
        <v>1286.29</v>
      </c>
      <c r="G1435" s="584">
        <v>15</v>
      </c>
    </row>
    <row r="1436" spans="1:7" ht="30" x14ac:dyDescent="0.2">
      <c r="A1436" s="583" t="s">
        <v>15101</v>
      </c>
      <c r="B1436" s="605" t="s">
        <v>15102</v>
      </c>
      <c r="C1436" s="606" t="s">
        <v>2</v>
      </c>
      <c r="D1436" s="607">
        <v>1153.19</v>
      </c>
      <c r="E1436" s="607">
        <v>75.53</v>
      </c>
      <c r="F1436" s="607">
        <v>1228.72</v>
      </c>
      <c r="G1436" s="584">
        <v>15</v>
      </c>
    </row>
    <row r="1437" spans="1:7" ht="15" x14ac:dyDescent="0.25">
      <c r="A1437" s="583" t="s">
        <v>15103</v>
      </c>
      <c r="B1437" s="605" t="s">
        <v>15104</v>
      </c>
      <c r="C1437" s="606"/>
      <c r="D1437" s="607"/>
      <c r="E1437" s="607"/>
      <c r="F1437" s="607"/>
      <c r="G1437" s="582"/>
    </row>
    <row r="1438" spans="1:7" ht="30" x14ac:dyDescent="0.2">
      <c r="A1438" s="583" t="s">
        <v>20163</v>
      </c>
      <c r="B1438" s="605" t="s">
        <v>20164</v>
      </c>
      <c r="C1438" s="606" t="s">
        <v>2</v>
      </c>
      <c r="D1438" s="607">
        <v>410.74</v>
      </c>
      <c r="E1438" s="607">
        <v>151.05000000000001</v>
      </c>
      <c r="F1438" s="607">
        <v>561.79</v>
      </c>
      <c r="G1438" s="584">
        <v>15</v>
      </c>
    </row>
    <row r="1439" spans="1:7" ht="15" x14ac:dyDescent="0.2">
      <c r="A1439" s="583" t="s">
        <v>15105</v>
      </c>
      <c r="B1439" s="605" t="s">
        <v>15106</v>
      </c>
      <c r="C1439" s="606" t="s">
        <v>2</v>
      </c>
      <c r="D1439" s="607">
        <v>935.31</v>
      </c>
      <c r="E1439" s="607">
        <v>151.05000000000001</v>
      </c>
      <c r="F1439" s="607">
        <v>1086.3599999999999</v>
      </c>
      <c r="G1439" s="584">
        <v>15</v>
      </c>
    </row>
    <row r="1440" spans="1:7" ht="15" x14ac:dyDescent="0.2">
      <c r="A1440" s="583" t="s">
        <v>15107</v>
      </c>
      <c r="B1440" s="605" t="s">
        <v>15108</v>
      </c>
      <c r="C1440" s="606" t="s">
        <v>2</v>
      </c>
      <c r="D1440" s="607">
        <v>1035.28</v>
      </c>
      <c r="E1440" s="607">
        <v>151.05000000000001</v>
      </c>
      <c r="F1440" s="607">
        <v>1186.33</v>
      </c>
      <c r="G1440" s="584">
        <v>15</v>
      </c>
    </row>
    <row r="1441" spans="1:7" ht="15" x14ac:dyDescent="0.2">
      <c r="A1441" s="583" t="s">
        <v>15109</v>
      </c>
      <c r="B1441" s="605" t="s">
        <v>15110</v>
      </c>
      <c r="C1441" s="606" t="s">
        <v>2</v>
      </c>
      <c r="D1441" s="607">
        <v>1113.56</v>
      </c>
      <c r="E1441" s="607">
        <v>75.53</v>
      </c>
      <c r="F1441" s="607">
        <v>1189.0899999999999</v>
      </c>
      <c r="G1441" s="584">
        <v>15</v>
      </c>
    </row>
    <row r="1442" spans="1:7" ht="15" x14ac:dyDescent="0.2">
      <c r="A1442" s="583" t="s">
        <v>15111</v>
      </c>
      <c r="B1442" s="605" t="s">
        <v>15112</v>
      </c>
      <c r="C1442" s="606" t="s">
        <v>2</v>
      </c>
      <c r="D1442" s="607">
        <v>382.84</v>
      </c>
      <c r="E1442" s="607">
        <v>151.05000000000001</v>
      </c>
      <c r="F1442" s="607">
        <v>533.89</v>
      </c>
      <c r="G1442" s="584">
        <v>15</v>
      </c>
    </row>
    <row r="1443" spans="1:7" ht="30" x14ac:dyDescent="0.2">
      <c r="A1443" s="583" t="s">
        <v>15113</v>
      </c>
      <c r="B1443" s="605" t="s">
        <v>20371</v>
      </c>
      <c r="C1443" s="606" t="s">
        <v>2</v>
      </c>
      <c r="D1443" s="607">
        <v>742.66</v>
      </c>
      <c r="E1443" s="607">
        <v>151.05000000000001</v>
      </c>
      <c r="F1443" s="607">
        <v>893.71</v>
      </c>
      <c r="G1443" s="584">
        <v>15</v>
      </c>
    </row>
    <row r="1444" spans="1:7" ht="30" x14ac:dyDescent="0.2">
      <c r="A1444" s="583" t="s">
        <v>15114</v>
      </c>
      <c r="B1444" s="605" t="s">
        <v>20372</v>
      </c>
      <c r="C1444" s="606" t="s">
        <v>2</v>
      </c>
      <c r="D1444" s="607">
        <v>532.16999999999996</v>
      </c>
      <c r="E1444" s="607">
        <v>151.05000000000001</v>
      </c>
      <c r="F1444" s="607">
        <v>683.22</v>
      </c>
      <c r="G1444" s="584">
        <v>15</v>
      </c>
    </row>
    <row r="1445" spans="1:7" ht="15" x14ac:dyDescent="0.2">
      <c r="A1445" s="583" t="s">
        <v>15115</v>
      </c>
      <c r="B1445" s="605" t="s">
        <v>15116</v>
      </c>
      <c r="C1445" s="606" t="s">
        <v>2</v>
      </c>
      <c r="D1445" s="607">
        <v>1070.81</v>
      </c>
      <c r="E1445" s="607">
        <v>151.05000000000001</v>
      </c>
      <c r="F1445" s="607">
        <v>1221.8599999999999</v>
      </c>
      <c r="G1445" s="584">
        <v>15</v>
      </c>
    </row>
    <row r="1446" spans="1:7" ht="15" x14ac:dyDescent="0.2">
      <c r="A1446" s="583" t="s">
        <v>15117</v>
      </c>
      <c r="B1446" s="605" t="s">
        <v>15118</v>
      </c>
      <c r="C1446" s="606" t="s">
        <v>2</v>
      </c>
      <c r="D1446" s="607">
        <v>559.58000000000004</v>
      </c>
      <c r="E1446" s="607">
        <v>151.05000000000001</v>
      </c>
      <c r="F1446" s="607">
        <v>710.63</v>
      </c>
      <c r="G1446" s="584">
        <v>15</v>
      </c>
    </row>
    <row r="1447" spans="1:7" ht="15" x14ac:dyDescent="0.2">
      <c r="A1447" s="583" t="s">
        <v>15119</v>
      </c>
      <c r="B1447" s="605" t="s">
        <v>15120</v>
      </c>
      <c r="C1447" s="606" t="s">
        <v>2</v>
      </c>
      <c r="D1447" s="607">
        <v>710.5</v>
      </c>
      <c r="E1447" s="607">
        <v>151.05000000000001</v>
      </c>
      <c r="F1447" s="607">
        <v>861.55</v>
      </c>
      <c r="G1447" s="584">
        <v>15</v>
      </c>
    </row>
    <row r="1448" spans="1:7" ht="30" x14ac:dyDescent="0.2">
      <c r="A1448" s="583" t="s">
        <v>15121</v>
      </c>
      <c r="B1448" s="605" t="s">
        <v>15122</v>
      </c>
      <c r="C1448" s="606" t="s">
        <v>2</v>
      </c>
      <c r="D1448" s="607">
        <v>1008.39</v>
      </c>
      <c r="E1448" s="607">
        <v>75.53</v>
      </c>
      <c r="F1448" s="607">
        <v>1083.92</v>
      </c>
      <c r="G1448" s="584">
        <v>15</v>
      </c>
    </row>
    <row r="1449" spans="1:7" ht="30" x14ac:dyDescent="0.2">
      <c r="A1449" s="583" t="s">
        <v>15123</v>
      </c>
      <c r="B1449" s="605" t="s">
        <v>15124</v>
      </c>
      <c r="C1449" s="606" t="s">
        <v>2</v>
      </c>
      <c r="D1449" s="607">
        <v>951.28</v>
      </c>
      <c r="E1449" s="607">
        <v>75.53</v>
      </c>
      <c r="F1449" s="607">
        <v>1026.81</v>
      </c>
      <c r="G1449" s="584">
        <v>15</v>
      </c>
    </row>
    <row r="1450" spans="1:7" ht="30" x14ac:dyDescent="0.2">
      <c r="A1450" s="583" t="s">
        <v>15125</v>
      </c>
      <c r="B1450" s="605" t="s">
        <v>15126</v>
      </c>
      <c r="C1450" s="606" t="s">
        <v>2</v>
      </c>
      <c r="D1450" s="607">
        <v>923.62</v>
      </c>
      <c r="E1450" s="607">
        <v>75.53</v>
      </c>
      <c r="F1450" s="607">
        <v>999.15</v>
      </c>
      <c r="G1450" s="584">
        <v>15</v>
      </c>
    </row>
    <row r="1451" spans="1:7" ht="30" x14ac:dyDescent="0.2">
      <c r="A1451" s="583" t="s">
        <v>15127</v>
      </c>
      <c r="B1451" s="605" t="s">
        <v>15128</v>
      </c>
      <c r="C1451" s="606" t="s">
        <v>2</v>
      </c>
      <c r="D1451" s="607">
        <v>1332.05</v>
      </c>
      <c r="E1451" s="607">
        <v>75.53</v>
      </c>
      <c r="F1451" s="607">
        <v>1407.58</v>
      </c>
      <c r="G1451" s="584">
        <v>15</v>
      </c>
    </row>
    <row r="1452" spans="1:7" ht="30" x14ac:dyDescent="0.2">
      <c r="A1452" s="583" t="s">
        <v>15129</v>
      </c>
      <c r="B1452" s="605" t="s">
        <v>15130</v>
      </c>
      <c r="C1452" s="606" t="s">
        <v>2</v>
      </c>
      <c r="D1452" s="607">
        <v>1410.47</v>
      </c>
      <c r="E1452" s="607">
        <v>151.05000000000001</v>
      </c>
      <c r="F1452" s="607">
        <v>1561.52</v>
      </c>
      <c r="G1452" s="584">
        <v>15</v>
      </c>
    </row>
    <row r="1453" spans="1:7" ht="15" x14ac:dyDescent="0.2">
      <c r="A1453" s="583" t="s">
        <v>15131</v>
      </c>
      <c r="B1453" s="605" t="s">
        <v>15132</v>
      </c>
      <c r="C1453" s="606" t="s">
        <v>2</v>
      </c>
      <c r="D1453" s="607">
        <v>1343.52</v>
      </c>
      <c r="E1453" s="607">
        <v>151.05000000000001</v>
      </c>
      <c r="F1453" s="607">
        <v>1494.57</v>
      </c>
      <c r="G1453" s="584">
        <v>15</v>
      </c>
    </row>
    <row r="1454" spans="1:7" ht="15" x14ac:dyDescent="0.25">
      <c r="A1454" s="583" t="s">
        <v>15133</v>
      </c>
      <c r="B1454" s="605" t="s">
        <v>15134</v>
      </c>
      <c r="C1454" s="606"/>
      <c r="D1454" s="607"/>
      <c r="E1454" s="607"/>
      <c r="F1454" s="607"/>
      <c r="G1454" s="582"/>
    </row>
    <row r="1455" spans="1:7" ht="30" x14ac:dyDescent="0.2">
      <c r="A1455" s="583" t="s">
        <v>15135</v>
      </c>
      <c r="B1455" s="605" t="s">
        <v>15136</v>
      </c>
      <c r="C1455" s="606" t="s">
        <v>2</v>
      </c>
      <c r="D1455" s="607">
        <v>210.71</v>
      </c>
      <c r="E1455" s="607">
        <v>16.760000000000002</v>
      </c>
      <c r="F1455" s="607">
        <v>227.47</v>
      </c>
      <c r="G1455" s="584">
        <v>15</v>
      </c>
    </row>
    <row r="1456" spans="1:7" ht="15" x14ac:dyDescent="0.25">
      <c r="A1456" s="583" t="s">
        <v>15137</v>
      </c>
      <c r="B1456" s="605" t="s">
        <v>15138</v>
      </c>
      <c r="C1456" s="606"/>
      <c r="D1456" s="607"/>
      <c r="E1456" s="607"/>
      <c r="F1456" s="607"/>
      <c r="G1456" s="582"/>
    </row>
    <row r="1457" spans="1:7" ht="15" x14ac:dyDescent="0.25">
      <c r="A1457" s="583" t="s">
        <v>15139</v>
      </c>
      <c r="B1457" s="605" t="s">
        <v>15140</v>
      </c>
      <c r="C1457" s="606"/>
      <c r="D1457" s="607"/>
      <c r="E1457" s="607"/>
      <c r="F1457" s="607"/>
      <c r="G1457" s="582"/>
    </row>
    <row r="1458" spans="1:7" ht="15" x14ac:dyDescent="0.2">
      <c r="A1458" s="583" t="s">
        <v>15141</v>
      </c>
      <c r="B1458" s="605" t="s">
        <v>15142</v>
      </c>
      <c r="C1458" s="606" t="s">
        <v>2</v>
      </c>
      <c r="D1458" s="607">
        <v>121.09</v>
      </c>
      <c r="E1458" s="607">
        <v>24.12</v>
      </c>
      <c r="F1458" s="607">
        <v>145.21</v>
      </c>
      <c r="G1458" s="584">
        <v>15</v>
      </c>
    </row>
    <row r="1459" spans="1:7" ht="15" x14ac:dyDescent="0.2">
      <c r="A1459" s="583" t="s">
        <v>15143</v>
      </c>
      <c r="B1459" s="605" t="s">
        <v>15144</v>
      </c>
      <c r="C1459" s="606" t="s">
        <v>2</v>
      </c>
      <c r="D1459" s="607">
        <v>144.59</v>
      </c>
      <c r="E1459" s="607">
        <v>24.12</v>
      </c>
      <c r="F1459" s="607">
        <v>168.71</v>
      </c>
      <c r="G1459" s="584">
        <v>15</v>
      </c>
    </row>
    <row r="1460" spans="1:7" ht="15" x14ac:dyDescent="0.2">
      <c r="A1460" s="583" t="s">
        <v>15145</v>
      </c>
      <c r="B1460" s="605" t="s">
        <v>15146</v>
      </c>
      <c r="C1460" s="606" t="s">
        <v>2</v>
      </c>
      <c r="D1460" s="607">
        <v>153.13</v>
      </c>
      <c r="E1460" s="607">
        <v>24.12</v>
      </c>
      <c r="F1460" s="607">
        <v>177.25</v>
      </c>
      <c r="G1460" s="584">
        <v>15</v>
      </c>
    </row>
    <row r="1461" spans="1:7" ht="15" x14ac:dyDescent="0.2">
      <c r="A1461" s="583" t="s">
        <v>15147</v>
      </c>
      <c r="B1461" s="605" t="s">
        <v>15148</v>
      </c>
      <c r="C1461" s="606" t="s">
        <v>2</v>
      </c>
      <c r="D1461" s="607">
        <v>178.71</v>
      </c>
      <c r="E1461" s="607">
        <v>31.56</v>
      </c>
      <c r="F1461" s="607">
        <v>210.27</v>
      </c>
      <c r="G1461" s="584">
        <v>15</v>
      </c>
    </row>
    <row r="1462" spans="1:7" ht="15" x14ac:dyDescent="0.2">
      <c r="A1462" s="583" t="s">
        <v>15149</v>
      </c>
      <c r="B1462" s="605" t="s">
        <v>15150</v>
      </c>
      <c r="C1462" s="606" t="s">
        <v>2</v>
      </c>
      <c r="D1462" s="607">
        <v>418.35</v>
      </c>
      <c r="E1462" s="607">
        <v>31.56</v>
      </c>
      <c r="F1462" s="607">
        <v>449.91</v>
      </c>
      <c r="G1462" s="584">
        <v>15</v>
      </c>
    </row>
    <row r="1463" spans="1:7" ht="15" x14ac:dyDescent="0.2">
      <c r="A1463" s="583" t="s">
        <v>20075</v>
      </c>
      <c r="B1463" s="605" t="s">
        <v>20076</v>
      </c>
      <c r="C1463" s="606" t="s">
        <v>2</v>
      </c>
      <c r="D1463" s="607">
        <v>456.29</v>
      </c>
      <c r="E1463" s="607">
        <v>36.200000000000003</v>
      </c>
      <c r="F1463" s="607">
        <v>492.49</v>
      </c>
      <c r="G1463" s="584">
        <v>15</v>
      </c>
    </row>
    <row r="1464" spans="1:7" ht="15" x14ac:dyDescent="0.2">
      <c r="A1464" s="583" t="s">
        <v>15151</v>
      </c>
      <c r="B1464" s="605" t="s">
        <v>15152</v>
      </c>
      <c r="C1464" s="606" t="s">
        <v>2</v>
      </c>
      <c r="D1464" s="607">
        <v>533.75</v>
      </c>
      <c r="E1464" s="607">
        <v>38.090000000000003</v>
      </c>
      <c r="F1464" s="607">
        <v>571.84</v>
      </c>
      <c r="G1464" s="584">
        <v>15</v>
      </c>
    </row>
    <row r="1465" spans="1:7" ht="15" x14ac:dyDescent="0.2">
      <c r="A1465" s="583" t="s">
        <v>15153</v>
      </c>
      <c r="B1465" s="605" t="s">
        <v>15154</v>
      </c>
      <c r="C1465" s="606" t="s">
        <v>2</v>
      </c>
      <c r="D1465" s="607">
        <v>452.15</v>
      </c>
      <c r="E1465" s="607">
        <v>31.56</v>
      </c>
      <c r="F1465" s="607">
        <v>483.71</v>
      </c>
      <c r="G1465" s="584">
        <v>15</v>
      </c>
    </row>
    <row r="1466" spans="1:7" ht="15" x14ac:dyDescent="0.2">
      <c r="A1466" s="583" t="s">
        <v>15155</v>
      </c>
      <c r="B1466" s="605" t="s">
        <v>15156</v>
      </c>
      <c r="C1466" s="606" t="s">
        <v>2</v>
      </c>
      <c r="D1466" s="607">
        <v>217.33</v>
      </c>
      <c r="E1466" s="607">
        <v>31.56</v>
      </c>
      <c r="F1466" s="607">
        <v>248.89</v>
      </c>
      <c r="G1466" s="584">
        <v>15</v>
      </c>
    </row>
    <row r="1467" spans="1:7" ht="15" x14ac:dyDescent="0.2">
      <c r="A1467" s="583" t="s">
        <v>15157</v>
      </c>
      <c r="B1467" s="605" t="s">
        <v>15158</v>
      </c>
      <c r="C1467" s="606" t="s">
        <v>2</v>
      </c>
      <c r="D1467" s="607">
        <v>246.66</v>
      </c>
      <c r="E1467" s="607">
        <v>36.200000000000003</v>
      </c>
      <c r="F1467" s="607">
        <v>282.86</v>
      </c>
      <c r="G1467" s="584">
        <v>15</v>
      </c>
    </row>
    <row r="1468" spans="1:7" ht="15" x14ac:dyDescent="0.2">
      <c r="A1468" s="583" t="s">
        <v>15159</v>
      </c>
      <c r="B1468" s="605" t="s">
        <v>15160</v>
      </c>
      <c r="C1468" s="606" t="s">
        <v>2</v>
      </c>
      <c r="D1468" s="607">
        <v>376.47</v>
      </c>
      <c r="E1468" s="607">
        <v>38.08</v>
      </c>
      <c r="F1468" s="607">
        <v>414.55</v>
      </c>
      <c r="G1468" s="584">
        <v>15</v>
      </c>
    </row>
    <row r="1469" spans="1:7" ht="15" x14ac:dyDescent="0.2">
      <c r="A1469" s="583" t="s">
        <v>15161</v>
      </c>
      <c r="B1469" s="605" t="s">
        <v>15162</v>
      </c>
      <c r="C1469" s="606" t="s">
        <v>2</v>
      </c>
      <c r="D1469" s="607">
        <v>235.3</v>
      </c>
      <c r="E1469" s="607">
        <v>24.12</v>
      </c>
      <c r="F1469" s="607">
        <v>259.42</v>
      </c>
      <c r="G1469" s="584">
        <v>15</v>
      </c>
    </row>
    <row r="1470" spans="1:7" ht="30" x14ac:dyDescent="0.2">
      <c r="A1470" s="583" t="s">
        <v>15163</v>
      </c>
      <c r="B1470" s="605" t="s">
        <v>15164</v>
      </c>
      <c r="C1470" s="606" t="s">
        <v>2</v>
      </c>
      <c r="D1470" s="607">
        <v>4221.6499999999996</v>
      </c>
      <c r="E1470" s="607"/>
      <c r="F1470" s="607">
        <v>4221.6499999999996</v>
      </c>
      <c r="G1470" s="584">
        <v>15</v>
      </c>
    </row>
    <row r="1471" spans="1:7" ht="30" x14ac:dyDescent="0.2">
      <c r="A1471" s="583" t="s">
        <v>15165</v>
      </c>
      <c r="B1471" s="605" t="s">
        <v>15166</v>
      </c>
      <c r="C1471" s="606" t="s">
        <v>2</v>
      </c>
      <c r="D1471" s="607">
        <v>6089.66</v>
      </c>
      <c r="E1471" s="607">
        <v>95.02</v>
      </c>
      <c r="F1471" s="607">
        <v>6184.68</v>
      </c>
      <c r="G1471" s="584">
        <v>15</v>
      </c>
    </row>
    <row r="1472" spans="1:7" ht="15" x14ac:dyDescent="0.2">
      <c r="A1472" s="583" t="s">
        <v>15167</v>
      </c>
      <c r="B1472" s="605" t="s">
        <v>20294</v>
      </c>
      <c r="C1472" s="606" t="s">
        <v>2</v>
      </c>
      <c r="D1472" s="607">
        <v>223.05</v>
      </c>
      <c r="E1472" s="607">
        <v>31.56</v>
      </c>
      <c r="F1472" s="607">
        <v>254.61</v>
      </c>
      <c r="G1472" s="584">
        <v>15</v>
      </c>
    </row>
    <row r="1473" spans="1:7" ht="15" x14ac:dyDescent="0.25">
      <c r="A1473" s="583" t="s">
        <v>15168</v>
      </c>
      <c r="B1473" s="605" t="s">
        <v>15169</v>
      </c>
      <c r="C1473" s="606"/>
      <c r="D1473" s="607"/>
      <c r="E1473" s="607"/>
      <c r="F1473" s="607"/>
      <c r="G1473" s="582"/>
    </row>
    <row r="1474" spans="1:7" ht="15" x14ac:dyDescent="0.2">
      <c r="A1474" s="583" t="s">
        <v>15170</v>
      </c>
      <c r="B1474" s="605" t="s">
        <v>15171</v>
      </c>
      <c r="C1474" s="606" t="s">
        <v>2</v>
      </c>
      <c r="D1474" s="607">
        <v>214.81</v>
      </c>
      <c r="E1474" s="607">
        <v>31.56</v>
      </c>
      <c r="F1474" s="607">
        <v>246.37</v>
      </c>
      <c r="G1474" s="584">
        <v>15</v>
      </c>
    </row>
    <row r="1475" spans="1:7" ht="15" x14ac:dyDescent="0.2">
      <c r="A1475" s="583" t="s">
        <v>15172</v>
      </c>
      <c r="B1475" s="605" t="s">
        <v>15173</v>
      </c>
      <c r="C1475" s="606" t="s">
        <v>2</v>
      </c>
      <c r="D1475" s="607">
        <v>227.68</v>
      </c>
      <c r="E1475" s="607">
        <v>36.200000000000003</v>
      </c>
      <c r="F1475" s="607">
        <v>263.88</v>
      </c>
      <c r="G1475" s="584">
        <v>15</v>
      </c>
    </row>
    <row r="1476" spans="1:7" ht="15" x14ac:dyDescent="0.2">
      <c r="A1476" s="583" t="s">
        <v>15174</v>
      </c>
      <c r="B1476" s="605" t="s">
        <v>15175</v>
      </c>
      <c r="C1476" s="606" t="s">
        <v>2</v>
      </c>
      <c r="D1476" s="607">
        <v>246.42</v>
      </c>
      <c r="E1476" s="607">
        <v>38.08</v>
      </c>
      <c r="F1476" s="607">
        <v>284.5</v>
      </c>
      <c r="G1476" s="584">
        <v>15</v>
      </c>
    </row>
    <row r="1477" spans="1:7" ht="15" x14ac:dyDescent="0.2">
      <c r="A1477" s="583" t="s">
        <v>15176</v>
      </c>
      <c r="B1477" s="605" t="s">
        <v>15177</v>
      </c>
      <c r="C1477" s="606" t="s">
        <v>2</v>
      </c>
      <c r="D1477" s="607">
        <v>270.20999999999998</v>
      </c>
      <c r="E1477" s="607">
        <v>31.54</v>
      </c>
      <c r="F1477" s="607">
        <v>301.75</v>
      </c>
      <c r="G1477" s="584">
        <v>15</v>
      </c>
    </row>
    <row r="1478" spans="1:7" ht="15" x14ac:dyDescent="0.2">
      <c r="A1478" s="583" t="s">
        <v>15178</v>
      </c>
      <c r="B1478" s="605" t="s">
        <v>15179</v>
      </c>
      <c r="C1478" s="606" t="s">
        <v>2</v>
      </c>
      <c r="D1478" s="607">
        <v>347.08</v>
      </c>
      <c r="E1478" s="607">
        <v>36.200000000000003</v>
      </c>
      <c r="F1478" s="607">
        <v>383.28</v>
      </c>
      <c r="G1478" s="584">
        <v>15</v>
      </c>
    </row>
    <row r="1479" spans="1:7" ht="15" x14ac:dyDescent="0.2">
      <c r="A1479" s="583" t="s">
        <v>15180</v>
      </c>
      <c r="B1479" s="605" t="s">
        <v>15181</v>
      </c>
      <c r="C1479" s="606" t="s">
        <v>2</v>
      </c>
      <c r="D1479" s="607">
        <v>488.17</v>
      </c>
      <c r="E1479" s="607">
        <v>38.08</v>
      </c>
      <c r="F1479" s="607">
        <v>526.25</v>
      </c>
      <c r="G1479" s="584">
        <v>15</v>
      </c>
    </row>
    <row r="1480" spans="1:7" ht="15" x14ac:dyDescent="0.2">
      <c r="A1480" s="583" t="s">
        <v>15182</v>
      </c>
      <c r="B1480" s="605" t="s">
        <v>15183</v>
      </c>
      <c r="C1480" s="606" t="s">
        <v>2</v>
      </c>
      <c r="D1480" s="607">
        <v>474.88</v>
      </c>
      <c r="E1480" s="607">
        <v>36.200000000000003</v>
      </c>
      <c r="F1480" s="607">
        <v>511.08</v>
      </c>
      <c r="G1480" s="584">
        <v>15</v>
      </c>
    </row>
    <row r="1481" spans="1:7" ht="15" x14ac:dyDescent="0.2">
      <c r="A1481" s="583" t="s">
        <v>15184</v>
      </c>
      <c r="B1481" s="605" t="s">
        <v>15185</v>
      </c>
      <c r="C1481" s="606" t="s">
        <v>2</v>
      </c>
      <c r="D1481" s="607">
        <v>585.62</v>
      </c>
      <c r="E1481" s="607">
        <v>38.08</v>
      </c>
      <c r="F1481" s="607">
        <v>623.70000000000005</v>
      </c>
      <c r="G1481" s="584">
        <v>15</v>
      </c>
    </row>
    <row r="1482" spans="1:7" ht="15" x14ac:dyDescent="0.25">
      <c r="A1482" s="583" t="s">
        <v>15186</v>
      </c>
      <c r="B1482" s="605" t="s">
        <v>15187</v>
      </c>
      <c r="C1482" s="606"/>
      <c r="D1482" s="607"/>
      <c r="E1482" s="607"/>
      <c r="F1482" s="607"/>
      <c r="G1482" s="582"/>
    </row>
    <row r="1483" spans="1:7" ht="15" x14ac:dyDescent="0.2">
      <c r="A1483" s="583" t="s">
        <v>15188</v>
      </c>
      <c r="B1483" s="605" t="s">
        <v>15189</v>
      </c>
      <c r="C1483" s="606" t="s">
        <v>2</v>
      </c>
      <c r="D1483" s="607">
        <v>339.92</v>
      </c>
      <c r="E1483" s="607">
        <v>36.200000000000003</v>
      </c>
      <c r="F1483" s="607">
        <v>376.12</v>
      </c>
      <c r="G1483" s="584">
        <v>15</v>
      </c>
    </row>
    <row r="1484" spans="1:7" ht="15" x14ac:dyDescent="0.2">
      <c r="A1484" s="583" t="s">
        <v>15190</v>
      </c>
      <c r="B1484" s="605" t="s">
        <v>15191</v>
      </c>
      <c r="C1484" s="606" t="s">
        <v>2</v>
      </c>
      <c r="D1484" s="607">
        <v>1041.5999999999999</v>
      </c>
      <c r="E1484" s="607">
        <v>48.27</v>
      </c>
      <c r="F1484" s="607">
        <v>1089.8699999999999</v>
      </c>
      <c r="G1484" s="584">
        <v>15</v>
      </c>
    </row>
    <row r="1485" spans="1:7" ht="15" x14ac:dyDescent="0.25">
      <c r="A1485" s="583" t="s">
        <v>15192</v>
      </c>
      <c r="B1485" s="605" t="s">
        <v>15193</v>
      </c>
      <c r="C1485" s="606"/>
      <c r="D1485" s="607"/>
      <c r="E1485" s="607"/>
      <c r="F1485" s="607"/>
      <c r="G1485" s="582"/>
    </row>
    <row r="1486" spans="1:7" ht="15" x14ac:dyDescent="0.2">
      <c r="A1486" s="583" t="s">
        <v>15194</v>
      </c>
      <c r="B1486" s="605" t="s">
        <v>15195</v>
      </c>
      <c r="C1486" s="606" t="s">
        <v>2</v>
      </c>
      <c r="D1486" s="607">
        <v>531.64</v>
      </c>
      <c r="E1486" s="607"/>
      <c r="F1486" s="607">
        <v>531.64</v>
      </c>
      <c r="G1486" s="584">
        <v>15</v>
      </c>
    </row>
    <row r="1487" spans="1:7" ht="15" x14ac:dyDescent="0.2">
      <c r="A1487" s="583" t="s">
        <v>15196</v>
      </c>
      <c r="B1487" s="605" t="s">
        <v>15197</v>
      </c>
      <c r="C1487" s="606" t="s">
        <v>2</v>
      </c>
      <c r="D1487" s="607">
        <v>944.55</v>
      </c>
      <c r="E1487" s="607">
        <v>25.18</v>
      </c>
      <c r="F1487" s="607">
        <v>969.73</v>
      </c>
      <c r="G1487" s="584">
        <v>15</v>
      </c>
    </row>
    <row r="1488" spans="1:7" ht="15" x14ac:dyDescent="0.25">
      <c r="A1488" s="583" t="s">
        <v>15198</v>
      </c>
      <c r="B1488" s="605" t="s">
        <v>15199</v>
      </c>
      <c r="C1488" s="606"/>
      <c r="D1488" s="607"/>
      <c r="E1488" s="607"/>
      <c r="F1488" s="607"/>
      <c r="G1488" s="582"/>
    </row>
    <row r="1489" spans="1:7" ht="15" x14ac:dyDescent="0.2">
      <c r="A1489" s="583" t="s">
        <v>15200</v>
      </c>
      <c r="B1489" s="605" t="s">
        <v>15201</v>
      </c>
      <c r="C1489" s="606" t="s">
        <v>12483</v>
      </c>
      <c r="D1489" s="607">
        <v>2.9</v>
      </c>
      <c r="E1489" s="607">
        <v>4.97</v>
      </c>
      <c r="F1489" s="607">
        <v>7.87</v>
      </c>
      <c r="G1489" s="584">
        <v>15</v>
      </c>
    </row>
    <row r="1490" spans="1:7" ht="30" x14ac:dyDescent="0.2">
      <c r="A1490" s="583" t="s">
        <v>15202</v>
      </c>
      <c r="B1490" s="605" t="s">
        <v>15203</v>
      </c>
      <c r="C1490" s="606" t="s">
        <v>12427</v>
      </c>
      <c r="D1490" s="607">
        <v>14.52</v>
      </c>
      <c r="E1490" s="607">
        <v>66.239999999999995</v>
      </c>
      <c r="F1490" s="607">
        <v>80.760000000000005</v>
      </c>
      <c r="G1490" s="584">
        <v>15</v>
      </c>
    </row>
    <row r="1491" spans="1:7" ht="15" x14ac:dyDescent="0.25">
      <c r="A1491" s="583" t="s">
        <v>15204</v>
      </c>
      <c r="B1491" s="605" t="s">
        <v>15205</v>
      </c>
      <c r="C1491" s="606"/>
      <c r="D1491" s="607"/>
      <c r="E1491" s="607"/>
      <c r="F1491" s="607"/>
      <c r="G1491" s="582"/>
    </row>
    <row r="1492" spans="1:7" ht="15" x14ac:dyDescent="0.25">
      <c r="A1492" s="583" t="s">
        <v>15206</v>
      </c>
      <c r="B1492" s="605" t="s">
        <v>15207</v>
      </c>
      <c r="C1492" s="606"/>
      <c r="D1492" s="607"/>
      <c r="E1492" s="607"/>
      <c r="F1492" s="607"/>
      <c r="G1492" s="582"/>
    </row>
    <row r="1493" spans="1:7" ht="15" x14ac:dyDescent="0.2">
      <c r="A1493" s="583" t="s">
        <v>15208</v>
      </c>
      <c r="B1493" s="605" t="s">
        <v>20165</v>
      </c>
      <c r="C1493" s="606" t="s">
        <v>12427</v>
      </c>
      <c r="D1493" s="607">
        <v>383.35</v>
      </c>
      <c r="E1493" s="607">
        <v>115.78</v>
      </c>
      <c r="F1493" s="607">
        <v>499.13</v>
      </c>
      <c r="G1493" s="584">
        <v>15</v>
      </c>
    </row>
    <row r="1494" spans="1:7" ht="15" x14ac:dyDescent="0.2">
      <c r="A1494" s="583" t="s">
        <v>15209</v>
      </c>
      <c r="B1494" s="605" t="s">
        <v>15210</v>
      </c>
      <c r="C1494" s="606" t="s">
        <v>12427</v>
      </c>
      <c r="D1494" s="607">
        <v>385.07</v>
      </c>
      <c r="E1494" s="607">
        <v>115.78</v>
      </c>
      <c r="F1494" s="607">
        <v>500.85</v>
      </c>
      <c r="G1494" s="584">
        <v>15</v>
      </c>
    </row>
    <row r="1495" spans="1:7" ht="15" x14ac:dyDescent="0.2">
      <c r="A1495" s="583" t="s">
        <v>15211</v>
      </c>
      <c r="B1495" s="605" t="s">
        <v>15212</v>
      </c>
      <c r="C1495" s="606" t="s">
        <v>12427</v>
      </c>
      <c r="D1495" s="607">
        <v>602.33000000000004</v>
      </c>
      <c r="E1495" s="607">
        <v>115.78</v>
      </c>
      <c r="F1495" s="607">
        <v>718.11</v>
      </c>
      <c r="G1495" s="584">
        <v>15</v>
      </c>
    </row>
    <row r="1496" spans="1:7" ht="15" x14ac:dyDescent="0.2">
      <c r="A1496" s="583" t="s">
        <v>15213</v>
      </c>
      <c r="B1496" s="605" t="s">
        <v>15214</v>
      </c>
      <c r="C1496" s="606" t="s">
        <v>12427</v>
      </c>
      <c r="D1496" s="607">
        <v>61.29</v>
      </c>
      <c r="E1496" s="607">
        <v>115.78</v>
      </c>
      <c r="F1496" s="607">
        <v>177.07</v>
      </c>
      <c r="G1496" s="584">
        <v>15</v>
      </c>
    </row>
    <row r="1497" spans="1:7" ht="15" x14ac:dyDescent="0.25">
      <c r="A1497" s="583" t="s">
        <v>15215</v>
      </c>
      <c r="B1497" s="605" t="s">
        <v>15216</v>
      </c>
      <c r="C1497" s="606"/>
      <c r="D1497" s="607"/>
      <c r="E1497" s="607"/>
      <c r="F1497" s="607"/>
      <c r="G1497" s="582"/>
    </row>
    <row r="1498" spans="1:7" ht="15" x14ac:dyDescent="0.2">
      <c r="A1498" s="583" t="s">
        <v>15217</v>
      </c>
      <c r="B1498" s="605" t="s">
        <v>15218</v>
      </c>
      <c r="C1498" s="606" t="s">
        <v>12427</v>
      </c>
      <c r="D1498" s="607">
        <v>116.97</v>
      </c>
      <c r="E1498" s="607">
        <v>66.239999999999995</v>
      </c>
      <c r="F1498" s="607">
        <v>183.21</v>
      </c>
      <c r="G1498" s="584">
        <v>15</v>
      </c>
    </row>
    <row r="1499" spans="1:7" ht="15" x14ac:dyDescent="0.25">
      <c r="A1499" s="583" t="s">
        <v>15219</v>
      </c>
      <c r="B1499" s="605" t="s">
        <v>15220</v>
      </c>
      <c r="C1499" s="606"/>
      <c r="D1499" s="607"/>
      <c r="E1499" s="607"/>
      <c r="F1499" s="607"/>
      <c r="G1499" s="582"/>
    </row>
    <row r="1500" spans="1:7" ht="15" x14ac:dyDescent="0.2">
      <c r="A1500" s="583" t="s">
        <v>15221</v>
      </c>
      <c r="B1500" s="605" t="s">
        <v>15222</v>
      </c>
      <c r="C1500" s="606" t="s">
        <v>12427</v>
      </c>
      <c r="D1500" s="607">
        <v>2511.81</v>
      </c>
      <c r="E1500" s="607">
        <v>114.34</v>
      </c>
      <c r="F1500" s="607">
        <v>2626.15</v>
      </c>
      <c r="G1500" s="584">
        <v>15</v>
      </c>
    </row>
    <row r="1501" spans="1:7" ht="30" x14ac:dyDescent="0.2">
      <c r="A1501" s="583" t="s">
        <v>15223</v>
      </c>
      <c r="B1501" s="605" t="s">
        <v>20593</v>
      </c>
      <c r="C1501" s="606" t="s">
        <v>12483</v>
      </c>
      <c r="D1501" s="607">
        <v>254.12</v>
      </c>
      <c r="E1501" s="607">
        <v>92.9</v>
      </c>
      <c r="F1501" s="607">
        <v>347.02</v>
      </c>
      <c r="G1501" s="584">
        <v>15</v>
      </c>
    </row>
    <row r="1502" spans="1:7" ht="30" x14ac:dyDescent="0.2">
      <c r="A1502" s="583" t="s">
        <v>15224</v>
      </c>
      <c r="B1502" s="605" t="s">
        <v>15225</v>
      </c>
      <c r="C1502" s="606" t="s">
        <v>12483</v>
      </c>
      <c r="D1502" s="607">
        <v>118.82</v>
      </c>
      <c r="E1502" s="607">
        <v>30.21</v>
      </c>
      <c r="F1502" s="607">
        <v>149.03</v>
      </c>
      <c r="G1502" s="584">
        <v>15</v>
      </c>
    </row>
    <row r="1503" spans="1:7" ht="30" x14ac:dyDescent="0.2">
      <c r="A1503" s="583" t="s">
        <v>15226</v>
      </c>
      <c r="B1503" s="605" t="s">
        <v>15227</v>
      </c>
      <c r="C1503" s="606" t="s">
        <v>12483</v>
      </c>
      <c r="D1503" s="607">
        <v>61.26</v>
      </c>
      <c r="E1503" s="607">
        <v>13.82</v>
      </c>
      <c r="F1503" s="607">
        <v>75.08</v>
      </c>
      <c r="G1503" s="584">
        <v>15</v>
      </c>
    </row>
    <row r="1504" spans="1:7" ht="15" x14ac:dyDescent="0.2">
      <c r="A1504" s="583" t="s">
        <v>15228</v>
      </c>
      <c r="B1504" s="605" t="s">
        <v>15229</v>
      </c>
      <c r="C1504" s="606" t="s">
        <v>12483</v>
      </c>
      <c r="D1504" s="607">
        <v>77.25</v>
      </c>
      <c r="E1504" s="607">
        <v>7.56</v>
      </c>
      <c r="F1504" s="607">
        <v>84.81</v>
      </c>
      <c r="G1504" s="584">
        <v>15</v>
      </c>
    </row>
    <row r="1505" spans="1:7" ht="30" x14ac:dyDescent="0.2">
      <c r="A1505" s="583" t="s">
        <v>15230</v>
      </c>
      <c r="B1505" s="605" t="s">
        <v>15231</v>
      </c>
      <c r="C1505" s="606" t="s">
        <v>12483</v>
      </c>
      <c r="D1505" s="607">
        <v>92.39</v>
      </c>
      <c r="E1505" s="607">
        <v>82.34</v>
      </c>
      <c r="F1505" s="607">
        <v>174.73</v>
      </c>
      <c r="G1505" s="584">
        <v>15</v>
      </c>
    </row>
    <row r="1506" spans="1:7" ht="30" x14ac:dyDescent="0.2">
      <c r="A1506" s="583" t="s">
        <v>15232</v>
      </c>
      <c r="B1506" s="605" t="s">
        <v>15233</v>
      </c>
      <c r="C1506" s="606" t="s">
        <v>12483</v>
      </c>
      <c r="D1506" s="607">
        <v>117.16</v>
      </c>
      <c r="E1506" s="607">
        <v>42.06</v>
      </c>
      <c r="F1506" s="607">
        <v>159.22</v>
      </c>
      <c r="G1506" s="584">
        <v>15</v>
      </c>
    </row>
    <row r="1507" spans="1:7" ht="15" x14ac:dyDescent="0.25">
      <c r="A1507" s="583" t="s">
        <v>15234</v>
      </c>
      <c r="B1507" s="605" t="s">
        <v>15235</v>
      </c>
      <c r="C1507" s="606"/>
      <c r="D1507" s="607"/>
      <c r="E1507" s="607"/>
      <c r="F1507" s="607"/>
      <c r="G1507" s="582"/>
    </row>
    <row r="1508" spans="1:7" ht="15" x14ac:dyDescent="0.25">
      <c r="A1508" s="583" t="s">
        <v>15236</v>
      </c>
      <c r="B1508" s="605" t="s">
        <v>15237</v>
      </c>
      <c r="C1508" s="606"/>
      <c r="D1508" s="607"/>
      <c r="E1508" s="607"/>
      <c r="F1508" s="607"/>
      <c r="G1508" s="582"/>
    </row>
    <row r="1509" spans="1:7" ht="30" x14ac:dyDescent="0.2">
      <c r="A1509" s="583" t="s">
        <v>15238</v>
      </c>
      <c r="B1509" s="605" t="s">
        <v>15239</v>
      </c>
      <c r="C1509" s="606" t="s">
        <v>12676</v>
      </c>
      <c r="D1509" s="607">
        <v>461.68</v>
      </c>
      <c r="E1509" s="607">
        <v>75.53</v>
      </c>
      <c r="F1509" s="607">
        <v>537.21</v>
      </c>
      <c r="G1509" s="584">
        <v>15</v>
      </c>
    </row>
    <row r="1510" spans="1:7" ht="30" x14ac:dyDescent="0.2">
      <c r="A1510" s="583" t="s">
        <v>15240</v>
      </c>
      <c r="B1510" s="605" t="s">
        <v>15241</v>
      </c>
      <c r="C1510" s="606" t="s">
        <v>12676</v>
      </c>
      <c r="D1510" s="607">
        <v>859.3</v>
      </c>
      <c r="E1510" s="607">
        <v>100.7</v>
      </c>
      <c r="F1510" s="607">
        <v>960</v>
      </c>
      <c r="G1510" s="584">
        <v>15</v>
      </c>
    </row>
    <row r="1511" spans="1:7" ht="30" x14ac:dyDescent="0.2">
      <c r="A1511" s="583" t="s">
        <v>15242</v>
      </c>
      <c r="B1511" s="605" t="s">
        <v>15243</v>
      </c>
      <c r="C1511" s="606" t="s">
        <v>12676</v>
      </c>
      <c r="D1511" s="607">
        <v>352.12</v>
      </c>
      <c r="E1511" s="607">
        <v>75.53</v>
      </c>
      <c r="F1511" s="607">
        <v>427.65</v>
      </c>
      <c r="G1511" s="584">
        <v>15</v>
      </c>
    </row>
    <row r="1512" spans="1:7" ht="30" x14ac:dyDescent="0.2">
      <c r="A1512" s="583" t="s">
        <v>15244</v>
      </c>
      <c r="B1512" s="605" t="s">
        <v>15245</v>
      </c>
      <c r="C1512" s="606" t="s">
        <v>21478</v>
      </c>
      <c r="D1512" s="607">
        <v>692.32</v>
      </c>
      <c r="E1512" s="607">
        <v>100.7</v>
      </c>
      <c r="F1512" s="607">
        <v>793.02</v>
      </c>
      <c r="G1512" s="584">
        <v>15</v>
      </c>
    </row>
    <row r="1513" spans="1:7" ht="30" x14ac:dyDescent="0.2">
      <c r="A1513" s="583" t="s">
        <v>15246</v>
      </c>
      <c r="B1513" s="605" t="s">
        <v>15247</v>
      </c>
      <c r="C1513" s="606" t="s">
        <v>21478</v>
      </c>
      <c r="D1513" s="607">
        <v>276.73</v>
      </c>
      <c r="E1513" s="607">
        <v>75.53</v>
      </c>
      <c r="F1513" s="607">
        <v>352.26</v>
      </c>
      <c r="G1513" s="584">
        <v>15</v>
      </c>
    </row>
    <row r="1514" spans="1:7" ht="15" x14ac:dyDescent="0.2">
      <c r="A1514" s="583" t="s">
        <v>15248</v>
      </c>
      <c r="B1514" s="605" t="s">
        <v>15249</v>
      </c>
      <c r="C1514" s="606" t="s">
        <v>21478</v>
      </c>
      <c r="D1514" s="607">
        <v>320.19</v>
      </c>
      <c r="E1514" s="607"/>
      <c r="F1514" s="607">
        <v>320.19</v>
      </c>
      <c r="G1514" s="584">
        <v>15</v>
      </c>
    </row>
    <row r="1515" spans="1:7" ht="15" x14ac:dyDescent="0.2">
      <c r="A1515" s="583" t="s">
        <v>15250</v>
      </c>
      <c r="B1515" s="605" t="s">
        <v>15251</v>
      </c>
      <c r="C1515" s="606" t="s">
        <v>21478</v>
      </c>
      <c r="D1515" s="607">
        <v>418.75</v>
      </c>
      <c r="E1515" s="607"/>
      <c r="F1515" s="607">
        <v>418.75</v>
      </c>
      <c r="G1515" s="584">
        <v>15</v>
      </c>
    </row>
    <row r="1516" spans="1:7" ht="30" x14ac:dyDescent="0.2">
      <c r="A1516" s="583" t="s">
        <v>15252</v>
      </c>
      <c r="B1516" s="605" t="s">
        <v>15253</v>
      </c>
      <c r="C1516" s="606" t="s">
        <v>20385</v>
      </c>
      <c r="D1516" s="607">
        <v>315.3</v>
      </c>
      <c r="E1516" s="607">
        <v>83.75</v>
      </c>
      <c r="F1516" s="607">
        <v>399.05</v>
      </c>
      <c r="G1516" s="584">
        <v>15</v>
      </c>
    </row>
    <row r="1517" spans="1:7" ht="30" x14ac:dyDescent="0.2">
      <c r="A1517" s="583" t="s">
        <v>15254</v>
      </c>
      <c r="B1517" s="605" t="s">
        <v>15255</v>
      </c>
      <c r="C1517" s="606" t="s">
        <v>12676</v>
      </c>
      <c r="D1517" s="607">
        <v>484.08</v>
      </c>
      <c r="E1517" s="607">
        <v>83.75</v>
      </c>
      <c r="F1517" s="607">
        <v>567.83000000000004</v>
      </c>
      <c r="G1517" s="584">
        <v>15</v>
      </c>
    </row>
    <row r="1518" spans="1:7" ht="15" x14ac:dyDescent="0.2">
      <c r="A1518" s="583" t="s">
        <v>15256</v>
      </c>
      <c r="B1518" s="605" t="s">
        <v>15257</v>
      </c>
      <c r="C1518" s="606" t="s">
        <v>12375</v>
      </c>
      <c r="D1518" s="607">
        <v>320.48</v>
      </c>
      <c r="E1518" s="607">
        <v>23.5</v>
      </c>
      <c r="F1518" s="607">
        <v>343.98</v>
      </c>
      <c r="G1518" s="584">
        <v>15</v>
      </c>
    </row>
    <row r="1519" spans="1:7" ht="15" x14ac:dyDescent="0.2">
      <c r="A1519" s="583" t="s">
        <v>15258</v>
      </c>
      <c r="B1519" s="605" t="s">
        <v>15259</v>
      </c>
      <c r="C1519" s="606" t="s">
        <v>12375</v>
      </c>
      <c r="D1519" s="607">
        <v>341.19</v>
      </c>
      <c r="E1519" s="607">
        <v>23.5</v>
      </c>
      <c r="F1519" s="607">
        <v>364.69</v>
      </c>
      <c r="G1519" s="584">
        <v>15</v>
      </c>
    </row>
    <row r="1520" spans="1:7" ht="15" x14ac:dyDescent="0.2">
      <c r="A1520" s="583" t="s">
        <v>15260</v>
      </c>
      <c r="B1520" s="605" t="s">
        <v>15261</v>
      </c>
      <c r="C1520" s="606" t="s">
        <v>12375</v>
      </c>
      <c r="D1520" s="607">
        <v>3527.53</v>
      </c>
      <c r="E1520" s="607">
        <v>58.77</v>
      </c>
      <c r="F1520" s="607">
        <v>3586.3</v>
      </c>
      <c r="G1520" s="584">
        <v>15</v>
      </c>
    </row>
    <row r="1521" spans="1:7" ht="15" x14ac:dyDescent="0.2">
      <c r="A1521" s="583" t="s">
        <v>15262</v>
      </c>
      <c r="B1521" s="605" t="s">
        <v>15263</v>
      </c>
      <c r="C1521" s="606" t="s">
        <v>12375</v>
      </c>
      <c r="D1521" s="607">
        <v>483.19</v>
      </c>
      <c r="E1521" s="607">
        <v>44.08</v>
      </c>
      <c r="F1521" s="607">
        <v>527.27</v>
      </c>
      <c r="G1521" s="584">
        <v>15</v>
      </c>
    </row>
    <row r="1522" spans="1:7" ht="15" x14ac:dyDescent="0.2">
      <c r="A1522" s="583" t="s">
        <v>15264</v>
      </c>
      <c r="B1522" s="605" t="s">
        <v>15265</v>
      </c>
      <c r="C1522" s="606" t="s">
        <v>12375</v>
      </c>
      <c r="D1522" s="607">
        <v>29.96</v>
      </c>
      <c r="E1522" s="607">
        <v>15.1</v>
      </c>
      <c r="F1522" s="607">
        <v>45.06</v>
      </c>
      <c r="G1522" s="584">
        <v>15</v>
      </c>
    </row>
    <row r="1523" spans="1:7" ht="30" x14ac:dyDescent="0.2">
      <c r="A1523" s="583" t="s">
        <v>15266</v>
      </c>
      <c r="B1523" s="605" t="s">
        <v>15267</v>
      </c>
      <c r="C1523" s="606" t="s">
        <v>12375</v>
      </c>
      <c r="D1523" s="607">
        <v>1021.82</v>
      </c>
      <c r="E1523" s="607">
        <v>58.77</v>
      </c>
      <c r="F1523" s="607">
        <v>1080.5899999999999</v>
      </c>
      <c r="G1523" s="584">
        <v>15</v>
      </c>
    </row>
    <row r="1524" spans="1:7" ht="30" x14ac:dyDescent="0.2">
      <c r="A1524" s="583" t="s">
        <v>15268</v>
      </c>
      <c r="B1524" s="605" t="s">
        <v>15269</v>
      </c>
      <c r="C1524" s="606" t="s">
        <v>12375</v>
      </c>
      <c r="D1524" s="607">
        <v>1056.18</v>
      </c>
      <c r="E1524" s="607">
        <v>117.54</v>
      </c>
      <c r="F1524" s="607">
        <v>1173.72</v>
      </c>
      <c r="G1524" s="584">
        <v>15</v>
      </c>
    </row>
    <row r="1525" spans="1:7" ht="30" x14ac:dyDescent="0.2">
      <c r="A1525" s="583" t="s">
        <v>15270</v>
      </c>
      <c r="B1525" s="605" t="s">
        <v>15271</v>
      </c>
      <c r="C1525" s="606" t="s">
        <v>12375</v>
      </c>
      <c r="D1525" s="607">
        <v>237.2</v>
      </c>
      <c r="E1525" s="607">
        <v>75.53</v>
      </c>
      <c r="F1525" s="607">
        <v>312.73</v>
      </c>
      <c r="G1525" s="584">
        <v>15</v>
      </c>
    </row>
    <row r="1526" spans="1:7" ht="15" x14ac:dyDescent="0.25">
      <c r="A1526" s="583" t="s">
        <v>15272</v>
      </c>
      <c r="B1526" s="605" t="s">
        <v>15273</v>
      </c>
      <c r="C1526" s="606"/>
      <c r="D1526" s="607"/>
      <c r="E1526" s="607"/>
      <c r="F1526" s="607"/>
      <c r="G1526" s="582"/>
    </row>
    <row r="1527" spans="1:7" ht="15" x14ac:dyDescent="0.2">
      <c r="A1527" s="583" t="s">
        <v>15274</v>
      </c>
      <c r="B1527" s="605" t="s">
        <v>15275</v>
      </c>
      <c r="C1527" s="606" t="s">
        <v>12375</v>
      </c>
      <c r="D1527" s="607">
        <v>19.48</v>
      </c>
      <c r="E1527" s="607"/>
      <c r="F1527" s="607">
        <v>19.48</v>
      </c>
      <c r="G1527" s="584">
        <v>15</v>
      </c>
    </row>
    <row r="1528" spans="1:7" ht="15" x14ac:dyDescent="0.2">
      <c r="A1528" s="583" t="s">
        <v>15276</v>
      </c>
      <c r="B1528" s="605" t="s">
        <v>15277</v>
      </c>
      <c r="C1528" s="606" t="s">
        <v>12375</v>
      </c>
      <c r="D1528" s="607">
        <v>32.090000000000003</v>
      </c>
      <c r="E1528" s="607"/>
      <c r="F1528" s="607">
        <v>32.090000000000003</v>
      </c>
      <c r="G1528" s="584">
        <v>15</v>
      </c>
    </row>
    <row r="1529" spans="1:7" ht="15" x14ac:dyDescent="0.2">
      <c r="A1529" s="583" t="s">
        <v>15278</v>
      </c>
      <c r="B1529" s="605" t="s">
        <v>15279</v>
      </c>
      <c r="C1529" s="606" t="s">
        <v>12375</v>
      </c>
      <c r="D1529" s="607">
        <v>48.79</v>
      </c>
      <c r="E1529" s="607"/>
      <c r="F1529" s="607">
        <v>48.79</v>
      </c>
      <c r="G1529" s="584">
        <v>15</v>
      </c>
    </row>
    <row r="1530" spans="1:7" ht="30" x14ac:dyDescent="0.2">
      <c r="A1530" s="583" t="s">
        <v>15280</v>
      </c>
      <c r="B1530" s="605" t="s">
        <v>15281</v>
      </c>
      <c r="C1530" s="606" t="s">
        <v>12375</v>
      </c>
      <c r="D1530" s="607">
        <v>198.68</v>
      </c>
      <c r="E1530" s="607"/>
      <c r="F1530" s="607">
        <v>198.68</v>
      </c>
      <c r="G1530" s="584">
        <v>15</v>
      </c>
    </row>
    <row r="1531" spans="1:7" ht="15" x14ac:dyDescent="0.2">
      <c r="A1531" s="583" t="s">
        <v>15282</v>
      </c>
      <c r="B1531" s="605" t="s">
        <v>15283</v>
      </c>
      <c r="C1531" s="606" t="s">
        <v>12375</v>
      </c>
      <c r="D1531" s="607">
        <v>73.900000000000006</v>
      </c>
      <c r="E1531" s="607"/>
      <c r="F1531" s="607">
        <v>73.900000000000006</v>
      </c>
      <c r="G1531" s="584">
        <v>15</v>
      </c>
    </row>
    <row r="1532" spans="1:7" ht="15" x14ac:dyDescent="0.25">
      <c r="A1532" s="583" t="s">
        <v>15284</v>
      </c>
      <c r="B1532" s="605" t="s">
        <v>15285</v>
      </c>
      <c r="C1532" s="606"/>
      <c r="D1532" s="607"/>
      <c r="E1532" s="607"/>
      <c r="F1532" s="607"/>
      <c r="G1532" s="582"/>
    </row>
    <row r="1533" spans="1:7" ht="15" x14ac:dyDescent="0.2">
      <c r="A1533" s="583" t="s">
        <v>15286</v>
      </c>
      <c r="B1533" s="605" t="s">
        <v>15287</v>
      </c>
      <c r="C1533" s="606" t="s">
        <v>12375</v>
      </c>
      <c r="D1533" s="607"/>
      <c r="E1533" s="607">
        <v>75.53</v>
      </c>
      <c r="F1533" s="607">
        <v>75.53</v>
      </c>
      <c r="G1533" s="584">
        <v>15</v>
      </c>
    </row>
    <row r="1534" spans="1:7" ht="15" x14ac:dyDescent="0.2">
      <c r="A1534" s="583" t="s">
        <v>15288</v>
      </c>
      <c r="B1534" s="605" t="s">
        <v>15289</v>
      </c>
      <c r="C1534" s="606" t="s">
        <v>12375</v>
      </c>
      <c r="D1534" s="607">
        <v>1106.1099999999999</v>
      </c>
      <c r="E1534" s="607">
        <v>58.77</v>
      </c>
      <c r="F1534" s="607">
        <v>1164.8800000000001</v>
      </c>
      <c r="G1534" s="584">
        <v>15</v>
      </c>
    </row>
    <row r="1535" spans="1:7" ht="15" x14ac:dyDescent="0.2">
      <c r="A1535" s="583" t="s">
        <v>15290</v>
      </c>
      <c r="B1535" s="605" t="s">
        <v>15291</v>
      </c>
      <c r="C1535" s="606" t="s">
        <v>12375</v>
      </c>
      <c r="D1535" s="607"/>
      <c r="E1535" s="607">
        <v>64.959999999999994</v>
      </c>
      <c r="F1535" s="607">
        <v>64.959999999999994</v>
      </c>
      <c r="G1535" s="584">
        <v>15</v>
      </c>
    </row>
    <row r="1536" spans="1:7" ht="30" x14ac:dyDescent="0.2">
      <c r="A1536" s="583" t="s">
        <v>15292</v>
      </c>
      <c r="B1536" s="605" t="s">
        <v>15293</v>
      </c>
      <c r="C1536" s="606" t="s">
        <v>12676</v>
      </c>
      <c r="D1536" s="607">
        <v>896.85</v>
      </c>
      <c r="E1536" s="607">
        <v>76.400000000000006</v>
      </c>
      <c r="F1536" s="607">
        <v>973.25</v>
      </c>
      <c r="G1536" s="584">
        <v>15</v>
      </c>
    </row>
    <row r="1537" spans="1:7" ht="15" x14ac:dyDescent="0.2">
      <c r="A1537" s="583" t="s">
        <v>15294</v>
      </c>
      <c r="B1537" s="605" t="s">
        <v>15295</v>
      </c>
      <c r="C1537" s="606" t="s">
        <v>12375</v>
      </c>
      <c r="D1537" s="607"/>
      <c r="E1537" s="607">
        <v>8.56</v>
      </c>
      <c r="F1537" s="607">
        <v>8.56</v>
      </c>
      <c r="G1537" s="584">
        <v>15</v>
      </c>
    </row>
    <row r="1538" spans="1:7" ht="15" x14ac:dyDescent="0.2">
      <c r="A1538" s="583" t="s">
        <v>15296</v>
      </c>
      <c r="B1538" s="605" t="s">
        <v>15297</v>
      </c>
      <c r="C1538" s="606" t="s">
        <v>12676</v>
      </c>
      <c r="D1538" s="607">
        <v>671.36</v>
      </c>
      <c r="E1538" s="607">
        <v>151.05000000000001</v>
      </c>
      <c r="F1538" s="607">
        <v>822.41</v>
      </c>
      <c r="G1538" s="584">
        <v>15</v>
      </c>
    </row>
    <row r="1539" spans="1:7" ht="15" x14ac:dyDescent="0.2">
      <c r="A1539" s="583" t="s">
        <v>15298</v>
      </c>
      <c r="B1539" s="605" t="s">
        <v>15299</v>
      </c>
      <c r="C1539" s="606" t="s">
        <v>12375</v>
      </c>
      <c r="D1539" s="607">
        <v>177.6</v>
      </c>
      <c r="E1539" s="607">
        <v>28.52</v>
      </c>
      <c r="F1539" s="607">
        <v>206.12</v>
      </c>
      <c r="G1539" s="584">
        <v>15</v>
      </c>
    </row>
    <row r="1540" spans="1:7" ht="30" x14ac:dyDescent="0.2">
      <c r="A1540" s="583" t="s">
        <v>15300</v>
      </c>
      <c r="B1540" s="605" t="s">
        <v>15301</v>
      </c>
      <c r="C1540" s="606" t="s">
        <v>12676</v>
      </c>
      <c r="D1540" s="607">
        <v>4372.6099999999997</v>
      </c>
      <c r="E1540" s="607">
        <v>176.31</v>
      </c>
      <c r="F1540" s="607">
        <v>4548.92</v>
      </c>
      <c r="G1540" s="584">
        <v>15</v>
      </c>
    </row>
    <row r="1541" spans="1:7" ht="15" x14ac:dyDescent="0.2">
      <c r="A1541" s="583" t="s">
        <v>15302</v>
      </c>
      <c r="B1541" s="605" t="s">
        <v>15303</v>
      </c>
      <c r="C1541" s="606" t="s">
        <v>12375</v>
      </c>
      <c r="D1541" s="607">
        <v>425.63</v>
      </c>
      <c r="E1541" s="607">
        <v>58.77</v>
      </c>
      <c r="F1541" s="607">
        <v>484.4</v>
      </c>
      <c r="G1541" s="584">
        <v>15</v>
      </c>
    </row>
    <row r="1542" spans="1:7" ht="30" x14ac:dyDescent="0.2">
      <c r="A1542" s="583" t="s">
        <v>15304</v>
      </c>
      <c r="B1542" s="605" t="s">
        <v>15305</v>
      </c>
      <c r="C1542" s="606" t="s">
        <v>12375</v>
      </c>
      <c r="D1542" s="607">
        <v>205.53</v>
      </c>
      <c r="E1542" s="607">
        <v>44.08</v>
      </c>
      <c r="F1542" s="607">
        <v>249.61</v>
      </c>
      <c r="G1542" s="584">
        <v>15</v>
      </c>
    </row>
    <row r="1543" spans="1:7" ht="15" x14ac:dyDescent="0.2">
      <c r="A1543" s="583" t="s">
        <v>15306</v>
      </c>
      <c r="B1543" s="605" t="s">
        <v>15307</v>
      </c>
      <c r="C1543" s="606" t="s">
        <v>12375</v>
      </c>
      <c r="D1543" s="607">
        <v>105.08</v>
      </c>
      <c r="E1543" s="607">
        <v>9.99</v>
      </c>
      <c r="F1543" s="607">
        <v>115.07</v>
      </c>
      <c r="G1543" s="584">
        <v>15</v>
      </c>
    </row>
    <row r="1544" spans="1:7" ht="15" x14ac:dyDescent="0.2">
      <c r="A1544" s="583" t="s">
        <v>15308</v>
      </c>
      <c r="B1544" s="605" t="s">
        <v>15309</v>
      </c>
      <c r="C1544" s="606" t="s">
        <v>12375</v>
      </c>
      <c r="D1544" s="607">
        <v>71.55</v>
      </c>
      <c r="E1544" s="607">
        <v>9.99</v>
      </c>
      <c r="F1544" s="607">
        <v>81.540000000000006</v>
      </c>
      <c r="G1544" s="584">
        <v>15</v>
      </c>
    </row>
    <row r="1545" spans="1:7" ht="15" x14ac:dyDescent="0.2">
      <c r="A1545" s="583" t="s">
        <v>15310</v>
      </c>
      <c r="B1545" s="605" t="s">
        <v>15311</v>
      </c>
      <c r="C1545" s="606" t="s">
        <v>12375</v>
      </c>
      <c r="D1545" s="607">
        <v>174.52</v>
      </c>
      <c r="E1545" s="607">
        <v>9.99</v>
      </c>
      <c r="F1545" s="607">
        <v>184.51</v>
      </c>
      <c r="G1545" s="584">
        <v>15</v>
      </c>
    </row>
    <row r="1546" spans="1:7" ht="15" x14ac:dyDescent="0.2">
      <c r="A1546" s="583" t="s">
        <v>15312</v>
      </c>
      <c r="B1546" s="605" t="s">
        <v>15313</v>
      </c>
      <c r="C1546" s="606" t="s">
        <v>12676</v>
      </c>
      <c r="D1546" s="607">
        <v>28.22</v>
      </c>
      <c r="E1546" s="607">
        <v>8.56</v>
      </c>
      <c r="F1546" s="607">
        <v>36.78</v>
      </c>
      <c r="G1546" s="584">
        <v>15</v>
      </c>
    </row>
    <row r="1547" spans="1:7" ht="30" x14ac:dyDescent="0.2">
      <c r="A1547" s="583" t="s">
        <v>15314</v>
      </c>
      <c r="B1547" s="605" t="s">
        <v>15315</v>
      </c>
      <c r="C1547" s="606" t="s">
        <v>12375</v>
      </c>
      <c r="D1547" s="607">
        <v>42.93</v>
      </c>
      <c r="E1547" s="607">
        <v>8.56</v>
      </c>
      <c r="F1547" s="607">
        <v>51.49</v>
      </c>
      <c r="G1547" s="584">
        <v>15</v>
      </c>
    </row>
    <row r="1548" spans="1:7" ht="30" x14ac:dyDescent="0.2">
      <c r="A1548" s="583" t="s">
        <v>15316</v>
      </c>
      <c r="B1548" s="605" t="s">
        <v>15317</v>
      </c>
      <c r="C1548" s="606" t="s">
        <v>12375</v>
      </c>
      <c r="D1548" s="607">
        <v>98.06</v>
      </c>
      <c r="E1548" s="607">
        <v>8.56</v>
      </c>
      <c r="F1548" s="607">
        <v>106.62</v>
      </c>
      <c r="G1548" s="584">
        <v>15</v>
      </c>
    </row>
    <row r="1549" spans="1:7" ht="15" x14ac:dyDescent="0.2">
      <c r="A1549" s="583" t="s">
        <v>15318</v>
      </c>
      <c r="B1549" s="605" t="s">
        <v>15319</v>
      </c>
      <c r="C1549" s="606" t="s">
        <v>12676</v>
      </c>
      <c r="D1549" s="607">
        <v>228.1</v>
      </c>
      <c r="E1549" s="607">
        <v>18.13</v>
      </c>
      <c r="F1549" s="607">
        <v>246.23</v>
      </c>
      <c r="G1549" s="584">
        <v>15</v>
      </c>
    </row>
    <row r="1550" spans="1:7" ht="15" x14ac:dyDescent="0.2">
      <c r="A1550" s="583" t="s">
        <v>15320</v>
      </c>
      <c r="B1550" s="605" t="s">
        <v>15321</v>
      </c>
      <c r="C1550" s="606" t="s">
        <v>12375</v>
      </c>
      <c r="D1550" s="607">
        <v>72.69</v>
      </c>
      <c r="E1550" s="607">
        <v>9.99</v>
      </c>
      <c r="F1550" s="607">
        <v>82.68</v>
      </c>
      <c r="G1550" s="584">
        <v>15</v>
      </c>
    </row>
    <row r="1551" spans="1:7" ht="15" x14ac:dyDescent="0.2">
      <c r="A1551" s="583" t="s">
        <v>15322</v>
      </c>
      <c r="B1551" s="605" t="s">
        <v>15323</v>
      </c>
      <c r="C1551" s="606" t="s">
        <v>12375</v>
      </c>
      <c r="D1551" s="607">
        <v>89.42</v>
      </c>
      <c r="E1551" s="607">
        <v>9.99</v>
      </c>
      <c r="F1551" s="607">
        <v>99.41</v>
      </c>
      <c r="G1551" s="584">
        <v>15</v>
      </c>
    </row>
    <row r="1552" spans="1:7" ht="15" x14ac:dyDescent="0.2">
      <c r="A1552" s="583" t="s">
        <v>15324</v>
      </c>
      <c r="B1552" s="605" t="s">
        <v>15325</v>
      </c>
      <c r="C1552" s="606" t="s">
        <v>12375</v>
      </c>
      <c r="D1552" s="607">
        <v>190.87</v>
      </c>
      <c r="E1552" s="607">
        <v>7.21</v>
      </c>
      <c r="F1552" s="607">
        <v>198.08</v>
      </c>
      <c r="G1552" s="584">
        <v>15</v>
      </c>
    </row>
    <row r="1553" spans="1:7" ht="30" x14ac:dyDescent="0.2">
      <c r="A1553" s="583" t="s">
        <v>15326</v>
      </c>
      <c r="B1553" s="605" t="s">
        <v>15327</v>
      </c>
      <c r="C1553" s="606" t="s">
        <v>12375</v>
      </c>
      <c r="D1553" s="607">
        <v>217.04</v>
      </c>
      <c r="E1553" s="607">
        <v>9.99</v>
      </c>
      <c r="F1553" s="607">
        <v>227.03</v>
      </c>
      <c r="G1553" s="584">
        <v>15</v>
      </c>
    </row>
    <row r="1554" spans="1:7" ht="30" x14ac:dyDescent="0.2">
      <c r="A1554" s="583" t="s">
        <v>15328</v>
      </c>
      <c r="B1554" s="605" t="s">
        <v>15329</v>
      </c>
      <c r="C1554" s="606" t="s">
        <v>12375</v>
      </c>
      <c r="D1554" s="607">
        <v>507.65</v>
      </c>
      <c r="E1554" s="607">
        <v>88.16</v>
      </c>
      <c r="F1554" s="607">
        <v>595.80999999999995</v>
      </c>
      <c r="G1554" s="584">
        <v>15</v>
      </c>
    </row>
    <row r="1555" spans="1:7" ht="15" x14ac:dyDescent="0.2">
      <c r="A1555" s="583" t="s">
        <v>15330</v>
      </c>
      <c r="B1555" s="605" t="s">
        <v>15331</v>
      </c>
      <c r="C1555" s="606" t="s">
        <v>12375</v>
      </c>
      <c r="D1555" s="607">
        <v>166.31</v>
      </c>
      <c r="E1555" s="607">
        <v>88.16</v>
      </c>
      <c r="F1555" s="607">
        <v>254.47</v>
      </c>
      <c r="G1555" s="584">
        <v>15</v>
      </c>
    </row>
    <row r="1556" spans="1:7" ht="15" x14ac:dyDescent="0.2">
      <c r="A1556" s="583" t="s">
        <v>15332</v>
      </c>
      <c r="B1556" s="605" t="s">
        <v>15333</v>
      </c>
      <c r="C1556" s="606" t="s">
        <v>12375</v>
      </c>
      <c r="D1556" s="607">
        <v>21.65</v>
      </c>
      <c r="E1556" s="607">
        <v>57.03</v>
      </c>
      <c r="F1556" s="607">
        <v>78.680000000000007</v>
      </c>
      <c r="G1556" s="584">
        <v>15</v>
      </c>
    </row>
    <row r="1557" spans="1:7" ht="15" x14ac:dyDescent="0.2">
      <c r="A1557" s="583" t="s">
        <v>15334</v>
      </c>
      <c r="B1557" s="605" t="s">
        <v>15335</v>
      </c>
      <c r="C1557" s="606" t="s">
        <v>12375</v>
      </c>
      <c r="D1557" s="607">
        <v>48.9</v>
      </c>
      <c r="E1557" s="607">
        <v>9.99</v>
      </c>
      <c r="F1557" s="607">
        <v>58.89</v>
      </c>
      <c r="G1557" s="584">
        <v>15</v>
      </c>
    </row>
    <row r="1558" spans="1:7" ht="30" x14ac:dyDescent="0.2">
      <c r="A1558" s="583" t="s">
        <v>15336</v>
      </c>
      <c r="B1558" s="605" t="s">
        <v>15337</v>
      </c>
      <c r="C1558" s="606" t="s">
        <v>12375</v>
      </c>
      <c r="D1558" s="607">
        <v>13714.26</v>
      </c>
      <c r="E1558" s="607"/>
      <c r="F1558" s="607">
        <v>13714.26</v>
      </c>
      <c r="G1558" s="584">
        <v>15</v>
      </c>
    </row>
    <row r="1559" spans="1:7" ht="30" x14ac:dyDescent="0.2">
      <c r="A1559" s="583" t="s">
        <v>15338</v>
      </c>
      <c r="B1559" s="605" t="s">
        <v>15339</v>
      </c>
      <c r="C1559" s="606" t="s">
        <v>12375</v>
      </c>
      <c r="D1559" s="607">
        <v>15819.49</v>
      </c>
      <c r="E1559" s="607"/>
      <c r="F1559" s="607">
        <v>15819.49</v>
      </c>
      <c r="G1559" s="584">
        <v>15</v>
      </c>
    </row>
    <row r="1560" spans="1:7" ht="30" x14ac:dyDescent="0.2">
      <c r="A1560" s="583" t="s">
        <v>15340</v>
      </c>
      <c r="B1560" s="605" t="s">
        <v>15341</v>
      </c>
      <c r="C1560" s="606" t="s">
        <v>12676</v>
      </c>
      <c r="D1560" s="607">
        <v>472.59</v>
      </c>
      <c r="E1560" s="607">
        <v>117.54</v>
      </c>
      <c r="F1560" s="607">
        <v>590.13</v>
      </c>
      <c r="G1560" s="584">
        <v>15</v>
      </c>
    </row>
    <row r="1561" spans="1:7" ht="30" x14ac:dyDescent="0.2">
      <c r="A1561" s="583" t="s">
        <v>15342</v>
      </c>
      <c r="B1561" s="605" t="s">
        <v>15343</v>
      </c>
      <c r="C1561" s="606" t="s">
        <v>12676</v>
      </c>
      <c r="D1561" s="607">
        <v>1196.93</v>
      </c>
      <c r="E1561" s="607">
        <v>235.08</v>
      </c>
      <c r="F1561" s="607">
        <v>1432.01</v>
      </c>
      <c r="G1561" s="584">
        <v>15</v>
      </c>
    </row>
    <row r="1562" spans="1:7" ht="45" x14ac:dyDescent="0.2">
      <c r="A1562" s="583" t="s">
        <v>15344</v>
      </c>
      <c r="B1562" s="605" t="s">
        <v>15345</v>
      </c>
      <c r="C1562" s="606" t="s">
        <v>12676</v>
      </c>
      <c r="D1562" s="607">
        <v>1233.4100000000001</v>
      </c>
      <c r="E1562" s="607">
        <v>235.08</v>
      </c>
      <c r="F1562" s="607">
        <v>1468.49</v>
      </c>
      <c r="G1562" s="584">
        <v>15</v>
      </c>
    </row>
    <row r="1563" spans="1:7" ht="45" x14ac:dyDescent="0.2">
      <c r="A1563" s="583" t="s">
        <v>15346</v>
      </c>
      <c r="B1563" s="605" t="s">
        <v>15347</v>
      </c>
      <c r="C1563" s="606" t="s">
        <v>12676</v>
      </c>
      <c r="D1563" s="607">
        <v>1323.94</v>
      </c>
      <c r="E1563" s="607">
        <v>235.08</v>
      </c>
      <c r="F1563" s="607">
        <v>1559.02</v>
      </c>
      <c r="G1563" s="584">
        <v>15</v>
      </c>
    </row>
    <row r="1564" spans="1:7" ht="30" x14ac:dyDescent="0.2">
      <c r="A1564" s="583" t="s">
        <v>15348</v>
      </c>
      <c r="B1564" s="605" t="s">
        <v>21396</v>
      </c>
      <c r="C1564" s="606" t="s">
        <v>12483</v>
      </c>
      <c r="D1564" s="607">
        <v>33.5</v>
      </c>
      <c r="E1564" s="607">
        <v>13.82</v>
      </c>
      <c r="F1564" s="607">
        <v>47.32</v>
      </c>
      <c r="G1564" s="584">
        <v>15</v>
      </c>
    </row>
    <row r="1565" spans="1:7" ht="15" x14ac:dyDescent="0.25">
      <c r="A1565" s="583" t="s">
        <v>15349</v>
      </c>
      <c r="B1565" s="605" t="s">
        <v>15350</v>
      </c>
      <c r="C1565" s="606"/>
      <c r="D1565" s="607"/>
      <c r="E1565" s="607"/>
      <c r="F1565" s="607"/>
      <c r="G1565" s="582"/>
    </row>
    <row r="1566" spans="1:7" ht="15" x14ac:dyDescent="0.25">
      <c r="A1566" s="583" t="s">
        <v>15351</v>
      </c>
      <c r="B1566" s="605" t="s">
        <v>15352</v>
      </c>
      <c r="C1566" s="606"/>
      <c r="D1566" s="607"/>
      <c r="E1566" s="607"/>
      <c r="F1566" s="607"/>
      <c r="G1566" s="582"/>
    </row>
    <row r="1567" spans="1:7" ht="15" x14ac:dyDescent="0.2">
      <c r="A1567" s="583" t="s">
        <v>15353</v>
      </c>
      <c r="B1567" s="605" t="s">
        <v>15354</v>
      </c>
      <c r="C1567" s="606" t="s">
        <v>12483</v>
      </c>
      <c r="D1567" s="607">
        <v>6.5</v>
      </c>
      <c r="E1567" s="607">
        <v>17.87</v>
      </c>
      <c r="F1567" s="607">
        <v>24.37</v>
      </c>
      <c r="G1567" s="584">
        <v>15</v>
      </c>
    </row>
    <row r="1568" spans="1:7" ht="15" x14ac:dyDescent="0.2">
      <c r="A1568" s="583" t="s">
        <v>15355</v>
      </c>
      <c r="B1568" s="605" t="s">
        <v>15356</v>
      </c>
      <c r="C1568" s="606" t="s">
        <v>12929</v>
      </c>
      <c r="D1568" s="607">
        <v>36.770000000000003</v>
      </c>
      <c r="E1568" s="607">
        <v>79.930000000000007</v>
      </c>
      <c r="F1568" s="607">
        <v>116.7</v>
      </c>
      <c r="G1568" s="584">
        <v>15</v>
      </c>
    </row>
    <row r="1569" spans="1:7" ht="15" x14ac:dyDescent="0.2">
      <c r="A1569" s="583" t="s">
        <v>15357</v>
      </c>
      <c r="B1569" s="605" t="s">
        <v>15358</v>
      </c>
      <c r="C1569" s="606" t="s">
        <v>12483</v>
      </c>
      <c r="D1569" s="607">
        <v>8.7799999999999994</v>
      </c>
      <c r="E1569" s="607">
        <v>17.87</v>
      </c>
      <c r="F1569" s="607">
        <v>26.65</v>
      </c>
      <c r="G1569" s="584">
        <v>15</v>
      </c>
    </row>
    <row r="1570" spans="1:7" ht="15" x14ac:dyDescent="0.2">
      <c r="A1570" s="583" t="s">
        <v>15359</v>
      </c>
      <c r="B1570" s="605" t="s">
        <v>15360</v>
      </c>
      <c r="C1570" s="606" t="s">
        <v>12929</v>
      </c>
      <c r="D1570" s="607">
        <v>14.4</v>
      </c>
      <c r="E1570" s="607">
        <v>17.87</v>
      </c>
      <c r="F1570" s="607">
        <v>32.270000000000003</v>
      </c>
      <c r="G1570" s="584">
        <v>15</v>
      </c>
    </row>
    <row r="1571" spans="1:7" ht="15" x14ac:dyDescent="0.2">
      <c r="A1571" s="583" t="s">
        <v>15361</v>
      </c>
      <c r="B1571" s="605" t="s">
        <v>15362</v>
      </c>
      <c r="C1571" s="606" t="s">
        <v>12929</v>
      </c>
      <c r="D1571" s="607">
        <v>9.59</v>
      </c>
      <c r="E1571" s="607">
        <v>17.87</v>
      </c>
      <c r="F1571" s="607">
        <v>27.46</v>
      </c>
      <c r="G1571" s="584">
        <v>15</v>
      </c>
    </row>
    <row r="1572" spans="1:7" ht="15" x14ac:dyDescent="0.25">
      <c r="A1572" s="583" t="s">
        <v>15363</v>
      </c>
      <c r="B1572" s="605" t="s">
        <v>15364</v>
      </c>
      <c r="C1572" s="606"/>
      <c r="D1572" s="607"/>
      <c r="E1572" s="607"/>
      <c r="F1572" s="607"/>
      <c r="G1572" s="582"/>
    </row>
    <row r="1573" spans="1:7" ht="30" x14ac:dyDescent="0.2">
      <c r="A1573" s="583" t="s">
        <v>15365</v>
      </c>
      <c r="B1573" s="605" t="s">
        <v>15366</v>
      </c>
      <c r="C1573" s="606" t="s">
        <v>12483</v>
      </c>
      <c r="D1573" s="607">
        <v>9.02</v>
      </c>
      <c r="E1573" s="607">
        <v>15.1</v>
      </c>
      <c r="F1573" s="607">
        <v>24.12</v>
      </c>
      <c r="G1573" s="584">
        <v>15</v>
      </c>
    </row>
    <row r="1574" spans="1:7" ht="30" x14ac:dyDescent="0.2">
      <c r="A1574" s="583" t="s">
        <v>15367</v>
      </c>
      <c r="B1574" s="605" t="s">
        <v>15368</v>
      </c>
      <c r="C1574" s="606" t="s">
        <v>12483</v>
      </c>
      <c r="D1574" s="607">
        <v>11.96</v>
      </c>
      <c r="E1574" s="607">
        <v>15.1</v>
      </c>
      <c r="F1574" s="607">
        <v>27.06</v>
      </c>
      <c r="G1574" s="584">
        <v>15</v>
      </c>
    </row>
    <row r="1575" spans="1:7" ht="15" x14ac:dyDescent="0.2">
      <c r="A1575" s="583" t="s">
        <v>15369</v>
      </c>
      <c r="B1575" s="605" t="s">
        <v>15370</v>
      </c>
      <c r="C1575" s="606" t="s">
        <v>12483</v>
      </c>
      <c r="D1575" s="607">
        <v>10.210000000000001</v>
      </c>
      <c r="E1575" s="607">
        <v>15.1</v>
      </c>
      <c r="F1575" s="607">
        <v>25.31</v>
      </c>
      <c r="G1575" s="584">
        <v>15</v>
      </c>
    </row>
    <row r="1576" spans="1:7" ht="30" x14ac:dyDescent="0.2">
      <c r="A1576" s="583" t="s">
        <v>15371</v>
      </c>
      <c r="B1576" s="605" t="s">
        <v>15372</v>
      </c>
      <c r="C1576" s="606" t="s">
        <v>12483</v>
      </c>
      <c r="D1576" s="607">
        <v>16.22</v>
      </c>
      <c r="E1576" s="607">
        <v>15.1</v>
      </c>
      <c r="F1576" s="607">
        <v>31.32</v>
      </c>
      <c r="G1576" s="584">
        <v>15</v>
      </c>
    </row>
    <row r="1577" spans="1:7" ht="15" x14ac:dyDescent="0.25">
      <c r="A1577" s="583" t="s">
        <v>15373</v>
      </c>
      <c r="B1577" s="605" t="s">
        <v>15374</v>
      </c>
      <c r="C1577" s="606"/>
      <c r="D1577" s="607"/>
      <c r="E1577" s="607"/>
      <c r="F1577" s="607"/>
      <c r="G1577" s="582"/>
    </row>
    <row r="1578" spans="1:7" ht="15" x14ac:dyDescent="0.2">
      <c r="A1578" s="583" t="s">
        <v>15375</v>
      </c>
      <c r="B1578" s="605" t="s">
        <v>15376</v>
      </c>
      <c r="C1578" s="606" t="s">
        <v>12929</v>
      </c>
      <c r="D1578" s="607">
        <v>55.73</v>
      </c>
      <c r="E1578" s="607">
        <v>18.3</v>
      </c>
      <c r="F1578" s="607">
        <v>74.03</v>
      </c>
      <c r="G1578" s="584">
        <v>15</v>
      </c>
    </row>
    <row r="1579" spans="1:7" ht="15" x14ac:dyDescent="0.25">
      <c r="A1579" s="583" t="s">
        <v>15377</v>
      </c>
      <c r="B1579" s="605" t="s">
        <v>15378</v>
      </c>
      <c r="C1579" s="606"/>
      <c r="D1579" s="607"/>
      <c r="E1579" s="607"/>
      <c r="F1579" s="607"/>
      <c r="G1579" s="582"/>
    </row>
    <row r="1580" spans="1:7" ht="15" x14ac:dyDescent="0.25">
      <c r="A1580" s="583" t="s">
        <v>15379</v>
      </c>
      <c r="B1580" s="605" t="s">
        <v>15380</v>
      </c>
      <c r="C1580" s="606"/>
      <c r="D1580" s="607"/>
      <c r="E1580" s="607"/>
      <c r="F1580" s="607"/>
      <c r="G1580" s="582"/>
    </row>
    <row r="1581" spans="1:7" ht="30" x14ac:dyDescent="0.2">
      <c r="A1581" s="583" t="s">
        <v>15381</v>
      </c>
      <c r="B1581" s="605" t="s">
        <v>15382</v>
      </c>
      <c r="C1581" s="606" t="s">
        <v>20358</v>
      </c>
      <c r="D1581" s="607">
        <v>208.85</v>
      </c>
      <c r="E1581" s="607">
        <v>15.1</v>
      </c>
      <c r="F1581" s="607">
        <v>223.95</v>
      </c>
      <c r="G1581" s="584">
        <v>15</v>
      </c>
    </row>
    <row r="1582" spans="1:7" ht="30" x14ac:dyDescent="0.2">
      <c r="A1582" s="583" t="s">
        <v>15383</v>
      </c>
      <c r="B1582" s="605" t="s">
        <v>15384</v>
      </c>
      <c r="C1582" s="606" t="s">
        <v>20385</v>
      </c>
      <c r="D1582" s="607">
        <v>133.26</v>
      </c>
      <c r="E1582" s="607">
        <v>15.1</v>
      </c>
      <c r="F1582" s="607">
        <v>148.36000000000001</v>
      </c>
      <c r="G1582" s="584">
        <v>15</v>
      </c>
    </row>
    <row r="1583" spans="1:7" ht="30" x14ac:dyDescent="0.2">
      <c r="A1583" s="583" t="s">
        <v>15385</v>
      </c>
      <c r="B1583" s="605" t="s">
        <v>15386</v>
      </c>
      <c r="C1583" s="606" t="s">
        <v>20385</v>
      </c>
      <c r="D1583" s="607">
        <v>174.04</v>
      </c>
      <c r="E1583" s="607">
        <v>15.1</v>
      </c>
      <c r="F1583" s="607">
        <v>189.14</v>
      </c>
      <c r="G1583" s="584">
        <v>15</v>
      </c>
    </row>
    <row r="1584" spans="1:7" ht="30" x14ac:dyDescent="0.2">
      <c r="A1584" s="583" t="s">
        <v>15387</v>
      </c>
      <c r="B1584" s="605" t="s">
        <v>15388</v>
      </c>
      <c r="C1584" s="606" t="s">
        <v>20385</v>
      </c>
      <c r="D1584" s="607">
        <v>347.49</v>
      </c>
      <c r="E1584" s="607">
        <v>15.1</v>
      </c>
      <c r="F1584" s="607">
        <v>362.59</v>
      </c>
      <c r="G1584" s="584">
        <v>15</v>
      </c>
    </row>
    <row r="1585" spans="1:7" ht="45" x14ac:dyDescent="0.2">
      <c r="A1585" s="583" t="s">
        <v>15389</v>
      </c>
      <c r="B1585" s="605" t="s">
        <v>15390</v>
      </c>
      <c r="C1585" s="606" t="s">
        <v>20385</v>
      </c>
      <c r="D1585" s="607">
        <v>167.81</v>
      </c>
      <c r="E1585" s="607">
        <v>15.1</v>
      </c>
      <c r="F1585" s="607">
        <v>182.91</v>
      </c>
      <c r="G1585" s="584">
        <v>15</v>
      </c>
    </row>
    <row r="1586" spans="1:7" ht="45" x14ac:dyDescent="0.2">
      <c r="A1586" s="583" t="s">
        <v>15391</v>
      </c>
      <c r="B1586" s="605" t="s">
        <v>15392</v>
      </c>
      <c r="C1586" s="606" t="s">
        <v>20385</v>
      </c>
      <c r="D1586" s="607">
        <v>145.46</v>
      </c>
      <c r="E1586" s="607">
        <v>15.1</v>
      </c>
      <c r="F1586" s="607">
        <v>160.56</v>
      </c>
      <c r="G1586" s="584">
        <v>15</v>
      </c>
    </row>
    <row r="1587" spans="1:7" ht="45" x14ac:dyDescent="0.2">
      <c r="A1587" s="583" t="s">
        <v>15393</v>
      </c>
      <c r="B1587" s="605" t="s">
        <v>15394</v>
      </c>
      <c r="C1587" s="606" t="s">
        <v>20385</v>
      </c>
      <c r="D1587" s="607">
        <v>323</v>
      </c>
      <c r="E1587" s="607">
        <v>15.1</v>
      </c>
      <c r="F1587" s="607">
        <v>338.1</v>
      </c>
      <c r="G1587" s="584">
        <v>15</v>
      </c>
    </row>
    <row r="1588" spans="1:7" ht="30" x14ac:dyDescent="0.2">
      <c r="A1588" s="583" t="s">
        <v>15395</v>
      </c>
      <c r="B1588" s="605" t="s">
        <v>15396</v>
      </c>
      <c r="C1588" s="606" t="s">
        <v>20385</v>
      </c>
      <c r="D1588" s="607">
        <v>243.69</v>
      </c>
      <c r="E1588" s="607">
        <v>15.1</v>
      </c>
      <c r="F1588" s="607">
        <v>258.79000000000002</v>
      </c>
      <c r="G1588" s="584">
        <v>15</v>
      </c>
    </row>
    <row r="1589" spans="1:7" ht="30" x14ac:dyDescent="0.2">
      <c r="A1589" s="583" t="s">
        <v>15397</v>
      </c>
      <c r="B1589" s="605" t="s">
        <v>15398</v>
      </c>
      <c r="C1589" s="606" t="s">
        <v>20385</v>
      </c>
      <c r="D1589" s="607">
        <v>149.94999999999999</v>
      </c>
      <c r="E1589" s="607">
        <v>15.1</v>
      </c>
      <c r="F1589" s="607">
        <v>165.05</v>
      </c>
      <c r="G1589" s="584">
        <v>15</v>
      </c>
    </row>
    <row r="1590" spans="1:7" ht="30" x14ac:dyDescent="0.2">
      <c r="A1590" s="583" t="s">
        <v>15399</v>
      </c>
      <c r="B1590" s="605" t="s">
        <v>15400</v>
      </c>
      <c r="C1590" s="606" t="s">
        <v>20385</v>
      </c>
      <c r="D1590" s="607">
        <v>401.99</v>
      </c>
      <c r="E1590" s="607">
        <v>25.18</v>
      </c>
      <c r="F1590" s="607">
        <v>427.17</v>
      </c>
      <c r="G1590" s="584">
        <v>15</v>
      </c>
    </row>
    <row r="1591" spans="1:7" ht="15" x14ac:dyDescent="0.25">
      <c r="A1591" s="583" t="s">
        <v>15401</v>
      </c>
      <c r="B1591" s="605" t="s">
        <v>15402</v>
      </c>
      <c r="C1591" s="606"/>
      <c r="D1591" s="607"/>
      <c r="E1591" s="607"/>
      <c r="F1591" s="607"/>
      <c r="G1591" s="582"/>
    </row>
    <row r="1592" spans="1:7" ht="45" x14ac:dyDescent="0.2">
      <c r="A1592" s="583" t="s">
        <v>15403</v>
      </c>
      <c r="B1592" s="605" t="s">
        <v>15404</v>
      </c>
      <c r="C1592" s="606" t="s">
        <v>12375</v>
      </c>
      <c r="D1592" s="607">
        <v>2872.81</v>
      </c>
      <c r="E1592" s="607">
        <v>78.540000000000006</v>
      </c>
      <c r="F1592" s="607">
        <v>2951.35</v>
      </c>
      <c r="G1592" s="584">
        <v>15</v>
      </c>
    </row>
    <row r="1593" spans="1:7" ht="45" x14ac:dyDescent="0.2">
      <c r="A1593" s="583" t="s">
        <v>15405</v>
      </c>
      <c r="B1593" s="605" t="s">
        <v>15406</v>
      </c>
      <c r="C1593" s="606" t="s">
        <v>12375</v>
      </c>
      <c r="D1593" s="607">
        <v>3852.32</v>
      </c>
      <c r="E1593" s="607">
        <v>78.540000000000006</v>
      </c>
      <c r="F1593" s="607">
        <v>3930.86</v>
      </c>
      <c r="G1593" s="584">
        <v>15</v>
      </c>
    </row>
    <row r="1594" spans="1:7" ht="15" x14ac:dyDescent="0.25">
      <c r="A1594" s="583" t="s">
        <v>15407</v>
      </c>
      <c r="B1594" s="605" t="s">
        <v>15408</v>
      </c>
      <c r="C1594" s="606"/>
      <c r="D1594" s="607"/>
      <c r="E1594" s="607"/>
      <c r="F1594" s="607"/>
      <c r="G1594" s="582"/>
    </row>
    <row r="1595" spans="1:7" ht="45" x14ac:dyDescent="0.2">
      <c r="A1595" s="583" t="s">
        <v>15409</v>
      </c>
      <c r="B1595" s="605" t="s">
        <v>20373</v>
      </c>
      <c r="C1595" s="606" t="s">
        <v>12427</v>
      </c>
      <c r="D1595" s="607">
        <v>414.03</v>
      </c>
      <c r="E1595" s="607">
        <v>27.67</v>
      </c>
      <c r="F1595" s="607">
        <v>441.7</v>
      </c>
      <c r="G1595" s="584">
        <v>15</v>
      </c>
    </row>
    <row r="1596" spans="1:7" ht="30" x14ac:dyDescent="0.2">
      <c r="A1596" s="583" t="s">
        <v>15410</v>
      </c>
      <c r="B1596" s="605" t="s">
        <v>20374</v>
      </c>
      <c r="C1596" s="606" t="s">
        <v>12427</v>
      </c>
      <c r="D1596" s="607">
        <v>196.41</v>
      </c>
      <c r="E1596" s="607">
        <v>11.58</v>
      </c>
      <c r="F1596" s="607">
        <v>207.99</v>
      </c>
      <c r="G1596" s="584">
        <v>15</v>
      </c>
    </row>
    <row r="1597" spans="1:7" ht="30" x14ac:dyDescent="0.2">
      <c r="A1597" s="583" t="s">
        <v>15411</v>
      </c>
      <c r="B1597" s="605" t="s">
        <v>20077</v>
      </c>
      <c r="C1597" s="606" t="s">
        <v>12427</v>
      </c>
      <c r="D1597" s="607">
        <v>107.82</v>
      </c>
      <c r="E1597" s="607">
        <v>32.479999999999997</v>
      </c>
      <c r="F1597" s="607">
        <v>140.30000000000001</v>
      </c>
      <c r="G1597" s="584">
        <v>15</v>
      </c>
    </row>
    <row r="1598" spans="1:7" ht="30" x14ac:dyDescent="0.2">
      <c r="A1598" s="583" t="s">
        <v>20375</v>
      </c>
      <c r="B1598" s="605" t="s">
        <v>20376</v>
      </c>
      <c r="C1598" s="606" t="s">
        <v>12427</v>
      </c>
      <c r="D1598" s="607">
        <v>150.25</v>
      </c>
      <c r="E1598" s="607">
        <v>32.479999999999997</v>
      </c>
      <c r="F1598" s="607">
        <v>182.73</v>
      </c>
      <c r="G1598" s="584">
        <v>15</v>
      </c>
    </row>
    <row r="1599" spans="1:7" ht="30" x14ac:dyDescent="0.2">
      <c r="A1599" s="583" t="s">
        <v>15412</v>
      </c>
      <c r="B1599" s="605" t="s">
        <v>15413</v>
      </c>
      <c r="C1599" s="606" t="s">
        <v>12375</v>
      </c>
      <c r="D1599" s="607">
        <v>4.68</v>
      </c>
      <c r="E1599" s="607">
        <v>1.76</v>
      </c>
      <c r="F1599" s="607">
        <v>6.44</v>
      </c>
      <c r="G1599" s="584">
        <v>15</v>
      </c>
    </row>
    <row r="1600" spans="1:7" ht="30" x14ac:dyDescent="0.2">
      <c r="A1600" s="583" t="s">
        <v>15414</v>
      </c>
      <c r="B1600" s="605" t="s">
        <v>15415</v>
      </c>
      <c r="C1600" s="606" t="s">
        <v>12483</v>
      </c>
      <c r="D1600" s="607">
        <v>594</v>
      </c>
      <c r="E1600" s="607"/>
      <c r="F1600" s="607">
        <v>594</v>
      </c>
      <c r="G1600" s="584">
        <v>15</v>
      </c>
    </row>
    <row r="1601" spans="1:7" ht="30" x14ac:dyDescent="0.2">
      <c r="A1601" s="583" t="s">
        <v>15416</v>
      </c>
      <c r="B1601" s="605" t="s">
        <v>20078</v>
      </c>
      <c r="C1601" s="606" t="s">
        <v>12427</v>
      </c>
      <c r="D1601" s="607">
        <v>6.47</v>
      </c>
      <c r="E1601" s="607">
        <v>11.45</v>
      </c>
      <c r="F1601" s="607">
        <v>17.920000000000002</v>
      </c>
      <c r="G1601" s="584">
        <v>15</v>
      </c>
    </row>
    <row r="1602" spans="1:7" ht="30" x14ac:dyDescent="0.2">
      <c r="A1602" s="583" t="s">
        <v>15417</v>
      </c>
      <c r="B1602" s="605" t="s">
        <v>15418</v>
      </c>
      <c r="C1602" s="606" t="s">
        <v>12375</v>
      </c>
      <c r="D1602" s="607">
        <v>0.63</v>
      </c>
      <c r="E1602" s="607">
        <v>18.420000000000002</v>
      </c>
      <c r="F1602" s="607">
        <v>19.05</v>
      </c>
      <c r="G1602" s="584">
        <v>15</v>
      </c>
    </row>
    <row r="1603" spans="1:7" ht="30" x14ac:dyDescent="0.2">
      <c r="A1603" s="583" t="s">
        <v>15419</v>
      </c>
      <c r="B1603" s="605" t="s">
        <v>20377</v>
      </c>
      <c r="C1603" s="606" t="s">
        <v>12427</v>
      </c>
      <c r="D1603" s="607">
        <v>129.5</v>
      </c>
      <c r="E1603" s="607">
        <v>17.93</v>
      </c>
      <c r="F1603" s="607">
        <v>147.43</v>
      </c>
      <c r="G1603" s="584">
        <v>15</v>
      </c>
    </row>
    <row r="1604" spans="1:7" ht="15" x14ac:dyDescent="0.25">
      <c r="A1604" s="583" t="s">
        <v>15420</v>
      </c>
      <c r="B1604" s="605" t="s">
        <v>15421</v>
      </c>
      <c r="C1604" s="606"/>
      <c r="D1604" s="607"/>
      <c r="E1604" s="607"/>
      <c r="F1604" s="607"/>
      <c r="G1604" s="582"/>
    </row>
    <row r="1605" spans="1:7" ht="30" x14ac:dyDescent="0.2">
      <c r="A1605" s="583" t="s">
        <v>15422</v>
      </c>
      <c r="B1605" s="605" t="s">
        <v>15423</v>
      </c>
      <c r="C1605" s="606" t="s">
        <v>12375</v>
      </c>
      <c r="D1605" s="607">
        <v>10.72</v>
      </c>
      <c r="E1605" s="607">
        <v>1.76</v>
      </c>
      <c r="F1605" s="607">
        <v>12.48</v>
      </c>
      <c r="G1605" s="584">
        <v>15</v>
      </c>
    </row>
    <row r="1606" spans="1:7" ht="30" x14ac:dyDescent="0.2">
      <c r="A1606" s="583" t="s">
        <v>15424</v>
      </c>
      <c r="B1606" s="605" t="s">
        <v>15425</v>
      </c>
      <c r="C1606" s="606" t="s">
        <v>12375</v>
      </c>
      <c r="D1606" s="607">
        <v>10.95</v>
      </c>
      <c r="E1606" s="607">
        <v>1.76</v>
      </c>
      <c r="F1606" s="607">
        <v>12.71</v>
      </c>
      <c r="G1606" s="584">
        <v>15</v>
      </c>
    </row>
    <row r="1607" spans="1:7" ht="30" x14ac:dyDescent="0.2">
      <c r="A1607" s="583" t="s">
        <v>15426</v>
      </c>
      <c r="B1607" s="605" t="s">
        <v>15427</v>
      </c>
      <c r="C1607" s="606" t="s">
        <v>12483</v>
      </c>
      <c r="D1607" s="607">
        <v>44.29</v>
      </c>
      <c r="E1607" s="607">
        <v>27.92</v>
      </c>
      <c r="F1607" s="607">
        <v>72.209999999999994</v>
      </c>
      <c r="G1607" s="584">
        <v>15</v>
      </c>
    </row>
    <row r="1608" spans="1:7" ht="30" x14ac:dyDescent="0.2">
      <c r="A1608" s="583" t="s">
        <v>15428</v>
      </c>
      <c r="B1608" s="605" t="s">
        <v>15429</v>
      </c>
      <c r="C1608" s="606" t="s">
        <v>12676</v>
      </c>
      <c r="D1608" s="607">
        <v>298.56</v>
      </c>
      <c r="E1608" s="607">
        <v>27.92</v>
      </c>
      <c r="F1608" s="607">
        <v>326.48</v>
      </c>
      <c r="G1608" s="584">
        <v>15</v>
      </c>
    </row>
    <row r="1609" spans="1:7" ht="45" x14ac:dyDescent="0.2">
      <c r="A1609" s="583" t="s">
        <v>15430</v>
      </c>
      <c r="B1609" s="605" t="s">
        <v>15431</v>
      </c>
      <c r="C1609" s="606" t="s">
        <v>12676</v>
      </c>
      <c r="D1609" s="607">
        <v>673.06</v>
      </c>
      <c r="E1609" s="607">
        <v>27.92</v>
      </c>
      <c r="F1609" s="607">
        <v>700.98</v>
      </c>
      <c r="G1609" s="584">
        <v>15</v>
      </c>
    </row>
    <row r="1610" spans="1:7" ht="30" x14ac:dyDescent="0.2">
      <c r="A1610" s="583" t="s">
        <v>15432</v>
      </c>
      <c r="B1610" s="605" t="s">
        <v>15433</v>
      </c>
      <c r="C1610" s="606" t="s">
        <v>12375</v>
      </c>
      <c r="D1610" s="607">
        <v>32.4</v>
      </c>
      <c r="E1610" s="607">
        <v>4.54</v>
      </c>
      <c r="F1610" s="607">
        <v>36.94</v>
      </c>
      <c r="G1610" s="584">
        <v>15</v>
      </c>
    </row>
    <row r="1611" spans="1:7" ht="30" x14ac:dyDescent="0.2">
      <c r="A1611" s="583" t="s">
        <v>15434</v>
      </c>
      <c r="B1611" s="605" t="s">
        <v>15435</v>
      </c>
      <c r="C1611" s="606" t="s">
        <v>12375</v>
      </c>
      <c r="D1611" s="607">
        <v>855.19</v>
      </c>
      <c r="E1611" s="607">
        <v>5.68</v>
      </c>
      <c r="F1611" s="607">
        <v>860.87</v>
      </c>
      <c r="G1611" s="584">
        <v>15</v>
      </c>
    </row>
    <row r="1612" spans="1:7" ht="15" x14ac:dyDescent="0.2">
      <c r="A1612" s="583" t="s">
        <v>15436</v>
      </c>
      <c r="B1612" s="605" t="s">
        <v>15437</v>
      </c>
      <c r="C1612" s="606" t="s">
        <v>12375</v>
      </c>
      <c r="D1612" s="607">
        <v>148.33000000000001</v>
      </c>
      <c r="E1612" s="607">
        <v>97.7</v>
      </c>
      <c r="F1612" s="607">
        <v>246.03</v>
      </c>
      <c r="G1612" s="584">
        <v>15</v>
      </c>
    </row>
    <row r="1613" spans="1:7" ht="30" x14ac:dyDescent="0.2">
      <c r="A1613" s="583" t="s">
        <v>15438</v>
      </c>
      <c r="B1613" s="605" t="s">
        <v>15439</v>
      </c>
      <c r="C1613" s="606" t="s">
        <v>12375</v>
      </c>
      <c r="D1613" s="607">
        <v>311.18</v>
      </c>
      <c r="E1613" s="607">
        <v>223.32</v>
      </c>
      <c r="F1613" s="607">
        <v>534.5</v>
      </c>
      <c r="G1613" s="584">
        <v>15</v>
      </c>
    </row>
    <row r="1614" spans="1:7" ht="30" x14ac:dyDescent="0.2">
      <c r="A1614" s="583" t="s">
        <v>15440</v>
      </c>
      <c r="B1614" s="605" t="s">
        <v>15441</v>
      </c>
      <c r="C1614" s="606" t="s">
        <v>12375</v>
      </c>
      <c r="D1614" s="607">
        <v>212.24</v>
      </c>
      <c r="E1614" s="607">
        <v>25.18</v>
      </c>
      <c r="F1614" s="607">
        <v>237.42</v>
      </c>
      <c r="G1614" s="584">
        <v>15</v>
      </c>
    </row>
    <row r="1615" spans="1:7" ht="30" x14ac:dyDescent="0.2">
      <c r="A1615" s="583" t="s">
        <v>15442</v>
      </c>
      <c r="B1615" s="605" t="s">
        <v>15443</v>
      </c>
      <c r="C1615" s="606" t="s">
        <v>12375</v>
      </c>
      <c r="D1615" s="607">
        <v>27.95</v>
      </c>
      <c r="E1615" s="607">
        <v>4.54</v>
      </c>
      <c r="F1615" s="607">
        <v>32.49</v>
      </c>
      <c r="G1615" s="584">
        <v>15</v>
      </c>
    </row>
    <row r="1616" spans="1:7" ht="15" x14ac:dyDescent="0.25">
      <c r="A1616" s="583" t="s">
        <v>15444</v>
      </c>
      <c r="B1616" s="605" t="s">
        <v>15445</v>
      </c>
      <c r="C1616" s="606"/>
      <c r="D1616" s="607"/>
      <c r="E1616" s="607"/>
      <c r="F1616" s="607"/>
      <c r="G1616" s="582"/>
    </row>
    <row r="1617" spans="1:7" ht="30" x14ac:dyDescent="0.2">
      <c r="A1617" s="583" t="s">
        <v>15446</v>
      </c>
      <c r="B1617" s="605" t="s">
        <v>15447</v>
      </c>
      <c r="C1617" s="606" t="s">
        <v>12375</v>
      </c>
      <c r="D1617" s="607">
        <v>966.85</v>
      </c>
      <c r="E1617" s="607">
        <v>5.68</v>
      </c>
      <c r="F1617" s="607">
        <v>972.53</v>
      </c>
      <c r="G1617" s="584">
        <v>15</v>
      </c>
    </row>
    <row r="1618" spans="1:7" ht="30" x14ac:dyDescent="0.2">
      <c r="A1618" s="583" t="s">
        <v>15448</v>
      </c>
      <c r="B1618" s="605" t="s">
        <v>15449</v>
      </c>
      <c r="C1618" s="606" t="s">
        <v>12375</v>
      </c>
      <c r="D1618" s="607">
        <v>1701.39</v>
      </c>
      <c r="E1618" s="607">
        <v>78.540000000000006</v>
      </c>
      <c r="F1618" s="607">
        <v>1779.93</v>
      </c>
      <c r="G1618" s="584">
        <v>15</v>
      </c>
    </row>
    <row r="1619" spans="1:7" ht="30" x14ac:dyDescent="0.2">
      <c r="A1619" s="583" t="s">
        <v>15450</v>
      </c>
      <c r="B1619" s="605" t="s">
        <v>20166</v>
      </c>
      <c r="C1619" s="606" t="s">
        <v>12375</v>
      </c>
      <c r="D1619" s="607">
        <v>2516.42</v>
      </c>
      <c r="E1619" s="607">
        <v>409.53</v>
      </c>
      <c r="F1619" s="607">
        <v>2925.95</v>
      </c>
      <c r="G1619" s="584">
        <v>15</v>
      </c>
    </row>
    <row r="1620" spans="1:7" ht="30" x14ac:dyDescent="0.2">
      <c r="A1620" s="583" t="s">
        <v>15451</v>
      </c>
      <c r="B1620" s="605" t="s">
        <v>15452</v>
      </c>
      <c r="C1620" s="606" t="s">
        <v>12375</v>
      </c>
      <c r="D1620" s="607">
        <v>1061.8900000000001</v>
      </c>
      <c r="E1620" s="607">
        <v>67.19</v>
      </c>
      <c r="F1620" s="607">
        <v>1129.08</v>
      </c>
      <c r="G1620" s="584">
        <v>15</v>
      </c>
    </row>
    <row r="1621" spans="1:7" ht="15" x14ac:dyDescent="0.25">
      <c r="A1621" s="583" t="s">
        <v>15453</v>
      </c>
      <c r="B1621" s="605" t="s">
        <v>15454</v>
      </c>
      <c r="C1621" s="606"/>
      <c r="D1621" s="607"/>
      <c r="E1621" s="607"/>
      <c r="F1621" s="607"/>
      <c r="G1621" s="582"/>
    </row>
    <row r="1622" spans="1:7" ht="45" x14ac:dyDescent="0.2">
      <c r="A1622" s="583" t="s">
        <v>15455</v>
      </c>
      <c r="B1622" s="605" t="s">
        <v>21397</v>
      </c>
      <c r="C1622" s="606" t="s">
        <v>12676</v>
      </c>
      <c r="D1622" s="607">
        <v>27850.73</v>
      </c>
      <c r="E1622" s="607"/>
      <c r="F1622" s="607">
        <v>27850.73</v>
      </c>
      <c r="G1622" s="584">
        <v>15</v>
      </c>
    </row>
    <row r="1623" spans="1:7" ht="45" x14ac:dyDescent="0.2">
      <c r="A1623" s="583" t="s">
        <v>15456</v>
      </c>
      <c r="B1623" s="605" t="s">
        <v>21398</v>
      </c>
      <c r="C1623" s="606" t="s">
        <v>12676</v>
      </c>
      <c r="D1623" s="607">
        <v>28161.32</v>
      </c>
      <c r="E1623" s="607"/>
      <c r="F1623" s="607">
        <v>28161.32</v>
      </c>
      <c r="G1623" s="584">
        <v>15</v>
      </c>
    </row>
    <row r="1624" spans="1:7" ht="30" x14ac:dyDescent="0.2">
      <c r="A1624" s="583" t="s">
        <v>21399</v>
      </c>
      <c r="B1624" s="605" t="s">
        <v>21400</v>
      </c>
      <c r="C1624" s="606" t="s">
        <v>12676</v>
      </c>
      <c r="D1624" s="607">
        <v>82176.59</v>
      </c>
      <c r="E1624" s="607"/>
      <c r="F1624" s="607">
        <v>82176.59</v>
      </c>
      <c r="G1624" s="584">
        <v>15</v>
      </c>
    </row>
    <row r="1625" spans="1:7" ht="15" x14ac:dyDescent="0.25">
      <c r="A1625" s="583" t="s">
        <v>15457</v>
      </c>
      <c r="B1625" s="605" t="s">
        <v>15458</v>
      </c>
      <c r="C1625" s="606"/>
      <c r="D1625" s="607"/>
      <c r="E1625" s="607"/>
      <c r="F1625" s="607"/>
      <c r="G1625" s="582"/>
    </row>
    <row r="1626" spans="1:7" ht="15" x14ac:dyDescent="0.25">
      <c r="A1626" s="583" t="s">
        <v>15459</v>
      </c>
      <c r="B1626" s="605" t="s">
        <v>15460</v>
      </c>
      <c r="C1626" s="606"/>
      <c r="D1626" s="607"/>
      <c r="E1626" s="607"/>
      <c r="F1626" s="607"/>
      <c r="G1626" s="582"/>
    </row>
    <row r="1627" spans="1:7" ht="15" x14ac:dyDescent="0.2">
      <c r="A1627" s="583" t="s">
        <v>15461</v>
      </c>
      <c r="B1627" s="605" t="s">
        <v>15462</v>
      </c>
      <c r="C1627" s="606" t="s">
        <v>2</v>
      </c>
      <c r="D1627" s="607">
        <v>18.04</v>
      </c>
      <c r="E1627" s="607">
        <v>4.54</v>
      </c>
      <c r="F1627" s="607">
        <v>22.58</v>
      </c>
      <c r="G1627" s="584">
        <v>15</v>
      </c>
    </row>
    <row r="1628" spans="1:7" ht="15" x14ac:dyDescent="0.2">
      <c r="A1628" s="583" t="s">
        <v>15463</v>
      </c>
      <c r="B1628" s="605" t="s">
        <v>15464</v>
      </c>
      <c r="C1628" s="606" t="s">
        <v>2</v>
      </c>
      <c r="D1628" s="607">
        <v>30.27</v>
      </c>
      <c r="E1628" s="607">
        <v>4.54</v>
      </c>
      <c r="F1628" s="607">
        <v>34.81</v>
      </c>
      <c r="G1628" s="584">
        <v>15</v>
      </c>
    </row>
    <row r="1629" spans="1:7" ht="15" x14ac:dyDescent="0.2">
      <c r="A1629" s="583" t="s">
        <v>15465</v>
      </c>
      <c r="B1629" s="605" t="s">
        <v>15466</v>
      </c>
      <c r="C1629" s="606" t="s">
        <v>21482</v>
      </c>
      <c r="D1629" s="607">
        <v>696.5</v>
      </c>
      <c r="E1629" s="607">
        <v>63.59</v>
      </c>
      <c r="F1629" s="607">
        <v>760.09</v>
      </c>
      <c r="G1629" s="584">
        <v>15</v>
      </c>
    </row>
    <row r="1630" spans="1:7" ht="30" x14ac:dyDescent="0.2">
      <c r="A1630" s="583" t="s">
        <v>15467</v>
      </c>
      <c r="B1630" s="605" t="s">
        <v>15468</v>
      </c>
      <c r="C1630" s="606" t="s">
        <v>2</v>
      </c>
      <c r="D1630" s="607">
        <v>181.59</v>
      </c>
      <c r="E1630" s="607">
        <v>8.36</v>
      </c>
      <c r="F1630" s="607">
        <v>189.95</v>
      </c>
      <c r="G1630" s="584">
        <v>15</v>
      </c>
    </row>
    <row r="1631" spans="1:7" ht="45" x14ac:dyDescent="0.2">
      <c r="A1631" s="583" t="s">
        <v>15469</v>
      </c>
      <c r="B1631" s="605" t="s">
        <v>15470</v>
      </c>
      <c r="C1631" s="606" t="s">
        <v>2</v>
      </c>
      <c r="D1631" s="607">
        <v>20.32</v>
      </c>
      <c r="E1631" s="607">
        <v>12.34</v>
      </c>
      <c r="F1631" s="607">
        <v>32.659999999999997</v>
      </c>
      <c r="G1631" s="584">
        <v>15</v>
      </c>
    </row>
    <row r="1632" spans="1:7" ht="30" x14ac:dyDescent="0.2">
      <c r="A1632" s="583" t="s">
        <v>15471</v>
      </c>
      <c r="B1632" s="605" t="s">
        <v>20378</v>
      </c>
      <c r="C1632" s="606" t="s">
        <v>2</v>
      </c>
      <c r="D1632" s="607">
        <v>79.989999999999995</v>
      </c>
      <c r="E1632" s="607"/>
      <c r="F1632" s="607">
        <v>79.989999999999995</v>
      </c>
      <c r="G1632" s="584">
        <v>15</v>
      </c>
    </row>
    <row r="1633" spans="1:7" ht="15" x14ac:dyDescent="0.2">
      <c r="A1633" s="583" t="s">
        <v>20379</v>
      </c>
      <c r="B1633" s="605" t="s">
        <v>20380</v>
      </c>
      <c r="C1633" s="606" t="s">
        <v>2</v>
      </c>
      <c r="D1633" s="607">
        <v>19.75</v>
      </c>
      <c r="E1633" s="607">
        <v>39.08</v>
      </c>
      <c r="F1633" s="607">
        <v>58.83</v>
      </c>
      <c r="G1633" s="584">
        <v>15</v>
      </c>
    </row>
    <row r="1634" spans="1:7" ht="30" x14ac:dyDescent="0.2">
      <c r="A1634" s="583" t="s">
        <v>15472</v>
      </c>
      <c r="B1634" s="605" t="s">
        <v>15473</v>
      </c>
      <c r="C1634" s="606" t="s">
        <v>2</v>
      </c>
      <c r="D1634" s="607">
        <v>1397.54</v>
      </c>
      <c r="E1634" s="607"/>
      <c r="F1634" s="607">
        <v>1397.54</v>
      </c>
      <c r="G1634" s="584">
        <v>15</v>
      </c>
    </row>
    <row r="1635" spans="1:7" ht="30" x14ac:dyDescent="0.2">
      <c r="A1635" s="583" t="s">
        <v>15474</v>
      </c>
      <c r="B1635" s="605" t="s">
        <v>15475</v>
      </c>
      <c r="C1635" s="606" t="s">
        <v>2</v>
      </c>
      <c r="D1635" s="607">
        <v>72.09</v>
      </c>
      <c r="E1635" s="607">
        <v>33.5</v>
      </c>
      <c r="F1635" s="607">
        <v>105.59</v>
      </c>
      <c r="G1635" s="584">
        <v>15</v>
      </c>
    </row>
    <row r="1636" spans="1:7" ht="45" x14ac:dyDescent="0.2">
      <c r="A1636" s="583" t="s">
        <v>15476</v>
      </c>
      <c r="B1636" s="605" t="s">
        <v>15477</v>
      </c>
      <c r="C1636" s="606" t="s">
        <v>2</v>
      </c>
      <c r="D1636" s="607">
        <v>704.91</v>
      </c>
      <c r="E1636" s="607"/>
      <c r="F1636" s="607">
        <v>704.91</v>
      </c>
      <c r="G1636" s="584">
        <v>15</v>
      </c>
    </row>
    <row r="1637" spans="1:7" ht="15" x14ac:dyDescent="0.25">
      <c r="A1637" s="583" t="s">
        <v>15478</v>
      </c>
      <c r="B1637" s="605" t="s">
        <v>15479</v>
      </c>
      <c r="C1637" s="606"/>
      <c r="D1637" s="607"/>
      <c r="E1637" s="607"/>
      <c r="F1637" s="607"/>
      <c r="G1637" s="582"/>
    </row>
    <row r="1638" spans="1:7" ht="15" x14ac:dyDescent="0.2">
      <c r="A1638" s="583" t="s">
        <v>15480</v>
      </c>
      <c r="B1638" s="605" t="s">
        <v>15481</v>
      </c>
      <c r="C1638" s="606" t="s">
        <v>20358</v>
      </c>
      <c r="D1638" s="607">
        <v>1.44</v>
      </c>
      <c r="E1638" s="607">
        <v>8.2799999999999994</v>
      </c>
      <c r="F1638" s="607">
        <v>9.7200000000000006</v>
      </c>
      <c r="G1638" s="584">
        <v>15</v>
      </c>
    </row>
    <row r="1639" spans="1:7" ht="15" x14ac:dyDescent="0.2">
      <c r="A1639" s="583" t="s">
        <v>15482</v>
      </c>
      <c r="B1639" s="605" t="s">
        <v>15483</v>
      </c>
      <c r="C1639" s="606" t="s">
        <v>20358</v>
      </c>
      <c r="D1639" s="607">
        <v>64.91</v>
      </c>
      <c r="E1639" s="607">
        <v>8.2799999999999994</v>
      </c>
      <c r="F1639" s="607">
        <v>73.19</v>
      </c>
      <c r="G1639" s="584">
        <v>15</v>
      </c>
    </row>
    <row r="1640" spans="1:7" ht="30" x14ac:dyDescent="0.2">
      <c r="A1640" s="583" t="s">
        <v>15484</v>
      </c>
      <c r="B1640" s="605" t="s">
        <v>15485</v>
      </c>
      <c r="C1640" s="606" t="s">
        <v>20358</v>
      </c>
      <c r="D1640" s="607">
        <v>8.39</v>
      </c>
      <c r="E1640" s="607">
        <v>3.46</v>
      </c>
      <c r="F1640" s="607">
        <v>11.85</v>
      </c>
      <c r="G1640" s="584">
        <v>15</v>
      </c>
    </row>
    <row r="1641" spans="1:7" ht="15" x14ac:dyDescent="0.2">
      <c r="A1641" s="583" t="s">
        <v>15486</v>
      </c>
      <c r="B1641" s="605" t="s">
        <v>15487</v>
      </c>
      <c r="C1641" s="606" t="s">
        <v>21847</v>
      </c>
      <c r="D1641" s="607">
        <v>0.15</v>
      </c>
      <c r="E1641" s="607">
        <v>7.0000000000000007E-2</v>
      </c>
      <c r="F1641" s="607">
        <v>0.22</v>
      </c>
      <c r="G1641" s="584">
        <v>15</v>
      </c>
    </row>
    <row r="1642" spans="1:7" ht="15" x14ac:dyDescent="0.2">
      <c r="A1642" s="583" t="s">
        <v>15489</v>
      </c>
      <c r="B1642" s="605" t="s">
        <v>15490</v>
      </c>
      <c r="C1642" s="606" t="s">
        <v>20358</v>
      </c>
      <c r="D1642" s="607">
        <v>6.75</v>
      </c>
      <c r="E1642" s="607">
        <v>5.53</v>
      </c>
      <c r="F1642" s="607">
        <v>12.28</v>
      </c>
      <c r="G1642" s="584">
        <v>15</v>
      </c>
    </row>
    <row r="1643" spans="1:7" ht="15" x14ac:dyDescent="0.2">
      <c r="A1643" s="583" t="s">
        <v>15491</v>
      </c>
      <c r="B1643" s="605" t="s">
        <v>15492</v>
      </c>
      <c r="C1643" s="606" t="s">
        <v>15488</v>
      </c>
      <c r="D1643" s="607">
        <v>0.16</v>
      </c>
      <c r="E1643" s="607">
        <v>0.14000000000000001</v>
      </c>
      <c r="F1643" s="607">
        <v>0.3</v>
      </c>
      <c r="G1643" s="584">
        <v>15</v>
      </c>
    </row>
    <row r="1644" spans="1:7" ht="30" x14ac:dyDescent="0.2">
      <c r="A1644" s="583" t="s">
        <v>21401</v>
      </c>
      <c r="B1644" s="605" t="s">
        <v>21402</v>
      </c>
      <c r="C1644" s="606" t="s">
        <v>12483</v>
      </c>
      <c r="D1644" s="607">
        <v>9.1</v>
      </c>
      <c r="E1644" s="607">
        <v>0.1</v>
      </c>
      <c r="F1644" s="607">
        <v>9.1999999999999993</v>
      </c>
      <c r="G1644" s="584">
        <v>15</v>
      </c>
    </row>
    <row r="1645" spans="1:7" ht="45" x14ac:dyDescent="0.2">
      <c r="A1645" s="583" t="s">
        <v>15493</v>
      </c>
      <c r="B1645" s="605" t="s">
        <v>15494</v>
      </c>
      <c r="C1645" s="606" t="s">
        <v>12483</v>
      </c>
      <c r="D1645" s="607">
        <v>243.96</v>
      </c>
      <c r="E1645" s="607">
        <v>5.03</v>
      </c>
      <c r="F1645" s="607">
        <v>248.99</v>
      </c>
      <c r="G1645" s="584">
        <v>15</v>
      </c>
    </row>
    <row r="1646" spans="1:7" ht="45" x14ac:dyDescent="0.2">
      <c r="A1646" s="583" t="s">
        <v>15495</v>
      </c>
      <c r="B1646" s="605" t="s">
        <v>15496</v>
      </c>
      <c r="C1646" s="606" t="s">
        <v>12483</v>
      </c>
      <c r="D1646" s="607">
        <v>289.67</v>
      </c>
      <c r="E1646" s="607">
        <v>5.03</v>
      </c>
      <c r="F1646" s="607">
        <v>294.7</v>
      </c>
      <c r="G1646" s="584">
        <v>15</v>
      </c>
    </row>
    <row r="1647" spans="1:7" ht="45" x14ac:dyDescent="0.2">
      <c r="A1647" s="583" t="s">
        <v>15497</v>
      </c>
      <c r="B1647" s="605" t="s">
        <v>15498</v>
      </c>
      <c r="C1647" s="606" t="s">
        <v>12483</v>
      </c>
      <c r="D1647" s="607">
        <v>114.26</v>
      </c>
      <c r="E1647" s="607">
        <v>5.03</v>
      </c>
      <c r="F1647" s="607">
        <v>119.29</v>
      </c>
      <c r="G1647" s="584">
        <v>15</v>
      </c>
    </row>
    <row r="1648" spans="1:7" ht="45" x14ac:dyDescent="0.2">
      <c r="A1648" s="583" t="s">
        <v>15499</v>
      </c>
      <c r="B1648" s="605" t="s">
        <v>15500</v>
      </c>
      <c r="C1648" s="606" t="s">
        <v>12483</v>
      </c>
      <c r="D1648" s="607">
        <v>108</v>
      </c>
      <c r="E1648" s="607">
        <v>5.03</v>
      </c>
      <c r="F1648" s="607">
        <v>113.03</v>
      </c>
      <c r="G1648" s="584">
        <v>15</v>
      </c>
    </row>
    <row r="1649" spans="1:7" ht="15" x14ac:dyDescent="0.25">
      <c r="A1649" s="583" t="s">
        <v>15501</v>
      </c>
      <c r="B1649" s="605" t="s">
        <v>15502</v>
      </c>
      <c r="C1649" s="606"/>
      <c r="D1649" s="607"/>
      <c r="E1649" s="607"/>
      <c r="F1649" s="607"/>
      <c r="G1649" s="582"/>
    </row>
    <row r="1650" spans="1:7" ht="30" x14ac:dyDescent="0.2">
      <c r="A1650" s="583" t="s">
        <v>15503</v>
      </c>
      <c r="B1650" s="605" t="s">
        <v>15504</v>
      </c>
      <c r="C1650" s="606" t="s">
        <v>12427</v>
      </c>
      <c r="D1650" s="607">
        <v>7.62</v>
      </c>
      <c r="E1650" s="607">
        <v>3.41</v>
      </c>
      <c r="F1650" s="607">
        <v>11.03</v>
      </c>
      <c r="G1650" s="584">
        <v>15</v>
      </c>
    </row>
    <row r="1651" spans="1:7" ht="30" x14ac:dyDescent="0.2">
      <c r="A1651" s="583" t="s">
        <v>15505</v>
      </c>
      <c r="B1651" s="605" t="s">
        <v>15506</v>
      </c>
      <c r="C1651" s="606" t="s">
        <v>12427</v>
      </c>
      <c r="D1651" s="607">
        <v>24.6</v>
      </c>
      <c r="E1651" s="607">
        <v>3.41</v>
      </c>
      <c r="F1651" s="607">
        <v>28.01</v>
      </c>
      <c r="G1651" s="584">
        <v>15</v>
      </c>
    </row>
    <row r="1652" spans="1:7" ht="30" x14ac:dyDescent="0.2">
      <c r="A1652" s="583" t="s">
        <v>15507</v>
      </c>
      <c r="B1652" s="605" t="s">
        <v>15508</v>
      </c>
      <c r="C1652" s="606" t="s">
        <v>12483</v>
      </c>
      <c r="D1652" s="607">
        <v>45.36</v>
      </c>
      <c r="E1652" s="607">
        <v>23.39</v>
      </c>
      <c r="F1652" s="607">
        <v>68.75</v>
      </c>
      <c r="G1652" s="584">
        <v>15</v>
      </c>
    </row>
    <row r="1653" spans="1:7" ht="30" x14ac:dyDescent="0.2">
      <c r="A1653" s="583" t="s">
        <v>15509</v>
      </c>
      <c r="B1653" s="605" t="s">
        <v>15510</v>
      </c>
      <c r="C1653" s="606" t="s">
        <v>12483</v>
      </c>
      <c r="D1653" s="607">
        <v>92.42</v>
      </c>
      <c r="E1653" s="607">
        <v>23.39</v>
      </c>
      <c r="F1653" s="607">
        <v>115.81</v>
      </c>
      <c r="G1653" s="584">
        <v>15</v>
      </c>
    </row>
    <row r="1654" spans="1:7" ht="30" x14ac:dyDescent="0.2">
      <c r="A1654" s="583" t="s">
        <v>15511</v>
      </c>
      <c r="B1654" s="605" t="s">
        <v>15512</v>
      </c>
      <c r="C1654" s="606" t="s">
        <v>12483</v>
      </c>
      <c r="D1654" s="607">
        <v>131.19</v>
      </c>
      <c r="E1654" s="607"/>
      <c r="F1654" s="607">
        <v>131.19</v>
      </c>
      <c r="G1654" s="584">
        <v>15</v>
      </c>
    </row>
    <row r="1655" spans="1:7" ht="30" x14ac:dyDescent="0.2">
      <c r="A1655" s="583" t="s">
        <v>15513</v>
      </c>
      <c r="B1655" s="605" t="s">
        <v>15514</v>
      </c>
      <c r="C1655" s="606" t="s">
        <v>12483</v>
      </c>
      <c r="D1655" s="607">
        <v>399.7</v>
      </c>
      <c r="E1655" s="607"/>
      <c r="F1655" s="607">
        <v>399.7</v>
      </c>
      <c r="G1655" s="584">
        <v>15</v>
      </c>
    </row>
    <row r="1656" spans="1:7" ht="30" x14ac:dyDescent="0.2">
      <c r="A1656" s="583" t="s">
        <v>15515</v>
      </c>
      <c r="B1656" s="605" t="s">
        <v>15516</v>
      </c>
      <c r="C1656" s="606" t="s">
        <v>12483</v>
      </c>
      <c r="D1656" s="607">
        <v>901.93</v>
      </c>
      <c r="E1656" s="607">
        <v>11.36</v>
      </c>
      <c r="F1656" s="607">
        <v>913.29</v>
      </c>
      <c r="G1656" s="584">
        <v>15</v>
      </c>
    </row>
    <row r="1657" spans="1:7" ht="30" x14ac:dyDescent="0.2">
      <c r="A1657" s="583" t="s">
        <v>15517</v>
      </c>
      <c r="B1657" s="605" t="s">
        <v>15518</v>
      </c>
      <c r="C1657" s="606" t="s">
        <v>12483</v>
      </c>
      <c r="D1657" s="607">
        <v>1215.8399999999999</v>
      </c>
      <c r="E1657" s="607">
        <v>11.36</v>
      </c>
      <c r="F1657" s="607">
        <v>1227.2</v>
      </c>
      <c r="G1657" s="584">
        <v>15</v>
      </c>
    </row>
    <row r="1658" spans="1:7" ht="15" x14ac:dyDescent="0.2">
      <c r="A1658" s="583" t="s">
        <v>15519</v>
      </c>
      <c r="B1658" s="605" t="s">
        <v>15520</v>
      </c>
      <c r="C1658" s="606" t="s">
        <v>12483</v>
      </c>
      <c r="D1658" s="607">
        <v>173.94</v>
      </c>
      <c r="E1658" s="607"/>
      <c r="F1658" s="607">
        <v>173.94</v>
      </c>
      <c r="G1658" s="584">
        <v>15</v>
      </c>
    </row>
    <row r="1659" spans="1:7" ht="15" x14ac:dyDescent="0.25">
      <c r="A1659" s="583" t="s">
        <v>15521</v>
      </c>
      <c r="B1659" s="605" t="s">
        <v>15522</v>
      </c>
      <c r="C1659" s="606"/>
      <c r="D1659" s="607"/>
      <c r="E1659" s="607"/>
      <c r="F1659" s="607"/>
      <c r="G1659" s="582"/>
    </row>
    <row r="1660" spans="1:7" ht="15" x14ac:dyDescent="0.2">
      <c r="A1660" s="583" t="s">
        <v>15523</v>
      </c>
      <c r="B1660" s="605" t="s">
        <v>15524</v>
      </c>
      <c r="C1660" s="606" t="s">
        <v>12929</v>
      </c>
      <c r="D1660" s="607">
        <v>9.4700000000000006</v>
      </c>
      <c r="E1660" s="607">
        <v>15.1</v>
      </c>
      <c r="F1660" s="607">
        <v>24.57</v>
      </c>
      <c r="G1660" s="584">
        <v>15</v>
      </c>
    </row>
    <row r="1661" spans="1:7" ht="15" x14ac:dyDescent="0.2">
      <c r="A1661" s="583" t="s">
        <v>15525</v>
      </c>
      <c r="B1661" s="605" t="s">
        <v>15526</v>
      </c>
      <c r="C1661" s="606" t="s">
        <v>15527</v>
      </c>
      <c r="D1661" s="607">
        <v>203.26</v>
      </c>
      <c r="E1661" s="607">
        <v>10.07</v>
      </c>
      <c r="F1661" s="607">
        <v>213.33</v>
      </c>
      <c r="G1661" s="584">
        <v>15</v>
      </c>
    </row>
    <row r="1662" spans="1:7" ht="15" x14ac:dyDescent="0.25">
      <c r="A1662" s="583" t="s">
        <v>15528</v>
      </c>
      <c r="B1662" s="605" t="s">
        <v>15529</v>
      </c>
      <c r="C1662" s="606"/>
      <c r="D1662" s="607"/>
      <c r="E1662" s="607"/>
      <c r="F1662" s="607"/>
      <c r="G1662" s="582"/>
    </row>
    <row r="1663" spans="1:7" ht="30" x14ac:dyDescent="0.2">
      <c r="A1663" s="583" t="s">
        <v>15530</v>
      </c>
      <c r="B1663" s="605" t="s">
        <v>15531</v>
      </c>
      <c r="C1663" s="606" t="s">
        <v>12483</v>
      </c>
      <c r="D1663" s="607">
        <v>4.72</v>
      </c>
      <c r="E1663" s="607">
        <v>3.07</v>
      </c>
      <c r="F1663" s="607">
        <v>7.79</v>
      </c>
      <c r="G1663" s="584">
        <v>15</v>
      </c>
    </row>
    <row r="1664" spans="1:7" ht="30" x14ac:dyDescent="0.2">
      <c r="A1664" s="583" t="s">
        <v>15532</v>
      </c>
      <c r="B1664" s="605" t="s">
        <v>15533</v>
      </c>
      <c r="C1664" s="606" t="s">
        <v>12483</v>
      </c>
      <c r="D1664" s="607">
        <v>9.4499999999999993</v>
      </c>
      <c r="E1664" s="607">
        <v>6.13</v>
      </c>
      <c r="F1664" s="607">
        <v>15.58</v>
      </c>
      <c r="G1664" s="584">
        <v>15</v>
      </c>
    </row>
    <row r="1665" spans="1:7" ht="30" x14ac:dyDescent="0.2">
      <c r="A1665" s="583" t="s">
        <v>15534</v>
      </c>
      <c r="B1665" s="605" t="s">
        <v>15535</v>
      </c>
      <c r="C1665" s="606" t="s">
        <v>12483</v>
      </c>
      <c r="D1665" s="607">
        <v>14.19</v>
      </c>
      <c r="E1665" s="607">
        <v>9.1999999999999993</v>
      </c>
      <c r="F1665" s="607">
        <v>23.39</v>
      </c>
      <c r="G1665" s="584">
        <v>15</v>
      </c>
    </row>
    <row r="1666" spans="1:7" ht="30" x14ac:dyDescent="0.2">
      <c r="A1666" s="583" t="s">
        <v>15536</v>
      </c>
      <c r="B1666" s="605" t="s">
        <v>15537</v>
      </c>
      <c r="C1666" s="606" t="s">
        <v>12483</v>
      </c>
      <c r="D1666" s="607">
        <v>18.93</v>
      </c>
      <c r="E1666" s="607">
        <v>12.27</v>
      </c>
      <c r="F1666" s="607">
        <v>31.2</v>
      </c>
      <c r="G1666" s="584">
        <v>15</v>
      </c>
    </row>
    <row r="1667" spans="1:7" ht="30" x14ac:dyDescent="0.2">
      <c r="A1667" s="583" t="s">
        <v>15538</v>
      </c>
      <c r="B1667" s="605" t="s">
        <v>15539</v>
      </c>
      <c r="C1667" s="606" t="s">
        <v>12483</v>
      </c>
      <c r="D1667" s="607">
        <v>28.41</v>
      </c>
      <c r="E1667" s="607">
        <v>18.41</v>
      </c>
      <c r="F1667" s="607">
        <v>46.82</v>
      </c>
      <c r="G1667" s="584">
        <v>15</v>
      </c>
    </row>
    <row r="1668" spans="1:7" ht="30" x14ac:dyDescent="0.2">
      <c r="A1668" s="583" t="s">
        <v>15540</v>
      </c>
      <c r="B1668" s="605" t="s">
        <v>15541</v>
      </c>
      <c r="C1668" s="606" t="s">
        <v>12483</v>
      </c>
      <c r="D1668" s="607">
        <v>29.21</v>
      </c>
      <c r="E1668" s="607">
        <v>1.89</v>
      </c>
      <c r="F1668" s="607">
        <v>31.1</v>
      </c>
      <c r="G1668" s="584">
        <v>15</v>
      </c>
    </row>
    <row r="1669" spans="1:7" ht="30" x14ac:dyDescent="0.2">
      <c r="A1669" s="583" t="s">
        <v>15542</v>
      </c>
      <c r="B1669" s="605" t="s">
        <v>15543</v>
      </c>
      <c r="C1669" s="606" t="s">
        <v>12483</v>
      </c>
      <c r="D1669" s="607">
        <v>51.93</v>
      </c>
      <c r="E1669" s="607">
        <v>2.65</v>
      </c>
      <c r="F1669" s="607">
        <v>54.58</v>
      </c>
      <c r="G1669" s="584">
        <v>15</v>
      </c>
    </row>
    <row r="1670" spans="1:7" ht="30" x14ac:dyDescent="0.2">
      <c r="A1670" s="583" t="s">
        <v>15544</v>
      </c>
      <c r="B1670" s="605" t="s">
        <v>15545</v>
      </c>
      <c r="C1670" s="606" t="s">
        <v>12483</v>
      </c>
      <c r="D1670" s="607">
        <v>73.819999999999993</v>
      </c>
      <c r="E1670" s="607">
        <v>3.41</v>
      </c>
      <c r="F1670" s="607">
        <v>77.23</v>
      </c>
      <c r="G1670" s="584">
        <v>15</v>
      </c>
    </row>
    <row r="1671" spans="1:7" ht="15" x14ac:dyDescent="0.25">
      <c r="A1671" s="583" t="s">
        <v>15546</v>
      </c>
      <c r="B1671" s="605" t="s">
        <v>15547</v>
      </c>
      <c r="C1671" s="606"/>
      <c r="D1671" s="607"/>
      <c r="E1671" s="607"/>
      <c r="F1671" s="607"/>
      <c r="G1671" s="582"/>
    </row>
    <row r="1672" spans="1:7" ht="15" x14ac:dyDescent="0.2">
      <c r="A1672" s="583" t="s">
        <v>15548</v>
      </c>
      <c r="B1672" s="605" t="s">
        <v>15549</v>
      </c>
      <c r="C1672" s="606" t="s">
        <v>12427</v>
      </c>
      <c r="D1672" s="607">
        <v>33.76</v>
      </c>
      <c r="E1672" s="607">
        <v>12.84</v>
      </c>
      <c r="F1672" s="607">
        <v>46.6</v>
      </c>
      <c r="G1672" s="584">
        <v>15</v>
      </c>
    </row>
    <row r="1673" spans="1:7" ht="30" x14ac:dyDescent="0.2">
      <c r="A1673" s="583" t="s">
        <v>15550</v>
      </c>
      <c r="B1673" s="605" t="s">
        <v>15551</v>
      </c>
      <c r="C1673" s="606" t="s">
        <v>12483</v>
      </c>
      <c r="D1673" s="607">
        <v>1.83</v>
      </c>
      <c r="E1673" s="607">
        <v>12.84</v>
      </c>
      <c r="F1673" s="607">
        <v>14.67</v>
      </c>
      <c r="G1673" s="584">
        <v>15</v>
      </c>
    </row>
    <row r="1674" spans="1:7" ht="30" x14ac:dyDescent="0.2">
      <c r="A1674" s="583" t="s">
        <v>15552</v>
      </c>
      <c r="B1674" s="605" t="s">
        <v>15553</v>
      </c>
      <c r="C1674" s="606" t="s">
        <v>12483</v>
      </c>
      <c r="D1674" s="607">
        <v>2.64</v>
      </c>
      <c r="E1674" s="607">
        <v>12.84</v>
      </c>
      <c r="F1674" s="607">
        <v>15.48</v>
      </c>
      <c r="G1674" s="584">
        <v>15</v>
      </c>
    </row>
    <row r="1675" spans="1:7" ht="30" x14ac:dyDescent="0.2">
      <c r="A1675" s="583" t="s">
        <v>15554</v>
      </c>
      <c r="B1675" s="605" t="s">
        <v>15555</v>
      </c>
      <c r="C1675" s="606" t="s">
        <v>12483</v>
      </c>
      <c r="D1675" s="607">
        <v>3.15</v>
      </c>
      <c r="E1675" s="607">
        <v>12.84</v>
      </c>
      <c r="F1675" s="607">
        <v>15.99</v>
      </c>
      <c r="G1675" s="584">
        <v>15</v>
      </c>
    </row>
    <row r="1676" spans="1:7" ht="30" x14ac:dyDescent="0.2">
      <c r="A1676" s="583" t="s">
        <v>15556</v>
      </c>
      <c r="B1676" s="605" t="s">
        <v>15557</v>
      </c>
      <c r="C1676" s="606" t="s">
        <v>12483</v>
      </c>
      <c r="D1676" s="607">
        <v>4.12</v>
      </c>
      <c r="E1676" s="607">
        <v>12.84</v>
      </c>
      <c r="F1676" s="607">
        <v>16.96</v>
      </c>
      <c r="G1676" s="584">
        <v>15</v>
      </c>
    </row>
    <row r="1677" spans="1:7" ht="30" x14ac:dyDescent="0.2">
      <c r="A1677" s="583" t="s">
        <v>15558</v>
      </c>
      <c r="B1677" s="605" t="s">
        <v>15559</v>
      </c>
      <c r="C1677" s="606" t="s">
        <v>12483</v>
      </c>
      <c r="D1677" s="607">
        <v>5.0199999999999996</v>
      </c>
      <c r="E1677" s="607">
        <v>12.84</v>
      </c>
      <c r="F1677" s="607">
        <v>17.86</v>
      </c>
      <c r="G1677" s="584">
        <v>15</v>
      </c>
    </row>
    <row r="1678" spans="1:7" ht="30" x14ac:dyDescent="0.2">
      <c r="A1678" s="583" t="s">
        <v>15560</v>
      </c>
      <c r="B1678" s="605" t="s">
        <v>15561</v>
      </c>
      <c r="C1678" s="606" t="s">
        <v>12483</v>
      </c>
      <c r="D1678" s="607">
        <v>9.77</v>
      </c>
      <c r="E1678" s="607">
        <v>12.84</v>
      </c>
      <c r="F1678" s="607">
        <v>22.61</v>
      </c>
      <c r="G1678" s="584">
        <v>15</v>
      </c>
    </row>
    <row r="1679" spans="1:7" ht="30" x14ac:dyDescent="0.2">
      <c r="A1679" s="583" t="s">
        <v>15562</v>
      </c>
      <c r="B1679" s="605" t="s">
        <v>15563</v>
      </c>
      <c r="C1679" s="606" t="s">
        <v>12483</v>
      </c>
      <c r="D1679" s="607">
        <v>7.13</v>
      </c>
      <c r="E1679" s="607">
        <v>12.84</v>
      </c>
      <c r="F1679" s="607">
        <v>19.97</v>
      </c>
      <c r="G1679" s="584">
        <v>15</v>
      </c>
    </row>
    <row r="1680" spans="1:7" ht="30" x14ac:dyDescent="0.2">
      <c r="A1680" s="583" t="s">
        <v>15564</v>
      </c>
      <c r="B1680" s="605" t="s">
        <v>15565</v>
      </c>
      <c r="C1680" s="606" t="s">
        <v>12483</v>
      </c>
      <c r="D1680" s="607">
        <v>8.02</v>
      </c>
      <c r="E1680" s="607">
        <v>12.84</v>
      </c>
      <c r="F1680" s="607">
        <v>20.86</v>
      </c>
      <c r="G1680" s="584">
        <v>15</v>
      </c>
    </row>
    <row r="1681" spans="1:7" ht="30" x14ac:dyDescent="0.2">
      <c r="A1681" s="583" t="s">
        <v>15566</v>
      </c>
      <c r="B1681" s="605" t="s">
        <v>15567</v>
      </c>
      <c r="C1681" s="606" t="s">
        <v>12483</v>
      </c>
      <c r="D1681" s="607">
        <v>8.52</v>
      </c>
      <c r="E1681" s="607">
        <v>12.84</v>
      </c>
      <c r="F1681" s="607">
        <v>21.36</v>
      </c>
      <c r="G1681" s="584">
        <v>15</v>
      </c>
    </row>
    <row r="1682" spans="1:7" ht="30" x14ac:dyDescent="0.2">
      <c r="A1682" s="583" t="s">
        <v>15568</v>
      </c>
      <c r="B1682" s="605" t="s">
        <v>15569</v>
      </c>
      <c r="C1682" s="606" t="s">
        <v>12483</v>
      </c>
      <c r="D1682" s="607">
        <v>9.83</v>
      </c>
      <c r="E1682" s="607">
        <v>12.84</v>
      </c>
      <c r="F1682" s="607">
        <v>22.67</v>
      </c>
      <c r="G1682" s="584">
        <v>15</v>
      </c>
    </row>
    <row r="1683" spans="1:7" ht="30" x14ac:dyDescent="0.2">
      <c r="A1683" s="583" t="s">
        <v>15570</v>
      </c>
      <c r="B1683" s="605" t="s">
        <v>15571</v>
      </c>
      <c r="C1683" s="606" t="s">
        <v>12483</v>
      </c>
      <c r="D1683" s="607">
        <v>20.54</v>
      </c>
      <c r="E1683" s="607">
        <v>12.84</v>
      </c>
      <c r="F1683" s="607">
        <v>33.380000000000003</v>
      </c>
      <c r="G1683" s="584">
        <v>15</v>
      </c>
    </row>
    <row r="1684" spans="1:7" ht="30" x14ac:dyDescent="0.2">
      <c r="A1684" s="583" t="s">
        <v>15572</v>
      </c>
      <c r="B1684" s="605" t="s">
        <v>15573</v>
      </c>
      <c r="C1684" s="606" t="s">
        <v>12483</v>
      </c>
      <c r="D1684" s="607">
        <v>24.57</v>
      </c>
      <c r="E1684" s="607">
        <v>12.84</v>
      </c>
      <c r="F1684" s="607">
        <v>37.409999999999997</v>
      </c>
      <c r="G1684" s="584">
        <v>15</v>
      </c>
    </row>
    <row r="1685" spans="1:7" ht="30" x14ac:dyDescent="0.2">
      <c r="A1685" s="583" t="s">
        <v>15574</v>
      </c>
      <c r="B1685" s="605" t="s">
        <v>15575</v>
      </c>
      <c r="C1685" s="606" t="s">
        <v>12483</v>
      </c>
      <c r="D1685" s="607">
        <v>26.12</v>
      </c>
      <c r="E1685" s="607">
        <v>12.84</v>
      </c>
      <c r="F1685" s="607">
        <v>38.96</v>
      </c>
      <c r="G1685" s="584">
        <v>15</v>
      </c>
    </row>
    <row r="1686" spans="1:7" ht="30" x14ac:dyDescent="0.2">
      <c r="A1686" s="583" t="s">
        <v>15576</v>
      </c>
      <c r="B1686" s="605" t="s">
        <v>15577</v>
      </c>
      <c r="C1686" s="606" t="s">
        <v>12483</v>
      </c>
      <c r="D1686" s="607">
        <v>33.31</v>
      </c>
      <c r="E1686" s="607">
        <v>12.84</v>
      </c>
      <c r="F1686" s="607">
        <v>46.15</v>
      </c>
      <c r="G1686" s="584">
        <v>15</v>
      </c>
    </row>
    <row r="1687" spans="1:7" ht="30" x14ac:dyDescent="0.2">
      <c r="A1687" s="583" t="s">
        <v>15578</v>
      </c>
      <c r="B1687" s="605" t="s">
        <v>15579</v>
      </c>
      <c r="C1687" s="606" t="s">
        <v>12483</v>
      </c>
      <c r="D1687" s="607">
        <v>34.11</v>
      </c>
      <c r="E1687" s="607">
        <v>12.84</v>
      </c>
      <c r="F1687" s="607">
        <v>46.95</v>
      </c>
      <c r="G1687" s="584">
        <v>15</v>
      </c>
    </row>
    <row r="1688" spans="1:7" ht="30" x14ac:dyDescent="0.2">
      <c r="A1688" s="583" t="s">
        <v>15580</v>
      </c>
      <c r="B1688" s="605" t="s">
        <v>15581</v>
      </c>
      <c r="C1688" s="606" t="s">
        <v>12483</v>
      </c>
      <c r="D1688" s="607">
        <v>43.98</v>
      </c>
      <c r="E1688" s="607">
        <v>12.84</v>
      </c>
      <c r="F1688" s="607">
        <v>56.82</v>
      </c>
      <c r="G1688" s="584">
        <v>15</v>
      </c>
    </row>
    <row r="1689" spans="1:7" ht="30" x14ac:dyDescent="0.2">
      <c r="A1689" s="583" t="s">
        <v>15582</v>
      </c>
      <c r="B1689" s="605" t="s">
        <v>15583</v>
      </c>
      <c r="C1689" s="606" t="s">
        <v>12483</v>
      </c>
      <c r="D1689" s="607">
        <v>57.66</v>
      </c>
      <c r="E1689" s="607">
        <v>12.84</v>
      </c>
      <c r="F1689" s="607">
        <v>70.5</v>
      </c>
      <c r="G1689" s="584">
        <v>15</v>
      </c>
    </row>
    <row r="1690" spans="1:7" ht="30" x14ac:dyDescent="0.2">
      <c r="A1690" s="583" t="s">
        <v>15584</v>
      </c>
      <c r="B1690" s="605" t="s">
        <v>15585</v>
      </c>
      <c r="C1690" s="606" t="s">
        <v>12483</v>
      </c>
      <c r="D1690" s="607">
        <v>59.98</v>
      </c>
      <c r="E1690" s="607">
        <v>12.84</v>
      </c>
      <c r="F1690" s="607">
        <v>72.819999999999993</v>
      </c>
      <c r="G1690" s="584">
        <v>15</v>
      </c>
    </row>
    <row r="1691" spans="1:7" ht="30" x14ac:dyDescent="0.2">
      <c r="A1691" s="583" t="s">
        <v>15586</v>
      </c>
      <c r="B1691" s="605" t="s">
        <v>15587</v>
      </c>
      <c r="C1691" s="606" t="s">
        <v>12483</v>
      </c>
      <c r="D1691" s="607">
        <v>105.14</v>
      </c>
      <c r="E1691" s="607">
        <v>12.84</v>
      </c>
      <c r="F1691" s="607">
        <v>117.98</v>
      </c>
      <c r="G1691" s="584">
        <v>15</v>
      </c>
    </row>
    <row r="1692" spans="1:7" ht="30" x14ac:dyDescent="0.2">
      <c r="A1692" s="583" t="s">
        <v>15588</v>
      </c>
      <c r="B1692" s="605" t="s">
        <v>15589</v>
      </c>
      <c r="C1692" s="606" t="s">
        <v>12483</v>
      </c>
      <c r="D1692" s="607">
        <v>118.64</v>
      </c>
      <c r="E1692" s="607">
        <v>12.84</v>
      </c>
      <c r="F1692" s="607">
        <v>131.47999999999999</v>
      </c>
      <c r="G1692" s="584">
        <v>15</v>
      </c>
    </row>
    <row r="1693" spans="1:7" ht="30" x14ac:dyDescent="0.2">
      <c r="A1693" s="583" t="s">
        <v>15590</v>
      </c>
      <c r="B1693" s="605" t="s">
        <v>15591</v>
      </c>
      <c r="C1693" s="606" t="s">
        <v>12483</v>
      </c>
      <c r="D1693" s="607">
        <v>149.74</v>
      </c>
      <c r="E1693" s="607">
        <v>12.84</v>
      </c>
      <c r="F1693" s="607">
        <v>162.58000000000001</v>
      </c>
      <c r="G1693" s="584">
        <v>15</v>
      </c>
    </row>
    <row r="1694" spans="1:7" ht="30" x14ac:dyDescent="0.2">
      <c r="A1694" s="583" t="s">
        <v>15592</v>
      </c>
      <c r="B1694" s="605" t="s">
        <v>15593</v>
      </c>
      <c r="C1694" s="606" t="s">
        <v>12427</v>
      </c>
      <c r="D1694" s="607">
        <v>192.14</v>
      </c>
      <c r="E1694" s="607">
        <v>23.57</v>
      </c>
      <c r="F1694" s="607">
        <v>215.71</v>
      </c>
      <c r="G1694" s="584">
        <v>15</v>
      </c>
    </row>
    <row r="1695" spans="1:7" ht="30" x14ac:dyDescent="0.2">
      <c r="A1695" s="583" t="s">
        <v>15594</v>
      </c>
      <c r="B1695" s="605" t="s">
        <v>15595</v>
      </c>
      <c r="C1695" s="606" t="s">
        <v>12483</v>
      </c>
      <c r="D1695" s="607">
        <v>16.8</v>
      </c>
      <c r="E1695" s="607">
        <v>12.84</v>
      </c>
      <c r="F1695" s="607">
        <v>29.64</v>
      </c>
      <c r="G1695" s="584">
        <v>15</v>
      </c>
    </row>
    <row r="1696" spans="1:7" ht="30" x14ac:dyDescent="0.2">
      <c r="A1696" s="583" t="s">
        <v>15596</v>
      </c>
      <c r="B1696" s="605" t="s">
        <v>15597</v>
      </c>
      <c r="C1696" s="606" t="s">
        <v>12483</v>
      </c>
      <c r="D1696" s="607">
        <v>18.61</v>
      </c>
      <c r="E1696" s="607">
        <v>12.84</v>
      </c>
      <c r="F1696" s="607">
        <v>31.45</v>
      </c>
      <c r="G1696" s="584">
        <v>15</v>
      </c>
    </row>
    <row r="1697" spans="1:7" ht="15" x14ac:dyDescent="0.25">
      <c r="A1697" s="583" t="s">
        <v>15598</v>
      </c>
      <c r="B1697" s="605" t="s">
        <v>15599</v>
      </c>
      <c r="C1697" s="606"/>
      <c r="D1697" s="607"/>
      <c r="E1697" s="607"/>
      <c r="F1697" s="607"/>
      <c r="G1697" s="582"/>
    </row>
    <row r="1698" spans="1:7" ht="30" x14ac:dyDescent="0.2">
      <c r="A1698" s="583" t="s">
        <v>15600</v>
      </c>
      <c r="B1698" s="605" t="s">
        <v>15601</v>
      </c>
      <c r="C1698" s="606" t="s">
        <v>12427</v>
      </c>
      <c r="D1698" s="607">
        <v>66.94</v>
      </c>
      <c r="E1698" s="607">
        <v>21.92</v>
      </c>
      <c r="F1698" s="607">
        <v>88.86</v>
      </c>
      <c r="G1698" s="584">
        <v>15</v>
      </c>
    </row>
    <row r="1699" spans="1:7" ht="30" x14ac:dyDescent="0.2">
      <c r="A1699" s="583" t="s">
        <v>15602</v>
      </c>
      <c r="B1699" s="605" t="s">
        <v>15603</v>
      </c>
      <c r="C1699" s="606" t="s">
        <v>12427</v>
      </c>
      <c r="D1699" s="607">
        <v>75.11</v>
      </c>
      <c r="E1699" s="607">
        <v>21.92</v>
      </c>
      <c r="F1699" s="607">
        <v>97.03</v>
      </c>
      <c r="G1699" s="584">
        <v>15</v>
      </c>
    </row>
    <row r="1700" spans="1:7" ht="30" x14ac:dyDescent="0.2">
      <c r="A1700" s="583" t="s">
        <v>15604</v>
      </c>
      <c r="B1700" s="605" t="s">
        <v>15605</v>
      </c>
      <c r="C1700" s="606" t="s">
        <v>12427</v>
      </c>
      <c r="D1700" s="607">
        <v>130.47</v>
      </c>
      <c r="E1700" s="607">
        <v>27.59</v>
      </c>
      <c r="F1700" s="607">
        <v>158.06</v>
      </c>
      <c r="G1700" s="584">
        <v>15</v>
      </c>
    </row>
    <row r="1701" spans="1:7" ht="45" x14ac:dyDescent="0.2">
      <c r="A1701" s="583" t="s">
        <v>15606</v>
      </c>
      <c r="B1701" s="605" t="s">
        <v>15607</v>
      </c>
      <c r="C1701" s="606" t="s">
        <v>12427</v>
      </c>
      <c r="D1701" s="607">
        <v>138.18</v>
      </c>
      <c r="E1701" s="607">
        <v>27.59</v>
      </c>
      <c r="F1701" s="607">
        <v>165.77</v>
      </c>
      <c r="G1701" s="584">
        <v>15</v>
      </c>
    </row>
    <row r="1702" spans="1:7" ht="30" x14ac:dyDescent="0.2">
      <c r="A1702" s="583" t="s">
        <v>15608</v>
      </c>
      <c r="B1702" s="605" t="s">
        <v>15609</v>
      </c>
      <c r="C1702" s="606" t="s">
        <v>12427</v>
      </c>
      <c r="D1702" s="607">
        <v>163.83000000000001</v>
      </c>
      <c r="E1702" s="607"/>
      <c r="F1702" s="607">
        <v>163.83000000000001</v>
      </c>
      <c r="G1702" s="584">
        <v>15</v>
      </c>
    </row>
    <row r="1703" spans="1:7" ht="15" x14ac:dyDescent="0.25">
      <c r="A1703" s="583" t="s">
        <v>15610</v>
      </c>
      <c r="B1703" s="605" t="s">
        <v>15611</v>
      </c>
      <c r="C1703" s="606"/>
      <c r="D1703" s="607"/>
      <c r="E1703" s="607"/>
      <c r="F1703" s="607"/>
      <c r="G1703" s="582"/>
    </row>
    <row r="1704" spans="1:7" ht="30" x14ac:dyDescent="0.2">
      <c r="A1704" s="583" t="s">
        <v>15612</v>
      </c>
      <c r="B1704" s="605" t="s">
        <v>15613</v>
      </c>
      <c r="C1704" s="606" t="s">
        <v>12427</v>
      </c>
      <c r="D1704" s="607">
        <v>10.43</v>
      </c>
      <c r="E1704" s="607">
        <v>9.08</v>
      </c>
      <c r="F1704" s="607">
        <v>19.510000000000002</v>
      </c>
      <c r="G1704" s="584">
        <v>15</v>
      </c>
    </row>
    <row r="1705" spans="1:7" ht="30" x14ac:dyDescent="0.2">
      <c r="A1705" s="583" t="s">
        <v>15614</v>
      </c>
      <c r="B1705" s="605" t="s">
        <v>15615</v>
      </c>
      <c r="C1705" s="606" t="s">
        <v>12427</v>
      </c>
      <c r="D1705" s="607">
        <v>7.3</v>
      </c>
      <c r="E1705" s="607">
        <v>9.08</v>
      </c>
      <c r="F1705" s="607">
        <v>16.38</v>
      </c>
      <c r="G1705" s="584">
        <v>15</v>
      </c>
    </row>
    <row r="1706" spans="1:7" ht="30" x14ac:dyDescent="0.2">
      <c r="A1706" s="583" t="s">
        <v>15616</v>
      </c>
      <c r="B1706" s="605" t="s">
        <v>15617</v>
      </c>
      <c r="C1706" s="606" t="s">
        <v>12427</v>
      </c>
      <c r="D1706" s="607">
        <v>49.43</v>
      </c>
      <c r="E1706" s="607">
        <v>9.08</v>
      </c>
      <c r="F1706" s="607">
        <v>58.51</v>
      </c>
      <c r="G1706" s="584">
        <v>15</v>
      </c>
    </row>
    <row r="1707" spans="1:7" ht="30" x14ac:dyDescent="0.2">
      <c r="A1707" s="583" t="s">
        <v>15618</v>
      </c>
      <c r="B1707" s="605" t="s">
        <v>15619</v>
      </c>
      <c r="C1707" s="606" t="s">
        <v>12427</v>
      </c>
      <c r="D1707" s="607">
        <v>76.36</v>
      </c>
      <c r="E1707" s="607">
        <v>25.18</v>
      </c>
      <c r="F1707" s="607">
        <v>101.54</v>
      </c>
      <c r="G1707" s="584">
        <v>15</v>
      </c>
    </row>
    <row r="1708" spans="1:7" ht="30" x14ac:dyDescent="0.2">
      <c r="A1708" s="583" t="s">
        <v>15620</v>
      </c>
      <c r="B1708" s="605" t="s">
        <v>15621</v>
      </c>
      <c r="C1708" s="606" t="s">
        <v>12427</v>
      </c>
      <c r="D1708" s="607">
        <v>42.48</v>
      </c>
      <c r="E1708" s="607">
        <v>9.08</v>
      </c>
      <c r="F1708" s="607">
        <v>51.56</v>
      </c>
      <c r="G1708" s="584">
        <v>15</v>
      </c>
    </row>
    <row r="1709" spans="1:7" ht="30" x14ac:dyDescent="0.2">
      <c r="A1709" s="583" t="s">
        <v>15622</v>
      </c>
      <c r="B1709" s="605" t="s">
        <v>15623</v>
      </c>
      <c r="C1709" s="606" t="s">
        <v>12427</v>
      </c>
      <c r="D1709" s="607">
        <v>66.63</v>
      </c>
      <c r="E1709" s="607">
        <v>25.18</v>
      </c>
      <c r="F1709" s="607">
        <v>91.81</v>
      </c>
      <c r="G1709" s="584">
        <v>15</v>
      </c>
    </row>
    <row r="1710" spans="1:7" ht="45" x14ac:dyDescent="0.2">
      <c r="A1710" s="583" t="s">
        <v>15624</v>
      </c>
      <c r="B1710" s="605" t="s">
        <v>15625</v>
      </c>
      <c r="C1710" s="606" t="s">
        <v>12427</v>
      </c>
      <c r="D1710" s="607">
        <v>47.21</v>
      </c>
      <c r="E1710" s="607">
        <v>29.72</v>
      </c>
      <c r="F1710" s="607">
        <v>76.930000000000007</v>
      </c>
      <c r="G1710" s="584">
        <v>15</v>
      </c>
    </row>
    <row r="1711" spans="1:7" ht="15" x14ac:dyDescent="0.25">
      <c r="A1711" s="583" t="s">
        <v>15626</v>
      </c>
      <c r="B1711" s="605" t="s">
        <v>15627</v>
      </c>
      <c r="C1711" s="606"/>
      <c r="D1711" s="607"/>
      <c r="E1711" s="607"/>
      <c r="F1711" s="607"/>
      <c r="G1711" s="582"/>
    </row>
    <row r="1712" spans="1:7" ht="30" x14ac:dyDescent="0.2">
      <c r="A1712" s="583" t="s">
        <v>15628</v>
      </c>
      <c r="B1712" s="605" t="s">
        <v>15629</v>
      </c>
      <c r="C1712" s="606" t="s">
        <v>12508</v>
      </c>
      <c r="D1712" s="607">
        <v>484.52</v>
      </c>
      <c r="E1712" s="607">
        <v>392.94</v>
      </c>
      <c r="F1712" s="607">
        <v>877.46</v>
      </c>
      <c r="G1712" s="584">
        <v>15</v>
      </c>
    </row>
    <row r="1713" spans="1:7" ht="30" x14ac:dyDescent="0.2">
      <c r="A1713" s="583" t="s">
        <v>15630</v>
      </c>
      <c r="B1713" s="605" t="s">
        <v>15631</v>
      </c>
      <c r="C1713" s="606" t="s">
        <v>12508</v>
      </c>
      <c r="D1713" s="607">
        <v>518.82000000000005</v>
      </c>
      <c r="E1713" s="607">
        <v>45.43</v>
      </c>
      <c r="F1713" s="607">
        <v>564.25</v>
      </c>
      <c r="G1713" s="584">
        <v>15</v>
      </c>
    </row>
    <row r="1714" spans="1:7" ht="30" x14ac:dyDescent="0.2">
      <c r="A1714" s="583" t="s">
        <v>15632</v>
      </c>
      <c r="B1714" s="605" t="s">
        <v>15633</v>
      </c>
      <c r="C1714" s="606" t="s">
        <v>12427</v>
      </c>
      <c r="D1714" s="607">
        <v>5.82</v>
      </c>
      <c r="E1714" s="607">
        <v>9.57</v>
      </c>
      <c r="F1714" s="607">
        <v>15.39</v>
      </c>
      <c r="G1714" s="584">
        <v>15</v>
      </c>
    </row>
    <row r="1715" spans="1:7" ht="30" x14ac:dyDescent="0.2">
      <c r="A1715" s="583" t="s">
        <v>15634</v>
      </c>
      <c r="B1715" s="605" t="s">
        <v>15635</v>
      </c>
      <c r="C1715" s="606" t="s">
        <v>12427</v>
      </c>
      <c r="D1715" s="607">
        <v>18.8</v>
      </c>
      <c r="E1715" s="607">
        <v>19.16</v>
      </c>
      <c r="F1715" s="607">
        <v>37.96</v>
      </c>
      <c r="G1715" s="584">
        <v>15</v>
      </c>
    </row>
    <row r="1716" spans="1:7" ht="30" x14ac:dyDescent="0.2">
      <c r="A1716" s="583" t="s">
        <v>15636</v>
      </c>
      <c r="B1716" s="605" t="s">
        <v>15637</v>
      </c>
      <c r="C1716" s="606" t="s">
        <v>12427</v>
      </c>
      <c r="D1716" s="607">
        <v>58.87</v>
      </c>
      <c r="E1716" s="607">
        <v>9.57</v>
      </c>
      <c r="F1716" s="607">
        <v>68.44</v>
      </c>
      <c r="G1716" s="584">
        <v>15</v>
      </c>
    </row>
    <row r="1717" spans="1:7" ht="15" x14ac:dyDescent="0.25">
      <c r="A1717" s="583" t="s">
        <v>15638</v>
      </c>
      <c r="B1717" s="605" t="s">
        <v>15639</v>
      </c>
      <c r="C1717" s="606"/>
      <c r="D1717" s="607"/>
      <c r="E1717" s="607"/>
      <c r="F1717" s="607"/>
      <c r="G1717" s="582"/>
    </row>
    <row r="1718" spans="1:7" ht="15" x14ac:dyDescent="0.2">
      <c r="A1718" s="583" t="s">
        <v>15640</v>
      </c>
      <c r="B1718" s="605" t="s">
        <v>15641</v>
      </c>
      <c r="C1718" s="606" t="s">
        <v>21482</v>
      </c>
      <c r="D1718" s="607"/>
      <c r="E1718" s="607">
        <v>90.84</v>
      </c>
      <c r="F1718" s="607">
        <v>90.84</v>
      </c>
      <c r="G1718" s="584">
        <v>15</v>
      </c>
    </row>
    <row r="1719" spans="1:7" ht="15" x14ac:dyDescent="0.2">
      <c r="A1719" s="583" t="s">
        <v>15642</v>
      </c>
      <c r="B1719" s="605" t="s">
        <v>15643</v>
      </c>
      <c r="C1719" s="606" t="s">
        <v>2</v>
      </c>
      <c r="D1719" s="607">
        <v>4.99</v>
      </c>
      <c r="E1719" s="607">
        <v>4.54</v>
      </c>
      <c r="F1719" s="607">
        <v>9.5299999999999994</v>
      </c>
      <c r="G1719" s="584">
        <v>15</v>
      </c>
    </row>
    <row r="1720" spans="1:7" ht="30" x14ac:dyDescent="0.2">
      <c r="A1720" s="583" t="s">
        <v>15644</v>
      </c>
      <c r="B1720" s="605" t="s">
        <v>15645</v>
      </c>
      <c r="C1720" s="606" t="s">
        <v>2</v>
      </c>
      <c r="D1720" s="607">
        <v>6.2</v>
      </c>
      <c r="E1720" s="607">
        <v>4.54</v>
      </c>
      <c r="F1720" s="607">
        <v>10.74</v>
      </c>
      <c r="G1720" s="584">
        <v>15</v>
      </c>
    </row>
    <row r="1721" spans="1:7" ht="30" x14ac:dyDescent="0.2">
      <c r="A1721" s="583" t="s">
        <v>15646</v>
      </c>
      <c r="B1721" s="605" t="s">
        <v>15647</v>
      </c>
      <c r="C1721" s="606" t="s">
        <v>2</v>
      </c>
      <c r="D1721" s="607">
        <v>13.84</v>
      </c>
      <c r="E1721" s="607">
        <v>4.54</v>
      </c>
      <c r="F1721" s="607">
        <v>18.38</v>
      </c>
      <c r="G1721" s="584">
        <v>15</v>
      </c>
    </row>
    <row r="1722" spans="1:7" ht="30" x14ac:dyDescent="0.2">
      <c r="A1722" s="583" t="s">
        <v>21403</v>
      </c>
      <c r="B1722" s="605" t="s">
        <v>21404</v>
      </c>
      <c r="C1722" s="606" t="s">
        <v>2</v>
      </c>
      <c r="D1722" s="607">
        <v>1.45</v>
      </c>
      <c r="E1722" s="607">
        <v>0.33</v>
      </c>
      <c r="F1722" s="607">
        <v>1.78</v>
      </c>
      <c r="G1722" s="584">
        <v>15</v>
      </c>
    </row>
    <row r="1723" spans="1:7" ht="15" x14ac:dyDescent="0.25">
      <c r="A1723" s="583" t="s">
        <v>15648</v>
      </c>
      <c r="B1723" s="605" t="s">
        <v>15649</v>
      </c>
      <c r="C1723" s="606"/>
      <c r="D1723" s="607"/>
      <c r="E1723" s="607"/>
      <c r="F1723" s="607"/>
      <c r="G1723" s="582"/>
    </row>
    <row r="1724" spans="1:7" ht="15" x14ac:dyDescent="0.25">
      <c r="A1724" s="583" t="s">
        <v>15650</v>
      </c>
      <c r="B1724" s="605" t="s">
        <v>15651</v>
      </c>
      <c r="C1724" s="606"/>
      <c r="D1724" s="607"/>
      <c r="E1724" s="607"/>
      <c r="F1724" s="607"/>
      <c r="G1724" s="582"/>
    </row>
    <row r="1725" spans="1:7" ht="15" x14ac:dyDescent="0.2">
      <c r="A1725" s="583" t="s">
        <v>15652</v>
      </c>
      <c r="B1725" s="605" t="s">
        <v>15653</v>
      </c>
      <c r="C1725" s="606" t="s">
        <v>2</v>
      </c>
      <c r="D1725" s="607">
        <v>8.64</v>
      </c>
      <c r="E1725" s="607">
        <v>39</v>
      </c>
      <c r="F1725" s="607">
        <v>47.64</v>
      </c>
      <c r="G1725" s="584">
        <v>15</v>
      </c>
    </row>
    <row r="1726" spans="1:7" ht="15" x14ac:dyDescent="0.2">
      <c r="A1726" s="583" t="s">
        <v>15654</v>
      </c>
      <c r="B1726" s="605" t="s">
        <v>15655</v>
      </c>
      <c r="C1726" s="606" t="s">
        <v>2</v>
      </c>
      <c r="D1726" s="607">
        <v>4.92</v>
      </c>
      <c r="E1726" s="607">
        <v>39</v>
      </c>
      <c r="F1726" s="607">
        <v>43.92</v>
      </c>
      <c r="G1726" s="584">
        <v>15</v>
      </c>
    </row>
    <row r="1727" spans="1:7" ht="15" x14ac:dyDescent="0.2">
      <c r="A1727" s="583" t="s">
        <v>15656</v>
      </c>
      <c r="B1727" s="605" t="s">
        <v>15657</v>
      </c>
      <c r="C1727" s="606" t="s">
        <v>2</v>
      </c>
      <c r="D1727" s="607">
        <v>7.26</v>
      </c>
      <c r="E1727" s="607">
        <v>9.94</v>
      </c>
      <c r="F1727" s="607">
        <v>17.2</v>
      </c>
      <c r="G1727" s="584">
        <v>15</v>
      </c>
    </row>
    <row r="1728" spans="1:7" ht="15" x14ac:dyDescent="0.2">
      <c r="A1728" s="583" t="s">
        <v>15658</v>
      </c>
      <c r="B1728" s="605" t="s">
        <v>15659</v>
      </c>
      <c r="C1728" s="606" t="s">
        <v>20358</v>
      </c>
      <c r="D1728" s="607">
        <v>29.55</v>
      </c>
      <c r="E1728" s="607">
        <v>27.92</v>
      </c>
      <c r="F1728" s="607">
        <v>57.47</v>
      </c>
      <c r="G1728" s="584">
        <v>15</v>
      </c>
    </row>
    <row r="1729" spans="1:7" ht="30" x14ac:dyDescent="0.2">
      <c r="A1729" s="583" t="s">
        <v>15660</v>
      </c>
      <c r="B1729" s="605" t="s">
        <v>15661</v>
      </c>
      <c r="C1729" s="606" t="s">
        <v>2</v>
      </c>
      <c r="D1729" s="607">
        <v>8.25</v>
      </c>
      <c r="E1729" s="607">
        <v>10.68</v>
      </c>
      <c r="F1729" s="607">
        <v>18.93</v>
      </c>
      <c r="G1729" s="584">
        <v>15</v>
      </c>
    </row>
    <row r="1730" spans="1:7" ht="15" x14ac:dyDescent="0.25">
      <c r="A1730" s="583" t="s">
        <v>15662</v>
      </c>
      <c r="B1730" s="605" t="s">
        <v>15663</v>
      </c>
      <c r="C1730" s="606"/>
      <c r="D1730" s="607"/>
      <c r="E1730" s="607"/>
      <c r="F1730" s="607"/>
      <c r="G1730" s="582"/>
    </row>
    <row r="1731" spans="1:7" ht="15" x14ac:dyDescent="0.2">
      <c r="A1731" s="583" t="s">
        <v>15664</v>
      </c>
      <c r="B1731" s="605" t="s">
        <v>15665</v>
      </c>
      <c r="C1731" s="606" t="s">
        <v>2</v>
      </c>
      <c r="D1731" s="607">
        <v>3.04</v>
      </c>
      <c r="E1731" s="607">
        <v>13.43</v>
      </c>
      <c r="F1731" s="607">
        <v>16.47</v>
      </c>
      <c r="G1731" s="584">
        <v>15</v>
      </c>
    </row>
    <row r="1732" spans="1:7" ht="15" x14ac:dyDescent="0.2">
      <c r="A1732" s="583" t="s">
        <v>15666</v>
      </c>
      <c r="B1732" s="605" t="s">
        <v>15667</v>
      </c>
      <c r="C1732" s="606" t="s">
        <v>2</v>
      </c>
      <c r="D1732" s="607">
        <v>5.68</v>
      </c>
      <c r="E1732" s="607">
        <v>13.43</v>
      </c>
      <c r="F1732" s="607">
        <v>19.11</v>
      </c>
      <c r="G1732" s="584">
        <v>15</v>
      </c>
    </row>
    <row r="1733" spans="1:7" ht="15" x14ac:dyDescent="0.25">
      <c r="A1733" s="583" t="s">
        <v>15668</v>
      </c>
      <c r="B1733" s="605" t="s">
        <v>15669</v>
      </c>
      <c r="C1733" s="606"/>
      <c r="D1733" s="607"/>
      <c r="E1733" s="607"/>
      <c r="F1733" s="607"/>
      <c r="G1733" s="582"/>
    </row>
    <row r="1734" spans="1:7" ht="15" x14ac:dyDescent="0.2">
      <c r="A1734" s="583" t="s">
        <v>15670</v>
      </c>
      <c r="B1734" s="605" t="s">
        <v>15671</v>
      </c>
      <c r="C1734" s="606" t="s">
        <v>2</v>
      </c>
      <c r="D1734" s="607">
        <v>4.5599999999999996</v>
      </c>
      <c r="E1734" s="607">
        <v>29.58</v>
      </c>
      <c r="F1734" s="607">
        <v>34.14</v>
      </c>
      <c r="G1734" s="584">
        <v>15</v>
      </c>
    </row>
    <row r="1735" spans="1:7" ht="15" x14ac:dyDescent="0.2">
      <c r="A1735" s="583" t="s">
        <v>15672</v>
      </c>
      <c r="B1735" s="605" t="s">
        <v>15673</v>
      </c>
      <c r="C1735" s="606" t="s">
        <v>2</v>
      </c>
      <c r="D1735" s="607">
        <v>9.17</v>
      </c>
      <c r="E1735" s="607">
        <v>25.12</v>
      </c>
      <c r="F1735" s="607">
        <v>34.29</v>
      </c>
      <c r="G1735" s="584">
        <v>15</v>
      </c>
    </row>
    <row r="1736" spans="1:7" ht="15" x14ac:dyDescent="0.2">
      <c r="A1736" s="583" t="s">
        <v>15674</v>
      </c>
      <c r="B1736" s="605" t="s">
        <v>15675</v>
      </c>
      <c r="C1736" s="606" t="s">
        <v>2</v>
      </c>
      <c r="D1736" s="607">
        <v>18.87</v>
      </c>
      <c r="E1736" s="607">
        <v>13.96</v>
      </c>
      <c r="F1736" s="607">
        <v>32.83</v>
      </c>
      <c r="G1736" s="584">
        <v>15</v>
      </c>
    </row>
    <row r="1737" spans="1:7" ht="15" x14ac:dyDescent="0.2">
      <c r="A1737" s="583" t="s">
        <v>15676</v>
      </c>
      <c r="B1737" s="605" t="s">
        <v>15677</v>
      </c>
      <c r="C1737" s="606" t="s">
        <v>2</v>
      </c>
      <c r="D1737" s="607">
        <v>18.21</v>
      </c>
      <c r="E1737" s="607">
        <v>23.98</v>
      </c>
      <c r="F1737" s="607">
        <v>42.19</v>
      </c>
      <c r="G1737" s="584">
        <v>15</v>
      </c>
    </row>
    <row r="1738" spans="1:7" ht="30" x14ac:dyDescent="0.2">
      <c r="A1738" s="583" t="s">
        <v>15678</v>
      </c>
      <c r="B1738" s="605" t="s">
        <v>21405</v>
      </c>
      <c r="C1738" s="606" t="s">
        <v>2</v>
      </c>
      <c r="D1738" s="607">
        <v>16.239999999999998</v>
      </c>
      <c r="E1738" s="607">
        <v>17.79</v>
      </c>
      <c r="F1738" s="607">
        <v>34.03</v>
      </c>
      <c r="G1738" s="584">
        <v>15</v>
      </c>
    </row>
    <row r="1739" spans="1:7" ht="30" x14ac:dyDescent="0.2">
      <c r="A1739" s="583" t="s">
        <v>15679</v>
      </c>
      <c r="B1739" s="605" t="s">
        <v>21406</v>
      </c>
      <c r="C1739" s="606" t="s">
        <v>2</v>
      </c>
      <c r="D1739" s="607">
        <v>40.479999999999997</v>
      </c>
      <c r="E1739" s="607">
        <v>17.79</v>
      </c>
      <c r="F1739" s="607">
        <v>58.27</v>
      </c>
      <c r="G1739" s="584">
        <v>15</v>
      </c>
    </row>
    <row r="1740" spans="1:7" ht="15" x14ac:dyDescent="0.2">
      <c r="A1740" s="583" t="s">
        <v>15680</v>
      </c>
      <c r="B1740" s="605" t="s">
        <v>15681</v>
      </c>
      <c r="C1740" s="606" t="s">
        <v>2</v>
      </c>
      <c r="D1740" s="607">
        <v>31.22</v>
      </c>
      <c r="E1740" s="607">
        <v>23.98</v>
      </c>
      <c r="F1740" s="607">
        <v>55.2</v>
      </c>
      <c r="G1740" s="584">
        <v>15</v>
      </c>
    </row>
    <row r="1741" spans="1:7" ht="15" x14ac:dyDescent="0.25">
      <c r="A1741" s="583" t="s">
        <v>15682</v>
      </c>
      <c r="B1741" s="605" t="s">
        <v>15683</v>
      </c>
      <c r="C1741" s="606"/>
      <c r="D1741" s="607"/>
      <c r="E1741" s="607"/>
      <c r="F1741" s="607"/>
      <c r="G1741" s="582"/>
    </row>
    <row r="1742" spans="1:7" ht="15" x14ac:dyDescent="0.2">
      <c r="A1742" s="583" t="s">
        <v>15684</v>
      </c>
      <c r="B1742" s="605" t="s">
        <v>15685</v>
      </c>
      <c r="C1742" s="606" t="s">
        <v>2</v>
      </c>
      <c r="D1742" s="607">
        <v>8.39</v>
      </c>
      <c r="E1742" s="607">
        <v>17.79</v>
      </c>
      <c r="F1742" s="607">
        <v>26.18</v>
      </c>
      <c r="G1742" s="584">
        <v>15</v>
      </c>
    </row>
    <row r="1743" spans="1:7" ht="15" x14ac:dyDescent="0.2">
      <c r="A1743" s="583" t="s">
        <v>15686</v>
      </c>
      <c r="B1743" s="605" t="s">
        <v>15687</v>
      </c>
      <c r="C1743" s="606" t="s">
        <v>20358</v>
      </c>
      <c r="D1743" s="607">
        <v>3.2</v>
      </c>
      <c r="E1743" s="607">
        <v>3.31</v>
      </c>
      <c r="F1743" s="607">
        <v>6.51</v>
      </c>
      <c r="G1743" s="584">
        <v>15</v>
      </c>
    </row>
    <row r="1744" spans="1:7" ht="15" x14ac:dyDescent="0.2">
      <c r="A1744" s="583" t="s">
        <v>15688</v>
      </c>
      <c r="B1744" s="605" t="s">
        <v>15689</v>
      </c>
      <c r="C1744" s="606" t="s">
        <v>2</v>
      </c>
      <c r="D1744" s="607">
        <v>10.93</v>
      </c>
      <c r="E1744" s="607">
        <v>20.059999999999999</v>
      </c>
      <c r="F1744" s="607">
        <v>30.99</v>
      </c>
      <c r="G1744" s="584">
        <v>15</v>
      </c>
    </row>
    <row r="1745" spans="1:7" ht="15" x14ac:dyDescent="0.2">
      <c r="A1745" s="583" t="s">
        <v>15690</v>
      </c>
      <c r="B1745" s="605" t="s">
        <v>15691</v>
      </c>
      <c r="C1745" s="606" t="s">
        <v>20358</v>
      </c>
      <c r="D1745" s="607">
        <v>2.89</v>
      </c>
      <c r="E1745" s="607">
        <v>2.65</v>
      </c>
      <c r="F1745" s="607">
        <v>5.54</v>
      </c>
      <c r="G1745" s="584">
        <v>15</v>
      </c>
    </row>
    <row r="1746" spans="1:7" ht="15" x14ac:dyDescent="0.25">
      <c r="A1746" s="583" t="s">
        <v>15692</v>
      </c>
      <c r="B1746" s="605" t="s">
        <v>15693</v>
      </c>
      <c r="C1746" s="606"/>
      <c r="D1746" s="607"/>
      <c r="E1746" s="607"/>
      <c r="F1746" s="607"/>
      <c r="G1746" s="582"/>
    </row>
    <row r="1747" spans="1:7" ht="15" x14ac:dyDescent="0.2">
      <c r="A1747" s="583" t="s">
        <v>15694</v>
      </c>
      <c r="B1747" s="605" t="s">
        <v>15695</v>
      </c>
      <c r="C1747" s="606" t="s">
        <v>2</v>
      </c>
      <c r="D1747" s="607">
        <v>4.6100000000000003</v>
      </c>
      <c r="E1747" s="607">
        <v>23.98</v>
      </c>
      <c r="F1747" s="607">
        <v>28.59</v>
      </c>
      <c r="G1747" s="584">
        <v>15</v>
      </c>
    </row>
    <row r="1748" spans="1:7" ht="15" x14ac:dyDescent="0.25">
      <c r="A1748" s="583" t="s">
        <v>15696</v>
      </c>
      <c r="B1748" s="605" t="s">
        <v>15697</v>
      </c>
      <c r="C1748" s="606"/>
      <c r="D1748" s="607"/>
      <c r="E1748" s="607"/>
      <c r="F1748" s="607"/>
      <c r="G1748" s="582"/>
    </row>
    <row r="1749" spans="1:7" ht="15" x14ac:dyDescent="0.2">
      <c r="A1749" s="583" t="s">
        <v>15698</v>
      </c>
      <c r="B1749" s="605" t="s">
        <v>15699</v>
      </c>
      <c r="C1749" s="606" t="s">
        <v>21053</v>
      </c>
      <c r="D1749" s="607">
        <v>4.45</v>
      </c>
      <c r="E1749" s="607"/>
      <c r="F1749" s="607">
        <v>4.45</v>
      </c>
      <c r="G1749" s="584">
        <v>15</v>
      </c>
    </row>
    <row r="1750" spans="1:7" ht="15" x14ac:dyDescent="0.2">
      <c r="A1750" s="583" t="s">
        <v>15700</v>
      </c>
      <c r="B1750" s="605" t="s">
        <v>15701</v>
      </c>
      <c r="C1750" s="606" t="s">
        <v>21053</v>
      </c>
      <c r="D1750" s="607">
        <v>4.5</v>
      </c>
      <c r="E1750" s="607"/>
      <c r="F1750" s="607">
        <v>4.5</v>
      </c>
      <c r="G1750" s="584">
        <v>15</v>
      </c>
    </row>
    <row r="1751" spans="1:7" ht="45" x14ac:dyDescent="0.2">
      <c r="A1751" s="583" t="s">
        <v>15702</v>
      </c>
      <c r="B1751" s="605" t="s">
        <v>15703</v>
      </c>
      <c r="C1751" s="606" t="s">
        <v>2</v>
      </c>
      <c r="D1751" s="607">
        <v>182.76</v>
      </c>
      <c r="E1751" s="607">
        <v>221.69</v>
      </c>
      <c r="F1751" s="607">
        <v>404.45</v>
      </c>
      <c r="G1751" s="584">
        <v>15</v>
      </c>
    </row>
    <row r="1752" spans="1:7" ht="45" x14ac:dyDescent="0.2">
      <c r="A1752" s="583" t="s">
        <v>15704</v>
      </c>
      <c r="B1752" s="605" t="s">
        <v>15705</v>
      </c>
      <c r="C1752" s="606" t="s">
        <v>2</v>
      </c>
      <c r="D1752" s="607">
        <v>676.18</v>
      </c>
      <c r="E1752" s="607">
        <v>257.04000000000002</v>
      </c>
      <c r="F1752" s="607">
        <v>933.22</v>
      </c>
      <c r="G1752" s="584">
        <v>15</v>
      </c>
    </row>
    <row r="1753" spans="1:7" ht="15" x14ac:dyDescent="0.25">
      <c r="A1753" s="583" t="s">
        <v>15706</v>
      </c>
      <c r="B1753" s="605" t="s">
        <v>15707</v>
      </c>
      <c r="C1753" s="606"/>
      <c r="D1753" s="607"/>
      <c r="E1753" s="607"/>
      <c r="F1753" s="607"/>
      <c r="G1753" s="582"/>
    </row>
    <row r="1754" spans="1:7" ht="15" x14ac:dyDescent="0.2">
      <c r="A1754" s="583" t="s">
        <v>15708</v>
      </c>
      <c r="B1754" s="605" t="s">
        <v>15709</v>
      </c>
      <c r="C1754" s="606" t="s">
        <v>20358</v>
      </c>
      <c r="D1754" s="607">
        <v>1.6</v>
      </c>
      <c r="E1754" s="607">
        <v>1.81</v>
      </c>
      <c r="F1754" s="607">
        <v>3.41</v>
      </c>
      <c r="G1754" s="584">
        <v>15</v>
      </c>
    </row>
    <row r="1755" spans="1:7" ht="15" x14ac:dyDescent="0.2">
      <c r="A1755" s="583" t="s">
        <v>15710</v>
      </c>
      <c r="B1755" s="605" t="s">
        <v>15711</v>
      </c>
      <c r="C1755" s="606" t="s">
        <v>20358</v>
      </c>
      <c r="D1755" s="607">
        <v>1.05</v>
      </c>
      <c r="E1755" s="607">
        <v>3.6</v>
      </c>
      <c r="F1755" s="607">
        <v>4.6500000000000004</v>
      </c>
      <c r="G1755" s="584">
        <v>15</v>
      </c>
    </row>
    <row r="1756" spans="1:7" ht="30" x14ac:dyDescent="0.25">
      <c r="A1756" s="583" t="s">
        <v>15712</v>
      </c>
      <c r="B1756" s="605" t="s">
        <v>15713</v>
      </c>
      <c r="C1756" s="606"/>
      <c r="D1756" s="607"/>
      <c r="E1756" s="607"/>
      <c r="F1756" s="607"/>
      <c r="G1756" s="582"/>
    </row>
    <row r="1757" spans="1:7" ht="15" x14ac:dyDescent="0.2">
      <c r="A1757" s="583" t="s">
        <v>15714</v>
      </c>
      <c r="B1757" s="605" t="s">
        <v>15715</v>
      </c>
      <c r="C1757" s="606" t="s">
        <v>2</v>
      </c>
      <c r="D1757" s="607">
        <v>7.96</v>
      </c>
      <c r="E1757" s="607">
        <v>23.98</v>
      </c>
      <c r="F1757" s="607">
        <v>31.94</v>
      </c>
      <c r="G1757" s="584">
        <v>15</v>
      </c>
    </row>
    <row r="1758" spans="1:7" ht="15" x14ac:dyDescent="0.2">
      <c r="A1758" s="583" t="s">
        <v>15716</v>
      </c>
      <c r="B1758" s="605" t="s">
        <v>15717</v>
      </c>
      <c r="C1758" s="606" t="s">
        <v>2</v>
      </c>
      <c r="D1758" s="607">
        <v>13.55</v>
      </c>
      <c r="E1758" s="607">
        <v>23.98</v>
      </c>
      <c r="F1758" s="607">
        <v>37.53</v>
      </c>
      <c r="G1758" s="584">
        <v>15</v>
      </c>
    </row>
    <row r="1759" spans="1:7" ht="15" x14ac:dyDescent="0.2">
      <c r="A1759" s="583" t="s">
        <v>15718</v>
      </c>
      <c r="B1759" s="605" t="s">
        <v>15719</v>
      </c>
      <c r="C1759" s="606" t="s">
        <v>2</v>
      </c>
      <c r="D1759" s="607">
        <v>14.67</v>
      </c>
      <c r="E1759" s="607">
        <v>23.98</v>
      </c>
      <c r="F1759" s="607">
        <v>38.65</v>
      </c>
      <c r="G1759" s="584">
        <v>15</v>
      </c>
    </row>
    <row r="1760" spans="1:7" ht="15" x14ac:dyDescent="0.2">
      <c r="A1760" s="583" t="s">
        <v>15720</v>
      </c>
      <c r="B1760" s="605" t="s">
        <v>15721</v>
      </c>
      <c r="C1760" s="606" t="s">
        <v>2</v>
      </c>
      <c r="D1760" s="607">
        <v>11.97</v>
      </c>
      <c r="E1760" s="607">
        <v>23.98</v>
      </c>
      <c r="F1760" s="607">
        <v>35.950000000000003</v>
      </c>
      <c r="G1760" s="584">
        <v>15</v>
      </c>
    </row>
    <row r="1761" spans="1:7" ht="15" x14ac:dyDescent="0.2">
      <c r="A1761" s="583" t="s">
        <v>15722</v>
      </c>
      <c r="B1761" s="605" t="s">
        <v>15723</v>
      </c>
      <c r="C1761" s="606" t="s">
        <v>2</v>
      </c>
      <c r="D1761" s="607">
        <v>94.38</v>
      </c>
      <c r="E1761" s="607">
        <v>50.25</v>
      </c>
      <c r="F1761" s="607">
        <v>144.63</v>
      </c>
      <c r="G1761" s="584">
        <v>15</v>
      </c>
    </row>
    <row r="1762" spans="1:7" ht="15" x14ac:dyDescent="0.2">
      <c r="A1762" s="583" t="s">
        <v>15724</v>
      </c>
      <c r="B1762" s="605" t="s">
        <v>15725</v>
      </c>
      <c r="C1762" s="606" t="s">
        <v>2</v>
      </c>
      <c r="D1762" s="607">
        <v>19.32</v>
      </c>
      <c r="E1762" s="607">
        <v>23.98</v>
      </c>
      <c r="F1762" s="607">
        <v>43.3</v>
      </c>
      <c r="G1762" s="584">
        <v>15</v>
      </c>
    </row>
    <row r="1763" spans="1:7" ht="15" x14ac:dyDescent="0.2">
      <c r="A1763" s="583" t="s">
        <v>15726</v>
      </c>
      <c r="B1763" s="605" t="s">
        <v>15727</v>
      </c>
      <c r="C1763" s="606" t="s">
        <v>2</v>
      </c>
      <c r="D1763" s="607">
        <v>12.15</v>
      </c>
      <c r="E1763" s="607">
        <v>33.5</v>
      </c>
      <c r="F1763" s="607">
        <v>45.65</v>
      </c>
      <c r="G1763" s="584">
        <v>15</v>
      </c>
    </row>
    <row r="1764" spans="1:7" ht="45" x14ac:dyDescent="0.2">
      <c r="A1764" s="583" t="s">
        <v>15728</v>
      </c>
      <c r="B1764" s="605" t="s">
        <v>15729</v>
      </c>
      <c r="C1764" s="606" t="s">
        <v>2</v>
      </c>
      <c r="D1764" s="607">
        <v>258.02999999999997</v>
      </c>
      <c r="E1764" s="607"/>
      <c r="F1764" s="607">
        <v>258.02999999999997</v>
      </c>
      <c r="G1764" s="584">
        <v>15</v>
      </c>
    </row>
    <row r="1765" spans="1:7" ht="45" x14ac:dyDescent="0.2">
      <c r="A1765" s="583" t="s">
        <v>15730</v>
      </c>
      <c r="B1765" s="605" t="s">
        <v>15731</v>
      </c>
      <c r="C1765" s="606" t="s">
        <v>2</v>
      </c>
      <c r="D1765" s="607">
        <v>511.6</v>
      </c>
      <c r="E1765" s="607"/>
      <c r="F1765" s="607">
        <v>511.6</v>
      </c>
      <c r="G1765" s="584">
        <v>15</v>
      </c>
    </row>
    <row r="1766" spans="1:7" ht="15" x14ac:dyDescent="0.25">
      <c r="A1766" s="583" t="s">
        <v>15732</v>
      </c>
      <c r="B1766" s="605" t="s">
        <v>15733</v>
      </c>
      <c r="C1766" s="606"/>
      <c r="D1766" s="607"/>
      <c r="E1766" s="607"/>
      <c r="F1766" s="607"/>
      <c r="G1766" s="582"/>
    </row>
    <row r="1767" spans="1:7" ht="15" x14ac:dyDescent="0.2">
      <c r="A1767" s="583" t="s">
        <v>15734</v>
      </c>
      <c r="B1767" s="605" t="s">
        <v>15735</v>
      </c>
      <c r="C1767" s="606" t="s">
        <v>2</v>
      </c>
      <c r="D1767" s="607">
        <v>18.829999999999998</v>
      </c>
      <c r="E1767" s="607">
        <v>33.5</v>
      </c>
      <c r="F1767" s="607">
        <v>52.33</v>
      </c>
      <c r="G1767" s="584">
        <v>15</v>
      </c>
    </row>
    <row r="1768" spans="1:7" ht="15" x14ac:dyDescent="0.25">
      <c r="A1768" s="583" t="s">
        <v>15736</v>
      </c>
      <c r="B1768" s="605" t="s">
        <v>15737</v>
      </c>
      <c r="C1768" s="606"/>
      <c r="D1768" s="607"/>
      <c r="E1768" s="607"/>
      <c r="F1768" s="607"/>
      <c r="G1768" s="582"/>
    </row>
    <row r="1769" spans="1:7" ht="15" x14ac:dyDescent="0.2">
      <c r="A1769" s="583" t="s">
        <v>15738</v>
      </c>
      <c r="B1769" s="605" t="s">
        <v>15739</v>
      </c>
      <c r="C1769" s="606" t="s">
        <v>2</v>
      </c>
      <c r="D1769" s="607">
        <v>19.27</v>
      </c>
      <c r="E1769" s="607">
        <v>33.5</v>
      </c>
      <c r="F1769" s="607">
        <v>52.77</v>
      </c>
      <c r="G1769" s="584">
        <v>15</v>
      </c>
    </row>
    <row r="1770" spans="1:7" ht="15" x14ac:dyDescent="0.25">
      <c r="A1770" s="583" t="s">
        <v>15740</v>
      </c>
      <c r="B1770" s="605" t="s">
        <v>15741</v>
      </c>
      <c r="C1770" s="606"/>
      <c r="D1770" s="607"/>
      <c r="E1770" s="607"/>
      <c r="F1770" s="607"/>
      <c r="G1770" s="582"/>
    </row>
    <row r="1771" spans="1:7" ht="15" x14ac:dyDescent="0.25">
      <c r="A1771" s="583" t="s">
        <v>15742</v>
      </c>
      <c r="B1771" s="605" t="s">
        <v>15743</v>
      </c>
      <c r="C1771" s="606"/>
      <c r="D1771" s="607"/>
      <c r="E1771" s="607"/>
      <c r="F1771" s="607"/>
      <c r="G1771" s="582"/>
    </row>
    <row r="1772" spans="1:7" ht="15" x14ac:dyDescent="0.2">
      <c r="A1772" s="583" t="s">
        <v>15744</v>
      </c>
      <c r="B1772" s="605" t="s">
        <v>15745</v>
      </c>
      <c r="C1772" s="606" t="s">
        <v>21482</v>
      </c>
      <c r="D1772" s="607">
        <v>184.22</v>
      </c>
      <c r="E1772" s="607">
        <v>56.78</v>
      </c>
      <c r="F1772" s="607">
        <v>241</v>
      </c>
      <c r="G1772" s="584">
        <v>15</v>
      </c>
    </row>
    <row r="1773" spans="1:7" ht="30" x14ac:dyDescent="0.2">
      <c r="A1773" s="583" t="s">
        <v>15746</v>
      </c>
      <c r="B1773" s="605" t="s">
        <v>15747</v>
      </c>
      <c r="C1773" s="606" t="s">
        <v>2</v>
      </c>
      <c r="D1773" s="607"/>
      <c r="E1773" s="607">
        <v>2.27</v>
      </c>
      <c r="F1773" s="607">
        <v>2.27</v>
      </c>
      <c r="G1773" s="584">
        <v>15</v>
      </c>
    </row>
    <row r="1774" spans="1:7" ht="15" x14ac:dyDescent="0.25">
      <c r="A1774" s="583" t="s">
        <v>15748</v>
      </c>
      <c r="B1774" s="605" t="s">
        <v>15749</v>
      </c>
      <c r="C1774" s="606"/>
      <c r="D1774" s="607"/>
      <c r="E1774" s="607"/>
      <c r="F1774" s="607"/>
      <c r="G1774" s="582"/>
    </row>
    <row r="1775" spans="1:7" ht="15" x14ac:dyDescent="0.2">
      <c r="A1775" s="583" t="s">
        <v>15750</v>
      </c>
      <c r="B1775" s="605" t="s">
        <v>15751</v>
      </c>
      <c r="C1775" s="606" t="s">
        <v>2</v>
      </c>
      <c r="D1775" s="607">
        <v>10.41</v>
      </c>
      <c r="E1775" s="607">
        <v>3.84</v>
      </c>
      <c r="F1775" s="607">
        <v>14.25</v>
      </c>
      <c r="G1775" s="584">
        <v>15</v>
      </c>
    </row>
    <row r="1776" spans="1:7" ht="15" x14ac:dyDescent="0.2">
      <c r="A1776" s="583" t="s">
        <v>15752</v>
      </c>
      <c r="B1776" s="605" t="s">
        <v>15753</v>
      </c>
      <c r="C1776" s="606" t="s">
        <v>2</v>
      </c>
      <c r="D1776" s="607">
        <v>9.74</v>
      </c>
      <c r="E1776" s="607">
        <v>5.75</v>
      </c>
      <c r="F1776" s="607">
        <v>15.49</v>
      </c>
      <c r="G1776" s="584">
        <v>15</v>
      </c>
    </row>
    <row r="1777" spans="1:7" ht="15" x14ac:dyDescent="0.2">
      <c r="A1777" s="583" t="s">
        <v>15754</v>
      </c>
      <c r="B1777" s="605" t="s">
        <v>15755</v>
      </c>
      <c r="C1777" s="606" t="s">
        <v>2</v>
      </c>
      <c r="D1777" s="607">
        <v>115.47</v>
      </c>
      <c r="E1777" s="607">
        <v>7.3</v>
      </c>
      <c r="F1777" s="607">
        <v>122.77</v>
      </c>
      <c r="G1777" s="584">
        <v>15</v>
      </c>
    </row>
    <row r="1778" spans="1:7" ht="15" x14ac:dyDescent="0.2">
      <c r="A1778" s="583" t="s">
        <v>15756</v>
      </c>
      <c r="B1778" s="605" t="s">
        <v>15757</v>
      </c>
      <c r="C1778" s="606" t="s">
        <v>2</v>
      </c>
      <c r="D1778" s="607">
        <v>18.27</v>
      </c>
      <c r="E1778" s="607">
        <v>5.75</v>
      </c>
      <c r="F1778" s="607">
        <v>24.02</v>
      </c>
      <c r="G1778" s="584">
        <v>15</v>
      </c>
    </row>
    <row r="1779" spans="1:7" ht="15" x14ac:dyDescent="0.2">
      <c r="A1779" s="583" t="s">
        <v>15758</v>
      </c>
      <c r="B1779" s="605" t="s">
        <v>15759</v>
      </c>
      <c r="C1779" s="606" t="s">
        <v>2</v>
      </c>
      <c r="D1779" s="607">
        <v>53.37</v>
      </c>
      <c r="E1779" s="607">
        <v>7.3</v>
      </c>
      <c r="F1779" s="607">
        <v>60.67</v>
      </c>
      <c r="G1779" s="584">
        <v>15</v>
      </c>
    </row>
    <row r="1780" spans="1:7" ht="15" x14ac:dyDescent="0.2">
      <c r="A1780" s="583" t="s">
        <v>15760</v>
      </c>
      <c r="B1780" s="605" t="s">
        <v>15761</v>
      </c>
      <c r="C1780" s="606" t="s">
        <v>2</v>
      </c>
      <c r="D1780" s="607">
        <v>13.83</v>
      </c>
      <c r="E1780" s="607">
        <v>5.75</v>
      </c>
      <c r="F1780" s="607">
        <v>19.579999999999998</v>
      </c>
      <c r="G1780" s="584">
        <v>15</v>
      </c>
    </row>
    <row r="1781" spans="1:7" ht="15" x14ac:dyDescent="0.2">
      <c r="A1781" s="583" t="s">
        <v>15762</v>
      </c>
      <c r="B1781" s="605" t="s">
        <v>15763</v>
      </c>
      <c r="C1781" s="606" t="s">
        <v>2</v>
      </c>
      <c r="D1781" s="607">
        <v>53.69</v>
      </c>
      <c r="E1781" s="607">
        <v>7.3</v>
      </c>
      <c r="F1781" s="607">
        <v>60.99</v>
      </c>
      <c r="G1781" s="584">
        <v>15</v>
      </c>
    </row>
    <row r="1782" spans="1:7" ht="15" x14ac:dyDescent="0.2">
      <c r="A1782" s="583" t="s">
        <v>15764</v>
      </c>
      <c r="B1782" s="605" t="s">
        <v>15765</v>
      </c>
      <c r="C1782" s="606" t="s">
        <v>2</v>
      </c>
      <c r="D1782" s="607">
        <v>16.489999999999998</v>
      </c>
      <c r="E1782" s="607"/>
      <c r="F1782" s="607">
        <v>16.489999999999998</v>
      </c>
      <c r="G1782" s="584">
        <v>15</v>
      </c>
    </row>
    <row r="1783" spans="1:7" ht="15" x14ac:dyDescent="0.25">
      <c r="A1783" s="583" t="s">
        <v>15766</v>
      </c>
      <c r="B1783" s="605" t="s">
        <v>15767</v>
      </c>
      <c r="C1783" s="606"/>
      <c r="D1783" s="607"/>
      <c r="E1783" s="607"/>
      <c r="F1783" s="607"/>
      <c r="G1783" s="582"/>
    </row>
    <row r="1784" spans="1:7" ht="15" x14ac:dyDescent="0.2">
      <c r="A1784" s="583" t="s">
        <v>15768</v>
      </c>
      <c r="B1784" s="605" t="s">
        <v>15769</v>
      </c>
      <c r="C1784" s="606" t="s">
        <v>20385</v>
      </c>
      <c r="D1784" s="607">
        <v>55.65</v>
      </c>
      <c r="E1784" s="607">
        <v>4.2</v>
      </c>
      <c r="F1784" s="607">
        <v>59.85</v>
      </c>
      <c r="G1784" s="584">
        <v>15</v>
      </c>
    </row>
    <row r="1785" spans="1:7" ht="15" x14ac:dyDescent="0.2">
      <c r="A1785" s="583" t="s">
        <v>15770</v>
      </c>
      <c r="B1785" s="605" t="s">
        <v>15771</v>
      </c>
      <c r="C1785" s="606" t="s">
        <v>20385</v>
      </c>
      <c r="D1785" s="607">
        <v>41.32</v>
      </c>
      <c r="E1785" s="607">
        <v>4.2</v>
      </c>
      <c r="F1785" s="607">
        <v>45.52</v>
      </c>
      <c r="G1785" s="584">
        <v>15</v>
      </c>
    </row>
    <row r="1786" spans="1:7" ht="15" x14ac:dyDescent="0.2">
      <c r="A1786" s="583" t="s">
        <v>15772</v>
      </c>
      <c r="B1786" s="605" t="s">
        <v>15773</v>
      </c>
      <c r="C1786" s="606" t="s">
        <v>20385</v>
      </c>
      <c r="D1786" s="607">
        <v>51.63</v>
      </c>
      <c r="E1786" s="607">
        <v>4.2</v>
      </c>
      <c r="F1786" s="607">
        <v>55.83</v>
      </c>
      <c r="G1786" s="584">
        <v>15</v>
      </c>
    </row>
    <row r="1787" spans="1:7" ht="15" x14ac:dyDescent="0.2">
      <c r="A1787" s="583" t="s">
        <v>15774</v>
      </c>
      <c r="B1787" s="605" t="s">
        <v>15775</v>
      </c>
      <c r="C1787" s="606" t="s">
        <v>20385</v>
      </c>
      <c r="D1787" s="607">
        <v>59.48</v>
      </c>
      <c r="E1787" s="607">
        <v>4.2</v>
      </c>
      <c r="F1787" s="607">
        <v>63.68</v>
      </c>
      <c r="G1787" s="584">
        <v>15</v>
      </c>
    </row>
    <row r="1788" spans="1:7" ht="15" x14ac:dyDescent="0.25">
      <c r="A1788" s="583" t="s">
        <v>15776</v>
      </c>
      <c r="B1788" s="605" t="s">
        <v>15777</v>
      </c>
      <c r="C1788" s="606"/>
      <c r="D1788" s="607"/>
      <c r="E1788" s="607"/>
      <c r="F1788" s="607"/>
      <c r="G1788" s="582"/>
    </row>
    <row r="1789" spans="1:7" ht="15" x14ac:dyDescent="0.2">
      <c r="A1789" s="583" t="s">
        <v>15778</v>
      </c>
      <c r="B1789" s="605" t="s">
        <v>15779</v>
      </c>
      <c r="C1789" s="606" t="s">
        <v>12375</v>
      </c>
      <c r="D1789" s="607">
        <v>107</v>
      </c>
      <c r="E1789" s="607">
        <v>36.53</v>
      </c>
      <c r="F1789" s="607">
        <v>143.53</v>
      </c>
      <c r="G1789" s="584">
        <v>15</v>
      </c>
    </row>
    <row r="1790" spans="1:7" ht="15" x14ac:dyDescent="0.2">
      <c r="A1790" s="583" t="s">
        <v>15780</v>
      </c>
      <c r="B1790" s="605" t="s">
        <v>15781</v>
      </c>
      <c r="C1790" s="606" t="s">
        <v>12375</v>
      </c>
      <c r="D1790" s="607">
        <v>148.43</v>
      </c>
      <c r="E1790" s="607">
        <v>36.53</v>
      </c>
      <c r="F1790" s="607">
        <v>184.96</v>
      </c>
      <c r="G1790" s="584">
        <v>15</v>
      </c>
    </row>
    <row r="1791" spans="1:7" ht="15" x14ac:dyDescent="0.2">
      <c r="A1791" s="583" t="s">
        <v>15782</v>
      </c>
      <c r="B1791" s="605" t="s">
        <v>15783</v>
      </c>
      <c r="C1791" s="606" t="s">
        <v>12375</v>
      </c>
      <c r="D1791" s="607">
        <v>232.84</v>
      </c>
      <c r="E1791" s="607">
        <v>36.53</v>
      </c>
      <c r="F1791" s="607">
        <v>269.37</v>
      </c>
      <c r="G1791" s="584">
        <v>15</v>
      </c>
    </row>
    <row r="1792" spans="1:7" ht="15" x14ac:dyDescent="0.2">
      <c r="A1792" s="583" t="s">
        <v>15784</v>
      </c>
      <c r="B1792" s="605" t="s">
        <v>20167</v>
      </c>
      <c r="C1792" s="606" t="s">
        <v>12375</v>
      </c>
      <c r="D1792" s="607">
        <v>352.27</v>
      </c>
      <c r="E1792" s="607">
        <v>36.53</v>
      </c>
      <c r="F1792" s="607">
        <v>388.8</v>
      </c>
      <c r="G1792" s="584">
        <v>15</v>
      </c>
    </row>
    <row r="1793" spans="1:7" ht="15" x14ac:dyDescent="0.2">
      <c r="A1793" s="583" t="s">
        <v>15785</v>
      </c>
      <c r="B1793" s="605" t="s">
        <v>15786</v>
      </c>
      <c r="C1793" s="606" t="s">
        <v>12375</v>
      </c>
      <c r="D1793" s="607">
        <v>137.41999999999999</v>
      </c>
      <c r="E1793" s="607">
        <v>36.53</v>
      </c>
      <c r="F1793" s="607">
        <v>173.95</v>
      </c>
      <c r="G1793" s="584">
        <v>15</v>
      </c>
    </row>
    <row r="1794" spans="1:7" ht="15" x14ac:dyDescent="0.2">
      <c r="A1794" s="583" t="s">
        <v>15787</v>
      </c>
      <c r="B1794" s="605" t="s">
        <v>20168</v>
      </c>
      <c r="C1794" s="606" t="s">
        <v>12375</v>
      </c>
      <c r="D1794" s="607">
        <v>92.97</v>
      </c>
      <c r="E1794" s="607">
        <v>36.53</v>
      </c>
      <c r="F1794" s="607">
        <v>129.5</v>
      </c>
      <c r="G1794" s="584">
        <v>15</v>
      </c>
    </row>
    <row r="1795" spans="1:7" ht="15" x14ac:dyDescent="0.2">
      <c r="A1795" s="583" t="s">
        <v>15788</v>
      </c>
      <c r="B1795" s="605" t="s">
        <v>15789</v>
      </c>
      <c r="C1795" s="606" t="s">
        <v>12375</v>
      </c>
      <c r="D1795" s="607">
        <v>416.35</v>
      </c>
      <c r="E1795" s="607">
        <v>36.53</v>
      </c>
      <c r="F1795" s="607">
        <v>452.88</v>
      </c>
      <c r="G1795" s="584">
        <v>15</v>
      </c>
    </row>
    <row r="1796" spans="1:7" ht="15" x14ac:dyDescent="0.2">
      <c r="A1796" s="583" t="s">
        <v>15790</v>
      </c>
      <c r="B1796" s="605" t="s">
        <v>20381</v>
      </c>
      <c r="C1796" s="606" t="s">
        <v>12375</v>
      </c>
      <c r="D1796" s="607">
        <v>135.31</v>
      </c>
      <c r="E1796" s="607">
        <v>36.53</v>
      </c>
      <c r="F1796" s="607">
        <v>171.84</v>
      </c>
      <c r="G1796" s="584">
        <v>15</v>
      </c>
    </row>
    <row r="1797" spans="1:7" ht="15" x14ac:dyDescent="0.25">
      <c r="A1797" s="583" t="s">
        <v>15791</v>
      </c>
      <c r="B1797" s="605" t="s">
        <v>15792</v>
      </c>
      <c r="C1797" s="606"/>
      <c r="D1797" s="607"/>
      <c r="E1797" s="607"/>
      <c r="F1797" s="607"/>
      <c r="G1797" s="582"/>
    </row>
    <row r="1798" spans="1:7" ht="15" x14ac:dyDescent="0.2">
      <c r="A1798" s="583" t="s">
        <v>15793</v>
      </c>
      <c r="B1798" s="605" t="s">
        <v>15794</v>
      </c>
      <c r="C1798" s="606" t="s">
        <v>12483</v>
      </c>
      <c r="D1798" s="607">
        <v>29.15</v>
      </c>
      <c r="E1798" s="607">
        <v>36.53</v>
      </c>
      <c r="F1798" s="607">
        <v>65.680000000000007</v>
      </c>
      <c r="G1798" s="584">
        <v>15</v>
      </c>
    </row>
    <row r="1799" spans="1:7" ht="30" x14ac:dyDescent="0.2">
      <c r="A1799" s="583" t="s">
        <v>15795</v>
      </c>
      <c r="B1799" s="605" t="s">
        <v>15796</v>
      </c>
      <c r="C1799" s="606" t="s">
        <v>12483</v>
      </c>
      <c r="D1799" s="607">
        <v>39.32</v>
      </c>
      <c r="E1799" s="607">
        <v>36.53</v>
      </c>
      <c r="F1799" s="607">
        <v>75.849999999999994</v>
      </c>
      <c r="G1799" s="584">
        <v>15</v>
      </c>
    </row>
    <row r="1800" spans="1:7" ht="30" x14ac:dyDescent="0.2">
      <c r="A1800" s="583" t="s">
        <v>15797</v>
      </c>
      <c r="B1800" s="605" t="s">
        <v>15798</v>
      </c>
      <c r="C1800" s="606" t="s">
        <v>12483</v>
      </c>
      <c r="D1800" s="607">
        <v>43.77</v>
      </c>
      <c r="E1800" s="607">
        <v>36.53</v>
      </c>
      <c r="F1800" s="607">
        <v>80.3</v>
      </c>
      <c r="G1800" s="584">
        <v>15</v>
      </c>
    </row>
    <row r="1801" spans="1:7" ht="30" x14ac:dyDescent="0.2">
      <c r="A1801" s="583" t="s">
        <v>15799</v>
      </c>
      <c r="B1801" s="605" t="s">
        <v>15800</v>
      </c>
      <c r="C1801" s="606" t="s">
        <v>20358</v>
      </c>
      <c r="D1801" s="607">
        <v>158.12</v>
      </c>
      <c r="E1801" s="607">
        <v>58.53</v>
      </c>
      <c r="F1801" s="607">
        <v>216.65</v>
      </c>
      <c r="G1801" s="584">
        <v>15</v>
      </c>
    </row>
    <row r="1802" spans="1:7" ht="30" x14ac:dyDescent="0.2">
      <c r="A1802" s="583" t="s">
        <v>15801</v>
      </c>
      <c r="B1802" s="605" t="s">
        <v>15802</v>
      </c>
      <c r="C1802" s="606" t="s">
        <v>2</v>
      </c>
      <c r="D1802" s="607">
        <v>238.41</v>
      </c>
      <c r="E1802" s="607"/>
      <c r="F1802" s="607">
        <v>238.41</v>
      </c>
      <c r="G1802" s="584">
        <v>15</v>
      </c>
    </row>
    <row r="1803" spans="1:7" ht="30" x14ac:dyDescent="0.2">
      <c r="A1803" s="583" t="s">
        <v>15803</v>
      </c>
      <c r="B1803" s="605" t="s">
        <v>15804</v>
      </c>
      <c r="C1803" s="606" t="s">
        <v>2</v>
      </c>
      <c r="D1803" s="607">
        <v>248.96</v>
      </c>
      <c r="E1803" s="607"/>
      <c r="F1803" s="607">
        <v>248.96</v>
      </c>
      <c r="G1803" s="584">
        <v>15</v>
      </c>
    </row>
    <row r="1804" spans="1:7" ht="30" x14ac:dyDescent="0.2">
      <c r="A1804" s="583" t="s">
        <v>15805</v>
      </c>
      <c r="B1804" s="605" t="s">
        <v>15806</v>
      </c>
      <c r="C1804" s="606" t="s">
        <v>2</v>
      </c>
      <c r="D1804" s="607">
        <v>220.89</v>
      </c>
      <c r="E1804" s="607"/>
      <c r="F1804" s="607">
        <v>220.89</v>
      </c>
      <c r="G1804" s="584">
        <v>15</v>
      </c>
    </row>
    <row r="1805" spans="1:7" ht="30" x14ac:dyDescent="0.2">
      <c r="A1805" s="583" t="s">
        <v>15807</v>
      </c>
      <c r="B1805" s="605" t="s">
        <v>15808</v>
      </c>
      <c r="C1805" s="606" t="s">
        <v>20358</v>
      </c>
      <c r="D1805" s="607">
        <v>46.11</v>
      </c>
      <c r="E1805" s="607"/>
      <c r="F1805" s="607">
        <v>46.11</v>
      </c>
      <c r="G1805" s="584">
        <v>15</v>
      </c>
    </row>
    <row r="1806" spans="1:7" ht="45" x14ac:dyDescent="0.2">
      <c r="A1806" s="583" t="s">
        <v>15809</v>
      </c>
      <c r="B1806" s="605" t="s">
        <v>15810</v>
      </c>
      <c r="C1806" s="606" t="s">
        <v>2</v>
      </c>
      <c r="D1806" s="607">
        <v>330.25</v>
      </c>
      <c r="E1806" s="607"/>
      <c r="F1806" s="607">
        <v>330.25</v>
      </c>
      <c r="G1806" s="584">
        <v>15</v>
      </c>
    </row>
    <row r="1807" spans="1:7" ht="30" x14ac:dyDescent="0.2">
      <c r="A1807" s="583" t="s">
        <v>15811</v>
      </c>
      <c r="B1807" s="605" t="s">
        <v>15812</v>
      </c>
      <c r="C1807" s="606" t="s">
        <v>2</v>
      </c>
      <c r="D1807" s="607">
        <v>397.36</v>
      </c>
      <c r="E1807" s="607">
        <v>75.28</v>
      </c>
      <c r="F1807" s="607">
        <v>472.64</v>
      </c>
      <c r="G1807" s="584">
        <v>15</v>
      </c>
    </row>
    <row r="1808" spans="1:7" ht="30" x14ac:dyDescent="0.2">
      <c r="A1808" s="583" t="s">
        <v>15813</v>
      </c>
      <c r="B1808" s="605" t="s">
        <v>15814</v>
      </c>
      <c r="C1808" s="606" t="s">
        <v>2</v>
      </c>
      <c r="D1808" s="607">
        <v>238.03</v>
      </c>
      <c r="E1808" s="607"/>
      <c r="F1808" s="607">
        <v>238.03</v>
      </c>
      <c r="G1808" s="584">
        <v>15</v>
      </c>
    </row>
    <row r="1809" spans="1:7" ht="30" x14ac:dyDescent="0.2">
      <c r="A1809" s="583" t="s">
        <v>15815</v>
      </c>
      <c r="B1809" s="605" t="s">
        <v>15816</v>
      </c>
      <c r="C1809" s="606" t="s">
        <v>2</v>
      </c>
      <c r="D1809" s="607">
        <v>1521.18</v>
      </c>
      <c r="E1809" s="607">
        <v>112.41</v>
      </c>
      <c r="F1809" s="607">
        <v>1633.59</v>
      </c>
      <c r="G1809" s="584">
        <v>15</v>
      </c>
    </row>
    <row r="1810" spans="1:7" ht="30" x14ac:dyDescent="0.2">
      <c r="A1810" s="583" t="s">
        <v>15817</v>
      </c>
      <c r="B1810" s="605" t="s">
        <v>15818</v>
      </c>
      <c r="C1810" s="606" t="s">
        <v>2</v>
      </c>
      <c r="D1810" s="607">
        <v>1030.8900000000001</v>
      </c>
      <c r="E1810" s="607">
        <v>112.41</v>
      </c>
      <c r="F1810" s="607">
        <v>1143.3</v>
      </c>
      <c r="G1810" s="584">
        <v>15</v>
      </c>
    </row>
    <row r="1811" spans="1:7" ht="15" x14ac:dyDescent="0.2">
      <c r="A1811" s="583" t="s">
        <v>15819</v>
      </c>
      <c r="B1811" s="605" t="s">
        <v>15820</v>
      </c>
      <c r="C1811" s="606" t="s">
        <v>2</v>
      </c>
      <c r="D1811" s="607">
        <v>549.91999999999996</v>
      </c>
      <c r="E1811" s="607">
        <v>44.08</v>
      </c>
      <c r="F1811" s="607">
        <v>594</v>
      </c>
      <c r="G1811" s="584">
        <v>15</v>
      </c>
    </row>
    <row r="1812" spans="1:7" ht="15" x14ac:dyDescent="0.2">
      <c r="A1812" s="583" t="s">
        <v>15821</v>
      </c>
      <c r="B1812" s="605" t="s">
        <v>15822</v>
      </c>
      <c r="C1812" s="606" t="s">
        <v>2</v>
      </c>
      <c r="D1812" s="607">
        <v>777.74</v>
      </c>
      <c r="E1812" s="607">
        <v>38.340000000000003</v>
      </c>
      <c r="F1812" s="607">
        <v>816.08</v>
      </c>
      <c r="G1812" s="584">
        <v>15</v>
      </c>
    </row>
    <row r="1813" spans="1:7" ht="30" x14ac:dyDescent="0.2">
      <c r="A1813" s="583" t="s">
        <v>20382</v>
      </c>
      <c r="B1813" s="605" t="s">
        <v>20383</v>
      </c>
      <c r="C1813" s="606" t="s">
        <v>20385</v>
      </c>
      <c r="D1813" s="607">
        <v>578.41999999999996</v>
      </c>
      <c r="E1813" s="607">
        <v>150.68</v>
      </c>
      <c r="F1813" s="607">
        <v>729.1</v>
      </c>
      <c r="G1813" s="584">
        <v>15</v>
      </c>
    </row>
    <row r="1814" spans="1:7" ht="15" x14ac:dyDescent="0.2">
      <c r="A1814" s="583" t="s">
        <v>15823</v>
      </c>
      <c r="B1814" s="605" t="s">
        <v>15824</v>
      </c>
      <c r="C1814" s="606" t="s">
        <v>2</v>
      </c>
      <c r="D1814" s="607">
        <v>1443.69</v>
      </c>
      <c r="E1814" s="607">
        <v>90.74</v>
      </c>
      <c r="F1814" s="607">
        <v>1534.43</v>
      </c>
      <c r="G1814" s="584">
        <v>15</v>
      </c>
    </row>
    <row r="1815" spans="1:7" ht="15" x14ac:dyDescent="0.2">
      <c r="A1815" s="583" t="s">
        <v>15825</v>
      </c>
      <c r="B1815" s="605" t="s">
        <v>15826</v>
      </c>
      <c r="C1815" s="606" t="s">
        <v>2</v>
      </c>
      <c r="D1815" s="607">
        <v>97.95</v>
      </c>
      <c r="E1815" s="607">
        <v>110.65</v>
      </c>
      <c r="F1815" s="607">
        <v>208.6</v>
      </c>
      <c r="G1815" s="584">
        <v>15</v>
      </c>
    </row>
    <row r="1816" spans="1:7" ht="15" x14ac:dyDescent="0.2">
      <c r="A1816" s="583" t="s">
        <v>15827</v>
      </c>
      <c r="B1816" s="605" t="s">
        <v>15828</v>
      </c>
      <c r="C1816" s="606" t="s">
        <v>20358</v>
      </c>
      <c r="D1816" s="607">
        <v>199.86</v>
      </c>
      <c r="E1816" s="607">
        <v>59.01</v>
      </c>
      <c r="F1816" s="607">
        <v>258.87</v>
      </c>
      <c r="G1816" s="584">
        <v>15</v>
      </c>
    </row>
    <row r="1817" spans="1:7" ht="15" x14ac:dyDescent="0.25">
      <c r="A1817" s="583" t="s">
        <v>15829</v>
      </c>
      <c r="B1817" s="605" t="s">
        <v>15830</v>
      </c>
      <c r="C1817" s="606"/>
      <c r="D1817" s="607"/>
      <c r="E1817" s="607"/>
      <c r="F1817" s="607"/>
      <c r="G1817" s="582"/>
    </row>
    <row r="1818" spans="1:7" ht="30" x14ac:dyDescent="0.2">
      <c r="A1818" s="583" t="s">
        <v>15831</v>
      </c>
      <c r="B1818" s="605" t="s">
        <v>15832</v>
      </c>
      <c r="C1818" s="606" t="s">
        <v>20385</v>
      </c>
      <c r="D1818" s="607">
        <v>106.7</v>
      </c>
      <c r="E1818" s="607">
        <v>176.66</v>
      </c>
      <c r="F1818" s="607">
        <v>283.36</v>
      </c>
      <c r="G1818" s="584">
        <v>15</v>
      </c>
    </row>
    <row r="1819" spans="1:7" ht="30" x14ac:dyDescent="0.2">
      <c r="A1819" s="583" t="s">
        <v>15833</v>
      </c>
      <c r="B1819" s="605" t="s">
        <v>15834</v>
      </c>
      <c r="C1819" s="606" t="s">
        <v>20385</v>
      </c>
      <c r="D1819" s="607">
        <v>573.62</v>
      </c>
      <c r="E1819" s="607">
        <v>217.06</v>
      </c>
      <c r="F1819" s="607">
        <v>790.68</v>
      </c>
      <c r="G1819" s="584">
        <v>15</v>
      </c>
    </row>
    <row r="1820" spans="1:7" ht="30" x14ac:dyDescent="0.2">
      <c r="A1820" s="583" t="s">
        <v>15835</v>
      </c>
      <c r="B1820" s="605" t="s">
        <v>15836</v>
      </c>
      <c r="C1820" s="606" t="s">
        <v>20385</v>
      </c>
      <c r="D1820" s="607">
        <v>2322.64</v>
      </c>
      <c r="E1820" s="607">
        <v>393.72</v>
      </c>
      <c r="F1820" s="607">
        <v>2716.36</v>
      </c>
      <c r="G1820" s="584">
        <v>15</v>
      </c>
    </row>
    <row r="1821" spans="1:7" ht="30" x14ac:dyDescent="0.2">
      <c r="A1821" s="583" t="s">
        <v>15837</v>
      </c>
      <c r="B1821" s="605" t="s">
        <v>15838</v>
      </c>
      <c r="C1821" s="606" t="s">
        <v>20385</v>
      </c>
      <c r="D1821" s="607">
        <v>3014.32</v>
      </c>
      <c r="E1821" s="607">
        <v>1070</v>
      </c>
      <c r="F1821" s="607">
        <v>4084.32</v>
      </c>
      <c r="G1821" s="584">
        <v>15</v>
      </c>
    </row>
    <row r="1822" spans="1:7" ht="30" x14ac:dyDescent="0.2">
      <c r="A1822" s="583" t="s">
        <v>15839</v>
      </c>
      <c r="B1822" s="605" t="s">
        <v>15840</v>
      </c>
      <c r="C1822" s="606" t="s">
        <v>20385</v>
      </c>
      <c r="D1822" s="607">
        <v>6194.88</v>
      </c>
      <c r="E1822" s="607">
        <v>2140</v>
      </c>
      <c r="F1822" s="607">
        <v>8334.8799999999992</v>
      </c>
      <c r="G1822" s="584">
        <v>15</v>
      </c>
    </row>
    <row r="1823" spans="1:7" ht="30" x14ac:dyDescent="0.2">
      <c r="A1823" s="583" t="s">
        <v>15841</v>
      </c>
      <c r="B1823" s="605" t="s">
        <v>15842</v>
      </c>
      <c r="C1823" s="606" t="s">
        <v>20385</v>
      </c>
      <c r="D1823" s="607">
        <v>9129.0400000000009</v>
      </c>
      <c r="E1823" s="607">
        <v>2483.2800000000002</v>
      </c>
      <c r="F1823" s="607">
        <v>11612.32</v>
      </c>
      <c r="G1823" s="584">
        <v>15</v>
      </c>
    </row>
    <row r="1824" spans="1:7" ht="15" x14ac:dyDescent="0.25">
      <c r="A1824" s="583" t="s">
        <v>15843</v>
      </c>
      <c r="B1824" s="605" t="s">
        <v>15844</v>
      </c>
      <c r="C1824" s="606"/>
      <c r="D1824" s="607"/>
      <c r="E1824" s="607"/>
      <c r="F1824" s="607"/>
      <c r="G1824" s="582"/>
    </row>
    <row r="1825" spans="1:7" ht="30" x14ac:dyDescent="0.2">
      <c r="A1825" s="583" t="s">
        <v>15845</v>
      </c>
      <c r="B1825" s="605" t="s">
        <v>15846</v>
      </c>
      <c r="C1825" s="606" t="s">
        <v>12427</v>
      </c>
      <c r="D1825" s="607">
        <v>8.6999999999999993</v>
      </c>
      <c r="E1825" s="607">
        <v>8.82</v>
      </c>
      <c r="F1825" s="607">
        <v>17.52</v>
      </c>
      <c r="G1825" s="584">
        <v>15</v>
      </c>
    </row>
    <row r="1826" spans="1:7" ht="30" x14ac:dyDescent="0.2">
      <c r="A1826" s="583" t="s">
        <v>15847</v>
      </c>
      <c r="B1826" s="605" t="s">
        <v>15848</v>
      </c>
      <c r="C1826" s="606" t="s">
        <v>12427</v>
      </c>
      <c r="D1826" s="607">
        <v>68.400000000000006</v>
      </c>
      <c r="E1826" s="607">
        <v>12.22</v>
      </c>
      <c r="F1826" s="607">
        <v>80.62</v>
      </c>
      <c r="G1826" s="584">
        <v>15</v>
      </c>
    </row>
    <row r="1827" spans="1:7" ht="30" x14ac:dyDescent="0.2">
      <c r="A1827" s="583" t="s">
        <v>15849</v>
      </c>
      <c r="B1827" s="605" t="s">
        <v>15850</v>
      </c>
      <c r="C1827" s="606" t="s">
        <v>12483</v>
      </c>
      <c r="D1827" s="607">
        <v>10.55</v>
      </c>
      <c r="E1827" s="607"/>
      <c r="F1827" s="607">
        <v>10.55</v>
      </c>
      <c r="G1827" s="584">
        <v>15</v>
      </c>
    </row>
    <row r="1828" spans="1:7" ht="15" x14ac:dyDescent="0.2">
      <c r="A1828" s="583" t="s">
        <v>15851</v>
      </c>
      <c r="B1828" s="605" t="s">
        <v>15852</v>
      </c>
      <c r="C1828" s="606" t="s">
        <v>12427</v>
      </c>
      <c r="D1828" s="607">
        <v>1.51</v>
      </c>
      <c r="E1828" s="607">
        <v>18.53</v>
      </c>
      <c r="F1828" s="607">
        <v>20.04</v>
      </c>
      <c r="G1828" s="584">
        <v>15</v>
      </c>
    </row>
    <row r="1829" spans="1:7" ht="15" x14ac:dyDescent="0.2">
      <c r="A1829" s="583" t="s">
        <v>15853</v>
      </c>
      <c r="B1829" s="605" t="s">
        <v>15854</v>
      </c>
      <c r="C1829" s="606" t="s">
        <v>12427</v>
      </c>
      <c r="D1829" s="607">
        <v>1.6</v>
      </c>
      <c r="E1829" s="607">
        <v>24.84</v>
      </c>
      <c r="F1829" s="607">
        <v>26.44</v>
      </c>
      <c r="G1829" s="584">
        <v>15</v>
      </c>
    </row>
    <row r="1830" spans="1:7" ht="45" x14ac:dyDescent="0.2">
      <c r="A1830" s="583" t="s">
        <v>21407</v>
      </c>
      <c r="B1830" s="605" t="s">
        <v>21408</v>
      </c>
      <c r="C1830" s="606" t="s">
        <v>12375</v>
      </c>
      <c r="D1830" s="607">
        <v>553.55999999999995</v>
      </c>
      <c r="E1830" s="607">
        <v>44.38</v>
      </c>
      <c r="F1830" s="607">
        <v>597.94000000000005</v>
      </c>
      <c r="G1830" s="584">
        <v>15</v>
      </c>
    </row>
    <row r="1831" spans="1:7" ht="15" x14ac:dyDescent="0.2">
      <c r="A1831" s="583" t="s">
        <v>15855</v>
      </c>
      <c r="B1831" s="605" t="s">
        <v>15856</v>
      </c>
      <c r="C1831" s="606" t="s">
        <v>12427</v>
      </c>
      <c r="D1831" s="607">
        <v>1525.79</v>
      </c>
      <c r="E1831" s="607">
        <v>25.18</v>
      </c>
      <c r="F1831" s="607">
        <v>1550.97</v>
      </c>
      <c r="G1831" s="584">
        <v>15</v>
      </c>
    </row>
    <row r="1832" spans="1:7" ht="15" x14ac:dyDescent="0.25">
      <c r="A1832" s="583" t="s">
        <v>15857</v>
      </c>
      <c r="B1832" s="605" t="s">
        <v>15858</v>
      </c>
      <c r="C1832" s="606"/>
      <c r="D1832" s="607"/>
      <c r="E1832" s="607"/>
      <c r="F1832" s="607"/>
      <c r="G1832" s="582"/>
    </row>
    <row r="1833" spans="1:7" ht="15" x14ac:dyDescent="0.25">
      <c r="A1833" s="583" t="s">
        <v>15859</v>
      </c>
      <c r="B1833" s="605" t="s">
        <v>15860</v>
      </c>
      <c r="C1833" s="606"/>
      <c r="D1833" s="607"/>
      <c r="E1833" s="607"/>
      <c r="F1833" s="607"/>
      <c r="G1833" s="582"/>
    </row>
    <row r="1834" spans="1:7" ht="15" x14ac:dyDescent="0.2">
      <c r="A1834" s="583" t="s">
        <v>15861</v>
      </c>
      <c r="B1834" s="605" t="s">
        <v>15862</v>
      </c>
      <c r="C1834" s="606" t="s">
        <v>12427</v>
      </c>
      <c r="D1834" s="607">
        <v>39.270000000000003</v>
      </c>
      <c r="E1834" s="607">
        <v>7.56</v>
      </c>
      <c r="F1834" s="607">
        <v>46.83</v>
      </c>
      <c r="G1834" s="584">
        <v>15</v>
      </c>
    </row>
    <row r="1835" spans="1:7" ht="15" x14ac:dyDescent="0.2">
      <c r="A1835" s="583" t="s">
        <v>15863</v>
      </c>
      <c r="B1835" s="605" t="s">
        <v>15864</v>
      </c>
      <c r="C1835" s="606" t="s">
        <v>12676</v>
      </c>
      <c r="D1835" s="607">
        <v>2179.4299999999998</v>
      </c>
      <c r="E1835" s="607">
        <v>181.26</v>
      </c>
      <c r="F1835" s="607">
        <v>2360.69</v>
      </c>
      <c r="G1835" s="584">
        <v>15</v>
      </c>
    </row>
    <row r="1836" spans="1:7" ht="15" x14ac:dyDescent="0.2">
      <c r="A1836" s="583" t="s">
        <v>15865</v>
      </c>
      <c r="B1836" s="605" t="s">
        <v>15866</v>
      </c>
      <c r="C1836" s="606" t="s">
        <v>12676</v>
      </c>
      <c r="D1836" s="607">
        <v>1765.63</v>
      </c>
      <c r="E1836" s="607">
        <v>181.26</v>
      </c>
      <c r="F1836" s="607">
        <v>1946.89</v>
      </c>
      <c r="G1836" s="584">
        <v>15</v>
      </c>
    </row>
    <row r="1837" spans="1:7" ht="30" x14ac:dyDescent="0.2">
      <c r="A1837" s="583" t="s">
        <v>15867</v>
      </c>
      <c r="B1837" s="605" t="s">
        <v>15868</v>
      </c>
      <c r="C1837" s="606" t="s">
        <v>12427</v>
      </c>
      <c r="D1837" s="607">
        <v>182.01</v>
      </c>
      <c r="E1837" s="607">
        <v>37.299999999999997</v>
      </c>
      <c r="F1837" s="607">
        <v>219.31</v>
      </c>
      <c r="G1837" s="584">
        <v>15</v>
      </c>
    </row>
    <row r="1838" spans="1:7" ht="15" x14ac:dyDescent="0.25">
      <c r="A1838" s="583" t="s">
        <v>15869</v>
      </c>
      <c r="B1838" s="605" t="s">
        <v>15870</v>
      </c>
      <c r="C1838" s="606"/>
      <c r="D1838" s="607"/>
      <c r="E1838" s="607"/>
      <c r="F1838" s="607"/>
      <c r="G1838" s="582"/>
    </row>
    <row r="1839" spans="1:7" ht="30" x14ac:dyDescent="0.2">
      <c r="A1839" s="583" t="s">
        <v>15871</v>
      </c>
      <c r="B1839" s="605" t="s">
        <v>15872</v>
      </c>
      <c r="C1839" s="606" t="s">
        <v>12375</v>
      </c>
      <c r="D1839" s="607">
        <v>4699.9799999999996</v>
      </c>
      <c r="E1839" s="607">
        <v>106.65</v>
      </c>
      <c r="F1839" s="607">
        <v>4806.63</v>
      </c>
      <c r="G1839" s="584">
        <v>15</v>
      </c>
    </row>
    <row r="1840" spans="1:7" ht="15" x14ac:dyDescent="0.25">
      <c r="A1840" s="583" t="s">
        <v>15873</v>
      </c>
      <c r="B1840" s="605" t="s">
        <v>15874</v>
      </c>
      <c r="C1840" s="606"/>
      <c r="D1840" s="607"/>
      <c r="E1840" s="607"/>
      <c r="F1840" s="607"/>
      <c r="G1840" s="582"/>
    </row>
    <row r="1841" spans="1:7" ht="15" x14ac:dyDescent="0.2">
      <c r="A1841" s="583" t="s">
        <v>15875</v>
      </c>
      <c r="B1841" s="605" t="s">
        <v>15876</v>
      </c>
      <c r="C1841" s="606" t="s">
        <v>12483</v>
      </c>
      <c r="D1841" s="607">
        <v>122.74</v>
      </c>
      <c r="E1841" s="607">
        <v>109.32</v>
      </c>
      <c r="F1841" s="607">
        <v>232.06</v>
      </c>
      <c r="G1841" s="584">
        <v>15</v>
      </c>
    </row>
    <row r="1842" spans="1:7" ht="15" x14ac:dyDescent="0.2">
      <c r="A1842" s="583" t="s">
        <v>15877</v>
      </c>
      <c r="B1842" s="605" t="s">
        <v>15878</v>
      </c>
      <c r="C1842" s="606" t="s">
        <v>12375</v>
      </c>
      <c r="D1842" s="607">
        <v>553.41999999999996</v>
      </c>
      <c r="E1842" s="607">
        <v>24.33</v>
      </c>
      <c r="F1842" s="607">
        <v>577.75</v>
      </c>
      <c r="G1842" s="584">
        <v>15</v>
      </c>
    </row>
    <row r="1843" spans="1:7" ht="15" x14ac:dyDescent="0.2">
      <c r="A1843" s="583" t="s">
        <v>15879</v>
      </c>
      <c r="B1843" s="605" t="s">
        <v>15880</v>
      </c>
      <c r="C1843" s="606" t="s">
        <v>12427</v>
      </c>
      <c r="D1843" s="607">
        <v>172.2</v>
      </c>
      <c r="E1843" s="607">
        <v>68.14</v>
      </c>
      <c r="F1843" s="607">
        <v>240.34</v>
      </c>
      <c r="G1843" s="584">
        <v>15</v>
      </c>
    </row>
    <row r="1844" spans="1:7" ht="30" x14ac:dyDescent="0.2">
      <c r="A1844" s="583" t="s">
        <v>15881</v>
      </c>
      <c r="B1844" s="605" t="s">
        <v>15882</v>
      </c>
      <c r="C1844" s="606" t="s">
        <v>12375</v>
      </c>
      <c r="D1844" s="607">
        <v>615.77</v>
      </c>
      <c r="E1844" s="607">
        <v>34.22</v>
      </c>
      <c r="F1844" s="607">
        <v>649.99</v>
      </c>
      <c r="G1844" s="584">
        <v>15</v>
      </c>
    </row>
    <row r="1845" spans="1:7" ht="30" x14ac:dyDescent="0.2">
      <c r="A1845" s="583" t="s">
        <v>15883</v>
      </c>
      <c r="B1845" s="605" t="s">
        <v>15884</v>
      </c>
      <c r="C1845" s="606" t="s">
        <v>12375</v>
      </c>
      <c r="D1845" s="607">
        <v>876.02</v>
      </c>
      <c r="E1845" s="607">
        <v>51.33</v>
      </c>
      <c r="F1845" s="607">
        <v>927.35</v>
      </c>
      <c r="G1845" s="584">
        <v>15</v>
      </c>
    </row>
    <row r="1846" spans="1:7" ht="15" x14ac:dyDescent="0.25">
      <c r="A1846" s="583" t="s">
        <v>15885</v>
      </c>
      <c r="B1846" s="605" t="s">
        <v>15886</v>
      </c>
      <c r="C1846" s="606"/>
      <c r="D1846" s="607"/>
      <c r="E1846" s="607"/>
      <c r="F1846" s="607"/>
      <c r="G1846" s="582"/>
    </row>
    <row r="1847" spans="1:7" ht="15" x14ac:dyDescent="0.2">
      <c r="A1847" s="583" t="s">
        <v>15887</v>
      </c>
      <c r="B1847" s="605" t="s">
        <v>15888</v>
      </c>
      <c r="C1847" s="606" t="s">
        <v>12676</v>
      </c>
      <c r="D1847" s="607">
        <v>5706.39</v>
      </c>
      <c r="E1847" s="607">
        <v>241.68</v>
      </c>
      <c r="F1847" s="607">
        <v>5948.07</v>
      </c>
      <c r="G1847" s="584">
        <v>15</v>
      </c>
    </row>
    <row r="1848" spans="1:7" ht="15" x14ac:dyDescent="0.2">
      <c r="A1848" s="583" t="s">
        <v>15889</v>
      </c>
      <c r="B1848" s="605" t="s">
        <v>15890</v>
      </c>
      <c r="C1848" s="606" t="s">
        <v>12676</v>
      </c>
      <c r="D1848" s="607">
        <v>2997.79</v>
      </c>
      <c r="E1848" s="607">
        <v>241.68</v>
      </c>
      <c r="F1848" s="607">
        <v>3239.47</v>
      </c>
      <c r="G1848" s="584">
        <v>15</v>
      </c>
    </row>
    <row r="1849" spans="1:7" ht="15" x14ac:dyDescent="0.2">
      <c r="A1849" s="583" t="s">
        <v>15891</v>
      </c>
      <c r="B1849" s="605" t="s">
        <v>15892</v>
      </c>
      <c r="C1849" s="606" t="s">
        <v>12676</v>
      </c>
      <c r="D1849" s="607">
        <v>1788.24</v>
      </c>
      <c r="E1849" s="607">
        <v>241.68</v>
      </c>
      <c r="F1849" s="607">
        <v>2029.92</v>
      </c>
      <c r="G1849" s="584">
        <v>15</v>
      </c>
    </row>
    <row r="1850" spans="1:7" ht="15" x14ac:dyDescent="0.2">
      <c r="A1850" s="583" t="s">
        <v>15893</v>
      </c>
      <c r="B1850" s="605" t="s">
        <v>15894</v>
      </c>
      <c r="C1850" s="606" t="s">
        <v>12676</v>
      </c>
      <c r="D1850" s="607">
        <v>3866.98</v>
      </c>
      <c r="E1850" s="607">
        <v>241.68</v>
      </c>
      <c r="F1850" s="607">
        <v>4108.66</v>
      </c>
      <c r="G1850" s="584">
        <v>15</v>
      </c>
    </row>
    <row r="1851" spans="1:7" ht="15" x14ac:dyDescent="0.25">
      <c r="A1851" s="583" t="s">
        <v>15895</v>
      </c>
      <c r="B1851" s="605" t="s">
        <v>15896</v>
      </c>
      <c r="C1851" s="606"/>
      <c r="D1851" s="607"/>
      <c r="E1851" s="607"/>
      <c r="F1851" s="607"/>
      <c r="G1851" s="582"/>
    </row>
    <row r="1852" spans="1:7" ht="15" x14ac:dyDescent="0.2">
      <c r="A1852" s="583" t="s">
        <v>15897</v>
      </c>
      <c r="B1852" s="605" t="s">
        <v>15898</v>
      </c>
      <c r="C1852" s="606" t="s">
        <v>12676</v>
      </c>
      <c r="D1852" s="607">
        <v>6196.64</v>
      </c>
      <c r="E1852" s="607">
        <v>384.15</v>
      </c>
      <c r="F1852" s="607">
        <v>6580.79</v>
      </c>
      <c r="G1852" s="584">
        <v>15</v>
      </c>
    </row>
    <row r="1853" spans="1:7" ht="15" x14ac:dyDescent="0.2">
      <c r="A1853" s="583" t="s">
        <v>15899</v>
      </c>
      <c r="B1853" s="605" t="s">
        <v>15900</v>
      </c>
      <c r="C1853" s="606" t="s">
        <v>12676</v>
      </c>
      <c r="D1853" s="607">
        <v>8467.59</v>
      </c>
      <c r="E1853" s="607">
        <v>384.15</v>
      </c>
      <c r="F1853" s="607">
        <v>8851.74</v>
      </c>
      <c r="G1853" s="584">
        <v>15</v>
      </c>
    </row>
    <row r="1854" spans="1:7" ht="15" x14ac:dyDescent="0.2">
      <c r="A1854" s="583" t="s">
        <v>15901</v>
      </c>
      <c r="B1854" s="605" t="s">
        <v>15902</v>
      </c>
      <c r="C1854" s="606" t="s">
        <v>12375</v>
      </c>
      <c r="D1854" s="607">
        <v>2809.84</v>
      </c>
      <c r="E1854" s="607">
        <v>56.73</v>
      </c>
      <c r="F1854" s="607">
        <v>2866.57</v>
      </c>
      <c r="G1854" s="584">
        <v>15</v>
      </c>
    </row>
    <row r="1855" spans="1:7" ht="15" x14ac:dyDescent="0.2">
      <c r="A1855" s="583" t="s">
        <v>15903</v>
      </c>
      <c r="B1855" s="605" t="s">
        <v>15904</v>
      </c>
      <c r="C1855" s="606" t="s">
        <v>12375</v>
      </c>
      <c r="D1855" s="607">
        <v>2052.89</v>
      </c>
      <c r="E1855" s="607">
        <v>56.73</v>
      </c>
      <c r="F1855" s="607">
        <v>2109.62</v>
      </c>
      <c r="G1855" s="584">
        <v>15</v>
      </c>
    </row>
    <row r="1856" spans="1:7" ht="15" x14ac:dyDescent="0.25">
      <c r="A1856" s="583" t="s">
        <v>15905</v>
      </c>
      <c r="B1856" s="605" t="s">
        <v>15906</v>
      </c>
      <c r="C1856" s="606"/>
      <c r="D1856" s="607"/>
      <c r="E1856" s="607"/>
      <c r="F1856" s="607"/>
      <c r="G1856" s="582"/>
    </row>
    <row r="1857" spans="1:7" ht="15" x14ac:dyDescent="0.2">
      <c r="A1857" s="583" t="s">
        <v>15907</v>
      </c>
      <c r="B1857" s="605" t="s">
        <v>15908</v>
      </c>
      <c r="C1857" s="606" t="s">
        <v>12427</v>
      </c>
      <c r="D1857" s="607">
        <v>13.32</v>
      </c>
      <c r="E1857" s="607"/>
      <c r="F1857" s="607">
        <v>13.32</v>
      </c>
      <c r="G1857" s="584">
        <v>15</v>
      </c>
    </row>
    <row r="1858" spans="1:7" ht="30" x14ac:dyDescent="0.2">
      <c r="A1858" s="583" t="s">
        <v>15909</v>
      </c>
      <c r="B1858" s="605" t="s">
        <v>15910</v>
      </c>
      <c r="C1858" s="606" t="s">
        <v>12375</v>
      </c>
      <c r="D1858" s="607">
        <v>1235.07</v>
      </c>
      <c r="E1858" s="607">
        <v>37.76</v>
      </c>
      <c r="F1858" s="607">
        <v>1272.83</v>
      </c>
      <c r="G1858" s="584">
        <v>15</v>
      </c>
    </row>
    <row r="1859" spans="1:7" ht="15" x14ac:dyDescent="0.25">
      <c r="A1859" s="583" t="s">
        <v>15911</v>
      </c>
      <c r="B1859" s="605" t="s">
        <v>15912</v>
      </c>
      <c r="C1859" s="606"/>
      <c r="D1859" s="607"/>
      <c r="E1859" s="607"/>
      <c r="F1859" s="607"/>
      <c r="G1859" s="582"/>
    </row>
    <row r="1860" spans="1:7" ht="15" x14ac:dyDescent="0.25">
      <c r="A1860" s="583" t="s">
        <v>15913</v>
      </c>
      <c r="B1860" s="605" t="s">
        <v>15914</v>
      </c>
      <c r="C1860" s="606"/>
      <c r="D1860" s="607"/>
      <c r="E1860" s="607"/>
      <c r="F1860" s="607"/>
      <c r="G1860" s="582"/>
    </row>
    <row r="1861" spans="1:7" ht="15" x14ac:dyDescent="0.2">
      <c r="A1861" s="583" t="s">
        <v>15915</v>
      </c>
      <c r="B1861" s="605" t="s">
        <v>15916</v>
      </c>
      <c r="C1861" s="606" t="s">
        <v>12676</v>
      </c>
      <c r="D1861" s="607">
        <v>160305.66</v>
      </c>
      <c r="E1861" s="607">
        <v>295.58</v>
      </c>
      <c r="F1861" s="607">
        <v>160601.24</v>
      </c>
      <c r="G1861" s="584">
        <v>15</v>
      </c>
    </row>
    <row r="1862" spans="1:7" ht="15" x14ac:dyDescent="0.2">
      <c r="A1862" s="583" t="s">
        <v>15917</v>
      </c>
      <c r="B1862" s="605" t="s">
        <v>15918</v>
      </c>
      <c r="C1862" s="606" t="s">
        <v>12676</v>
      </c>
      <c r="D1862" s="607">
        <v>136088.1</v>
      </c>
      <c r="E1862" s="607">
        <v>295.58</v>
      </c>
      <c r="F1862" s="607">
        <v>136383.67999999999</v>
      </c>
      <c r="G1862" s="584">
        <v>15</v>
      </c>
    </row>
    <row r="1863" spans="1:7" ht="15" x14ac:dyDescent="0.25">
      <c r="A1863" s="583" t="s">
        <v>15919</v>
      </c>
      <c r="B1863" s="605" t="s">
        <v>15920</v>
      </c>
      <c r="C1863" s="606"/>
      <c r="D1863" s="607"/>
      <c r="E1863" s="607"/>
      <c r="F1863" s="607"/>
      <c r="G1863" s="582"/>
    </row>
    <row r="1864" spans="1:7" ht="30" x14ac:dyDescent="0.2">
      <c r="A1864" s="583" t="s">
        <v>15921</v>
      </c>
      <c r="B1864" s="605" t="s">
        <v>15922</v>
      </c>
      <c r="C1864" s="606" t="s">
        <v>12375</v>
      </c>
      <c r="D1864" s="607">
        <v>137.44999999999999</v>
      </c>
      <c r="E1864" s="607">
        <v>193.21</v>
      </c>
      <c r="F1864" s="607">
        <v>330.66</v>
      </c>
      <c r="G1864" s="584">
        <v>15</v>
      </c>
    </row>
    <row r="1865" spans="1:7" ht="30" x14ac:dyDescent="0.2">
      <c r="A1865" s="583" t="s">
        <v>15923</v>
      </c>
      <c r="B1865" s="605" t="s">
        <v>15924</v>
      </c>
      <c r="C1865" s="606" t="s">
        <v>12375</v>
      </c>
      <c r="D1865" s="607">
        <v>238.26</v>
      </c>
      <c r="E1865" s="607">
        <v>193.21</v>
      </c>
      <c r="F1865" s="607">
        <v>431.47</v>
      </c>
      <c r="G1865" s="584">
        <v>15</v>
      </c>
    </row>
    <row r="1866" spans="1:7" ht="30" x14ac:dyDescent="0.2">
      <c r="A1866" s="583" t="s">
        <v>15925</v>
      </c>
      <c r="B1866" s="605" t="s">
        <v>15926</v>
      </c>
      <c r="C1866" s="606" t="s">
        <v>12375</v>
      </c>
      <c r="D1866" s="607">
        <v>1158.6199999999999</v>
      </c>
      <c r="E1866" s="607">
        <v>223.32</v>
      </c>
      <c r="F1866" s="607">
        <v>1381.94</v>
      </c>
      <c r="G1866" s="584">
        <v>15</v>
      </c>
    </row>
    <row r="1867" spans="1:7" ht="30" x14ac:dyDescent="0.2">
      <c r="A1867" s="583" t="s">
        <v>15927</v>
      </c>
      <c r="B1867" s="605" t="s">
        <v>15928</v>
      </c>
      <c r="C1867" s="606" t="s">
        <v>12375</v>
      </c>
      <c r="D1867" s="607">
        <v>2683.2</v>
      </c>
      <c r="E1867" s="607">
        <v>223.32</v>
      </c>
      <c r="F1867" s="607">
        <v>2906.52</v>
      </c>
      <c r="G1867" s="584">
        <v>15</v>
      </c>
    </row>
    <row r="1868" spans="1:7" ht="30" x14ac:dyDescent="0.2">
      <c r="A1868" s="583" t="s">
        <v>15929</v>
      </c>
      <c r="B1868" s="605" t="s">
        <v>15930</v>
      </c>
      <c r="C1868" s="606" t="s">
        <v>12375</v>
      </c>
      <c r="D1868" s="607">
        <v>1875.84</v>
      </c>
      <c r="E1868" s="607">
        <v>223.32</v>
      </c>
      <c r="F1868" s="607">
        <v>2099.16</v>
      </c>
      <c r="G1868" s="584">
        <v>15</v>
      </c>
    </row>
    <row r="1869" spans="1:7" ht="30" x14ac:dyDescent="0.2">
      <c r="A1869" s="583" t="s">
        <v>15931</v>
      </c>
      <c r="B1869" s="605" t="s">
        <v>15932</v>
      </c>
      <c r="C1869" s="606" t="s">
        <v>12375</v>
      </c>
      <c r="D1869" s="607">
        <v>606</v>
      </c>
      <c r="E1869" s="607">
        <v>167.49</v>
      </c>
      <c r="F1869" s="607">
        <v>773.49</v>
      </c>
      <c r="G1869" s="584">
        <v>15</v>
      </c>
    </row>
    <row r="1870" spans="1:7" ht="30" x14ac:dyDescent="0.2">
      <c r="A1870" s="583" t="s">
        <v>15933</v>
      </c>
      <c r="B1870" s="605" t="s">
        <v>15934</v>
      </c>
      <c r="C1870" s="606" t="s">
        <v>12375</v>
      </c>
      <c r="D1870" s="607">
        <v>1704.1</v>
      </c>
      <c r="E1870" s="607">
        <v>232.48</v>
      </c>
      <c r="F1870" s="607">
        <v>1936.58</v>
      </c>
      <c r="G1870" s="584">
        <v>15</v>
      </c>
    </row>
    <row r="1871" spans="1:7" ht="30" x14ac:dyDescent="0.2">
      <c r="A1871" s="583" t="s">
        <v>15935</v>
      </c>
      <c r="B1871" s="605" t="s">
        <v>15936</v>
      </c>
      <c r="C1871" s="606" t="s">
        <v>12375</v>
      </c>
      <c r="D1871" s="607">
        <v>1093.29</v>
      </c>
      <c r="E1871" s="607">
        <v>223.32</v>
      </c>
      <c r="F1871" s="607">
        <v>1316.61</v>
      </c>
      <c r="G1871" s="584">
        <v>15</v>
      </c>
    </row>
    <row r="1872" spans="1:7" ht="30" x14ac:dyDescent="0.2">
      <c r="A1872" s="583" t="s">
        <v>15937</v>
      </c>
      <c r="B1872" s="605" t="s">
        <v>15938</v>
      </c>
      <c r="C1872" s="606" t="s">
        <v>12375</v>
      </c>
      <c r="D1872" s="607">
        <v>126.74</v>
      </c>
      <c r="E1872" s="607">
        <v>111.66</v>
      </c>
      <c r="F1872" s="607">
        <v>238.4</v>
      </c>
      <c r="G1872" s="584">
        <v>15</v>
      </c>
    </row>
    <row r="1873" spans="1:7" ht="30" x14ac:dyDescent="0.2">
      <c r="A1873" s="583" t="s">
        <v>15939</v>
      </c>
      <c r="B1873" s="605" t="s">
        <v>15940</v>
      </c>
      <c r="C1873" s="606" t="s">
        <v>12375</v>
      </c>
      <c r="D1873" s="607">
        <v>196.9</v>
      </c>
      <c r="E1873" s="607">
        <v>193.21</v>
      </c>
      <c r="F1873" s="607">
        <v>390.11</v>
      </c>
      <c r="G1873" s="584">
        <v>15</v>
      </c>
    </row>
    <row r="1874" spans="1:7" ht="15" x14ac:dyDescent="0.2">
      <c r="A1874" s="583" t="s">
        <v>15941</v>
      </c>
      <c r="B1874" s="605" t="s">
        <v>15942</v>
      </c>
      <c r="C1874" s="606" t="s">
        <v>12375</v>
      </c>
      <c r="D1874" s="607">
        <v>745.33</v>
      </c>
      <c r="E1874" s="607">
        <v>223.32</v>
      </c>
      <c r="F1874" s="607">
        <v>968.65</v>
      </c>
      <c r="G1874" s="584">
        <v>15</v>
      </c>
    </row>
    <row r="1875" spans="1:7" ht="15" x14ac:dyDescent="0.25">
      <c r="A1875" s="583" t="s">
        <v>15943</v>
      </c>
      <c r="B1875" s="605" t="s">
        <v>15944</v>
      </c>
      <c r="C1875" s="606"/>
      <c r="D1875" s="607"/>
      <c r="E1875" s="607"/>
      <c r="F1875" s="607"/>
      <c r="G1875" s="582"/>
    </row>
    <row r="1876" spans="1:7" ht="15" x14ac:dyDescent="0.2">
      <c r="A1876" s="583" t="s">
        <v>15945</v>
      </c>
      <c r="B1876" s="605" t="s">
        <v>15946</v>
      </c>
      <c r="C1876" s="606" t="s">
        <v>12375</v>
      </c>
      <c r="D1876" s="607">
        <v>35.49</v>
      </c>
      <c r="E1876" s="607">
        <v>16.75</v>
      </c>
      <c r="F1876" s="607">
        <v>52.24</v>
      </c>
      <c r="G1876" s="584">
        <v>15</v>
      </c>
    </row>
    <row r="1877" spans="1:7" ht="15" x14ac:dyDescent="0.2">
      <c r="A1877" s="583" t="s">
        <v>15947</v>
      </c>
      <c r="B1877" s="605" t="s">
        <v>15948</v>
      </c>
      <c r="C1877" s="606" t="s">
        <v>12375</v>
      </c>
      <c r="D1877" s="607">
        <v>52.85</v>
      </c>
      <c r="E1877" s="607">
        <v>16.75</v>
      </c>
      <c r="F1877" s="607">
        <v>69.599999999999994</v>
      </c>
      <c r="G1877" s="584">
        <v>15</v>
      </c>
    </row>
    <row r="1878" spans="1:7" ht="15" x14ac:dyDescent="0.2">
      <c r="A1878" s="583" t="s">
        <v>15949</v>
      </c>
      <c r="B1878" s="605" t="s">
        <v>15950</v>
      </c>
      <c r="C1878" s="606" t="s">
        <v>12375</v>
      </c>
      <c r="D1878" s="607">
        <v>90.4</v>
      </c>
      <c r="E1878" s="607">
        <v>16.75</v>
      </c>
      <c r="F1878" s="607">
        <v>107.15</v>
      </c>
      <c r="G1878" s="584">
        <v>15</v>
      </c>
    </row>
    <row r="1879" spans="1:7" ht="15" x14ac:dyDescent="0.2">
      <c r="A1879" s="583" t="s">
        <v>15951</v>
      </c>
      <c r="B1879" s="605" t="s">
        <v>15952</v>
      </c>
      <c r="C1879" s="606" t="s">
        <v>12375</v>
      </c>
      <c r="D1879" s="607">
        <v>122.77</v>
      </c>
      <c r="E1879" s="607">
        <v>16.75</v>
      </c>
      <c r="F1879" s="607">
        <v>139.52000000000001</v>
      </c>
      <c r="G1879" s="584">
        <v>15</v>
      </c>
    </row>
    <row r="1880" spans="1:7" ht="15" x14ac:dyDescent="0.25">
      <c r="A1880" s="583" t="s">
        <v>15953</v>
      </c>
      <c r="B1880" s="605" t="s">
        <v>15954</v>
      </c>
      <c r="C1880" s="606"/>
      <c r="D1880" s="607"/>
      <c r="E1880" s="607"/>
      <c r="F1880" s="607"/>
      <c r="G1880" s="582"/>
    </row>
    <row r="1881" spans="1:7" ht="15" x14ac:dyDescent="0.2">
      <c r="A1881" s="583" t="s">
        <v>15955</v>
      </c>
      <c r="B1881" s="605" t="s">
        <v>15956</v>
      </c>
      <c r="C1881" s="606" t="s">
        <v>12375</v>
      </c>
      <c r="D1881" s="607">
        <v>45.84</v>
      </c>
      <c r="E1881" s="607">
        <v>11.16</v>
      </c>
      <c r="F1881" s="607">
        <v>57</v>
      </c>
      <c r="G1881" s="584">
        <v>15</v>
      </c>
    </row>
    <row r="1882" spans="1:7" ht="15" x14ac:dyDescent="0.2">
      <c r="A1882" s="583" t="s">
        <v>15957</v>
      </c>
      <c r="B1882" s="605" t="s">
        <v>15958</v>
      </c>
      <c r="C1882" s="606" t="s">
        <v>12375</v>
      </c>
      <c r="D1882" s="607">
        <v>90.26</v>
      </c>
      <c r="E1882" s="607">
        <v>11.16</v>
      </c>
      <c r="F1882" s="607">
        <v>101.42</v>
      </c>
      <c r="G1882" s="584">
        <v>15</v>
      </c>
    </row>
    <row r="1883" spans="1:7" ht="15" x14ac:dyDescent="0.2">
      <c r="A1883" s="583" t="s">
        <v>15959</v>
      </c>
      <c r="B1883" s="605" t="s">
        <v>15960</v>
      </c>
      <c r="C1883" s="606" t="s">
        <v>12375</v>
      </c>
      <c r="D1883" s="607">
        <v>80.510000000000005</v>
      </c>
      <c r="E1883" s="607">
        <v>41.87</v>
      </c>
      <c r="F1883" s="607">
        <v>122.38</v>
      </c>
      <c r="G1883" s="584">
        <v>15</v>
      </c>
    </row>
    <row r="1884" spans="1:7" ht="15" x14ac:dyDescent="0.2">
      <c r="A1884" s="583" t="s">
        <v>15961</v>
      </c>
      <c r="B1884" s="605" t="s">
        <v>15962</v>
      </c>
      <c r="C1884" s="606" t="s">
        <v>12375</v>
      </c>
      <c r="D1884" s="607">
        <v>154.82</v>
      </c>
      <c r="E1884" s="607">
        <v>11.16</v>
      </c>
      <c r="F1884" s="607">
        <v>165.98</v>
      </c>
      <c r="G1884" s="584">
        <v>15</v>
      </c>
    </row>
    <row r="1885" spans="1:7" ht="15" x14ac:dyDescent="0.2">
      <c r="A1885" s="583" t="s">
        <v>15963</v>
      </c>
      <c r="B1885" s="605" t="s">
        <v>15964</v>
      </c>
      <c r="C1885" s="606" t="s">
        <v>12375</v>
      </c>
      <c r="D1885" s="607">
        <v>210.25</v>
      </c>
      <c r="E1885" s="607">
        <v>11.16</v>
      </c>
      <c r="F1885" s="607">
        <v>221.41</v>
      </c>
      <c r="G1885" s="584">
        <v>15</v>
      </c>
    </row>
    <row r="1886" spans="1:7" ht="15" x14ac:dyDescent="0.25">
      <c r="A1886" s="583" t="s">
        <v>15965</v>
      </c>
      <c r="B1886" s="605" t="s">
        <v>15966</v>
      </c>
      <c r="C1886" s="606"/>
      <c r="D1886" s="607"/>
      <c r="E1886" s="607"/>
      <c r="F1886" s="607"/>
      <c r="G1886" s="582"/>
    </row>
    <row r="1887" spans="1:7" ht="30" x14ac:dyDescent="0.2">
      <c r="A1887" s="583" t="s">
        <v>15967</v>
      </c>
      <c r="B1887" s="605" t="s">
        <v>15968</v>
      </c>
      <c r="C1887" s="606" t="s">
        <v>12676</v>
      </c>
      <c r="D1887" s="607">
        <v>526.51</v>
      </c>
      <c r="E1887" s="607">
        <v>27.92</v>
      </c>
      <c r="F1887" s="607">
        <v>554.42999999999995</v>
      </c>
      <c r="G1887" s="584">
        <v>15</v>
      </c>
    </row>
    <row r="1888" spans="1:7" ht="30" x14ac:dyDescent="0.2">
      <c r="A1888" s="583" t="s">
        <v>15969</v>
      </c>
      <c r="B1888" s="605" t="s">
        <v>15970</v>
      </c>
      <c r="C1888" s="606" t="s">
        <v>12676</v>
      </c>
      <c r="D1888" s="607">
        <v>446.04</v>
      </c>
      <c r="E1888" s="607">
        <v>27.92</v>
      </c>
      <c r="F1888" s="607">
        <v>473.96</v>
      </c>
      <c r="G1888" s="584">
        <v>15</v>
      </c>
    </row>
    <row r="1889" spans="1:7" ht="15" x14ac:dyDescent="0.25">
      <c r="A1889" s="583" t="s">
        <v>15971</v>
      </c>
      <c r="B1889" s="605" t="s">
        <v>15972</v>
      </c>
      <c r="C1889" s="606"/>
      <c r="D1889" s="607"/>
      <c r="E1889" s="607"/>
      <c r="F1889" s="607"/>
      <c r="G1889" s="582"/>
    </row>
    <row r="1890" spans="1:7" ht="30" x14ac:dyDescent="0.2">
      <c r="A1890" s="583" t="s">
        <v>15973</v>
      </c>
      <c r="B1890" s="605" t="s">
        <v>15974</v>
      </c>
      <c r="C1890" s="606" t="s">
        <v>12375</v>
      </c>
      <c r="D1890" s="607">
        <v>246.51</v>
      </c>
      <c r="E1890" s="607">
        <v>26.18</v>
      </c>
      <c r="F1890" s="607">
        <v>272.69</v>
      </c>
      <c r="G1890" s="584">
        <v>15</v>
      </c>
    </row>
    <row r="1891" spans="1:7" ht="30" x14ac:dyDescent="0.2">
      <c r="A1891" s="583" t="s">
        <v>15975</v>
      </c>
      <c r="B1891" s="605" t="s">
        <v>15976</v>
      </c>
      <c r="C1891" s="606" t="s">
        <v>12375</v>
      </c>
      <c r="D1891" s="607">
        <v>217.19</v>
      </c>
      <c r="E1891" s="607">
        <v>26.18</v>
      </c>
      <c r="F1891" s="607">
        <v>243.37</v>
      </c>
      <c r="G1891" s="584">
        <v>15</v>
      </c>
    </row>
    <row r="1892" spans="1:7" ht="30" x14ac:dyDescent="0.2">
      <c r="A1892" s="583" t="s">
        <v>15977</v>
      </c>
      <c r="B1892" s="605" t="s">
        <v>15978</v>
      </c>
      <c r="C1892" s="606" t="s">
        <v>12375</v>
      </c>
      <c r="D1892" s="607">
        <v>252.64</v>
      </c>
      <c r="E1892" s="607">
        <v>26.18</v>
      </c>
      <c r="F1892" s="607">
        <v>278.82</v>
      </c>
      <c r="G1892" s="584">
        <v>15</v>
      </c>
    </row>
    <row r="1893" spans="1:7" ht="30" x14ac:dyDescent="0.2">
      <c r="A1893" s="583" t="s">
        <v>15979</v>
      </c>
      <c r="B1893" s="605" t="s">
        <v>15980</v>
      </c>
      <c r="C1893" s="606" t="s">
        <v>12375</v>
      </c>
      <c r="D1893" s="607">
        <v>217.23</v>
      </c>
      <c r="E1893" s="607">
        <v>26.18</v>
      </c>
      <c r="F1893" s="607">
        <v>243.41</v>
      </c>
      <c r="G1893" s="584">
        <v>15</v>
      </c>
    </row>
    <row r="1894" spans="1:7" ht="15" x14ac:dyDescent="0.25">
      <c r="A1894" s="583" t="s">
        <v>15981</v>
      </c>
      <c r="B1894" s="605" t="s">
        <v>15982</v>
      </c>
      <c r="C1894" s="606"/>
      <c r="D1894" s="607"/>
      <c r="E1894" s="607"/>
      <c r="F1894" s="607"/>
      <c r="G1894" s="582"/>
    </row>
    <row r="1895" spans="1:7" ht="30" x14ac:dyDescent="0.2">
      <c r="A1895" s="583" t="s">
        <v>15983</v>
      </c>
      <c r="B1895" s="605" t="s">
        <v>15984</v>
      </c>
      <c r="C1895" s="606" t="s">
        <v>12375</v>
      </c>
      <c r="D1895" s="607">
        <v>208932.47</v>
      </c>
      <c r="E1895" s="607">
        <v>2148.88</v>
      </c>
      <c r="F1895" s="607">
        <v>211081.35</v>
      </c>
      <c r="G1895" s="584">
        <v>15</v>
      </c>
    </row>
    <row r="1896" spans="1:7" ht="30" x14ac:dyDescent="0.2">
      <c r="A1896" s="583" t="s">
        <v>15985</v>
      </c>
      <c r="B1896" s="605" t="s">
        <v>15986</v>
      </c>
      <c r="C1896" s="606" t="s">
        <v>12375</v>
      </c>
      <c r="D1896" s="607">
        <v>236344.09</v>
      </c>
      <c r="E1896" s="607">
        <v>2148.88</v>
      </c>
      <c r="F1896" s="607">
        <v>238492.97</v>
      </c>
      <c r="G1896" s="584">
        <v>15</v>
      </c>
    </row>
    <row r="1897" spans="1:7" ht="30" x14ac:dyDescent="0.2">
      <c r="A1897" s="583" t="s">
        <v>15987</v>
      </c>
      <c r="B1897" s="605" t="s">
        <v>15988</v>
      </c>
      <c r="C1897" s="606" t="s">
        <v>12375</v>
      </c>
      <c r="D1897" s="607">
        <v>104026.06</v>
      </c>
      <c r="E1897" s="607">
        <v>2148.88</v>
      </c>
      <c r="F1897" s="607">
        <v>106174.94</v>
      </c>
      <c r="G1897" s="584">
        <v>15</v>
      </c>
    </row>
    <row r="1898" spans="1:7" ht="30" x14ac:dyDescent="0.2">
      <c r="A1898" s="583" t="s">
        <v>15989</v>
      </c>
      <c r="B1898" s="605" t="s">
        <v>15990</v>
      </c>
      <c r="C1898" s="606" t="s">
        <v>12375</v>
      </c>
      <c r="D1898" s="607">
        <v>122412.5</v>
      </c>
      <c r="E1898" s="607">
        <v>2148.88</v>
      </c>
      <c r="F1898" s="607">
        <v>124561.38</v>
      </c>
      <c r="G1898" s="584">
        <v>15</v>
      </c>
    </row>
    <row r="1899" spans="1:7" ht="30" x14ac:dyDescent="0.2">
      <c r="A1899" s="583" t="s">
        <v>15991</v>
      </c>
      <c r="B1899" s="605" t="s">
        <v>15992</v>
      </c>
      <c r="C1899" s="606" t="s">
        <v>12375</v>
      </c>
      <c r="D1899" s="607">
        <v>97275.09</v>
      </c>
      <c r="E1899" s="607">
        <v>1146.7</v>
      </c>
      <c r="F1899" s="607">
        <v>98421.79</v>
      </c>
      <c r="G1899" s="584">
        <v>15</v>
      </c>
    </row>
    <row r="1900" spans="1:7" ht="30" x14ac:dyDescent="0.2">
      <c r="A1900" s="583" t="s">
        <v>15993</v>
      </c>
      <c r="B1900" s="605" t="s">
        <v>15994</v>
      </c>
      <c r="C1900" s="606" t="s">
        <v>12375</v>
      </c>
      <c r="D1900" s="607">
        <v>148281.94</v>
      </c>
      <c r="E1900" s="607">
        <v>2148.88</v>
      </c>
      <c r="F1900" s="607">
        <v>150430.82</v>
      </c>
      <c r="G1900" s="584">
        <v>15</v>
      </c>
    </row>
    <row r="1901" spans="1:7" ht="30" x14ac:dyDescent="0.2">
      <c r="A1901" s="583" t="s">
        <v>15995</v>
      </c>
      <c r="B1901" s="605" t="s">
        <v>15996</v>
      </c>
      <c r="C1901" s="606" t="s">
        <v>12375</v>
      </c>
      <c r="D1901" s="607">
        <v>486239.34</v>
      </c>
      <c r="E1901" s="607">
        <v>2378.2199999999998</v>
      </c>
      <c r="F1901" s="607">
        <v>488617.56</v>
      </c>
      <c r="G1901" s="584">
        <v>15</v>
      </c>
    </row>
    <row r="1902" spans="1:7" ht="30" x14ac:dyDescent="0.2">
      <c r="A1902" s="583" t="s">
        <v>15997</v>
      </c>
      <c r="B1902" s="605" t="s">
        <v>15998</v>
      </c>
      <c r="C1902" s="606" t="s">
        <v>12375</v>
      </c>
      <c r="D1902" s="607">
        <v>150540.10999999999</v>
      </c>
      <c r="E1902" s="607">
        <v>2148.88</v>
      </c>
      <c r="F1902" s="607">
        <v>152688.99</v>
      </c>
      <c r="G1902" s="584">
        <v>15</v>
      </c>
    </row>
    <row r="1903" spans="1:7" ht="30" x14ac:dyDescent="0.2">
      <c r="A1903" s="583" t="s">
        <v>15999</v>
      </c>
      <c r="B1903" s="605" t="s">
        <v>16000</v>
      </c>
      <c r="C1903" s="606" t="s">
        <v>12375</v>
      </c>
      <c r="D1903" s="607">
        <v>441400.69</v>
      </c>
      <c r="E1903" s="607">
        <v>2357.08</v>
      </c>
      <c r="F1903" s="607">
        <v>443757.77</v>
      </c>
      <c r="G1903" s="584">
        <v>15</v>
      </c>
    </row>
    <row r="1904" spans="1:7" ht="30" x14ac:dyDescent="0.2">
      <c r="A1904" s="583" t="s">
        <v>16001</v>
      </c>
      <c r="B1904" s="605" t="s">
        <v>16002</v>
      </c>
      <c r="C1904" s="606" t="s">
        <v>12375</v>
      </c>
      <c r="D1904" s="607">
        <v>403212.47</v>
      </c>
      <c r="E1904" s="607">
        <v>2378.2199999999998</v>
      </c>
      <c r="F1904" s="607">
        <v>405590.69</v>
      </c>
      <c r="G1904" s="584">
        <v>15</v>
      </c>
    </row>
    <row r="1905" spans="1:7" ht="15" x14ac:dyDescent="0.25">
      <c r="A1905" s="583" t="s">
        <v>16003</v>
      </c>
      <c r="B1905" s="605" t="s">
        <v>16004</v>
      </c>
      <c r="C1905" s="606"/>
      <c r="D1905" s="607"/>
      <c r="E1905" s="607"/>
      <c r="F1905" s="607"/>
      <c r="G1905" s="582"/>
    </row>
    <row r="1906" spans="1:7" ht="30" x14ac:dyDescent="0.2">
      <c r="A1906" s="583" t="s">
        <v>16005</v>
      </c>
      <c r="B1906" s="605" t="s">
        <v>16006</v>
      </c>
      <c r="C1906" s="606" t="s">
        <v>12375</v>
      </c>
      <c r="D1906" s="607">
        <v>41849.94</v>
      </c>
      <c r="E1906" s="607">
        <v>1146.7</v>
      </c>
      <c r="F1906" s="607">
        <v>42996.639999999999</v>
      </c>
      <c r="G1906" s="584">
        <v>15</v>
      </c>
    </row>
    <row r="1907" spans="1:7" ht="30" x14ac:dyDescent="0.2">
      <c r="A1907" s="583" t="s">
        <v>16007</v>
      </c>
      <c r="B1907" s="605" t="s">
        <v>16008</v>
      </c>
      <c r="C1907" s="606" t="s">
        <v>12375</v>
      </c>
      <c r="D1907" s="607">
        <v>30571.95</v>
      </c>
      <c r="E1907" s="607">
        <v>1146.7</v>
      </c>
      <c r="F1907" s="607">
        <v>31718.65</v>
      </c>
      <c r="G1907" s="584">
        <v>15</v>
      </c>
    </row>
    <row r="1908" spans="1:7" ht="30" x14ac:dyDescent="0.2">
      <c r="A1908" s="583" t="s">
        <v>16009</v>
      </c>
      <c r="B1908" s="605" t="s">
        <v>16010</v>
      </c>
      <c r="C1908" s="606" t="s">
        <v>12375</v>
      </c>
      <c r="D1908" s="607">
        <v>83399.78</v>
      </c>
      <c r="E1908" s="607">
        <v>1834.72</v>
      </c>
      <c r="F1908" s="607">
        <v>85234.5</v>
      </c>
      <c r="G1908" s="584">
        <v>15</v>
      </c>
    </row>
    <row r="1909" spans="1:7" ht="30" x14ac:dyDescent="0.2">
      <c r="A1909" s="583" t="s">
        <v>16011</v>
      </c>
      <c r="B1909" s="605" t="s">
        <v>16012</v>
      </c>
      <c r="C1909" s="606" t="s">
        <v>12375</v>
      </c>
      <c r="D1909" s="607">
        <v>128335.28</v>
      </c>
      <c r="E1909" s="607">
        <v>1834.72</v>
      </c>
      <c r="F1909" s="607">
        <v>130170</v>
      </c>
      <c r="G1909" s="584">
        <v>15</v>
      </c>
    </row>
    <row r="1910" spans="1:7" ht="30" x14ac:dyDescent="0.2">
      <c r="A1910" s="583" t="s">
        <v>16013</v>
      </c>
      <c r="B1910" s="605" t="s">
        <v>16014</v>
      </c>
      <c r="C1910" s="606" t="s">
        <v>12375</v>
      </c>
      <c r="D1910" s="607">
        <v>5228.5600000000004</v>
      </c>
      <c r="E1910" s="607">
        <v>458.68</v>
      </c>
      <c r="F1910" s="607">
        <v>5687.24</v>
      </c>
      <c r="G1910" s="584">
        <v>15</v>
      </c>
    </row>
    <row r="1911" spans="1:7" ht="30" x14ac:dyDescent="0.2">
      <c r="A1911" s="583" t="s">
        <v>16015</v>
      </c>
      <c r="B1911" s="605" t="s">
        <v>16016</v>
      </c>
      <c r="C1911" s="606" t="s">
        <v>12375</v>
      </c>
      <c r="D1911" s="607">
        <v>6609.29</v>
      </c>
      <c r="E1911" s="607">
        <v>458.68</v>
      </c>
      <c r="F1911" s="607">
        <v>7067.97</v>
      </c>
      <c r="G1911" s="584">
        <v>15</v>
      </c>
    </row>
    <row r="1912" spans="1:7" ht="30" x14ac:dyDescent="0.2">
      <c r="A1912" s="583" t="s">
        <v>16017</v>
      </c>
      <c r="B1912" s="605" t="s">
        <v>16018</v>
      </c>
      <c r="C1912" s="606" t="s">
        <v>12375</v>
      </c>
      <c r="D1912" s="607">
        <v>22019.39</v>
      </c>
      <c r="E1912" s="607">
        <v>1146.7</v>
      </c>
      <c r="F1912" s="607">
        <v>23166.09</v>
      </c>
      <c r="G1912" s="584">
        <v>15</v>
      </c>
    </row>
    <row r="1913" spans="1:7" ht="30" x14ac:dyDescent="0.2">
      <c r="A1913" s="583" t="s">
        <v>16019</v>
      </c>
      <c r="B1913" s="605" t="s">
        <v>16020</v>
      </c>
      <c r="C1913" s="606" t="s">
        <v>12375</v>
      </c>
      <c r="D1913" s="607">
        <v>49804.98</v>
      </c>
      <c r="E1913" s="607">
        <v>1146.7</v>
      </c>
      <c r="F1913" s="607">
        <v>50951.68</v>
      </c>
      <c r="G1913" s="584">
        <v>15</v>
      </c>
    </row>
    <row r="1914" spans="1:7" ht="30" x14ac:dyDescent="0.2">
      <c r="A1914" s="583" t="s">
        <v>16021</v>
      </c>
      <c r="B1914" s="605" t="s">
        <v>16022</v>
      </c>
      <c r="C1914" s="606" t="s">
        <v>12375</v>
      </c>
      <c r="D1914" s="607">
        <v>24879.35</v>
      </c>
      <c r="E1914" s="607">
        <v>1146.7</v>
      </c>
      <c r="F1914" s="607">
        <v>26026.05</v>
      </c>
      <c r="G1914" s="584">
        <v>15</v>
      </c>
    </row>
    <row r="1915" spans="1:7" ht="30" x14ac:dyDescent="0.2">
      <c r="A1915" s="583" t="s">
        <v>16023</v>
      </c>
      <c r="B1915" s="605" t="s">
        <v>16024</v>
      </c>
      <c r="C1915" s="606" t="s">
        <v>12375</v>
      </c>
      <c r="D1915" s="607">
        <v>101494.45</v>
      </c>
      <c r="E1915" s="607">
        <v>1834.72</v>
      </c>
      <c r="F1915" s="607">
        <v>103329.17</v>
      </c>
      <c r="G1915" s="584">
        <v>15</v>
      </c>
    </row>
    <row r="1916" spans="1:7" ht="30" x14ac:dyDescent="0.2">
      <c r="A1916" s="583" t="s">
        <v>16025</v>
      </c>
      <c r="B1916" s="605" t="s">
        <v>16026</v>
      </c>
      <c r="C1916" s="606" t="s">
        <v>12375</v>
      </c>
      <c r="D1916" s="607">
        <v>17831.259999999998</v>
      </c>
      <c r="E1916" s="607">
        <v>458.68</v>
      </c>
      <c r="F1916" s="607">
        <v>18289.939999999999</v>
      </c>
      <c r="G1916" s="584">
        <v>15</v>
      </c>
    </row>
    <row r="1917" spans="1:7" ht="30" x14ac:dyDescent="0.2">
      <c r="A1917" s="583" t="s">
        <v>16027</v>
      </c>
      <c r="B1917" s="605" t="s">
        <v>16028</v>
      </c>
      <c r="C1917" s="606" t="s">
        <v>12375</v>
      </c>
      <c r="D1917" s="607">
        <v>76339.47</v>
      </c>
      <c r="E1917" s="607">
        <v>1834.72</v>
      </c>
      <c r="F1917" s="607">
        <v>78174.19</v>
      </c>
      <c r="G1917" s="584">
        <v>15</v>
      </c>
    </row>
    <row r="1918" spans="1:7" ht="30" x14ac:dyDescent="0.2">
      <c r="A1918" s="583" t="s">
        <v>16029</v>
      </c>
      <c r="B1918" s="605" t="s">
        <v>16030</v>
      </c>
      <c r="C1918" s="606" t="s">
        <v>12375</v>
      </c>
      <c r="D1918" s="607">
        <v>96209.63</v>
      </c>
      <c r="E1918" s="607">
        <v>1834.72</v>
      </c>
      <c r="F1918" s="607">
        <v>98044.35</v>
      </c>
      <c r="G1918" s="584">
        <v>15</v>
      </c>
    </row>
    <row r="1919" spans="1:7" ht="30" x14ac:dyDescent="0.2">
      <c r="A1919" s="583" t="s">
        <v>16031</v>
      </c>
      <c r="B1919" s="605" t="s">
        <v>16032</v>
      </c>
      <c r="C1919" s="606" t="s">
        <v>12375</v>
      </c>
      <c r="D1919" s="607">
        <v>140333.71</v>
      </c>
      <c r="E1919" s="607">
        <v>1834.72</v>
      </c>
      <c r="F1919" s="607">
        <v>142168.43</v>
      </c>
      <c r="G1919" s="584">
        <v>15</v>
      </c>
    </row>
    <row r="1920" spans="1:7" ht="30" x14ac:dyDescent="0.2">
      <c r="A1920" s="583" t="s">
        <v>16033</v>
      </c>
      <c r="B1920" s="605" t="s">
        <v>16034</v>
      </c>
      <c r="C1920" s="606" t="s">
        <v>12375</v>
      </c>
      <c r="D1920" s="607">
        <v>75853.789999999994</v>
      </c>
      <c r="E1920" s="607">
        <v>1146.7</v>
      </c>
      <c r="F1920" s="607">
        <v>77000.490000000005</v>
      </c>
      <c r="G1920" s="584">
        <v>15</v>
      </c>
    </row>
    <row r="1921" spans="1:7" ht="30" x14ac:dyDescent="0.2">
      <c r="A1921" s="583" t="s">
        <v>16035</v>
      </c>
      <c r="B1921" s="605" t="s">
        <v>16036</v>
      </c>
      <c r="C1921" s="606" t="s">
        <v>12375</v>
      </c>
      <c r="D1921" s="607">
        <v>39766.17</v>
      </c>
      <c r="E1921" s="607">
        <v>1146.7</v>
      </c>
      <c r="F1921" s="607">
        <v>40912.870000000003</v>
      </c>
      <c r="G1921" s="584">
        <v>15</v>
      </c>
    </row>
    <row r="1922" spans="1:7" ht="30" x14ac:dyDescent="0.2">
      <c r="A1922" s="583" t="s">
        <v>16037</v>
      </c>
      <c r="B1922" s="605" t="s">
        <v>16038</v>
      </c>
      <c r="C1922" s="606" t="s">
        <v>12375</v>
      </c>
      <c r="D1922" s="607">
        <v>140664.21</v>
      </c>
      <c r="E1922" s="607">
        <v>1834.72</v>
      </c>
      <c r="F1922" s="607">
        <v>142498.93</v>
      </c>
      <c r="G1922" s="584">
        <v>15</v>
      </c>
    </row>
    <row r="1923" spans="1:7" ht="30" x14ac:dyDescent="0.2">
      <c r="A1923" s="583" t="s">
        <v>16039</v>
      </c>
      <c r="B1923" s="605" t="s">
        <v>16040</v>
      </c>
      <c r="C1923" s="606" t="s">
        <v>12375</v>
      </c>
      <c r="D1923" s="607">
        <v>43329.58</v>
      </c>
      <c r="E1923" s="607">
        <v>1146.7</v>
      </c>
      <c r="F1923" s="607">
        <v>44476.28</v>
      </c>
      <c r="G1923" s="584">
        <v>15</v>
      </c>
    </row>
    <row r="1924" spans="1:7" ht="30" x14ac:dyDescent="0.2">
      <c r="A1924" s="583" t="s">
        <v>16041</v>
      </c>
      <c r="B1924" s="605" t="s">
        <v>16042</v>
      </c>
      <c r="C1924" s="606" t="s">
        <v>12375</v>
      </c>
      <c r="D1924" s="607">
        <v>48989.06</v>
      </c>
      <c r="E1924" s="607">
        <v>1146.7</v>
      </c>
      <c r="F1924" s="607">
        <v>50135.76</v>
      </c>
      <c r="G1924" s="584">
        <v>15</v>
      </c>
    </row>
    <row r="1925" spans="1:7" ht="15" x14ac:dyDescent="0.25">
      <c r="A1925" s="583" t="s">
        <v>16043</v>
      </c>
      <c r="B1925" s="605" t="s">
        <v>16044</v>
      </c>
      <c r="C1925" s="606"/>
      <c r="D1925" s="607"/>
      <c r="E1925" s="607"/>
      <c r="F1925" s="607"/>
      <c r="G1925" s="582"/>
    </row>
    <row r="1926" spans="1:7" ht="15" x14ac:dyDescent="0.2">
      <c r="A1926" s="583" t="s">
        <v>16045</v>
      </c>
      <c r="B1926" s="605" t="s">
        <v>16046</v>
      </c>
      <c r="C1926" s="606" t="s">
        <v>12483</v>
      </c>
      <c r="D1926" s="607">
        <v>70.680000000000007</v>
      </c>
      <c r="E1926" s="607">
        <v>22.33</v>
      </c>
      <c r="F1926" s="607">
        <v>93.01</v>
      </c>
      <c r="G1926" s="584">
        <v>15</v>
      </c>
    </row>
    <row r="1927" spans="1:7" ht="15" x14ac:dyDescent="0.2">
      <c r="A1927" s="583" t="s">
        <v>16047</v>
      </c>
      <c r="B1927" s="605" t="s">
        <v>16048</v>
      </c>
      <c r="C1927" s="606" t="s">
        <v>12375</v>
      </c>
      <c r="D1927" s="607">
        <v>48.66</v>
      </c>
      <c r="E1927" s="607">
        <v>11.16</v>
      </c>
      <c r="F1927" s="607">
        <v>59.82</v>
      </c>
      <c r="G1927" s="584">
        <v>15</v>
      </c>
    </row>
    <row r="1928" spans="1:7" ht="15" x14ac:dyDescent="0.2">
      <c r="A1928" s="583" t="s">
        <v>16049</v>
      </c>
      <c r="B1928" s="605" t="s">
        <v>16050</v>
      </c>
      <c r="C1928" s="606" t="s">
        <v>12375</v>
      </c>
      <c r="D1928" s="607">
        <v>22.96</v>
      </c>
      <c r="E1928" s="607">
        <v>11.16</v>
      </c>
      <c r="F1928" s="607">
        <v>34.119999999999997</v>
      </c>
      <c r="G1928" s="584">
        <v>15</v>
      </c>
    </row>
    <row r="1929" spans="1:7" ht="15" x14ac:dyDescent="0.2">
      <c r="A1929" s="583" t="s">
        <v>16051</v>
      </c>
      <c r="B1929" s="605" t="s">
        <v>16052</v>
      </c>
      <c r="C1929" s="606" t="s">
        <v>12375</v>
      </c>
      <c r="D1929" s="607">
        <v>3.13</v>
      </c>
      <c r="E1929" s="607">
        <v>8.3800000000000008</v>
      </c>
      <c r="F1929" s="607">
        <v>11.51</v>
      </c>
      <c r="G1929" s="584">
        <v>15</v>
      </c>
    </row>
    <row r="1930" spans="1:7" ht="15" x14ac:dyDescent="0.2">
      <c r="A1930" s="583" t="s">
        <v>16053</v>
      </c>
      <c r="B1930" s="605" t="s">
        <v>16054</v>
      </c>
      <c r="C1930" s="606" t="s">
        <v>12375</v>
      </c>
      <c r="D1930" s="607">
        <v>26.46</v>
      </c>
      <c r="E1930" s="607">
        <v>11.16</v>
      </c>
      <c r="F1930" s="607">
        <v>37.619999999999997</v>
      </c>
      <c r="G1930" s="584">
        <v>15</v>
      </c>
    </row>
    <row r="1931" spans="1:7" ht="30" x14ac:dyDescent="0.2">
      <c r="A1931" s="583" t="s">
        <v>16055</v>
      </c>
      <c r="B1931" s="605" t="s">
        <v>16056</v>
      </c>
      <c r="C1931" s="606" t="s">
        <v>12375</v>
      </c>
      <c r="D1931" s="607">
        <v>843.89</v>
      </c>
      <c r="E1931" s="607">
        <v>1.1399999999999999</v>
      </c>
      <c r="F1931" s="607">
        <v>845.03</v>
      </c>
      <c r="G1931" s="584">
        <v>15</v>
      </c>
    </row>
    <row r="1932" spans="1:7" ht="15" x14ac:dyDescent="0.2">
      <c r="A1932" s="583" t="s">
        <v>16057</v>
      </c>
      <c r="B1932" s="605" t="s">
        <v>16058</v>
      </c>
      <c r="C1932" s="606" t="s">
        <v>12375</v>
      </c>
      <c r="D1932" s="607">
        <v>541.12</v>
      </c>
      <c r="E1932" s="607">
        <v>27.92</v>
      </c>
      <c r="F1932" s="607">
        <v>569.04</v>
      </c>
      <c r="G1932" s="584">
        <v>15</v>
      </c>
    </row>
    <row r="1933" spans="1:7" ht="15" x14ac:dyDescent="0.2">
      <c r="A1933" s="583" t="s">
        <v>16059</v>
      </c>
      <c r="B1933" s="605" t="s">
        <v>16060</v>
      </c>
      <c r="C1933" s="606" t="s">
        <v>12375</v>
      </c>
      <c r="D1933" s="607">
        <v>247.58</v>
      </c>
      <c r="E1933" s="607">
        <v>27.92</v>
      </c>
      <c r="F1933" s="607">
        <v>275.5</v>
      </c>
      <c r="G1933" s="584">
        <v>15</v>
      </c>
    </row>
    <row r="1934" spans="1:7" ht="15" x14ac:dyDescent="0.2">
      <c r="A1934" s="583" t="s">
        <v>16061</v>
      </c>
      <c r="B1934" s="605" t="s">
        <v>16062</v>
      </c>
      <c r="C1934" s="606" t="s">
        <v>12375</v>
      </c>
      <c r="D1934" s="607">
        <v>314.39</v>
      </c>
      <c r="E1934" s="607">
        <v>157.08000000000001</v>
      </c>
      <c r="F1934" s="607">
        <v>471.47</v>
      </c>
      <c r="G1934" s="584">
        <v>15</v>
      </c>
    </row>
    <row r="1935" spans="1:7" ht="15" x14ac:dyDescent="0.2">
      <c r="A1935" s="583" t="s">
        <v>16063</v>
      </c>
      <c r="B1935" s="605" t="s">
        <v>16064</v>
      </c>
      <c r="C1935" s="606" t="s">
        <v>16065</v>
      </c>
      <c r="D1935" s="607">
        <v>611.67999999999995</v>
      </c>
      <c r="E1935" s="607">
        <v>1.1399999999999999</v>
      </c>
      <c r="F1935" s="607">
        <v>612.82000000000005</v>
      </c>
      <c r="G1935" s="584">
        <v>15</v>
      </c>
    </row>
    <row r="1936" spans="1:7" ht="15" x14ac:dyDescent="0.2">
      <c r="A1936" s="583" t="s">
        <v>16066</v>
      </c>
      <c r="B1936" s="605" t="s">
        <v>16067</v>
      </c>
      <c r="C1936" s="606" t="s">
        <v>12375</v>
      </c>
      <c r="D1936" s="607">
        <v>31.9</v>
      </c>
      <c r="E1936" s="607">
        <v>55.83</v>
      </c>
      <c r="F1936" s="607">
        <v>87.73</v>
      </c>
      <c r="G1936" s="584">
        <v>15</v>
      </c>
    </row>
    <row r="1937" spans="1:7" ht="15" x14ac:dyDescent="0.2">
      <c r="A1937" s="583" t="s">
        <v>16068</v>
      </c>
      <c r="B1937" s="605" t="s">
        <v>16069</v>
      </c>
      <c r="C1937" s="606" t="s">
        <v>16065</v>
      </c>
      <c r="D1937" s="607">
        <v>466.94</v>
      </c>
      <c r="E1937" s="607">
        <v>1.1399999999999999</v>
      </c>
      <c r="F1937" s="607">
        <v>468.08</v>
      </c>
      <c r="G1937" s="584">
        <v>15</v>
      </c>
    </row>
    <row r="1938" spans="1:7" ht="15" x14ac:dyDescent="0.2">
      <c r="A1938" s="583" t="s">
        <v>16070</v>
      </c>
      <c r="B1938" s="605" t="s">
        <v>16071</v>
      </c>
      <c r="C1938" s="606" t="s">
        <v>12375</v>
      </c>
      <c r="D1938" s="607"/>
      <c r="E1938" s="607">
        <v>314.16000000000003</v>
      </c>
      <c r="F1938" s="607">
        <v>314.16000000000003</v>
      </c>
      <c r="G1938" s="584">
        <v>15</v>
      </c>
    </row>
    <row r="1939" spans="1:7" ht="15" x14ac:dyDescent="0.2">
      <c r="A1939" s="583" t="s">
        <v>16072</v>
      </c>
      <c r="B1939" s="605" t="s">
        <v>16073</v>
      </c>
      <c r="C1939" s="606" t="s">
        <v>62</v>
      </c>
      <c r="D1939" s="607">
        <v>26.99</v>
      </c>
      <c r="E1939" s="607">
        <v>0.91</v>
      </c>
      <c r="F1939" s="607">
        <v>27.9</v>
      </c>
      <c r="G1939" s="584">
        <v>15</v>
      </c>
    </row>
    <row r="1940" spans="1:7" ht="15" x14ac:dyDescent="0.2">
      <c r="A1940" s="583" t="s">
        <v>16074</v>
      </c>
      <c r="B1940" s="605" t="s">
        <v>16075</v>
      </c>
      <c r="C1940" s="606" t="s">
        <v>62</v>
      </c>
      <c r="D1940" s="607">
        <v>26.99</v>
      </c>
      <c r="E1940" s="607">
        <v>1.36</v>
      </c>
      <c r="F1940" s="607">
        <v>28.35</v>
      </c>
      <c r="G1940" s="584">
        <v>15</v>
      </c>
    </row>
    <row r="1941" spans="1:7" ht="30" x14ac:dyDescent="0.2">
      <c r="A1941" s="583" t="s">
        <v>16076</v>
      </c>
      <c r="B1941" s="605" t="s">
        <v>16077</v>
      </c>
      <c r="C1941" s="606" t="s">
        <v>12427</v>
      </c>
      <c r="D1941" s="607">
        <v>924</v>
      </c>
      <c r="E1941" s="607">
        <v>11.36</v>
      </c>
      <c r="F1941" s="607">
        <v>935.36</v>
      </c>
      <c r="G1941" s="584">
        <v>15</v>
      </c>
    </row>
    <row r="1942" spans="1:7" ht="30" x14ac:dyDescent="0.2">
      <c r="A1942" s="583" t="s">
        <v>16078</v>
      </c>
      <c r="B1942" s="605" t="s">
        <v>16079</v>
      </c>
      <c r="C1942" s="606" t="s">
        <v>12427</v>
      </c>
      <c r="D1942" s="607">
        <v>1152.01</v>
      </c>
      <c r="E1942" s="607">
        <v>11.36</v>
      </c>
      <c r="F1942" s="607">
        <v>1163.3699999999999</v>
      </c>
      <c r="G1942" s="584">
        <v>15</v>
      </c>
    </row>
    <row r="1943" spans="1:7" ht="15" x14ac:dyDescent="0.2">
      <c r="A1943" s="583" t="s">
        <v>16080</v>
      </c>
      <c r="B1943" s="605" t="s">
        <v>16081</v>
      </c>
      <c r="C1943" s="606" t="s">
        <v>16065</v>
      </c>
      <c r="D1943" s="607">
        <v>40.33</v>
      </c>
      <c r="E1943" s="607">
        <v>1.1399999999999999</v>
      </c>
      <c r="F1943" s="607">
        <v>41.47</v>
      </c>
      <c r="G1943" s="584">
        <v>15</v>
      </c>
    </row>
    <row r="1944" spans="1:7" ht="15" x14ac:dyDescent="0.2">
      <c r="A1944" s="583" t="s">
        <v>16082</v>
      </c>
      <c r="B1944" s="605" t="s">
        <v>16083</v>
      </c>
      <c r="C1944" s="606" t="s">
        <v>12375</v>
      </c>
      <c r="D1944" s="607">
        <v>19.309999999999999</v>
      </c>
      <c r="E1944" s="607">
        <v>78.540000000000006</v>
      </c>
      <c r="F1944" s="607">
        <v>97.85</v>
      </c>
      <c r="G1944" s="584">
        <v>15</v>
      </c>
    </row>
    <row r="1945" spans="1:7" ht="15" x14ac:dyDescent="0.2">
      <c r="A1945" s="583" t="s">
        <v>16084</v>
      </c>
      <c r="B1945" s="605" t="s">
        <v>16085</v>
      </c>
      <c r="C1945" s="606" t="s">
        <v>12375</v>
      </c>
      <c r="D1945" s="607">
        <v>73.819999999999993</v>
      </c>
      <c r="E1945" s="607">
        <v>1.1399999999999999</v>
      </c>
      <c r="F1945" s="607">
        <v>74.959999999999994</v>
      </c>
      <c r="G1945" s="584">
        <v>15</v>
      </c>
    </row>
    <row r="1946" spans="1:7" ht="15" x14ac:dyDescent="0.2">
      <c r="A1946" s="583" t="s">
        <v>16086</v>
      </c>
      <c r="B1946" s="605" t="s">
        <v>16087</v>
      </c>
      <c r="C1946" s="606" t="s">
        <v>12375</v>
      </c>
      <c r="D1946" s="607">
        <v>244.76</v>
      </c>
      <c r="E1946" s="607">
        <v>157.08000000000001</v>
      </c>
      <c r="F1946" s="607">
        <v>401.84</v>
      </c>
      <c r="G1946" s="584">
        <v>15</v>
      </c>
    </row>
    <row r="1947" spans="1:7" ht="15" x14ac:dyDescent="0.2">
      <c r="A1947" s="583" t="s">
        <v>16088</v>
      </c>
      <c r="B1947" s="605" t="s">
        <v>16089</v>
      </c>
      <c r="C1947" s="606" t="s">
        <v>12375</v>
      </c>
      <c r="D1947" s="607">
        <v>674.35</v>
      </c>
      <c r="E1947" s="607">
        <v>1.1399999999999999</v>
      </c>
      <c r="F1947" s="607">
        <v>675.49</v>
      </c>
      <c r="G1947" s="584">
        <v>15</v>
      </c>
    </row>
    <row r="1948" spans="1:7" ht="30" x14ac:dyDescent="0.2">
      <c r="A1948" s="583" t="s">
        <v>16090</v>
      </c>
      <c r="B1948" s="605" t="s">
        <v>16091</v>
      </c>
      <c r="C1948" s="606" t="s">
        <v>12375</v>
      </c>
      <c r="D1948" s="607">
        <v>531.53</v>
      </c>
      <c r="E1948" s="607">
        <v>157.08000000000001</v>
      </c>
      <c r="F1948" s="607">
        <v>688.61</v>
      </c>
      <c r="G1948" s="584">
        <v>15</v>
      </c>
    </row>
    <row r="1949" spans="1:7" ht="15" x14ac:dyDescent="0.2">
      <c r="A1949" s="583" t="s">
        <v>16092</v>
      </c>
      <c r="B1949" s="605" t="s">
        <v>16093</v>
      </c>
      <c r="C1949" s="606" t="s">
        <v>12375</v>
      </c>
      <c r="D1949" s="607">
        <v>2877.81</v>
      </c>
      <c r="E1949" s="607">
        <v>55.83</v>
      </c>
      <c r="F1949" s="607">
        <v>2933.64</v>
      </c>
      <c r="G1949" s="584">
        <v>15</v>
      </c>
    </row>
    <row r="1950" spans="1:7" ht="15" x14ac:dyDescent="0.2">
      <c r="A1950" s="583" t="s">
        <v>16094</v>
      </c>
      <c r="B1950" s="605" t="s">
        <v>16095</v>
      </c>
      <c r="C1950" s="606" t="s">
        <v>12375</v>
      </c>
      <c r="D1950" s="607">
        <v>4351.99</v>
      </c>
      <c r="E1950" s="607">
        <v>55.83</v>
      </c>
      <c r="F1950" s="607">
        <v>4407.82</v>
      </c>
      <c r="G1950" s="584">
        <v>15</v>
      </c>
    </row>
    <row r="1951" spans="1:7" ht="15" x14ac:dyDescent="0.2">
      <c r="A1951" s="583" t="s">
        <v>16096</v>
      </c>
      <c r="B1951" s="605" t="s">
        <v>16097</v>
      </c>
      <c r="C1951" s="606" t="s">
        <v>12375</v>
      </c>
      <c r="D1951" s="607">
        <v>5658.79</v>
      </c>
      <c r="E1951" s="607">
        <v>55.83</v>
      </c>
      <c r="F1951" s="607">
        <v>5714.62</v>
      </c>
      <c r="G1951" s="584">
        <v>15</v>
      </c>
    </row>
    <row r="1952" spans="1:7" ht="15" x14ac:dyDescent="0.25">
      <c r="A1952" s="583" t="s">
        <v>16098</v>
      </c>
      <c r="B1952" s="605" t="s">
        <v>16099</v>
      </c>
      <c r="C1952" s="606"/>
      <c r="D1952" s="607"/>
      <c r="E1952" s="607"/>
      <c r="F1952" s="607"/>
      <c r="G1952" s="582"/>
    </row>
    <row r="1953" spans="1:7" ht="15" x14ac:dyDescent="0.25">
      <c r="A1953" s="583" t="s">
        <v>16100</v>
      </c>
      <c r="B1953" s="605" t="s">
        <v>16101</v>
      </c>
      <c r="C1953" s="606"/>
      <c r="D1953" s="607"/>
      <c r="E1953" s="607"/>
      <c r="F1953" s="607"/>
      <c r="G1953" s="582"/>
    </row>
    <row r="1954" spans="1:7" ht="15" x14ac:dyDescent="0.2">
      <c r="A1954" s="583" t="s">
        <v>16102</v>
      </c>
      <c r="B1954" s="605" t="s">
        <v>16103</v>
      </c>
      <c r="C1954" s="606" t="s">
        <v>12375</v>
      </c>
      <c r="D1954" s="607">
        <v>47.63</v>
      </c>
      <c r="E1954" s="607">
        <v>96.11</v>
      </c>
      <c r="F1954" s="607">
        <v>143.74</v>
      </c>
      <c r="G1954" s="584">
        <v>15</v>
      </c>
    </row>
    <row r="1955" spans="1:7" ht="15" x14ac:dyDescent="0.2">
      <c r="A1955" s="583" t="s">
        <v>16104</v>
      </c>
      <c r="B1955" s="605" t="s">
        <v>16105</v>
      </c>
      <c r="C1955" s="606" t="s">
        <v>12375</v>
      </c>
      <c r="D1955" s="607">
        <v>135.71</v>
      </c>
      <c r="E1955" s="607">
        <v>134.1</v>
      </c>
      <c r="F1955" s="607">
        <v>269.81</v>
      </c>
      <c r="G1955" s="584">
        <v>15</v>
      </c>
    </row>
    <row r="1956" spans="1:7" ht="15" x14ac:dyDescent="0.2">
      <c r="A1956" s="583" t="s">
        <v>16106</v>
      </c>
      <c r="B1956" s="605" t="s">
        <v>16107</v>
      </c>
      <c r="C1956" s="606" t="s">
        <v>12375</v>
      </c>
      <c r="D1956" s="607">
        <v>296.14</v>
      </c>
      <c r="E1956" s="607">
        <v>172.08</v>
      </c>
      <c r="F1956" s="607">
        <v>468.22</v>
      </c>
      <c r="G1956" s="584">
        <v>15</v>
      </c>
    </row>
    <row r="1957" spans="1:7" ht="15" x14ac:dyDescent="0.2">
      <c r="A1957" s="583" t="s">
        <v>16108</v>
      </c>
      <c r="B1957" s="605" t="s">
        <v>16109</v>
      </c>
      <c r="C1957" s="606" t="s">
        <v>12375</v>
      </c>
      <c r="D1957" s="607">
        <v>478.78</v>
      </c>
      <c r="E1957" s="607">
        <v>213.38</v>
      </c>
      <c r="F1957" s="607">
        <v>692.16</v>
      </c>
      <c r="G1957" s="584">
        <v>15</v>
      </c>
    </row>
    <row r="1958" spans="1:7" ht="15" x14ac:dyDescent="0.2">
      <c r="A1958" s="583" t="s">
        <v>16110</v>
      </c>
      <c r="B1958" s="605" t="s">
        <v>16111</v>
      </c>
      <c r="C1958" s="606" t="s">
        <v>12375</v>
      </c>
      <c r="D1958" s="607">
        <v>1442.35</v>
      </c>
      <c r="E1958" s="607">
        <v>286.04000000000002</v>
      </c>
      <c r="F1958" s="607">
        <v>1728.39</v>
      </c>
      <c r="G1958" s="584">
        <v>15</v>
      </c>
    </row>
    <row r="1959" spans="1:7" ht="30" x14ac:dyDescent="0.25">
      <c r="A1959" s="583" t="s">
        <v>16112</v>
      </c>
      <c r="B1959" s="605" t="s">
        <v>16113</v>
      </c>
      <c r="C1959" s="606"/>
      <c r="D1959" s="607"/>
      <c r="E1959" s="607"/>
      <c r="F1959" s="607"/>
      <c r="G1959" s="582"/>
    </row>
    <row r="1960" spans="1:7" ht="15" x14ac:dyDescent="0.2">
      <c r="A1960" s="583" t="s">
        <v>16114</v>
      </c>
      <c r="B1960" s="605" t="s">
        <v>16115</v>
      </c>
      <c r="C1960" s="606" t="s">
        <v>12375</v>
      </c>
      <c r="D1960" s="607">
        <v>61.73</v>
      </c>
      <c r="E1960" s="607">
        <v>83.75</v>
      </c>
      <c r="F1960" s="607">
        <v>145.47999999999999</v>
      </c>
      <c r="G1960" s="584">
        <v>15</v>
      </c>
    </row>
    <row r="1961" spans="1:7" ht="15" x14ac:dyDescent="0.2">
      <c r="A1961" s="583" t="s">
        <v>16116</v>
      </c>
      <c r="B1961" s="605" t="s">
        <v>16117</v>
      </c>
      <c r="C1961" s="606" t="s">
        <v>12375</v>
      </c>
      <c r="D1961" s="607">
        <v>130.09</v>
      </c>
      <c r="E1961" s="607">
        <v>111.66</v>
      </c>
      <c r="F1961" s="607">
        <v>241.75</v>
      </c>
      <c r="G1961" s="584">
        <v>15</v>
      </c>
    </row>
    <row r="1962" spans="1:7" ht="15" x14ac:dyDescent="0.2">
      <c r="A1962" s="583" t="s">
        <v>16118</v>
      </c>
      <c r="B1962" s="605" t="s">
        <v>16119</v>
      </c>
      <c r="C1962" s="606" t="s">
        <v>12375</v>
      </c>
      <c r="D1962" s="607">
        <v>281.12</v>
      </c>
      <c r="E1962" s="607">
        <v>139.58000000000001</v>
      </c>
      <c r="F1962" s="607">
        <v>420.7</v>
      </c>
      <c r="G1962" s="584">
        <v>15</v>
      </c>
    </row>
    <row r="1963" spans="1:7" ht="15" x14ac:dyDescent="0.2">
      <c r="A1963" s="583" t="s">
        <v>16120</v>
      </c>
      <c r="B1963" s="605" t="s">
        <v>16121</v>
      </c>
      <c r="C1963" s="606" t="s">
        <v>12375</v>
      </c>
      <c r="D1963" s="607">
        <v>530.62</v>
      </c>
      <c r="E1963" s="607">
        <v>167.49</v>
      </c>
      <c r="F1963" s="607">
        <v>698.11</v>
      </c>
      <c r="G1963" s="584">
        <v>15</v>
      </c>
    </row>
    <row r="1964" spans="1:7" ht="15" x14ac:dyDescent="0.25">
      <c r="A1964" s="583" t="s">
        <v>16122</v>
      </c>
      <c r="B1964" s="605" t="s">
        <v>16123</v>
      </c>
      <c r="C1964" s="606"/>
      <c r="D1964" s="607"/>
      <c r="E1964" s="607"/>
      <c r="F1964" s="607"/>
      <c r="G1964" s="582"/>
    </row>
    <row r="1965" spans="1:7" ht="30" x14ac:dyDescent="0.2">
      <c r="A1965" s="583" t="s">
        <v>16124</v>
      </c>
      <c r="B1965" s="605" t="s">
        <v>16125</v>
      </c>
      <c r="C1965" s="606" t="s">
        <v>20385</v>
      </c>
      <c r="D1965" s="607">
        <v>404.34</v>
      </c>
      <c r="E1965" s="607">
        <v>166.94</v>
      </c>
      <c r="F1965" s="607">
        <v>571.28</v>
      </c>
      <c r="G1965" s="584">
        <v>15</v>
      </c>
    </row>
    <row r="1966" spans="1:7" ht="30" x14ac:dyDescent="0.2">
      <c r="A1966" s="583" t="s">
        <v>16126</v>
      </c>
      <c r="B1966" s="605" t="s">
        <v>16127</v>
      </c>
      <c r="C1966" s="606" t="s">
        <v>20385</v>
      </c>
      <c r="D1966" s="607">
        <v>445.36</v>
      </c>
      <c r="E1966" s="607">
        <v>166.94</v>
      </c>
      <c r="F1966" s="607">
        <v>612.29999999999995</v>
      </c>
      <c r="G1966" s="584">
        <v>15</v>
      </c>
    </row>
    <row r="1967" spans="1:7" ht="30" x14ac:dyDescent="0.2">
      <c r="A1967" s="583" t="s">
        <v>16128</v>
      </c>
      <c r="B1967" s="605" t="s">
        <v>16129</v>
      </c>
      <c r="C1967" s="606" t="s">
        <v>20385</v>
      </c>
      <c r="D1967" s="607">
        <v>623.98</v>
      </c>
      <c r="E1967" s="607">
        <v>208.68</v>
      </c>
      <c r="F1967" s="607">
        <v>832.66</v>
      </c>
      <c r="G1967" s="584">
        <v>15</v>
      </c>
    </row>
    <row r="1968" spans="1:7" ht="30" x14ac:dyDescent="0.2">
      <c r="A1968" s="583" t="s">
        <v>16130</v>
      </c>
      <c r="B1968" s="605" t="s">
        <v>16131</v>
      </c>
      <c r="C1968" s="606" t="s">
        <v>20385</v>
      </c>
      <c r="D1968" s="607">
        <v>686.88</v>
      </c>
      <c r="E1968" s="607">
        <v>208.68</v>
      </c>
      <c r="F1968" s="607">
        <v>895.56</v>
      </c>
      <c r="G1968" s="584">
        <v>15</v>
      </c>
    </row>
    <row r="1969" spans="1:7" ht="30" x14ac:dyDescent="0.2">
      <c r="A1969" s="583" t="s">
        <v>16132</v>
      </c>
      <c r="B1969" s="605" t="s">
        <v>16133</v>
      </c>
      <c r="C1969" s="606" t="s">
        <v>20385</v>
      </c>
      <c r="D1969" s="607">
        <v>906.48</v>
      </c>
      <c r="E1969" s="607">
        <v>250.41</v>
      </c>
      <c r="F1969" s="607">
        <v>1156.8900000000001</v>
      </c>
      <c r="G1969" s="584">
        <v>15</v>
      </c>
    </row>
    <row r="1970" spans="1:7" ht="30" x14ac:dyDescent="0.2">
      <c r="A1970" s="583" t="s">
        <v>16134</v>
      </c>
      <c r="B1970" s="605" t="s">
        <v>16135</v>
      </c>
      <c r="C1970" s="606" t="s">
        <v>20385</v>
      </c>
      <c r="D1970" s="607">
        <v>1252.52</v>
      </c>
      <c r="E1970" s="607">
        <v>250.41</v>
      </c>
      <c r="F1970" s="607">
        <v>1502.93</v>
      </c>
      <c r="G1970" s="584">
        <v>15</v>
      </c>
    </row>
    <row r="1971" spans="1:7" ht="15" x14ac:dyDescent="0.25">
      <c r="A1971" s="583" t="s">
        <v>16136</v>
      </c>
      <c r="B1971" s="605" t="s">
        <v>16137</v>
      </c>
      <c r="C1971" s="606"/>
      <c r="D1971" s="607"/>
      <c r="E1971" s="607"/>
      <c r="F1971" s="607"/>
      <c r="G1971" s="582"/>
    </row>
    <row r="1972" spans="1:7" ht="30" x14ac:dyDescent="0.2">
      <c r="A1972" s="583" t="s">
        <v>16138</v>
      </c>
      <c r="B1972" s="605" t="s">
        <v>16139</v>
      </c>
      <c r="C1972" s="606" t="s">
        <v>20385</v>
      </c>
      <c r="D1972" s="607">
        <v>516.55999999999995</v>
      </c>
      <c r="E1972" s="607">
        <v>125.21</v>
      </c>
      <c r="F1972" s="607">
        <v>641.77</v>
      </c>
      <c r="G1972" s="584">
        <v>15</v>
      </c>
    </row>
    <row r="1973" spans="1:7" ht="30" x14ac:dyDescent="0.2">
      <c r="A1973" s="583" t="s">
        <v>16140</v>
      </c>
      <c r="B1973" s="605" t="s">
        <v>16141</v>
      </c>
      <c r="C1973" s="606" t="s">
        <v>20385</v>
      </c>
      <c r="D1973" s="607">
        <v>612.97</v>
      </c>
      <c r="E1973" s="607">
        <v>125.21</v>
      </c>
      <c r="F1973" s="607">
        <v>738.18</v>
      </c>
      <c r="G1973" s="584">
        <v>15</v>
      </c>
    </row>
    <row r="1974" spans="1:7" ht="30" x14ac:dyDescent="0.2">
      <c r="A1974" s="583" t="s">
        <v>16142</v>
      </c>
      <c r="B1974" s="605" t="s">
        <v>16143</v>
      </c>
      <c r="C1974" s="606" t="s">
        <v>20385</v>
      </c>
      <c r="D1974" s="607">
        <v>702.72</v>
      </c>
      <c r="E1974" s="607">
        <v>166.94</v>
      </c>
      <c r="F1974" s="607">
        <v>869.66</v>
      </c>
      <c r="G1974" s="584">
        <v>15</v>
      </c>
    </row>
    <row r="1975" spans="1:7" ht="30" x14ac:dyDescent="0.2">
      <c r="A1975" s="583" t="s">
        <v>16144</v>
      </c>
      <c r="B1975" s="605" t="s">
        <v>16145</v>
      </c>
      <c r="C1975" s="606" t="s">
        <v>20385</v>
      </c>
      <c r="D1975" s="607">
        <v>995.49</v>
      </c>
      <c r="E1975" s="607">
        <v>166.94</v>
      </c>
      <c r="F1975" s="607">
        <v>1162.43</v>
      </c>
      <c r="G1975" s="584">
        <v>15</v>
      </c>
    </row>
    <row r="1976" spans="1:7" ht="30" x14ac:dyDescent="0.2">
      <c r="A1976" s="583" t="s">
        <v>16146</v>
      </c>
      <c r="B1976" s="605" t="s">
        <v>16147</v>
      </c>
      <c r="C1976" s="606" t="s">
        <v>20385</v>
      </c>
      <c r="D1976" s="607">
        <v>1100.3399999999999</v>
      </c>
      <c r="E1976" s="607">
        <v>208.68</v>
      </c>
      <c r="F1976" s="607">
        <v>1309.02</v>
      </c>
      <c r="G1976" s="584">
        <v>15</v>
      </c>
    </row>
    <row r="1977" spans="1:7" ht="30" x14ac:dyDescent="0.2">
      <c r="A1977" s="583" t="s">
        <v>16148</v>
      </c>
      <c r="B1977" s="605" t="s">
        <v>16149</v>
      </c>
      <c r="C1977" s="606" t="s">
        <v>20385</v>
      </c>
      <c r="D1977" s="607">
        <v>1909.25</v>
      </c>
      <c r="E1977" s="607">
        <v>208.68</v>
      </c>
      <c r="F1977" s="607">
        <v>2117.9299999999998</v>
      </c>
      <c r="G1977" s="584">
        <v>15</v>
      </c>
    </row>
    <row r="1978" spans="1:7" ht="15" x14ac:dyDescent="0.25">
      <c r="A1978" s="583" t="s">
        <v>16150</v>
      </c>
      <c r="B1978" s="605" t="s">
        <v>16151</v>
      </c>
      <c r="C1978" s="606"/>
      <c r="D1978" s="607"/>
      <c r="E1978" s="607"/>
      <c r="F1978" s="607"/>
      <c r="G1978" s="582"/>
    </row>
    <row r="1979" spans="1:7" ht="30" x14ac:dyDescent="0.2">
      <c r="A1979" s="583" t="s">
        <v>16152</v>
      </c>
      <c r="B1979" s="605" t="s">
        <v>16153</v>
      </c>
      <c r="C1979" s="606" t="s">
        <v>12427</v>
      </c>
      <c r="D1979" s="607">
        <v>2926.42</v>
      </c>
      <c r="E1979" s="607">
        <v>147.79</v>
      </c>
      <c r="F1979" s="607">
        <v>3074.21</v>
      </c>
      <c r="G1979" s="584">
        <v>15</v>
      </c>
    </row>
    <row r="1980" spans="1:7" ht="15" x14ac:dyDescent="0.25">
      <c r="A1980" s="583" t="s">
        <v>16154</v>
      </c>
      <c r="B1980" s="605" t="s">
        <v>16155</v>
      </c>
      <c r="C1980" s="606"/>
      <c r="D1980" s="607"/>
      <c r="E1980" s="607"/>
      <c r="F1980" s="607"/>
      <c r="G1980" s="582"/>
    </row>
    <row r="1981" spans="1:7" ht="15" x14ac:dyDescent="0.2">
      <c r="A1981" s="583" t="s">
        <v>16156</v>
      </c>
      <c r="B1981" s="605" t="s">
        <v>16157</v>
      </c>
      <c r="C1981" s="606" t="s">
        <v>12929</v>
      </c>
      <c r="D1981" s="607">
        <v>122.88</v>
      </c>
      <c r="E1981" s="607">
        <v>9.94</v>
      </c>
      <c r="F1981" s="607">
        <v>132.82</v>
      </c>
      <c r="G1981" s="584">
        <v>15</v>
      </c>
    </row>
    <row r="1982" spans="1:7" ht="15" x14ac:dyDescent="0.25">
      <c r="A1982" s="583" t="s">
        <v>16158</v>
      </c>
      <c r="B1982" s="605" t="s">
        <v>16159</v>
      </c>
      <c r="C1982" s="606"/>
      <c r="D1982" s="607"/>
      <c r="E1982" s="607"/>
      <c r="F1982" s="607"/>
      <c r="G1982" s="582"/>
    </row>
    <row r="1983" spans="1:7" ht="15" x14ac:dyDescent="0.2">
      <c r="A1983" s="583" t="s">
        <v>16160</v>
      </c>
      <c r="B1983" s="605" t="s">
        <v>16161</v>
      </c>
      <c r="C1983" s="606" t="s">
        <v>12375</v>
      </c>
      <c r="D1983" s="607">
        <v>53.87</v>
      </c>
      <c r="E1983" s="607">
        <v>16.75</v>
      </c>
      <c r="F1983" s="607">
        <v>70.62</v>
      </c>
      <c r="G1983" s="584">
        <v>15</v>
      </c>
    </row>
    <row r="1984" spans="1:7" ht="15" x14ac:dyDescent="0.2">
      <c r="A1984" s="583" t="s">
        <v>16162</v>
      </c>
      <c r="B1984" s="605" t="s">
        <v>16163</v>
      </c>
      <c r="C1984" s="606" t="s">
        <v>12375</v>
      </c>
      <c r="D1984" s="607">
        <v>60.1</v>
      </c>
      <c r="E1984" s="607">
        <v>27.92</v>
      </c>
      <c r="F1984" s="607">
        <v>88.02</v>
      </c>
      <c r="G1984" s="584">
        <v>15</v>
      </c>
    </row>
    <row r="1985" spans="1:7" ht="15" x14ac:dyDescent="0.2">
      <c r="A1985" s="583" t="s">
        <v>16164</v>
      </c>
      <c r="B1985" s="605" t="s">
        <v>16165</v>
      </c>
      <c r="C1985" s="606" t="s">
        <v>12375</v>
      </c>
      <c r="D1985" s="607">
        <v>77.8</v>
      </c>
      <c r="E1985" s="607">
        <v>55.83</v>
      </c>
      <c r="F1985" s="607">
        <v>133.63</v>
      </c>
      <c r="G1985" s="584">
        <v>15</v>
      </c>
    </row>
    <row r="1986" spans="1:7" ht="15" x14ac:dyDescent="0.2">
      <c r="A1986" s="583" t="s">
        <v>16166</v>
      </c>
      <c r="B1986" s="605" t="s">
        <v>16167</v>
      </c>
      <c r="C1986" s="606" t="s">
        <v>12375</v>
      </c>
      <c r="D1986" s="607">
        <v>230.92</v>
      </c>
      <c r="E1986" s="607">
        <v>55.83</v>
      </c>
      <c r="F1986" s="607">
        <v>286.75</v>
      </c>
      <c r="G1986" s="584">
        <v>15</v>
      </c>
    </row>
    <row r="1987" spans="1:7" ht="15" x14ac:dyDescent="0.2">
      <c r="A1987" s="583" t="s">
        <v>16168</v>
      </c>
      <c r="B1987" s="605" t="s">
        <v>16169</v>
      </c>
      <c r="C1987" s="606" t="s">
        <v>12375</v>
      </c>
      <c r="D1987" s="607">
        <v>323.55</v>
      </c>
      <c r="E1987" s="607">
        <v>55.83</v>
      </c>
      <c r="F1987" s="607">
        <v>379.38</v>
      </c>
      <c r="G1987" s="584">
        <v>15</v>
      </c>
    </row>
    <row r="1988" spans="1:7" ht="15" x14ac:dyDescent="0.2">
      <c r="A1988" s="583" t="s">
        <v>16170</v>
      </c>
      <c r="B1988" s="605" t="s">
        <v>16171</v>
      </c>
      <c r="C1988" s="606" t="s">
        <v>12375</v>
      </c>
      <c r="D1988" s="607">
        <v>1406.33</v>
      </c>
      <c r="E1988" s="607">
        <v>66.989999999999995</v>
      </c>
      <c r="F1988" s="607">
        <v>1473.32</v>
      </c>
      <c r="G1988" s="584">
        <v>15</v>
      </c>
    </row>
    <row r="1989" spans="1:7" ht="15" x14ac:dyDescent="0.2">
      <c r="A1989" s="583" t="s">
        <v>16172</v>
      </c>
      <c r="B1989" s="605" t="s">
        <v>16173</v>
      </c>
      <c r="C1989" s="606" t="s">
        <v>12375</v>
      </c>
      <c r="D1989" s="607">
        <v>471.13</v>
      </c>
      <c r="E1989" s="607">
        <v>66.989999999999995</v>
      </c>
      <c r="F1989" s="607">
        <v>538.12</v>
      </c>
      <c r="G1989" s="584">
        <v>15</v>
      </c>
    </row>
    <row r="1990" spans="1:7" ht="15" x14ac:dyDescent="0.25">
      <c r="A1990" s="583" t="s">
        <v>16174</v>
      </c>
      <c r="B1990" s="605" t="s">
        <v>16175</v>
      </c>
      <c r="C1990" s="606"/>
      <c r="D1990" s="607"/>
      <c r="E1990" s="607"/>
      <c r="F1990" s="607"/>
      <c r="G1990" s="582"/>
    </row>
    <row r="1991" spans="1:7" ht="15" x14ac:dyDescent="0.2">
      <c r="A1991" s="583" t="s">
        <v>16176</v>
      </c>
      <c r="B1991" s="605" t="s">
        <v>16177</v>
      </c>
      <c r="C1991" s="606" t="s">
        <v>12375</v>
      </c>
      <c r="D1991" s="607">
        <v>34.79</v>
      </c>
      <c r="E1991" s="607">
        <v>11.16</v>
      </c>
      <c r="F1991" s="607">
        <v>45.95</v>
      </c>
      <c r="G1991" s="584">
        <v>15</v>
      </c>
    </row>
    <row r="1992" spans="1:7" ht="15" x14ac:dyDescent="0.2">
      <c r="A1992" s="583" t="s">
        <v>16178</v>
      </c>
      <c r="B1992" s="605" t="s">
        <v>16179</v>
      </c>
      <c r="C1992" s="606" t="s">
        <v>12375</v>
      </c>
      <c r="D1992" s="607">
        <v>76.599999999999994</v>
      </c>
      <c r="E1992" s="607">
        <v>11.16</v>
      </c>
      <c r="F1992" s="607">
        <v>87.76</v>
      </c>
      <c r="G1992" s="584">
        <v>15</v>
      </c>
    </row>
    <row r="1993" spans="1:7" ht="15" x14ac:dyDescent="0.2">
      <c r="A1993" s="583" t="s">
        <v>16180</v>
      </c>
      <c r="B1993" s="605" t="s">
        <v>16181</v>
      </c>
      <c r="C1993" s="606" t="s">
        <v>12375</v>
      </c>
      <c r="D1993" s="607">
        <v>109.53</v>
      </c>
      <c r="E1993" s="607">
        <v>11.16</v>
      </c>
      <c r="F1993" s="607">
        <v>120.69</v>
      </c>
      <c r="G1993" s="584">
        <v>15</v>
      </c>
    </row>
    <row r="1994" spans="1:7" ht="15" x14ac:dyDescent="0.2">
      <c r="A1994" s="583" t="s">
        <v>16182</v>
      </c>
      <c r="B1994" s="605" t="s">
        <v>16183</v>
      </c>
      <c r="C1994" s="606" t="s">
        <v>12375</v>
      </c>
      <c r="D1994" s="607">
        <v>178.27</v>
      </c>
      <c r="E1994" s="607">
        <v>11.16</v>
      </c>
      <c r="F1994" s="607">
        <v>189.43</v>
      </c>
      <c r="G1994" s="584">
        <v>15</v>
      </c>
    </row>
    <row r="1995" spans="1:7" ht="15" x14ac:dyDescent="0.2">
      <c r="A1995" s="583" t="s">
        <v>16184</v>
      </c>
      <c r="B1995" s="605" t="s">
        <v>16185</v>
      </c>
      <c r="C1995" s="606" t="s">
        <v>12375</v>
      </c>
      <c r="D1995" s="607">
        <v>195.46</v>
      </c>
      <c r="E1995" s="607">
        <v>11.16</v>
      </c>
      <c r="F1995" s="607">
        <v>206.62</v>
      </c>
      <c r="G1995" s="584">
        <v>15</v>
      </c>
    </row>
    <row r="1996" spans="1:7" ht="15" x14ac:dyDescent="0.2">
      <c r="A1996" s="583" t="s">
        <v>16186</v>
      </c>
      <c r="B1996" s="605" t="s">
        <v>16187</v>
      </c>
      <c r="C1996" s="606" t="s">
        <v>12375</v>
      </c>
      <c r="D1996" s="607">
        <v>354.61</v>
      </c>
      <c r="E1996" s="607">
        <v>11.16</v>
      </c>
      <c r="F1996" s="607">
        <v>365.77</v>
      </c>
      <c r="G1996" s="584">
        <v>15</v>
      </c>
    </row>
    <row r="1997" spans="1:7" ht="15" x14ac:dyDescent="0.2">
      <c r="A1997" s="583" t="s">
        <v>16188</v>
      </c>
      <c r="B1997" s="605" t="s">
        <v>16189</v>
      </c>
      <c r="C1997" s="606" t="s">
        <v>12375</v>
      </c>
      <c r="D1997" s="607">
        <v>4.3600000000000003</v>
      </c>
      <c r="E1997" s="607">
        <v>11.16</v>
      </c>
      <c r="F1997" s="607">
        <v>15.52</v>
      </c>
      <c r="G1997" s="584">
        <v>15</v>
      </c>
    </row>
    <row r="1998" spans="1:7" ht="15" x14ac:dyDescent="0.2">
      <c r="A1998" s="583" t="s">
        <v>16190</v>
      </c>
      <c r="B1998" s="605" t="s">
        <v>16191</v>
      </c>
      <c r="C1998" s="606" t="s">
        <v>12375</v>
      </c>
      <c r="D1998" s="607">
        <v>5.63</v>
      </c>
      <c r="E1998" s="607">
        <v>11.16</v>
      </c>
      <c r="F1998" s="607">
        <v>16.79</v>
      </c>
      <c r="G1998" s="584">
        <v>15</v>
      </c>
    </row>
    <row r="1999" spans="1:7" ht="15" x14ac:dyDescent="0.2">
      <c r="A1999" s="583" t="s">
        <v>16192</v>
      </c>
      <c r="B1999" s="605" t="s">
        <v>16193</v>
      </c>
      <c r="C1999" s="606" t="s">
        <v>12375</v>
      </c>
      <c r="D1999" s="607">
        <v>36.97</v>
      </c>
      <c r="E1999" s="607">
        <v>2.8</v>
      </c>
      <c r="F1999" s="607">
        <v>39.770000000000003</v>
      </c>
      <c r="G1999" s="584">
        <v>15</v>
      </c>
    </row>
    <row r="2000" spans="1:7" ht="15" x14ac:dyDescent="0.25">
      <c r="A2000" s="583" t="s">
        <v>16194</v>
      </c>
      <c r="B2000" s="605" t="s">
        <v>16195</v>
      </c>
      <c r="C2000" s="606"/>
      <c r="D2000" s="607"/>
      <c r="E2000" s="607"/>
      <c r="F2000" s="607"/>
      <c r="G2000" s="582"/>
    </row>
    <row r="2001" spans="1:7" ht="30" x14ac:dyDescent="0.2">
      <c r="A2001" s="583" t="s">
        <v>16196</v>
      </c>
      <c r="B2001" s="605" t="s">
        <v>16197</v>
      </c>
      <c r="C2001" s="606" t="s">
        <v>12375</v>
      </c>
      <c r="D2001" s="607">
        <v>28095.62</v>
      </c>
      <c r="E2001" s="607">
        <v>350.29</v>
      </c>
      <c r="F2001" s="607">
        <v>28445.91</v>
      </c>
      <c r="G2001" s="584">
        <v>15</v>
      </c>
    </row>
    <row r="2002" spans="1:7" ht="30" x14ac:dyDescent="0.2">
      <c r="A2002" s="583" t="s">
        <v>16198</v>
      </c>
      <c r="B2002" s="605" t="s">
        <v>21409</v>
      </c>
      <c r="C2002" s="606" t="s">
        <v>12375</v>
      </c>
      <c r="D2002" s="607">
        <v>26893.599999999999</v>
      </c>
      <c r="E2002" s="607">
        <v>314.16000000000003</v>
      </c>
      <c r="F2002" s="607">
        <v>27207.759999999998</v>
      </c>
      <c r="G2002" s="584">
        <v>15</v>
      </c>
    </row>
    <row r="2003" spans="1:7" ht="30" x14ac:dyDescent="0.2">
      <c r="A2003" s="583" t="s">
        <v>16199</v>
      </c>
      <c r="B2003" s="605" t="s">
        <v>16200</v>
      </c>
      <c r="C2003" s="606" t="s">
        <v>12676</v>
      </c>
      <c r="D2003" s="607">
        <v>44433.71</v>
      </c>
      <c r="E2003" s="607">
        <v>462.72</v>
      </c>
      <c r="F2003" s="607">
        <v>44896.43</v>
      </c>
      <c r="G2003" s="584">
        <v>15</v>
      </c>
    </row>
    <row r="2004" spans="1:7" ht="30" x14ac:dyDescent="0.2">
      <c r="A2004" s="583" t="s">
        <v>16201</v>
      </c>
      <c r="B2004" s="605" t="s">
        <v>21410</v>
      </c>
      <c r="C2004" s="606" t="s">
        <v>12375</v>
      </c>
      <c r="D2004" s="607">
        <v>81160.34</v>
      </c>
      <c r="E2004" s="607">
        <v>55.83</v>
      </c>
      <c r="F2004" s="607">
        <v>81216.17</v>
      </c>
      <c r="G2004" s="584">
        <v>15</v>
      </c>
    </row>
    <row r="2005" spans="1:7" ht="30" x14ac:dyDescent="0.2">
      <c r="A2005" s="583" t="s">
        <v>16202</v>
      </c>
      <c r="B2005" s="605" t="s">
        <v>21411</v>
      </c>
      <c r="C2005" s="606" t="s">
        <v>12375</v>
      </c>
      <c r="D2005" s="607">
        <v>139867.44</v>
      </c>
      <c r="E2005" s="607">
        <v>55.83</v>
      </c>
      <c r="F2005" s="607">
        <v>139923.26999999999</v>
      </c>
      <c r="G2005" s="584">
        <v>15</v>
      </c>
    </row>
    <row r="2006" spans="1:7" ht="30" x14ac:dyDescent="0.2">
      <c r="A2006" s="583" t="s">
        <v>16203</v>
      </c>
      <c r="B2006" s="605" t="s">
        <v>16204</v>
      </c>
      <c r="C2006" s="606" t="s">
        <v>12375</v>
      </c>
      <c r="D2006" s="607">
        <v>11.56</v>
      </c>
      <c r="E2006" s="607">
        <v>16.75</v>
      </c>
      <c r="F2006" s="607">
        <v>28.31</v>
      </c>
      <c r="G2006" s="584">
        <v>15</v>
      </c>
    </row>
    <row r="2007" spans="1:7" ht="30" x14ac:dyDescent="0.2">
      <c r="A2007" s="583" t="s">
        <v>16205</v>
      </c>
      <c r="B2007" s="605" t="s">
        <v>16206</v>
      </c>
      <c r="C2007" s="606" t="s">
        <v>12375</v>
      </c>
      <c r="D2007" s="607">
        <v>41.37</v>
      </c>
      <c r="E2007" s="607">
        <v>16.75</v>
      </c>
      <c r="F2007" s="607">
        <v>58.12</v>
      </c>
      <c r="G2007" s="584">
        <v>15</v>
      </c>
    </row>
    <row r="2008" spans="1:7" ht="30" x14ac:dyDescent="0.2">
      <c r="A2008" s="583" t="s">
        <v>16207</v>
      </c>
      <c r="B2008" s="605" t="s">
        <v>16208</v>
      </c>
      <c r="C2008" s="606" t="s">
        <v>12375</v>
      </c>
      <c r="D2008" s="607">
        <v>135.37</v>
      </c>
      <c r="E2008" s="607">
        <v>33.5</v>
      </c>
      <c r="F2008" s="607">
        <v>168.87</v>
      </c>
      <c r="G2008" s="584">
        <v>15</v>
      </c>
    </row>
    <row r="2009" spans="1:7" ht="30" x14ac:dyDescent="0.2">
      <c r="A2009" s="583" t="s">
        <v>16209</v>
      </c>
      <c r="B2009" s="605" t="s">
        <v>16210</v>
      </c>
      <c r="C2009" s="606" t="s">
        <v>12375</v>
      </c>
      <c r="D2009" s="607">
        <v>178.38</v>
      </c>
      <c r="E2009" s="607">
        <v>33.5</v>
      </c>
      <c r="F2009" s="607">
        <v>211.88</v>
      </c>
      <c r="G2009" s="584">
        <v>15</v>
      </c>
    </row>
    <row r="2010" spans="1:7" ht="30" x14ac:dyDescent="0.2">
      <c r="A2010" s="583" t="s">
        <v>16211</v>
      </c>
      <c r="B2010" s="605" t="s">
        <v>16212</v>
      </c>
      <c r="C2010" s="606" t="s">
        <v>12375</v>
      </c>
      <c r="D2010" s="607">
        <v>122.94</v>
      </c>
      <c r="E2010" s="607">
        <v>50.25</v>
      </c>
      <c r="F2010" s="607">
        <v>173.19</v>
      </c>
      <c r="G2010" s="584">
        <v>15</v>
      </c>
    </row>
    <row r="2011" spans="1:7" ht="30" x14ac:dyDescent="0.2">
      <c r="A2011" s="583" t="s">
        <v>16213</v>
      </c>
      <c r="B2011" s="605" t="s">
        <v>16214</v>
      </c>
      <c r="C2011" s="606" t="s">
        <v>12375</v>
      </c>
      <c r="D2011" s="607">
        <v>215.76</v>
      </c>
      <c r="E2011" s="607">
        <v>50.25</v>
      </c>
      <c r="F2011" s="607">
        <v>266.01</v>
      </c>
      <c r="G2011" s="584">
        <v>15</v>
      </c>
    </row>
    <row r="2012" spans="1:7" ht="30" x14ac:dyDescent="0.2">
      <c r="A2012" s="583" t="s">
        <v>16215</v>
      </c>
      <c r="B2012" s="605" t="s">
        <v>21412</v>
      </c>
      <c r="C2012" s="606" t="s">
        <v>12375</v>
      </c>
      <c r="D2012" s="607">
        <v>473.13</v>
      </c>
      <c r="E2012" s="607">
        <v>55.83</v>
      </c>
      <c r="F2012" s="607">
        <v>528.96</v>
      </c>
      <c r="G2012" s="584">
        <v>15</v>
      </c>
    </row>
    <row r="2013" spans="1:7" ht="30" x14ac:dyDescent="0.2">
      <c r="A2013" s="583" t="s">
        <v>16216</v>
      </c>
      <c r="B2013" s="605" t="s">
        <v>21413</v>
      </c>
      <c r="C2013" s="606" t="s">
        <v>12375</v>
      </c>
      <c r="D2013" s="607">
        <v>803.16</v>
      </c>
      <c r="E2013" s="607">
        <v>55.83</v>
      </c>
      <c r="F2013" s="607">
        <v>858.99</v>
      </c>
      <c r="G2013" s="584">
        <v>15</v>
      </c>
    </row>
    <row r="2014" spans="1:7" ht="45" x14ac:dyDescent="0.2">
      <c r="A2014" s="583" t="s">
        <v>16217</v>
      </c>
      <c r="B2014" s="605" t="s">
        <v>21414</v>
      </c>
      <c r="C2014" s="606" t="s">
        <v>12375</v>
      </c>
      <c r="D2014" s="607">
        <v>1864.12</v>
      </c>
      <c r="E2014" s="607">
        <v>111.66</v>
      </c>
      <c r="F2014" s="607">
        <v>1975.78</v>
      </c>
      <c r="G2014" s="584">
        <v>15</v>
      </c>
    </row>
    <row r="2015" spans="1:7" ht="45" x14ac:dyDescent="0.2">
      <c r="A2015" s="583" t="s">
        <v>16218</v>
      </c>
      <c r="B2015" s="605" t="s">
        <v>21415</v>
      </c>
      <c r="C2015" s="606" t="s">
        <v>20385</v>
      </c>
      <c r="D2015" s="607">
        <v>1284.1199999999999</v>
      </c>
      <c r="E2015" s="607">
        <v>111.66</v>
      </c>
      <c r="F2015" s="607">
        <v>1395.78</v>
      </c>
      <c r="G2015" s="584">
        <v>15</v>
      </c>
    </row>
    <row r="2016" spans="1:7" ht="45" x14ac:dyDescent="0.2">
      <c r="A2016" s="583" t="s">
        <v>16219</v>
      </c>
      <c r="B2016" s="605" t="s">
        <v>21416</v>
      </c>
      <c r="C2016" s="606" t="s">
        <v>20385</v>
      </c>
      <c r="D2016" s="607">
        <v>3617.1</v>
      </c>
      <c r="E2016" s="607">
        <v>111.66</v>
      </c>
      <c r="F2016" s="607">
        <v>3728.76</v>
      </c>
      <c r="G2016" s="584">
        <v>15</v>
      </c>
    </row>
    <row r="2017" spans="1:7" ht="30" x14ac:dyDescent="0.2">
      <c r="A2017" s="583" t="s">
        <v>16220</v>
      </c>
      <c r="B2017" s="605" t="s">
        <v>16221</v>
      </c>
      <c r="C2017" s="606" t="s">
        <v>20385</v>
      </c>
      <c r="D2017" s="607">
        <v>9447.9699999999993</v>
      </c>
      <c r="E2017" s="607">
        <v>111.66</v>
      </c>
      <c r="F2017" s="607">
        <v>9559.6299999999992</v>
      </c>
      <c r="G2017" s="584">
        <v>15</v>
      </c>
    </row>
    <row r="2018" spans="1:7" ht="30" x14ac:dyDescent="0.2">
      <c r="A2018" s="583" t="s">
        <v>16222</v>
      </c>
      <c r="B2018" s="605" t="s">
        <v>16223</v>
      </c>
      <c r="C2018" s="606" t="s">
        <v>20385</v>
      </c>
      <c r="D2018" s="607">
        <v>15653.21</v>
      </c>
      <c r="E2018" s="607">
        <v>111.66</v>
      </c>
      <c r="F2018" s="607">
        <v>15764.87</v>
      </c>
      <c r="G2018" s="584">
        <v>15</v>
      </c>
    </row>
    <row r="2019" spans="1:7" ht="30" x14ac:dyDescent="0.2">
      <c r="A2019" s="583" t="s">
        <v>16224</v>
      </c>
      <c r="B2019" s="605" t="s">
        <v>16225</v>
      </c>
      <c r="C2019" s="606" t="s">
        <v>20385</v>
      </c>
      <c r="D2019" s="607">
        <v>21619.73</v>
      </c>
      <c r="E2019" s="607">
        <v>111.66</v>
      </c>
      <c r="F2019" s="607">
        <v>21731.39</v>
      </c>
      <c r="G2019" s="584">
        <v>15</v>
      </c>
    </row>
    <row r="2020" spans="1:7" ht="30" x14ac:dyDescent="0.2">
      <c r="A2020" s="583" t="s">
        <v>16226</v>
      </c>
      <c r="B2020" s="605" t="s">
        <v>16227</v>
      </c>
      <c r="C2020" s="606" t="s">
        <v>20385</v>
      </c>
      <c r="D2020" s="607">
        <v>10.66</v>
      </c>
      <c r="E2020" s="607">
        <v>11.16</v>
      </c>
      <c r="F2020" s="607">
        <v>21.82</v>
      </c>
      <c r="G2020" s="584">
        <v>15</v>
      </c>
    </row>
    <row r="2021" spans="1:7" ht="30" x14ac:dyDescent="0.2">
      <c r="A2021" s="583" t="s">
        <v>16228</v>
      </c>
      <c r="B2021" s="605" t="s">
        <v>16229</v>
      </c>
      <c r="C2021" s="606" t="s">
        <v>20385</v>
      </c>
      <c r="D2021" s="607">
        <v>13.36</v>
      </c>
      <c r="E2021" s="607">
        <v>11.16</v>
      </c>
      <c r="F2021" s="607">
        <v>24.52</v>
      </c>
      <c r="G2021" s="584">
        <v>15</v>
      </c>
    </row>
    <row r="2022" spans="1:7" ht="30" x14ac:dyDescent="0.2">
      <c r="A2022" s="583" t="s">
        <v>16230</v>
      </c>
      <c r="B2022" s="605" t="s">
        <v>16231</v>
      </c>
      <c r="C2022" s="606" t="s">
        <v>20385</v>
      </c>
      <c r="D2022" s="607">
        <v>42.92</v>
      </c>
      <c r="E2022" s="607">
        <v>11.16</v>
      </c>
      <c r="F2022" s="607">
        <v>54.08</v>
      </c>
      <c r="G2022" s="584">
        <v>15</v>
      </c>
    </row>
    <row r="2023" spans="1:7" ht="30" x14ac:dyDescent="0.2">
      <c r="A2023" s="583" t="s">
        <v>16232</v>
      </c>
      <c r="B2023" s="605" t="s">
        <v>16233</v>
      </c>
      <c r="C2023" s="606" t="s">
        <v>20385</v>
      </c>
      <c r="D2023" s="607">
        <v>43.37</v>
      </c>
      <c r="E2023" s="607">
        <v>11.16</v>
      </c>
      <c r="F2023" s="607">
        <v>54.53</v>
      </c>
      <c r="G2023" s="584">
        <v>15</v>
      </c>
    </row>
    <row r="2024" spans="1:7" ht="30" x14ac:dyDescent="0.2">
      <c r="A2024" s="583" t="s">
        <v>16234</v>
      </c>
      <c r="B2024" s="605" t="s">
        <v>16235</v>
      </c>
      <c r="C2024" s="606" t="s">
        <v>20385</v>
      </c>
      <c r="D2024" s="607">
        <v>53.25</v>
      </c>
      <c r="E2024" s="607">
        <v>11.16</v>
      </c>
      <c r="F2024" s="607">
        <v>64.41</v>
      </c>
      <c r="G2024" s="584">
        <v>15</v>
      </c>
    </row>
    <row r="2025" spans="1:7" ht="30" x14ac:dyDescent="0.2">
      <c r="A2025" s="583" t="s">
        <v>16236</v>
      </c>
      <c r="B2025" s="605" t="s">
        <v>16237</v>
      </c>
      <c r="C2025" s="606" t="s">
        <v>20385</v>
      </c>
      <c r="D2025" s="607">
        <v>136.93</v>
      </c>
      <c r="E2025" s="607">
        <v>11.16</v>
      </c>
      <c r="F2025" s="607">
        <v>148.09</v>
      </c>
      <c r="G2025" s="584">
        <v>15</v>
      </c>
    </row>
    <row r="2026" spans="1:7" ht="30" x14ac:dyDescent="0.2">
      <c r="A2026" s="583" t="s">
        <v>16238</v>
      </c>
      <c r="B2026" s="605" t="s">
        <v>16239</v>
      </c>
      <c r="C2026" s="606" t="s">
        <v>20385</v>
      </c>
      <c r="D2026" s="607">
        <v>58.54</v>
      </c>
      <c r="E2026" s="607">
        <v>11.16</v>
      </c>
      <c r="F2026" s="607">
        <v>69.7</v>
      </c>
      <c r="G2026" s="584">
        <v>15</v>
      </c>
    </row>
    <row r="2027" spans="1:7" ht="30" x14ac:dyDescent="0.2">
      <c r="A2027" s="583" t="s">
        <v>16240</v>
      </c>
      <c r="B2027" s="605" t="s">
        <v>16241</v>
      </c>
      <c r="C2027" s="606" t="s">
        <v>20385</v>
      </c>
      <c r="D2027" s="607">
        <v>63.61</v>
      </c>
      <c r="E2027" s="607">
        <v>11.16</v>
      </c>
      <c r="F2027" s="607">
        <v>74.77</v>
      </c>
      <c r="G2027" s="584">
        <v>15</v>
      </c>
    </row>
    <row r="2028" spans="1:7" ht="30" x14ac:dyDescent="0.2">
      <c r="A2028" s="583" t="s">
        <v>16242</v>
      </c>
      <c r="B2028" s="605" t="s">
        <v>16243</v>
      </c>
      <c r="C2028" s="606" t="s">
        <v>20385</v>
      </c>
      <c r="D2028" s="607">
        <v>69.849999999999994</v>
      </c>
      <c r="E2028" s="607">
        <v>11.16</v>
      </c>
      <c r="F2028" s="607">
        <v>81.010000000000005</v>
      </c>
      <c r="G2028" s="584">
        <v>15</v>
      </c>
    </row>
    <row r="2029" spans="1:7" ht="30" x14ac:dyDescent="0.2">
      <c r="A2029" s="583" t="s">
        <v>16244</v>
      </c>
      <c r="B2029" s="605" t="s">
        <v>21417</v>
      </c>
      <c r="C2029" s="606" t="s">
        <v>20385</v>
      </c>
      <c r="D2029" s="607">
        <v>912.15</v>
      </c>
      <c r="E2029" s="607">
        <v>11.16</v>
      </c>
      <c r="F2029" s="607">
        <v>923.31</v>
      </c>
      <c r="G2029" s="584">
        <v>15</v>
      </c>
    </row>
    <row r="2030" spans="1:7" ht="30" x14ac:dyDescent="0.2">
      <c r="A2030" s="583" t="s">
        <v>16245</v>
      </c>
      <c r="B2030" s="605" t="s">
        <v>21418</v>
      </c>
      <c r="C2030" s="606" t="s">
        <v>20385</v>
      </c>
      <c r="D2030" s="607">
        <v>33617.440000000002</v>
      </c>
      <c r="E2030" s="607">
        <v>111.66</v>
      </c>
      <c r="F2030" s="607">
        <v>33729.1</v>
      </c>
      <c r="G2030" s="584">
        <v>15</v>
      </c>
    </row>
    <row r="2031" spans="1:7" ht="30" x14ac:dyDescent="0.2">
      <c r="A2031" s="583" t="s">
        <v>16246</v>
      </c>
      <c r="B2031" s="605" t="s">
        <v>21419</v>
      </c>
      <c r="C2031" s="606" t="s">
        <v>20385</v>
      </c>
      <c r="D2031" s="607">
        <v>59244.18</v>
      </c>
      <c r="E2031" s="607">
        <v>111.66</v>
      </c>
      <c r="F2031" s="607">
        <v>59355.839999999997</v>
      </c>
      <c r="G2031" s="584">
        <v>15</v>
      </c>
    </row>
    <row r="2032" spans="1:7" ht="30" x14ac:dyDescent="0.2">
      <c r="A2032" s="583" t="s">
        <v>16247</v>
      </c>
      <c r="B2032" s="605" t="s">
        <v>16248</v>
      </c>
      <c r="C2032" s="606" t="s">
        <v>20385</v>
      </c>
      <c r="D2032" s="607">
        <v>365179.25</v>
      </c>
      <c r="E2032" s="607">
        <v>55.83</v>
      </c>
      <c r="F2032" s="607">
        <v>365235.08</v>
      </c>
      <c r="G2032" s="584">
        <v>15</v>
      </c>
    </row>
    <row r="2033" spans="1:7" ht="15" x14ac:dyDescent="0.25">
      <c r="A2033" s="583" t="s">
        <v>16249</v>
      </c>
      <c r="B2033" s="605" t="s">
        <v>16250</v>
      </c>
      <c r="C2033" s="606"/>
      <c r="D2033" s="607"/>
      <c r="E2033" s="607"/>
      <c r="F2033" s="607"/>
      <c r="G2033" s="582"/>
    </row>
    <row r="2034" spans="1:7" ht="30" x14ac:dyDescent="0.2">
      <c r="A2034" s="583" t="s">
        <v>16251</v>
      </c>
      <c r="B2034" s="605" t="s">
        <v>16252</v>
      </c>
      <c r="C2034" s="606" t="s">
        <v>20385</v>
      </c>
      <c r="D2034" s="607">
        <v>2429.91</v>
      </c>
      <c r="E2034" s="607">
        <v>55.83</v>
      </c>
      <c r="F2034" s="607">
        <v>2485.7399999999998</v>
      </c>
      <c r="G2034" s="584">
        <v>15</v>
      </c>
    </row>
    <row r="2035" spans="1:7" ht="30" x14ac:dyDescent="0.2">
      <c r="A2035" s="583" t="s">
        <v>16253</v>
      </c>
      <c r="B2035" s="605" t="s">
        <v>16254</v>
      </c>
      <c r="C2035" s="606" t="s">
        <v>20385</v>
      </c>
      <c r="D2035" s="607">
        <v>2025.5</v>
      </c>
      <c r="E2035" s="607">
        <v>44.67</v>
      </c>
      <c r="F2035" s="607">
        <v>2070.17</v>
      </c>
      <c r="G2035" s="584">
        <v>15</v>
      </c>
    </row>
    <row r="2036" spans="1:7" ht="30" x14ac:dyDescent="0.2">
      <c r="A2036" s="583" t="s">
        <v>16255</v>
      </c>
      <c r="B2036" s="605" t="s">
        <v>16256</v>
      </c>
      <c r="C2036" s="606" t="s">
        <v>20385</v>
      </c>
      <c r="D2036" s="607">
        <v>1274.95</v>
      </c>
      <c r="E2036" s="607">
        <v>44.67</v>
      </c>
      <c r="F2036" s="607">
        <v>1319.62</v>
      </c>
      <c r="G2036" s="584">
        <v>15</v>
      </c>
    </row>
    <row r="2037" spans="1:7" ht="30" x14ac:dyDescent="0.2">
      <c r="A2037" s="583" t="s">
        <v>16257</v>
      </c>
      <c r="B2037" s="605" t="s">
        <v>16258</v>
      </c>
      <c r="C2037" s="606" t="s">
        <v>20385</v>
      </c>
      <c r="D2037" s="607">
        <v>2078.21</v>
      </c>
      <c r="E2037" s="607">
        <v>55.83</v>
      </c>
      <c r="F2037" s="607">
        <v>2134.04</v>
      </c>
      <c r="G2037" s="584">
        <v>15</v>
      </c>
    </row>
    <row r="2038" spans="1:7" ht="30" x14ac:dyDescent="0.2">
      <c r="A2038" s="583" t="s">
        <v>16259</v>
      </c>
      <c r="B2038" s="605" t="s">
        <v>16260</v>
      </c>
      <c r="C2038" s="606" t="s">
        <v>20385</v>
      </c>
      <c r="D2038" s="607">
        <v>2497.64</v>
      </c>
      <c r="E2038" s="607">
        <v>66.989999999999995</v>
      </c>
      <c r="F2038" s="607">
        <v>2564.63</v>
      </c>
      <c r="G2038" s="584">
        <v>15</v>
      </c>
    </row>
    <row r="2039" spans="1:7" ht="30" x14ac:dyDescent="0.2">
      <c r="A2039" s="583" t="s">
        <v>16261</v>
      </c>
      <c r="B2039" s="605" t="s">
        <v>16262</v>
      </c>
      <c r="C2039" s="606" t="s">
        <v>20385</v>
      </c>
      <c r="D2039" s="607">
        <v>4358.9399999999996</v>
      </c>
      <c r="E2039" s="607">
        <v>83.75</v>
      </c>
      <c r="F2039" s="607">
        <v>4442.6899999999996</v>
      </c>
      <c r="G2039" s="584">
        <v>15</v>
      </c>
    </row>
    <row r="2040" spans="1:7" ht="30" x14ac:dyDescent="0.2">
      <c r="A2040" s="583" t="s">
        <v>16263</v>
      </c>
      <c r="B2040" s="605" t="s">
        <v>16264</v>
      </c>
      <c r="C2040" s="606" t="s">
        <v>20385</v>
      </c>
      <c r="D2040" s="607">
        <v>10112.219999999999</v>
      </c>
      <c r="E2040" s="607">
        <v>83.75</v>
      </c>
      <c r="F2040" s="607">
        <v>10195.969999999999</v>
      </c>
      <c r="G2040" s="584">
        <v>15</v>
      </c>
    </row>
    <row r="2041" spans="1:7" ht="30" x14ac:dyDescent="0.2">
      <c r="A2041" s="583" t="s">
        <v>16265</v>
      </c>
      <c r="B2041" s="605" t="s">
        <v>16266</v>
      </c>
      <c r="C2041" s="606" t="s">
        <v>20385</v>
      </c>
      <c r="D2041" s="607">
        <v>1395.34</v>
      </c>
      <c r="E2041" s="607">
        <v>44.67</v>
      </c>
      <c r="F2041" s="607">
        <v>1440.01</v>
      </c>
      <c r="G2041" s="584">
        <v>15</v>
      </c>
    </row>
    <row r="2042" spans="1:7" ht="30" x14ac:dyDescent="0.2">
      <c r="A2042" s="583" t="s">
        <v>16267</v>
      </c>
      <c r="B2042" s="605" t="s">
        <v>16268</v>
      </c>
      <c r="C2042" s="606" t="s">
        <v>20385</v>
      </c>
      <c r="D2042" s="607">
        <v>1799.23</v>
      </c>
      <c r="E2042" s="607">
        <v>44.67</v>
      </c>
      <c r="F2042" s="607">
        <v>1843.9</v>
      </c>
      <c r="G2042" s="584">
        <v>15</v>
      </c>
    </row>
    <row r="2043" spans="1:7" ht="30" x14ac:dyDescent="0.2">
      <c r="A2043" s="583" t="s">
        <v>16269</v>
      </c>
      <c r="B2043" s="605" t="s">
        <v>16270</v>
      </c>
      <c r="C2043" s="606" t="s">
        <v>20385</v>
      </c>
      <c r="D2043" s="607">
        <v>4134.24</v>
      </c>
      <c r="E2043" s="607">
        <v>44.67</v>
      </c>
      <c r="F2043" s="607">
        <v>4178.91</v>
      </c>
      <c r="G2043" s="584">
        <v>15</v>
      </c>
    </row>
    <row r="2044" spans="1:7" ht="30" x14ac:dyDescent="0.2">
      <c r="A2044" s="583" t="s">
        <v>16271</v>
      </c>
      <c r="B2044" s="605" t="s">
        <v>16272</v>
      </c>
      <c r="C2044" s="606" t="s">
        <v>20385</v>
      </c>
      <c r="D2044" s="607">
        <v>4611.34</v>
      </c>
      <c r="E2044" s="607">
        <v>55.83</v>
      </c>
      <c r="F2044" s="607">
        <v>4667.17</v>
      </c>
      <c r="G2044" s="584">
        <v>15</v>
      </c>
    </row>
    <row r="2045" spans="1:7" ht="30" x14ac:dyDescent="0.2">
      <c r="A2045" s="583" t="s">
        <v>16273</v>
      </c>
      <c r="B2045" s="605" t="s">
        <v>16274</v>
      </c>
      <c r="C2045" s="606" t="s">
        <v>20385</v>
      </c>
      <c r="D2045" s="607">
        <v>9602.5499999999993</v>
      </c>
      <c r="E2045" s="607">
        <v>66.989999999999995</v>
      </c>
      <c r="F2045" s="607">
        <v>9669.5400000000009</v>
      </c>
      <c r="G2045" s="584">
        <v>15</v>
      </c>
    </row>
    <row r="2046" spans="1:7" ht="30" x14ac:dyDescent="0.2">
      <c r="A2046" s="583" t="s">
        <v>16275</v>
      </c>
      <c r="B2046" s="605" t="s">
        <v>16276</v>
      </c>
      <c r="C2046" s="606" t="s">
        <v>20385</v>
      </c>
      <c r="D2046" s="607">
        <v>352.34</v>
      </c>
      <c r="E2046" s="607">
        <v>44.67</v>
      </c>
      <c r="F2046" s="607">
        <v>397.01</v>
      </c>
      <c r="G2046" s="584">
        <v>15</v>
      </c>
    </row>
    <row r="2047" spans="1:7" ht="30" x14ac:dyDescent="0.2">
      <c r="A2047" s="583" t="s">
        <v>16277</v>
      </c>
      <c r="B2047" s="605" t="s">
        <v>16278</v>
      </c>
      <c r="C2047" s="606" t="s">
        <v>20385</v>
      </c>
      <c r="D2047" s="607">
        <v>924.55</v>
      </c>
      <c r="E2047" s="607">
        <v>44.67</v>
      </c>
      <c r="F2047" s="607">
        <v>969.22</v>
      </c>
      <c r="G2047" s="584">
        <v>15</v>
      </c>
    </row>
    <row r="2048" spans="1:7" ht="30" x14ac:dyDescent="0.2">
      <c r="A2048" s="583" t="s">
        <v>16279</v>
      </c>
      <c r="B2048" s="605" t="s">
        <v>16280</v>
      </c>
      <c r="C2048" s="606" t="s">
        <v>20385</v>
      </c>
      <c r="D2048" s="607">
        <v>1219.9100000000001</v>
      </c>
      <c r="E2048" s="607">
        <v>55.83</v>
      </c>
      <c r="F2048" s="607">
        <v>1275.74</v>
      </c>
      <c r="G2048" s="584">
        <v>15</v>
      </c>
    </row>
    <row r="2049" spans="1:7" ht="30" x14ac:dyDescent="0.2">
      <c r="A2049" s="583" t="s">
        <v>16281</v>
      </c>
      <c r="B2049" s="605" t="s">
        <v>16282</v>
      </c>
      <c r="C2049" s="606" t="s">
        <v>20385</v>
      </c>
      <c r="D2049" s="607">
        <v>1670.92</v>
      </c>
      <c r="E2049" s="607">
        <v>66.989999999999995</v>
      </c>
      <c r="F2049" s="607">
        <v>1737.91</v>
      </c>
      <c r="G2049" s="584">
        <v>15</v>
      </c>
    </row>
    <row r="2050" spans="1:7" ht="30" x14ac:dyDescent="0.2">
      <c r="A2050" s="583" t="s">
        <v>16283</v>
      </c>
      <c r="B2050" s="605" t="s">
        <v>16284</v>
      </c>
      <c r="C2050" s="606" t="s">
        <v>20385</v>
      </c>
      <c r="D2050" s="607">
        <v>5307.79</v>
      </c>
      <c r="E2050" s="607">
        <v>66.989999999999995</v>
      </c>
      <c r="F2050" s="607">
        <v>5374.78</v>
      </c>
      <c r="G2050" s="584">
        <v>15</v>
      </c>
    </row>
    <row r="2051" spans="1:7" ht="30" x14ac:dyDescent="0.2">
      <c r="A2051" s="583" t="s">
        <v>16285</v>
      </c>
      <c r="B2051" s="605" t="s">
        <v>16286</v>
      </c>
      <c r="C2051" s="606" t="s">
        <v>20385</v>
      </c>
      <c r="D2051" s="607">
        <v>7284.15</v>
      </c>
      <c r="E2051" s="607">
        <v>83.75</v>
      </c>
      <c r="F2051" s="607">
        <v>7367.9</v>
      </c>
      <c r="G2051" s="584">
        <v>15</v>
      </c>
    </row>
    <row r="2052" spans="1:7" ht="30" x14ac:dyDescent="0.2">
      <c r="A2052" s="583" t="s">
        <v>16287</v>
      </c>
      <c r="B2052" s="605" t="s">
        <v>16288</v>
      </c>
      <c r="C2052" s="606" t="s">
        <v>20385</v>
      </c>
      <c r="D2052" s="607">
        <v>11345.22</v>
      </c>
      <c r="E2052" s="607">
        <v>100.5</v>
      </c>
      <c r="F2052" s="607">
        <v>11445.72</v>
      </c>
      <c r="G2052" s="584">
        <v>15</v>
      </c>
    </row>
    <row r="2053" spans="1:7" ht="30" x14ac:dyDescent="0.2">
      <c r="A2053" s="583" t="s">
        <v>16289</v>
      </c>
      <c r="B2053" s="605" t="s">
        <v>16290</v>
      </c>
      <c r="C2053" s="606" t="s">
        <v>20385</v>
      </c>
      <c r="D2053" s="607">
        <v>11841.55</v>
      </c>
      <c r="E2053" s="607">
        <v>128.09</v>
      </c>
      <c r="F2053" s="607">
        <v>11969.64</v>
      </c>
      <c r="G2053" s="584">
        <v>15</v>
      </c>
    </row>
    <row r="2054" spans="1:7" ht="15" x14ac:dyDescent="0.2">
      <c r="A2054" s="583" t="s">
        <v>16291</v>
      </c>
      <c r="B2054" s="605" t="s">
        <v>16292</v>
      </c>
      <c r="C2054" s="606" t="s">
        <v>20385</v>
      </c>
      <c r="D2054" s="607">
        <v>86.99</v>
      </c>
      <c r="E2054" s="607">
        <v>11.16</v>
      </c>
      <c r="F2054" s="607">
        <v>98.15</v>
      </c>
      <c r="G2054" s="584">
        <v>15</v>
      </c>
    </row>
    <row r="2055" spans="1:7" ht="30" x14ac:dyDescent="0.2">
      <c r="A2055" s="583" t="s">
        <v>16293</v>
      </c>
      <c r="B2055" s="605" t="s">
        <v>16294</v>
      </c>
      <c r="C2055" s="606" t="s">
        <v>20385</v>
      </c>
      <c r="D2055" s="607">
        <v>888.43</v>
      </c>
      <c r="E2055" s="607">
        <v>44.67</v>
      </c>
      <c r="F2055" s="607">
        <v>933.1</v>
      </c>
      <c r="G2055" s="584">
        <v>15</v>
      </c>
    </row>
    <row r="2056" spans="1:7" ht="15" x14ac:dyDescent="0.25">
      <c r="A2056" s="583" t="s">
        <v>16295</v>
      </c>
      <c r="B2056" s="605" t="s">
        <v>16296</v>
      </c>
      <c r="C2056" s="606"/>
      <c r="D2056" s="607"/>
      <c r="E2056" s="607"/>
      <c r="F2056" s="607"/>
      <c r="G2056" s="582"/>
    </row>
    <row r="2057" spans="1:7" ht="30" x14ac:dyDescent="0.2">
      <c r="A2057" s="583" t="s">
        <v>16297</v>
      </c>
      <c r="B2057" s="605" t="s">
        <v>16298</v>
      </c>
      <c r="C2057" s="606" t="s">
        <v>20385</v>
      </c>
      <c r="D2057" s="607">
        <v>2593.9699999999998</v>
      </c>
      <c r="E2057" s="607">
        <v>271.75</v>
      </c>
      <c r="F2057" s="607">
        <v>2865.72</v>
      </c>
      <c r="G2057" s="584">
        <v>15</v>
      </c>
    </row>
    <row r="2058" spans="1:7" ht="30" x14ac:dyDescent="0.2">
      <c r="A2058" s="583" t="s">
        <v>16299</v>
      </c>
      <c r="B2058" s="605" t="s">
        <v>16300</v>
      </c>
      <c r="C2058" s="606" t="s">
        <v>12375</v>
      </c>
      <c r="D2058" s="607">
        <v>2268.4499999999998</v>
      </c>
      <c r="E2058" s="607">
        <v>271.75</v>
      </c>
      <c r="F2058" s="607">
        <v>2540.1999999999998</v>
      </c>
      <c r="G2058" s="584">
        <v>15</v>
      </c>
    </row>
    <row r="2059" spans="1:7" ht="30" x14ac:dyDescent="0.2">
      <c r="A2059" s="583" t="s">
        <v>16301</v>
      </c>
      <c r="B2059" s="605" t="s">
        <v>16302</v>
      </c>
      <c r="C2059" s="606" t="s">
        <v>12375</v>
      </c>
      <c r="D2059" s="607">
        <v>513.54</v>
      </c>
      <c r="E2059" s="607">
        <v>100.22</v>
      </c>
      <c r="F2059" s="607">
        <v>613.76</v>
      </c>
      <c r="G2059" s="584">
        <v>15</v>
      </c>
    </row>
    <row r="2060" spans="1:7" ht="30" x14ac:dyDescent="0.2">
      <c r="A2060" s="583" t="s">
        <v>16303</v>
      </c>
      <c r="B2060" s="605" t="s">
        <v>20169</v>
      </c>
      <c r="C2060" s="606" t="s">
        <v>12375</v>
      </c>
      <c r="D2060" s="607">
        <v>579.16</v>
      </c>
      <c r="E2060" s="607">
        <v>100.22</v>
      </c>
      <c r="F2060" s="607">
        <v>679.38</v>
      </c>
      <c r="G2060" s="584">
        <v>15</v>
      </c>
    </row>
    <row r="2061" spans="1:7" ht="30" x14ac:dyDescent="0.2">
      <c r="A2061" s="583" t="s">
        <v>16304</v>
      </c>
      <c r="B2061" s="605" t="s">
        <v>20170</v>
      </c>
      <c r="C2061" s="606" t="s">
        <v>12375</v>
      </c>
      <c r="D2061" s="607">
        <v>540.96</v>
      </c>
      <c r="E2061" s="607">
        <v>100.22</v>
      </c>
      <c r="F2061" s="607">
        <v>641.17999999999995</v>
      </c>
      <c r="G2061" s="584">
        <v>15</v>
      </c>
    </row>
    <row r="2062" spans="1:7" ht="30" x14ac:dyDescent="0.2">
      <c r="A2062" s="583" t="s">
        <v>16305</v>
      </c>
      <c r="B2062" s="605" t="s">
        <v>16306</v>
      </c>
      <c r="C2062" s="606" t="s">
        <v>12375</v>
      </c>
      <c r="D2062" s="607">
        <v>1915.29</v>
      </c>
      <c r="E2062" s="607">
        <v>271.75</v>
      </c>
      <c r="F2062" s="607">
        <v>2187.04</v>
      </c>
      <c r="G2062" s="584">
        <v>15</v>
      </c>
    </row>
    <row r="2063" spans="1:7" ht="30" x14ac:dyDescent="0.2">
      <c r="A2063" s="583" t="s">
        <v>16307</v>
      </c>
      <c r="B2063" s="605" t="s">
        <v>16308</v>
      </c>
      <c r="C2063" s="606" t="s">
        <v>12375</v>
      </c>
      <c r="D2063" s="607">
        <v>2293.06</v>
      </c>
      <c r="E2063" s="607">
        <v>271.75</v>
      </c>
      <c r="F2063" s="607">
        <v>2564.81</v>
      </c>
      <c r="G2063" s="584">
        <v>15</v>
      </c>
    </row>
    <row r="2064" spans="1:7" ht="15" x14ac:dyDescent="0.25">
      <c r="A2064" s="583" t="s">
        <v>16309</v>
      </c>
      <c r="B2064" s="605" t="s">
        <v>16310</v>
      </c>
      <c r="C2064" s="606"/>
      <c r="D2064" s="607"/>
      <c r="E2064" s="607"/>
      <c r="F2064" s="607"/>
      <c r="G2064" s="582"/>
    </row>
    <row r="2065" spans="1:7" ht="30" x14ac:dyDescent="0.2">
      <c r="A2065" s="583" t="s">
        <v>16311</v>
      </c>
      <c r="B2065" s="605" t="s">
        <v>20171</v>
      </c>
      <c r="C2065" s="606" t="s">
        <v>16312</v>
      </c>
      <c r="D2065" s="607">
        <v>600.66</v>
      </c>
      <c r="E2065" s="607">
        <v>0.69</v>
      </c>
      <c r="F2065" s="607">
        <v>601.35</v>
      </c>
      <c r="G2065" s="584">
        <v>15</v>
      </c>
    </row>
    <row r="2066" spans="1:7" ht="30" x14ac:dyDescent="0.2">
      <c r="A2066" s="583" t="s">
        <v>20172</v>
      </c>
      <c r="B2066" s="605" t="s">
        <v>20173</v>
      </c>
      <c r="C2066" s="606" t="s">
        <v>16312</v>
      </c>
      <c r="D2066" s="607">
        <v>187.48</v>
      </c>
      <c r="E2066" s="607">
        <v>0.69</v>
      </c>
      <c r="F2066" s="607">
        <v>188.17</v>
      </c>
      <c r="G2066" s="584">
        <v>15</v>
      </c>
    </row>
    <row r="2067" spans="1:7" ht="15" x14ac:dyDescent="0.25">
      <c r="A2067" s="583" t="s">
        <v>16313</v>
      </c>
      <c r="B2067" s="605" t="s">
        <v>16314</v>
      </c>
      <c r="C2067" s="606"/>
      <c r="D2067" s="607"/>
      <c r="E2067" s="607"/>
      <c r="F2067" s="607"/>
      <c r="G2067" s="582"/>
    </row>
    <row r="2068" spans="1:7" ht="15" x14ac:dyDescent="0.2">
      <c r="A2068" s="583" t="s">
        <v>16315</v>
      </c>
      <c r="B2068" s="605" t="s">
        <v>16316</v>
      </c>
      <c r="C2068" s="606" t="s">
        <v>12375</v>
      </c>
      <c r="D2068" s="607">
        <v>138.84</v>
      </c>
      <c r="E2068" s="607">
        <v>13.96</v>
      </c>
      <c r="F2068" s="607">
        <v>152.80000000000001</v>
      </c>
      <c r="G2068" s="584">
        <v>15</v>
      </c>
    </row>
    <row r="2069" spans="1:7" ht="15" x14ac:dyDescent="0.2">
      <c r="A2069" s="583" t="s">
        <v>16317</v>
      </c>
      <c r="B2069" s="605" t="s">
        <v>16318</v>
      </c>
      <c r="C2069" s="606" t="s">
        <v>12375</v>
      </c>
      <c r="D2069" s="607">
        <v>225.93</v>
      </c>
      <c r="E2069" s="607">
        <v>13.96</v>
      </c>
      <c r="F2069" s="607">
        <v>239.89</v>
      </c>
      <c r="G2069" s="584">
        <v>15</v>
      </c>
    </row>
    <row r="2070" spans="1:7" ht="15" x14ac:dyDescent="0.2">
      <c r="A2070" s="583" t="s">
        <v>16319</v>
      </c>
      <c r="B2070" s="605" t="s">
        <v>16320</v>
      </c>
      <c r="C2070" s="606" t="s">
        <v>12375</v>
      </c>
      <c r="D2070" s="607">
        <v>289.72000000000003</v>
      </c>
      <c r="E2070" s="607">
        <v>13.96</v>
      </c>
      <c r="F2070" s="607">
        <v>303.68</v>
      </c>
      <c r="G2070" s="584">
        <v>15</v>
      </c>
    </row>
    <row r="2071" spans="1:7" ht="15" x14ac:dyDescent="0.2">
      <c r="A2071" s="583" t="s">
        <v>16321</v>
      </c>
      <c r="B2071" s="605" t="s">
        <v>16322</v>
      </c>
      <c r="C2071" s="606" t="s">
        <v>12375</v>
      </c>
      <c r="D2071" s="607">
        <v>317.44</v>
      </c>
      <c r="E2071" s="607">
        <v>13.96</v>
      </c>
      <c r="F2071" s="607">
        <v>331.4</v>
      </c>
      <c r="G2071" s="584">
        <v>15</v>
      </c>
    </row>
    <row r="2072" spans="1:7" ht="15" x14ac:dyDescent="0.2">
      <c r="A2072" s="583" t="s">
        <v>16323</v>
      </c>
      <c r="B2072" s="605" t="s">
        <v>16324</v>
      </c>
      <c r="C2072" s="606" t="s">
        <v>12375</v>
      </c>
      <c r="D2072" s="607">
        <v>362.4</v>
      </c>
      <c r="E2072" s="607">
        <v>13.96</v>
      </c>
      <c r="F2072" s="607">
        <v>376.36</v>
      </c>
      <c r="G2072" s="584">
        <v>15</v>
      </c>
    </row>
    <row r="2073" spans="1:7" ht="15" x14ac:dyDescent="0.2">
      <c r="A2073" s="583" t="s">
        <v>16325</v>
      </c>
      <c r="B2073" s="605" t="s">
        <v>16326</v>
      </c>
      <c r="C2073" s="606" t="s">
        <v>12375</v>
      </c>
      <c r="D2073" s="607">
        <v>454.06</v>
      </c>
      <c r="E2073" s="607">
        <v>13.96</v>
      </c>
      <c r="F2073" s="607">
        <v>468.02</v>
      </c>
      <c r="G2073" s="584">
        <v>15</v>
      </c>
    </row>
    <row r="2074" spans="1:7" ht="15" x14ac:dyDescent="0.2">
      <c r="A2074" s="583" t="s">
        <v>16327</v>
      </c>
      <c r="B2074" s="605" t="s">
        <v>16328</v>
      </c>
      <c r="C2074" s="606" t="s">
        <v>12375</v>
      </c>
      <c r="D2074" s="607">
        <v>325.5</v>
      </c>
      <c r="E2074" s="607">
        <v>13.96</v>
      </c>
      <c r="F2074" s="607">
        <v>339.46</v>
      </c>
      <c r="G2074" s="584">
        <v>15</v>
      </c>
    </row>
    <row r="2075" spans="1:7" ht="15" x14ac:dyDescent="0.2">
      <c r="A2075" s="583" t="s">
        <v>16329</v>
      </c>
      <c r="B2075" s="605" t="s">
        <v>16330</v>
      </c>
      <c r="C2075" s="606" t="s">
        <v>12375</v>
      </c>
      <c r="D2075" s="607">
        <v>1924.2</v>
      </c>
      <c r="E2075" s="607">
        <v>13.96</v>
      </c>
      <c r="F2075" s="607">
        <v>1938.16</v>
      </c>
      <c r="G2075" s="584">
        <v>15</v>
      </c>
    </row>
    <row r="2076" spans="1:7" ht="15" x14ac:dyDescent="0.2">
      <c r="A2076" s="583" t="s">
        <v>16331</v>
      </c>
      <c r="B2076" s="605" t="s">
        <v>16332</v>
      </c>
      <c r="C2076" s="606" t="s">
        <v>12375</v>
      </c>
      <c r="D2076" s="607">
        <v>185.18</v>
      </c>
      <c r="E2076" s="607">
        <v>13.96</v>
      </c>
      <c r="F2076" s="607">
        <v>199.14</v>
      </c>
      <c r="G2076" s="584">
        <v>15</v>
      </c>
    </row>
    <row r="2077" spans="1:7" ht="15" x14ac:dyDescent="0.25">
      <c r="A2077" s="583" t="s">
        <v>16333</v>
      </c>
      <c r="B2077" s="605" t="s">
        <v>16334</v>
      </c>
      <c r="C2077" s="606"/>
      <c r="D2077" s="607"/>
      <c r="E2077" s="607"/>
      <c r="F2077" s="607"/>
      <c r="G2077" s="582"/>
    </row>
    <row r="2078" spans="1:7" ht="30" x14ac:dyDescent="0.2">
      <c r="A2078" s="583" t="s">
        <v>16335</v>
      </c>
      <c r="B2078" s="605" t="s">
        <v>16336</v>
      </c>
      <c r="C2078" s="606" t="s">
        <v>12375</v>
      </c>
      <c r="D2078" s="607">
        <v>3629.01</v>
      </c>
      <c r="E2078" s="607">
        <v>84.52</v>
      </c>
      <c r="F2078" s="607">
        <v>3713.53</v>
      </c>
      <c r="G2078" s="584">
        <v>15</v>
      </c>
    </row>
    <row r="2079" spans="1:7" ht="30" x14ac:dyDescent="0.2">
      <c r="A2079" s="583" t="s">
        <v>16337</v>
      </c>
      <c r="B2079" s="605" t="s">
        <v>16338</v>
      </c>
      <c r="C2079" s="606" t="s">
        <v>12375</v>
      </c>
      <c r="D2079" s="607">
        <v>5662.38</v>
      </c>
      <c r="E2079" s="607">
        <v>84.52</v>
      </c>
      <c r="F2079" s="607">
        <v>5746.9</v>
      </c>
      <c r="G2079" s="584">
        <v>15</v>
      </c>
    </row>
    <row r="2080" spans="1:7" ht="30" x14ac:dyDescent="0.2">
      <c r="A2080" s="583" t="s">
        <v>16339</v>
      </c>
      <c r="B2080" s="605" t="s">
        <v>16340</v>
      </c>
      <c r="C2080" s="606" t="s">
        <v>12375</v>
      </c>
      <c r="D2080" s="607">
        <v>3013.96</v>
      </c>
      <c r="E2080" s="607">
        <v>84.52</v>
      </c>
      <c r="F2080" s="607">
        <v>3098.48</v>
      </c>
      <c r="G2080" s="584">
        <v>15</v>
      </c>
    </row>
    <row r="2081" spans="1:7" ht="15" x14ac:dyDescent="0.25">
      <c r="A2081" s="583" t="s">
        <v>16341</v>
      </c>
      <c r="B2081" s="605" t="s">
        <v>16342</v>
      </c>
      <c r="C2081" s="606"/>
      <c r="D2081" s="607"/>
      <c r="E2081" s="607"/>
      <c r="F2081" s="607"/>
      <c r="G2081" s="582"/>
    </row>
    <row r="2082" spans="1:7" ht="15" x14ac:dyDescent="0.2">
      <c r="A2082" s="583" t="s">
        <v>16343</v>
      </c>
      <c r="B2082" s="605" t="s">
        <v>16344</v>
      </c>
      <c r="C2082" s="606" t="s">
        <v>12375</v>
      </c>
      <c r="D2082" s="607">
        <v>284.92</v>
      </c>
      <c r="E2082" s="607">
        <v>84.52</v>
      </c>
      <c r="F2082" s="607">
        <v>369.44</v>
      </c>
      <c r="G2082" s="584">
        <v>15</v>
      </c>
    </row>
    <row r="2083" spans="1:7" ht="15" x14ac:dyDescent="0.2">
      <c r="A2083" s="583" t="s">
        <v>16345</v>
      </c>
      <c r="B2083" s="605" t="s">
        <v>16346</v>
      </c>
      <c r="C2083" s="606" t="s">
        <v>12375</v>
      </c>
      <c r="D2083" s="607">
        <v>240.79</v>
      </c>
      <c r="E2083" s="607">
        <v>84.52</v>
      </c>
      <c r="F2083" s="607">
        <v>325.31</v>
      </c>
      <c r="G2083" s="584">
        <v>15</v>
      </c>
    </row>
    <row r="2084" spans="1:7" ht="15" x14ac:dyDescent="0.2">
      <c r="A2084" s="583" t="s">
        <v>16347</v>
      </c>
      <c r="B2084" s="605" t="s">
        <v>16348</v>
      </c>
      <c r="C2084" s="606" t="s">
        <v>12375</v>
      </c>
      <c r="D2084" s="607">
        <v>386.43</v>
      </c>
      <c r="E2084" s="607">
        <v>84.52</v>
      </c>
      <c r="F2084" s="607">
        <v>470.95</v>
      </c>
      <c r="G2084" s="584">
        <v>15</v>
      </c>
    </row>
    <row r="2085" spans="1:7" ht="15" x14ac:dyDescent="0.2">
      <c r="A2085" s="583" t="s">
        <v>16349</v>
      </c>
      <c r="B2085" s="605" t="s">
        <v>16350</v>
      </c>
      <c r="C2085" s="606" t="s">
        <v>12375</v>
      </c>
      <c r="D2085" s="607">
        <v>154.18</v>
      </c>
      <c r="E2085" s="607">
        <v>84.52</v>
      </c>
      <c r="F2085" s="607">
        <v>238.7</v>
      </c>
      <c r="G2085" s="584">
        <v>15</v>
      </c>
    </row>
    <row r="2086" spans="1:7" ht="15" x14ac:dyDescent="0.25">
      <c r="A2086" s="583" t="s">
        <v>16351</v>
      </c>
      <c r="B2086" s="605" t="s">
        <v>16352</v>
      </c>
      <c r="C2086" s="606"/>
      <c r="D2086" s="607"/>
      <c r="E2086" s="607"/>
      <c r="F2086" s="607"/>
      <c r="G2086" s="582"/>
    </row>
    <row r="2087" spans="1:7" ht="15" x14ac:dyDescent="0.2">
      <c r="A2087" s="583" t="s">
        <v>16353</v>
      </c>
      <c r="B2087" s="605" t="s">
        <v>16354</v>
      </c>
      <c r="C2087" s="606" t="s">
        <v>12375</v>
      </c>
      <c r="D2087" s="607">
        <v>36.14</v>
      </c>
      <c r="E2087" s="607">
        <v>8.3800000000000008</v>
      </c>
      <c r="F2087" s="607">
        <v>44.52</v>
      </c>
      <c r="G2087" s="584">
        <v>15</v>
      </c>
    </row>
    <row r="2088" spans="1:7" ht="30" x14ac:dyDescent="0.2">
      <c r="A2088" s="583" t="s">
        <v>16355</v>
      </c>
      <c r="B2088" s="605" t="s">
        <v>20295</v>
      </c>
      <c r="C2088" s="606" t="s">
        <v>12375</v>
      </c>
      <c r="D2088" s="607">
        <v>35.81</v>
      </c>
      <c r="E2088" s="607">
        <v>2.8</v>
      </c>
      <c r="F2088" s="607">
        <v>38.61</v>
      </c>
      <c r="G2088" s="584">
        <v>15</v>
      </c>
    </row>
    <row r="2089" spans="1:7" ht="15" x14ac:dyDescent="0.2">
      <c r="A2089" s="583" t="s">
        <v>16356</v>
      </c>
      <c r="B2089" s="605" t="s">
        <v>16357</v>
      </c>
      <c r="C2089" s="606" t="s">
        <v>12375</v>
      </c>
      <c r="D2089" s="607">
        <v>30.16</v>
      </c>
      <c r="E2089" s="607">
        <v>8.3800000000000008</v>
      </c>
      <c r="F2089" s="607">
        <v>38.54</v>
      </c>
      <c r="G2089" s="584">
        <v>15</v>
      </c>
    </row>
    <row r="2090" spans="1:7" ht="30" x14ac:dyDescent="0.2">
      <c r="A2090" s="583" t="s">
        <v>16358</v>
      </c>
      <c r="B2090" s="605" t="s">
        <v>16359</v>
      </c>
      <c r="C2090" s="606" t="s">
        <v>12375</v>
      </c>
      <c r="D2090" s="607"/>
      <c r="E2090" s="607">
        <v>27.92</v>
      </c>
      <c r="F2090" s="607">
        <v>27.92</v>
      </c>
      <c r="G2090" s="584">
        <v>15</v>
      </c>
    </row>
    <row r="2091" spans="1:7" ht="30" x14ac:dyDescent="0.2">
      <c r="A2091" s="583" t="s">
        <v>16360</v>
      </c>
      <c r="B2091" s="605" t="s">
        <v>16361</v>
      </c>
      <c r="C2091" s="606" t="s">
        <v>12427</v>
      </c>
      <c r="D2091" s="607"/>
      <c r="E2091" s="607">
        <v>39.270000000000003</v>
      </c>
      <c r="F2091" s="607">
        <v>39.270000000000003</v>
      </c>
      <c r="G2091" s="584">
        <v>15</v>
      </c>
    </row>
    <row r="2092" spans="1:7" ht="30" x14ac:dyDescent="0.2">
      <c r="A2092" s="583" t="s">
        <v>16362</v>
      </c>
      <c r="B2092" s="605" t="s">
        <v>16363</v>
      </c>
      <c r="C2092" s="606" t="s">
        <v>12427</v>
      </c>
      <c r="D2092" s="607"/>
      <c r="E2092" s="607">
        <v>78.540000000000006</v>
      </c>
      <c r="F2092" s="607">
        <v>78.540000000000006</v>
      </c>
      <c r="G2092" s="584">
        <v>15</v>
      </c>
    </row>
    <row r="2093" spans="1:7" ht="30" x14ac:dyDescent="0.2">
      <c r="A2093" s="583" t="s">
        <v>16364</v>
      </c>
      <c r="B2093" s="605" t="s">
        <v>16365</v>
      </c>
      <c r="C2093" s="606" t="s">
        <v>12375</v>
      </c>
      <c r="D2093" s="607">
        <v>1588.82</v>
      </c>
      <c r="E2093" s="607">
        <v>2.27</v>
      </c>
      <c r="F2093" s="607">
        <v>1591.09</v>
      </c>
      <c r="G2093" s="584">
        <v>15</v>
      </c>
    </row>
    <row r="2094" spans="1:7" ht="15" x14ac:dyDescent="0.2">
      <c r="A2094" s="583" t="s">
        <v>16366</v>
      </c>
      <c r="B2094" s="605" t="s">
        <v>16367</v>
      </c>
      <c r="C2094" s="606" t="s">
        <v>12375</v>
      </c>
      <c r="D2094" s="607">
        <v>129.08000000000001</v>
      </c>
      <c r="E2094" s="607">
        <v>5.68</v>
      </c>
      <c r="F2094" s="607">
        <v>134.76</v>
      </c>
      <c r="G2094" s="584">
        <v>15</v>
      </c>
    </row>
    <row r="2095" spans="1:7" ht="15" x14ac:dyDescent="0.2">
      <c r="A2095" s="583" t="s">
        <v>16368</v>
      </c>
      <c r="B2095" s="605" t="s">
        <v>16369</v>
      </c>
      <c r="C2095" s="606" t="s">
        <v>12427</v>
      </c>
      <c r="D2095" s="607">
        <v>406.93</v>
      </c>
      <c r="E2095" s="607">
        <v>39.270000000000003</v>
      </c>
      <c r="F2095" s="607">
        <v>446.2</v>
      </c>
      <c r="G2095" s="584">
        <v>15</v>
      </c>
    </row>
    <row r="2096" spans="1:7" ht="30" x14ac:dyDescent="0.2">
      <c r="A2096" s="583" t="s">
        <v>16370</v>
      </c>
      <c r="B2096" s="605" t="s">
        <v>21420</v>
      </c>
      <c r="C2096" s="606" t="s">
        <v>12375</v>
      </c>
      <c r="D2096" s="607">
        <v>8868.57</v>
      </c>
      <c r="E2096" s="607">
        <v>62.84</v>
      </c>
      <c r="F2096" s="607">
        <v>8931.41</v>
      </c>
      <c r="G2096" s="584">
        <v>15</v>
      </c>
    </row>
    <row r="2097" spans="1:7" ht="30" x14ac:dyDescent="0.2">
      <c r="A2097" s="583" t="s">
        <v>16371</v>
      </c>
      <c r="B2097" s="605" t="s">
        <v>21421</v>
      </c>
      <c r="C2097" s="606" t="s">
        <v>12375</v>
      </c>
      <c r="D2097" s="607">
        <v>36938.730000000003</v>
      </c>
      <c r="E2097" s="607">
        <v>62.84</v>
      </c>
      <c r="F2097" s="607">
        <v>37001.57</v>
      </c>
      <c r="G2097" s="584">
        <v>15</v>
      </c>
    </row>
    <row r="2098" spans="1:7" ht="15" x14ac:dyDescent="0.2">
      <c r="A2098" s="583" t="s">
        <v>16372</v>
      </c>
      <c r="B2098" s="605" t="s">
        <v>16373</v>
      </c>
      <c r="C2098" s="606" t="s">
        <v>12375</v>
      </c>
      <c r="D2098" s="607">
        <v>666.24</v>
      </c>
      <c r="E2098" s="607">
        <v>27.92</v>
      </c>
      <c r="F2098" s="607">
        <v>694.16</v>
      </c>
      <c r="G2098" s="584">
        <v>15</v>
      </c>
    </row>
    <row r="2099" spans="1:7" ht="15" x14ac:dyDescent="0.25">
      <c r="A2099" s="583" t="s">
        <v>16374</v>
      </c>
      <c r="B2099" s="605" t="s">
        <v>16375</v>
      </c>
      <c r="C2099" s="606"/>
      <c r="D2099" s="607"/>
      <c r="E2099" s="607"/>
      <c r="F2099" s="607"/>
      <c r="G2099" s="582"/>
    </row>
    <row r="2100" spans="1:7" ht="30" x14ac:dyDescent="0.2">
      <c r="A2100" s="583" t="s">
        <v>16376</v>
      </c>
      <c r="B2100" s="605" t="s">
        <v>16377</v>
      </c>
      <c r="C2100" s="606" t="s">
        <v>12375</v>
      </c>
      <c r="D2100" s="607">
        <v>1125.4000000000001</v>
      </c>
      <c r="E2100" s="607">
        <v>27.92</v>
      </c>
      <c r="F2100" s="607">
        <v>1153.32</v>
      </c>
      <c r="G2100" s="584">
        <v>15</v>
      </c>
    </row>
    <row r="2101" spans="1:7" ht="15" x14ac:dyDescent="0.25">
      <c r="A2101" s="583" t="s">
        <v>16378</v>
      </c>
      <c r="B2101" s="605" t="s">
        <v>16379</v>
      </c>
      <c r="C2101" s="606"/>
      <c r="D2101" s="607"/>
      <c r="E2101" s="607"/>
      <c r="F2101" s="607"/>
      <c r="G2101" s="582"/>
    </row>
    <row r="2102" spans="1:7" ht="15" x14ac:dyDescent="0.2">
      <c r="A2102" s="583" t="s">
        <v>16380</v>
      </c>
      <c r="B2102" s="605" t="s">
        <v>20174</v>
      </c>
      <c r="C2102" s="606" t="s">
        <v>12375</v>
      </c>
      <c r="D2102" s="607">
        <v>739.77</v>
      </c>
      <c r="E2102" s="607">
        <v>84.52</v>
      </c>
      <c r="F2102" s="607">
        <v>824.29</v>
      </c>
      <c r="G2102" s="584">
        <v>15</v>
      </c>
    </row>
    <row r="2103" spans="1:7" ht="15" x14ac:dyDescent="0.25">
      <c r="A2103" s="583" t="s">
        <v>16381</v>
      </c>
      <c r="B2103" s="605" t="s">
        <v>16382</v>
      </c>
      <c r="C2103" s="606"/>
      <c r="D2103" s="607"/>
      <c r="E2103" s="607"/>
      <c r="F2103" s="607"/>
      <c r="G2103" s="582"/>
    </row>
    <row r="2104" spans="1:7" ht="30" x14ac:dyDescent="0.2">
      <c r="A2104" s="583" t="s">
        <v>16383</v>
      </c>
      <c r="B2104" s="605" t="s">
        <v>20175</v>
      </c>
      <c r="C2104" s="606" t="s">
        <v>12375</v>
      </c>
      <c r="D2104" s="607">
        <v>46.36</v>
      </c>
      <c r="E2104" s="607">
        <v>31.65</v>
      </c>
      <c r="F2104" s="607">
        <v>78.010000000000005</v>
      </c>
      <c r="G2104" s="584">
        <v>15</v>
      </c>
    </row>
    <row r="2105" spans="1:7" ht="30" x14ac:dyDescent="0.2">
      <c r="A2105" s="583" t="s">
        <v>16384</v>
      </c>
      <c r="B2105" s="605" t="s">
        <v>20176</v>
      </c>
      <c r="C2105" s="606" t="s">
        <v>12375</v>
      </c>
      <c r="D2105" s="607">
        <v>134.07</v>
      </c>
      <c r="E2105" s="607">
        <v>31.65</v>
      </c>
      <c r="F2105" s="607">
        <v>165.72</v>
      </c>
      <c r="G2105" s="584">
        <v>15</v>
      </c>
    </row>
    <row r="2106" spans="1:7" ht="45" x14ac:dyDescent="0.2">
      <c r="A2106" s="583" t="s">
        <v>16385</v>
      </c>
      <c r="B2106" s="605" t="s">
        <v>21422</v>
      </c>
      <c r="C2106" s="606" t="s">
        <v>12375</v>
      </c>
      <c r="D2106" s="607">
        <v>521.45000000000005</v>
      </c>
      <c r="E2106" s="607">
        <v>35.119999999999997</v>
      </c>
      <c r="F2106" s="607">
        <v>556.57000000000005</v>
      </c>
      <c r="G2106" s="584">
        <v>15</v>
      </c>
    </row>
    <row r="2107" spans="1:7" ht="45" x14ac:dyDescent="0.2">
      <c r="A2107" s="583" t="s">
        <v>16386</v>
      </c>
      <c r="B2107" s="605" t="s">
        <v>16387</v>
      </c>
      <c r="C2107" s="606" t="s">
        <v>12375</v>
      </c>
      <c r="D2107" s="607">
        <v>7487.56</v>
      </c>
      <c r="E2107" s="607">
        <v>35.119999999999997</v>
      </c>
      <c r="F2107" s="607">
        <v>7522.68</v>
      </c>
      <c r="G2107" s="584">
        <v>15</v>
      </c>
    </row>
    <row r="2108" spans="1:7" ht="45" x14ac:dyDescent="0.2">
      <c r="A2108" s="583" t="s">
        <v>16388</v>
      </c>
      <c r="B2108" s="605" t="s">
        <v>16389</v>
      </c>
      <c r="C2108" s="606" t="s">
        <v>12375</v>
      </c>
      <c r="D2108" s="607">
        <v>2620.04</v>
      </c>
      <c r="E2108" s="607">
        <v>35.119999999999997</v>
      </c>
      <c r="F2108" s="607">
        <v>2655.16</v>
      </c>
      <c r="G2108" s="584">
        <v>15</v>
      </c>
    </row>
    <row r="2109" spans="1:7" ht="45" x14ac:dyDescent="0.2">
      <c r="A2109" s="583" t="s">
        <v>16390</v>
      </c>
      <c r="B2109" s="605" t="s">
        <v>21423</v>
      </c>
      <c r="C2109" s="606" t="s">
        <v>12375</v>
      </c>
      <c r="D2109" s="607">
        <v>854.22</v>
      </c>
      <c r="E2109" s="607">
        <v>35.119999999999997</v>
      </c>
      <c r="F2109" s="607">
        <v>889.34</v>
      </c>
      <c r="G2109" s="584">
        <v>15</v>
      </c>
    </row>
    <row r="2110" spans="1:7" ht="15" x14ac:dyDescent="0.25">
      <c r="A2110" s="583" t="s">
        <v>16391</v>
      </c>
      <c r="B2110" s="605" t="s">
        <v>16392</v>
      </c>
      <c r="C2110" s="606"/>
      <c r="D2110" s="607"/>
      <c r="E2110" s="607"/>
      <c r="F2110" s="607"/>
      <c r="G2110" s="582"/>
    </row>
    <row r="2111" spans="1:7" ht="30" x14ac:dyDescent="0.2">
      <c r="A2111" s="583" t="s">
        <v>16393</v>
      </c>
      <c r="B2111" s="605" t="s">
        <v>21424</v>
      </c>
      <c r="C2111" s="606" t="s">
        <v>12375</v>
      </c>
      <c r="D2111" s="607">
        <v>567.71</v>
      </c>
      <c r="E2111" s="607">
        <v>91.96</v>
      </c>
      <c r="F2111" s="607">
        <v>659.67</v>
      </c>
      <c r="G2111" s="584">
        <v>15</v>
      </c>
    </row>
    <row r="2112" spans="1:7" ht="30" x14ac:dyDescent="0.2">
      <c r="A2112" s="583" t="s">
        <v>16394</v>
      </c>
      <c r="B2112" s="605" t="s">
        <v>16395</v>
      </c>
      <c r="C2112" s="606" t="s">
        <v>12375</v>
      </c>
      <c r="D2112" s="607">
        <v>454.95</v>
      </c>
      <c r="E2112" s="607">
        <v>91.96</v>
      </c>
      <c r="F2112" s="607">
        <v>546.91</v>
      </c>
      <c r="G2112" s="584">
        <v>15</v>
      </c>
    </row>
    <row r="2113" spans="1:7" ht="30" x14ac:dyDescent="0.2">
      <c r="A2113" s="583" t="s">
        <v>16396</v>
      </c>
      <c r="B2113" s="605" t="s">
        <v>16397</v>
      </c>
      <c r="C2113" s="606" t="s">
        <v>12375</v>
      </c>
      <c r="D2113" s="607">
        <v>422.74</v>
      </c>
      <c r="E2113" s="607">
        <v>91.96</v>
      </c>
      <c r="F2113" s="607">
        <v>514.70000000000005</v>
      </c>
      <c r="G2113" s="584">
        <v>15</v>
      </c>
    </row>
    <row r="2114" spans="1:7" ht="45" x14ac:dyDescent="0.2">
      <c r="A2114" s="583" t="s">
        <v>16398</v>
      </c>
      <c r="B2114" s="605" t="s">
        <v>16399</v>
      </c>
      <c r="C2114" s="606" t="s">
        <v>12375</v>
      </c>
      <c r="D2114" s="607">
        <v>381.55</v>
      </c>
      <c r="E2114" s="607">
        <v>91.96</v>
      </c>
      <c r="F2114" s="607">
        <v>473.51</v>
      </c>
      <c r="G2114" s="584">
        <v>15</v>
      </c>
    </row>
    <row r="2115" spans="1:7" ht="45" x14ac:dyDescent="0.2">
      <c r="A2115" s="583" t="s">
        <v>16400</v>
      </c>
      <c r="B2115" s="605" t="s">
        <v>16401</v>
      </c>
      <c r="C2115" s="606" t="s">
        <v>12375</v>
      </c>
      <c r="D2115" s="607">
        <v>865.97</v>
      </c>
      <c r="E2115" s="607">
        <v>91.96</v>
      </c>
      <c r="F2115" s="607">
        <v>957.93</v>
      </c>
      <c r="G2115" s="584">
        <v>15</v>
      </c>
    </row>
    <row r="2116" spans="1:7" ht="30" x14ac:dyDescent="0.2">
      <c r="A2116" s="583" t="s">
        <v>16402</v>
      </c>
      <c r="B2116" s="605" t="s">
        <v>16403</v>
      </c>
      <c r="C2116" s="606" t="s">
        <v>12676</v>
      </c>
      <c r="D2116" s="607">
        <v>56830.06</v>
      </c>
      <c r="E2116" s="607">
        <v>128.09</v>
      </c>
      <c r="F2116" s="607">
        <v>56958.15</v>
      </c>
      <c r="G2116" s="584">
        <v>15</v>
      </c>
    </row>
    <row r="2117" spans="1:7" ht="30" x14ac:dyDescent="0.25">
      <c r="A2117" s="583" t="s">
        <v>16404</v>
      </c>
      <c r="B2117" s="605" t="s">
        <v>16405</v>
      </c>
      <c r="C2117" s="606"/>
      <c r="D2117" s="607"/>
      <c r="E2117" s="607"/>
      <c r="F2117" s="607"/>
      <c r="G2117" s="582"/>
    </row>
    <row r="2118" spans="1:7" ht="15" x14ac:dyDescent="0.25">
      <c r="A2118" s="583" t="s">
        <v>16406</v>
      </c>
      <c r="B2118" s="605" t="s">
        <v>16407</v>
      </c>
      <c r="C2118" s="606"/>
      <c r="D2118" s="607"/>
      <c r="E2118" s="607"/>
      <c r="F2118" s="607"/>
      <c r="G2118" s="582"/>
    </row>
    <row r="2119" spans="1:7" ht="15" x14ac:dyDescent="0.2">
      <c r="A2119" s="583" t="s">
        <v>16408</v>
      </c>
      <c r="B2119" s="605" t="s">
        <v>16409</v>
      </c>
      <c r="C2119" s="606" t="s">
        <v>12483</v>
      </c>
      <c r="D2119" s="607">
        <v>8.24</v>
      </c>
      <c r="E2119" s="607">
        <v>27.92</v>
      </c>
      <c r="F2119" s="607">
        <v>36.159999999999997</v>
      </c>
      <c r="G2119" s="584">
        <v>15</v>
      </c>
    </row>
    <row r="2120" spans="1:7" ht="15" x14ac:dyDescent="0.2">
      <c r="A2120" s="583" t="s">
        <v>16410</v>
      </c>
      <c r="B2120" s="605" t="s">
        <v>16411</v>
      </c>
      <c r="C2120" s="606" t="s">
        <v>12483</v>
      </c>
      <c r="D2120" s="607">
        <v>11.31</v>
      </c>
      <c r="E2120" s="607">
        <v>33.5</v>
      </c>
      <c r="F2120" s="607">
        <v>44.81</v>
      </c>
      <c r="G2120" s="584">
        <v>15</v>
      </c>
    </row>
    <row r="2121" spans="1:7" ht="15" x14ac:dyDescent="0.2">
      <c r="A2121" s="583" t="s">
        <v>16412</v>
      </c>
      <c r="B2121" s="605" t="s">
        <v>16413</v>
      </c>
      <c r="C2121" s="606" t="s">
        <v>12483</v>
      </c>
      <c r="D2121" s="607">
        <v>18.079999999999998</v>
      </c>
      <c r="E2121" s="607">
        <v>39.08</v>
      </c>
      <c r="F2121" s="607">
        <v>57.16</v>
      </c>
      <c r="G2121" s="584">
        <v>15</v>
      </c>
    </row>
    <row r="2122" spans="1:7" ht="15" x14ac:dyDescent="0.2">
      <c r="A2122" s="583" t="s">
        <v>16414</v>
      </c>
      <c r="B2122" s="605" t="s">
        <v>16415</v>
      </c>
      <c r="C2122" s="606" t="s">
        <v>12483</v>
      </c>
      <c r="D2122" s="607">
        <v>19.440000000000001</v>
      </c>
      <c r="E2122" s="607">
        <v>44.67</v>
      </c>
      <c r="F2122" s="607">
        <v>64.11</v>
      </c>
      <c r="G2122" s="584">
        <v>15</v>
      </c>
    </row>
    <row r="2123" spans="1:7" ht="15" x14ac:dyDescent="0.2">
      <c r="A2123" s="583" t="s">
        <v>16416</v>
      </c>
      <c r="B2123" s="605" t="s">
        <v>16417</v>
      </c>
      <c r="C2123" s="606" t="s">
        <v>12483</v>
      </c>
      <c r="D2123" s="607">
        <v>24.05</v>
      </c>
      <c r="E2123" s="607">
        <v>50.25</v>
      </c>
      <c r="F2123" s="607">
        <v>74.3</v>
      </c>
      <c r="G2123" s="584">
        <v>15</v>
      </c>
    </row>
    <row r="2124" spans="1:7" ht="15" x14ac:dyDescent="0.2">
      <c r="A2124" s="583" t="s">
        <v>16418</v>
      </c>
      <c r="B2124" s="605" t="s">
        <v>16419</v>
      </c>
      <c r="C2124" s="606" t="s">
        <v>12483</v>
      </c>
      <c r="D2124" s="607">
        <v>48.37</v>
      </c>
      <c r="E2124" s="607">
        <v>55.83</v>
      </c>
      <c r="F2124" s="607">
        <v>104.2</v>
      </c>
      <c r="G2124" s="584">
        <v>15</v>
      </c>
    </row>
    <row r="2125" spans="1:7" ht="15" x14ac:dyDescent="0.2">
      <c r="A2125" s="583" t="s">
        <v>16420</v>
      </c>
      <c r="B2125" s="605" t="s">
        <v>16421</v>
      </c>
      <c r="C2125" s="606" t="s">
        <v>12483</v>
      </c>
      <c r="D2125" s="607">
        <v>56.63</v>
      </c>
      <c r="E2125" s="607">
        <v>61.41</v>
      </c>
      <c r="F2125" s="607">
        <v>118.04</v>
      </c>
      <c r="G2125" s="584">
        <v>15</v>
      </c>
    </row>
    <row r="2126" spans="1:7" ht="15" x14ac:dyDescent="0.2">
      <c r="A2126" s="583" t="s">
        <v>16422</v>
      </c>
      <c r="B2126" s="605" t="s">
        <v>16423</v>
      </c>
      <c r="C2126" s="606" t="s">
        <v>12483</v>
      </c>
      <c r="D2126" s="607">
        <v>85.04</v>
      </c>
      <c r="E2126" s="607">
        <v>72.58</v>
      </c>
      <c r="F2126" s="607">
        <v>157.62</v>
      </c>
      <c r="G2126" s="584">
        <v>15</v>
      </c>
    </row>
    <row r="2127" spans="1:7" ht="30" x14ac:dyDescent="0.25">
      <c r="A2127" s="583" t="s">
        <v>16424</v>
      </c>
      <c r="B2127" s="605" t="s">
        <v>16425</v>
      </c>
      <c r="C2127" s="606"/>
      <c r="D2127" s="607"/>
      <c r="E2127" s="607"/>
      <c r="F2127" s="607"/>
      <c r="G2127" s="582"/>
    </row>
    <row r="2128" spans="1:7" ht="30" x14ac:dyDescent="0.2">
      <c r="A2128" s="583" t="s">
        <v>16426</v>
      </c>
      <c r="B2128" s="605" t="s">
        <v>16427</v>
      </c>
      <c r="C2128" s="606" t="s">
        <v>12483</v>
      </c>
      <c r="D2128" s="607">
        <v>14.04</v>
      </c>
      <c r="E2128" s="607">
        <v>33.5</v>
      </c>
      <c r="F2128" s="607">
        <v>47.54</v>
      </c>
      <c r="G2128" s="584">
        <v>15</v>
      </c>
    </row>
    <row r="2129" spans="1:7" ht="30" x14ac:dyDescent="0.2">
      <c r="A2129" s="583" t="s">
        <v>16428</v>
      </c>
      <c r="B2129" s="605" t="s">
        <v>16429</v>
      </c>
      <c r="C2129" s="606" t="s">
        <v>12483</v>
      </c>
      <c r="D2129" s="607">
        <v>18.079999999999998</v>
      </c>
      <c r="E2129" s="607">
        <v>39.08</v>
      </c>
      <c r="F2129" s="607">
        <v>57.16</v>
      </c>
      <c r="G2129" s="584">
        <v>15</v>
      </c>
    </row>
    <row r="2130" spans="1:7" ht="30" x14ac:dyDescent="0.2">
      <c r="A2130" s="583" t="s">
        <v>16430</v>
      </c>
      <c r="B2130" s="605" t="s">
        <v>16431</v>
      </c>
      <c r="C2130" s="606" t="s">
        <v>12483</v>
      </c>
      <c r="D2130" s="607">
        <v>30.01</v>
      </c>
      <c r="E2130" s="607">
        <v>44.67</v>
      </c>
      <c r="F2130" s="607">
        <v>74.680000000000007</v>
      </c>
      <c r="G2130" s="584">
        <v>15</v>
      </c>
    </row>
    <row r="2131" spans="1:7" ht="30" x14ac:dyDescent="0.2">
      <c r="A2131" s="583" t="s">
        <v>16432</v>
      </c>
      <c r="B2131" s="605" t="s">
        <v>16433</v>
      </c>
      <c r="C2131" s="606" t="s">
        <v>12483</v>
      </c>
      <c r="D2131" s="607">
        <v>34.299999999999997</v>
      </c>
      <c r="E2131" s="607">
        <v>50.25</v>
      </c>
      <c r="F2131" s="607">
        <v>84.55</v>
      </c>
      <c r="G2131" s="584">
        <v>15</v>
      </c>
    </row>
    <row r="2132" spans="1:7" ht="30" x14ac:dyDescent="0.2">
      <c r="A2132" s="583" t="s">
        <v>16434</v>
      </c>
      <c r="B2132" s="605" t="s">
        <v>16435</v>
      </c>
      <c r="C2132" s="606" t="s">
        <v>12483</v>
      </c>
      <c r="D2132" s="607">
        <v>43.29</v>
      </c>
      <c r="E2132" s="607">
        <v>55.83</v>
      </c>
      <c r="F2132" s="607">
        <v>99.12</v>
      </c>
      <c r="G2132" s="584">
        <v>15</v>
      </c>
    </row>
    <row r="2133" spans="1:7" ht="30" x14ac:dyDescent="0.2">
      <c r="A2133" s="583" t="s">
        <v>16436</v>
      </c>
      <c r="B2133" s="605" t="s">
        <v>16437</v>
      </c>
      <c r="C2133" s="606" t="s">
        <v>12483</v>
      </c>
      <c r="D2133" s="607">
        <v>61.49</v>
      </c>
      <c r="E2133" s="607">
        <v>66.989999999999995</v>
      </c>
      <c r="F2133" s="607">
        <v>128.47999999999999</v>
      </c>
      <c r="G2133" s="584">
        <v>15</v>
      </c>
    </row>
    <row r="2134" spans="1:7" ht="30" x14ac:dyDescent="0.2">
      <c r="A2134" s="583" t="s">
        <v>16438</v>
      </c>
      <c r="B2134" s="605" t="s">
        <v>16439</v>
      </c>
      <c r="C2134" s="606" t="s">
        <v>12483</v>
      </c>
      <c r="D2134" s="607">
        <v>70.540000000000006</v>
      </c>
      <c r="E2134" s="607">
        <v>83.75</v>
      </c>
      <c r="F2134" s="607">
        <v>154.29</v>
      </c>
      <c r="G2134" s="584">
        <v>15</v>
      </c>
    </row>
    <row r="2135" spans="1:7" ht="30" x14ac:dyDescent="0.2">
      <c r="A2135" s="583" t="s">
        <v>16440</v>
      </c>
      <c r="B2135" s="605" t="s">
        <v>16441</v>
      </c>
      <c r="C2135" s="606" t="s">
        <v>12483</v>
      </c>
      <c r="D2135" s="607">
        <v>86.3</v>
      </c>
      <c r="E2135" s="607">
        <v>100.5</v>
      </c>
      <c r="F2135" s="607">
        <v>186.8</v>
      </c>
      <c r="G2135" s="584">
        <v>15</v>
      </c>
    </row>
    <row r="2136" spans="1:7" ht="30" x14ac:dyDescent="0.25">
      <c r="A2136" s="583" t="s">
        <v>16442</v>
      </c>
      <c r="B2136" s="605" t="s">
        <v>16443</v>
      </c>
      <c r="C2136" s="606"/>
      <c r="D2136" s="607"/>
      <c r="E2136" s="607"/>
      <c r="F2136" s="607"/>
      <c r="G2136" s="582"/>
    </row>
    <row r="2137" spans="1:7" ht="30" x14ac:dyDescent="0.2">
      <c r="A2137" s="583" t="s">
        <v>16444</v>
      </c>
      <c r="B2137" s="605" t="s">
        <v>16445</v>
      </c>
      <c r="C2137" s="606" t="s">
        <v>12483</v>
      </c>
      <c r="D2137" s="607">
        <v>18.93</v>
      </c>
      <c r="E2137" s="607">
        <v>33.5</v>
      </c>
      <c r="F2137" s="607">
        <v>52.43</v>
      </c>
      <c r="G2137" s="584">
        <v>15</v>
      </c>
    </row>
    <row r="2138" spans="1:7" ht="30" x14ac:dyDescent="0.2">
      <c r="A2138" s="583" t="s">
        <v>16446</v>
      </c>
      <c r="B2138" s="605" t="s">
        <v>16447</v>
      </c>
      <c r="C2138" s="606" t="s">
        <v>12483</v>
      </c>
      <c r="D2138" s="607">
        <v>24.14</v>
      </c>
      <c r="E2138" s="607">
        <v>39.08</v>
      </c>
      <c r="F2138" s="607">
        <v>63.22</v>
      </c>
      <c r="G2138" s="584">
        <v>15</v>
      </c>
    </row>
    <row r="2139" spans="1:7" ht="30" x14ac:dyDescent="0.2">
      <c r="A2139" s="583" t="s">
        <v>16448</v>
      </c>
      <c r="B2139" s="605" t="s">
        <v>16449</v>
      </c>
      <c r="C2139" s="606" t="s">
        <v>12483</v>
      </c>
      <c r="D2139" s="607">
        <v>38.83</v>
      </c>
      <c r="E2139" s="607">
        <v>44.67</v>
      </c>
      <c r="F2139" s="607">
        <v>83.5</v>
      </c>
      <c r="G2139" s="584">
        <v>15</v>
      </c>
    </row>
    <row r="2140" spans="1:7" ht="30" x14ac:dyDescent="0.2">
      <c r="A2140" s="583" t="s">
        <v>16450</v>
      </c>
      <c r="B2140" s="605" t="s">
        <v>16451</v>
      </c>
      <c r="C2140" s="606" t="s">
        <v>12483</v>
      </c>
      <c r="D2140" s="607">
        <v>45.35</v>
      </c>
      <c r="E2140" s="607">
        <v>50.25</v>
      </c>
      <c r="F2140" s="607">
        <v>95.6</v>
      </c>
      <c r="G2140" s="584">
        <v>15</v>
      </c>
    </row>
    <row r="2141" spans="1:7" ht="30" x14ac:dyDescent="0.2">
      <c r="A2141" s="583" t="s">
        <v>16452</v>
      </c>
      <c r="B2141" s="605" t="s">
        <v>16453</v>
      </c>
      <c r="C2141" s="606" t="s">
        <v>12483</v>
      </c>
      <c r="D2141" s="607">
        <v>57.52</v>
      </c>
      <c r="E2141" s="607">
        <v>55.83</v>
      </c>
      <c r="F2141" s="607">
        <v>113.35</v>
      </c>
      <c r="G2141" s="584">
        <v>15</v>
      </c>
    </row>
    <row r="2142" spans="1:7" ht="30" x14ac:dyDescent="0.2">
      <c r="A2142" s="583" t="s">
        <v>16454</v>
      </c>
      <c r="B2142" s="605" t="s">
        <v>16455</v>
      </c>
      <c r="C2142" s="606" t="s">
        <v>12483</v>
      </c>
      <c r="D2142" s="607">
        <v>87.21</v>
      </c>
      <c r="E2142" s="607">
        <v>66.989999999999995</v>
      </c>
      <c r="F2142" s="607">
        <v>154.19999999999999</v>
      </c>
      <c r="G2142" s="584">
        <v>15</v>
      </c>
    </row>
    <row r="2143" spans="1:7" ht="30" x14ac:dyDescent="0.2">
      <c r="A2143" s="583" t="s">
        <v>16456</v>
      </c>
      <c r="B2143" s="605" t="s">
        <v>16457</v>
      </c>
      <c r="C2143" s="606" t="s">
        <v>12483</v>
      </c>
      <c r="D2143" s="607">
        <v>93.17</v>
      </c>
      <c r="E2143" s="607">
        <v>83.75</v>
      </c>
      <c r="F2143" s="607">
        <v>176.92</v>
      </c>
      <c r="G2143" s="584">
        <v>15</v>
      </c>
    </row>
    <row r="2144" spans="1:7" ht="30" x14ac:dyDescent="0.2">
      <c r="A2144" s="583" t="s">
        <v>16458</v>
      </c>
      <c r="B2144" s="605" t="s">
        <v>16459</v>
      </c>
      <c r="C2144" s="606" t="s">
        <v>12483</v>
      </c>
      <c r="D2144" s="607">
        <v>129.6</v>
      </c>
      <c r="E2144" s="607">
        <v>100.5</v>
      </c>
      <c r="F2144" s="607">
        <v>230.1</v>
      </c>
      <c r="G2144" s="584">
        <v>15</v>
      </c>
    </row>
    <row r="2145" spans="1:7" ht="30" x14ac:dyDescent="0.25">
      <c r="A2145" s="583" t="s">
        <v>16460</v>
      </c>
      <c r="B2145" s="605" t="s">
        <v>16461</v>
      </c>
      <c r="C2145" s="606"/>
      <c r="D2145" s="607"/>
      <c r="E2145" s="607"/>
      <c r="F2145" s="607"/>
      <c r="G2145" s="582"/>
    </row>
    <row r="2146" spans="1:7" ht="30" x14ac:dyDescent="0.2">
      <c r="A2146" s="583" t="s">
        <v>16462</v>
      </c>
      <c r="B2146" s="605" t="s">
        <v>16463</v>
      </c>
      <c r="C2146" s="606" t="s">
        <v>12483</v>
      </c>
      <c r="D2146" s="607">
        <v>17.3</v>
      </c>
      <c r="E2146" s="607">
        <v>27.92</v>
      </c>
      <c r="F2146" s="607">
        <v>45.22</v>
      </c>
      <c r="G2146" s="584">
        <v>15</v>
      </c>
    </row>
    <row r="2147" spans="1:7" ht="30" x14ac:dyDescent="0.2">
      <c r="A2147" s="583" t="s">
        <v>16464</v>
      </c>
      <c r="B2147" s="605" t="s">
        <v>16465</v>
      </c>
      <c r="C2147" s="606" t="s">
        <v>12483</v>
      </c>
      <c r="D2147" s="607">
        <v>22.51</v>
      </c>
      <c r="E2147" s="607">
        <v>33.5</v>
      </c>
      <c r="F2147" s="607">
        <v>56.01</v>
      </c>
      <c r="G2147" s="584">
        <v>15</v>
      </c>
    </row>
    <row r="2148" spans="1:7" ht="30" x14ac:dyDescent="0.2">
      <c r="A2148" s="583" t="s">
        <v>16466</v>
      </c>
      <c r="B2148" s="605" t="s">
        <v>16467</v>
      </c>
      <c r="C2148" s="606" t="s">
        <v>12483</v>
      </c>
      <c r="D2148" s="607">
        <v>29.72</v>
      </c>
      <c r="E2148" s="607">
        <v>39.08</v>
      </c>
      <c r="F2148" s="607">
        <v>68.8</v>
      </c>
      <c r="G2148" s="584">
        <v>15</v>
      </c>
    </row>
    <row r="2149" spans="1:7" ht="30" x14ac:dyDescent="0.2">
      <c r="A2149" s="583" t="s">
        <v>16468</v>
      </c>
      <c r="B2149" s="605" t="s">
        <v>16469</v>
      </c>
      <c r="C2149" s="606" t="s">
        <v>12483</v>
      </c>
      <c r="D2149" s="607">
        <v>40.76</v>
      </c>
      <c r="E2149" s="607">
        <v>44.67</v>
      </c>
      <c r="F2149" s="607">
        <v>85.43</v>
      </c>
      <c r="G2149" s="584">
        <v>15</v>
      </c>
    </row>
    <row r="2150" spans="1:7" ht="30" x14ac:dyDescent="0.2">
      <c r="A2150" s="583" t="s">
        <v>16470</v>
      </c>
      <c r="B2150" s="605" t="s">
        <v>16471</v>
      </c>
      <c r="C2150" s="606" t="s">
        <v>12483</v>
      </c>
      <c r="D2150" s="607">
        <v>49.71</v>
      </c>
      <c r="E2150" s="607">
        <v>50.25</v>
      </c>
      <c r="F2150" s="607">
        <v>99.96</v>
      </c>
      <c r="G2150" s="584">
        <v>15</v>
      </c>
    </row>
    <row r="2151" spans="1:7" ht="30" x14ac:dyDescent="0.2">
      <c r="A2151" s="583" t="s">
        <v>16472</v>
      </c>
      <c r="B2151" s="605" t="s">
        <v>16473</v>
      </c>
      <c r="C2151" s="606" t="s">
        <v>12483</v>
      </c>
      <c r="D2151" s="607">
        <v>63.11</v>
      </c>
      <c r="E2151" s="607">
        <v>55.83</v>
      </c>
      <c r="F2151" s="607">
        <v>118.94</v>
      </c>
      <c r="G2151" s="584">
        <v>15</v>
      </c>
    </row>
    <row r="2152" spans="1:7" ht="30" x14ac:dyDescent="0.2">
      <c r="A2152" s="583" t="s">
        <v>16474</v>
      </c>
      <c r="B2152" s="605" t="s">
        <v>16475</v>
      </c>
      <c r="C2152" s="606" t="s">
        <v>12483</v>
      </c>
      <c r="D2152" s="607">
        <v>95.27</v>
      </c>
      <c r="E2152" s="607">
        <v>66.989999999999995</v>
      </c>
      <c r="F2152" s="607">
        <v>162.26</v>
      </c>
      <c r="G2152" s="584">
        <v>15</v>
      </c>
    </row>
    <row r="2153" spans="1:7" ht="30" x14ac:dyDescent="0.2">
      <c r="A2153" s="583" t="s">
        <v>16476</v>
      </c>
      <c r="B2153" s="605" t="s">
        <v>16477</v>
      </c>
      <c r="C2153" s="606" t="s">
        <v>12483</v>
      </c>
      <c r="D2153" s="607">
        <v>115.67</v>
      </c>
      <c r="E2153" s="607">
        <v>83.75</v>
      </c>
      <c r="F2153" s="607">
        <v>199.42</v>
      </c>
      <c r="G2153" s="584">
        <v>15</v>
      </c>
    </row>
    <row r="2154" spans="1:7" ht="30" x14ac:dyDescent="0.2">
      <c r="A2154" s="583" t="s">
        <v>16478</v>
      </c>
      <c r="B2154" s="605" t="s">
        <v>16479</v>
      </c>
      <c r="C2154" s="606" t="s">
        <v>12483</v>
      </c>
      <c r="D2154" s="607">
        <v>165.89</v>
      </c>
      <c r="E2154" s="607">
        <v>100.5</v>
      </c>
      <c r="F2154" s="607">
        <v>266.39</v>
      </c>
      <c r="G2154" s="584">
        <v>15</v>
      </c>
    </row>
    <row r="2155" spans="1:7" ht="15" x14ac:dyDescent="0.25">
      <c r="A2155" s="583" t="s">
        <v>16480</v>
      </c>
      <c r="B2155" s="605" t="s">
        <v>16481</v>
      </c>
      <c r="C2155" s="606"/>
      <c r="D2155" s="607"/>
      <c r="E2155" s="607"/>
      <c r="F2155" s="607"/>
      <c r="G2155" s="582"/>
    </row>
    <row r="2156" spans="1:7" ht="15" x14ac:dyDescent="0.2">
      <c r="A2156" s="583" t="s">
        <v>16482</v>
      </c>
      <c r="B2156" s="605" t="s">
        <v>16483</v>
      </c>
      <c r="C2156" s="606" t="s">
        <v>12676</v>
      </c>
      <c r="D2156" s="607">
        <v>6.9</v>
      </c>
      <c r="E2156" s="607">
        <v>13.96</v>
      </c>
      <c r="F2156" s="607">
        <v>20.86</v>
      </c>
      <c r="G2156" s="584">
        <v>15</v>
      </c>
    </row>
    <row r="2157" spans="1:7" ht="15" x14ac:dyDescent="0.2">
      <c r="A2157" s="583" t="s">
        <v>16484</v>
      </c>
      <c r="B2157" s="605" t="s">
        <v>16485</v>
      </c>
      <c r="C2157" s="606" t="s">
        <v>12483</v>
      </c>
      <c r="D2157" s="607">
        <v>7.31</v>
      </c>
      <c r="E2157" s="607">
        <v>2.8</v>
      </c>
      <c r="F2157" s="607">
        <v>10.11</v>
      </c>
      <c r="G2157" s="584">
        <v>15</v>
      </c>
    </row>
    <row r="2158" spans="1:7" ht="15" x14ac:dyDescent="0.2">
      <c r="A2158" s="583" t="s">
        <v>16486</v>
      </c>
      <c r="B2158" s="605" t="s">
        <v>16487</v>
      </c>
      <c r="C2158" s="606" t="s">
        <v>12375</v>
      </c>
      <c r="D2158" s="607">
        <v>0.63</v>
      </c>
      <c r="E2158" s="607">
        <v>8.3800000000000008</v>
      </c>
      <c r="F2158" s="607">
        <v>9.01</v>
      </c>
      <c r="G2158" s="584">
        <v>15</v>
      </c>
    </row>
    <row r="2159" spans="1:7" ht="15" x14ac:dyDescent="0.2">
      <c r="A2159" s="583" t="s">
        <v>16488</v>
      </c>
      <c r="B2159" s="605" t="s">
        <v>16489</v>
      </c>
      <c r="C2159" s="606" t="s">
        <v>12375</v>
      </c>
      <c r="D2159" s="607">
        <v>1.83</v>
      </c>
      <c r="E2159" s="607">
        <v>10.029999999999999</v>
      </c>
      <c r="F2159" s="607">
        <v>11.86</v>
      </c>
      <c r="G2159" s="584">
        <v>15</v>
      </c>
    </row>
    <row r="2160" spans="1:7" ht="15" x14ac:dyDescent="0.2">
      <c r="A2160" s="583" t="s">
        <v>16490</v>
      </c>
      <c r="B2160" s="605" t="s">
        <v>16491</v>
      </c>
      <c r="C2160" s="606" t="s">
        <v>12375</v>
      </c>
      <c r="D2160" s="607">
        <v>1.85</v>
      </c>
      <c r="E2160" s="607">
        <v>10.029999999999999</v>
      </c>
      <c r="F2160" s="607">
        <v>11.88</v>
      </c>
      <c r="G2160" s="584">
        <v>15</v>
      </c>
    </row>
    <row r="2161" spans="1:7" ht="15" x14ac:dyDescent="0.2">
      <c r="A2161" s="583" t="s">
        <v>16492</v>
      </c>
      <c r="B2161" s="605" t="s">
        <v>16493</v>
      </c>
      <c r="C2161" s="606" t="s">
        <v>12375</v>
      </c>
      <c r="D2161" s="607">
        <v>2.23</v>
      </c>
      <c r="E2161" s="607">
        <v>8.3800000000000008</v>
      </c>
      <c r="F2161" s="607">
        <v>10.61</v>
      </c>
      <c r="G2161" s="584">
        <v>15</v>
      </c>
    </row>
    <row r="2162" spans="1:7" ht="15" x14ac:dyDescent="0.2">
      <c r="A2162" s="583" t="s">
        <v>16494</v>
      </c>
      <c r="B2162" s="605" t="s">
        <v>16495</v>
      </c>
      <c r="C2162" s="606" t="s">
        <v>12483</v>
      </c>
      <c r="D2162" s="607">
        <v>8.98</v>
      </c>
      <c r="E2162" s="607">
        <v>16.75</v>
      </c>
      <c r="F2162" s="607">
        <v>25.73</v>
      </c>
      <c r="G2162" s="584">
        <v>15</v>
      </c>
    </row>
    <row r="2163" spans="1:7" ht="15" x14ac:dyDescent="0.2">
      <c r="A2163" s="583" t="s">
        <v>16496</v>
      </c>
      <c r="B2163" s="605" t="s">
        <v>16497</v>
      </c>
      <c r="C2163" s="606" t="s">
        <v>12483</v>
      </c>
      <c r="D2163" s="607">
        <v>9.02</v>
      </c>
      <c r="E2163" s="607">
        <v>7.85</v>
      </c>
      <c r="F2163" s="607">
        <v>16.87</v>
      </c>
      <c r="G2163" s="584">
        <v>15</v>
      </c>
    </row>
    <row r="2164" spans="1:7" ht="15" x14ac:dyDescent="0.2">
      <c r="A2164" s="583" t="s">
        <v>16498</v>
      </c>
      <c r="B2164" s="605" t="s">
        <v>16499</v>
      </c>
      <c r="C2164" s="606" t="s">
        <v>12483</v>
      </c>
      <c r="D2164" s="607">
        <v>4.22</v>
      </c>
      <c r="E2164" s="607">
        <v>7.85</v>
      </c>
      <c r="F2164" s="607">
        <v>12.07</v>
      </c>
      <c r="G2164" s="584">
        <v>15</v>
      </c>
    </row>
    <row r="2165" spans="1:7" ht="30" x14ac:dyDescent="0.2">
      <c r="A2165" s="583" t="s">
        <v>16500</v>
      </c>
      <c r="B2165" s="605" t="s">
        <v>16501</v>
      </c>
      <c r="C2165" s="606" t="s">
        <v>12483</v>
      </c>
      <c r="D2165" s="607">
        <v>7.92</v>
      </c>
      <c r="E2165" s="607">
        <v>7.85</v>
      </c>
      <c r="F2165" s="607">
        <v>15.77</v>
      </c>
      <c r="G2165" s="584">
        <v>15</v>
      </c>
    </row>
    <row r="2166" spans="1:7" ht="30" x14ac:dyDescent="0.2">
      <c r="A2166" s="583" t="s">
        <v>16502</v>
      </c>
      <c r="B2166" s="605" t="s">
        <v>16503</v>
      </c>
      <c r="C2166" s="606" t="s">
        <v>12483</v>
      </c>
      <c r="D2166" s="607">
        <v>32.479999999999997</v>
      </c>
      <c r="E2166" s="607">
        <v>13.96</v>
      </c>
      <c r="F2166" s="607">
        <v>46.44</v>
      </c>
      <c r="G2166" s="584">
        <v>15</v>
      </c>
    </row>
    <row r="2167" spans="1:7" ht="30" x14ac:dyDescent="0.2">
      <c r="A2167" s="583" t="s">
        <v>16504</v>
      </c>
      <c r="B2167" s="605" t="s">
        <v>16505</v>
      </c>
      <c r="C2167" s="606" t="s">
        <v>12483</v>
      </c>
      <c r="D2167" s="607">
        <v>66.91</v>
      </c>
      <c r="E2167" s="607">
        <v>13.96</v>
      </c>
      <c r="F2167" s="607">
        <v>80.87</v>
      </c>
      <c r="G2167" s="584">
        <v>15</v>
      </c>
    </row>
    <row r="2168" spans="1:7" ht="15" x14ac:dyDescent="0.2">
      <c r="A2168" s="583" t="s">
        <v>16506</v>
      </c>
      <c r="B2168" s="605" t="s">
        <v>16507</v>
      </c>
      <c r="C2168" s="606" t="s">
        <v>12483</v>
      </c>
      <c r="D2168" s="607">
        <v>35.71</v>
      </c>
      <c r="E2168" s="607">
        <v>13.96</v>
      </c>
      <c r="F2168" s="607">
        <v>49.67</v>
      </c>
      <c r="G2168" s="584">
        <v>15</v>
      </c>
    </row>
    <row r="2169" spans="1:7" ht="30" x14ac:dyDescent="0.2">
      <c r="A2169" s="583" t="s">
        <v>16508</v>
      </c>
      <c r="B2169" s="605" t="s">
        <v>16509</v>
      </c>
      <c r="C2169" s="606" t="s">
        <v>12483</v>
      </c>
      <c r="D2169" s="607">
        <v>58.27</v>
      </c>
      <c r="E2169" s="607">
        <v>16.75</v>
      </c>
      <c r="F2169" s="607">
        <v>75.02</v>
      </c>
      <c r="G2169" s="584">
        <v>15</v>
      </c>
    </row>
    <row r="2170" spans="1:7" ht="30" x14ac:dyDescent="0.2">
      <c r="A2170" s="583" t="s">
        <v>16510</v>
      </c>
      <c r="B2170" s="605" t="s">
        <v>16511</v>
      </c>
      <c r="C2170" s="606" t="s">
        <v>12483</v>
      </c>
      <c r="D2170" s="607">
        <v>93.03</v>
      </c>
      <c r="E2170" s="607">
        <v>19.54</v>
      </c>
      <c r="F2170" s="607">
        <v>112.57</v>
      </c>
      <c r="G2170" s="584">
        <v>15</v>
      </c>
    </row>
    <row r="2171" spans="1:7" ht="30" x14ac:dyDescent="0.2">
      <c r="A2171" s="583" t="s">
        <v>16512</v>
      </c>
      <c r="B2171" s="605" t="s">
        <v>16513</v>
      </c>
      <c r="C2171" s="606" t="s">
        <v>12483</v>
      </c>
      <c r="D2171" s="607">
        <v>114.89</v>
      </c>
      <c r="E2171" s="607">
        <v>22.33</v>
      </c>
      <c r="F2171" s="607">
        <v>137.22</v>
      </c>
      <c r="G2171" s="584">
        <v>15</v>
      </c>
    </row>
    <row r="2172" spans="1:7" ht="30" x14ac:dyDescent="0.2">
      <c r="A2172" s="583" t="s">
        <v>16514</v>
      </c>
      <c r="B2172" s="605" t="s">
        <v>16515</v>
      </c>
      <c r="C2172" s="606" t="s">
        <v>12375</v>
      </c>
      <c r="D2172" s="607">
        <v>8.9700000000000006</v>
      </c>
      <c r="E2172" s="607">
        <v>2.27</v>
      </c>
      <c r="F2172" s="607">
        <v>11.24</v>
      </c>
      <c r="G2172" s="584">
        <v>15</v>
      </c>
    </row>
    <row r="2173" spans="1:7" ht="30" x14ac:dyDescent="0.2">
      <c r="A2173" s="583" t="s">
        <v>16516</v>
      </c>
      <c r="B2173" s="605" t="s">
        <v>16517</v>
      </c>
      <c r="C2173" s="606" t="s">
        <v>12375</v>
      </c>
      <c r="D2173" s="607">
        <v>10.99</v>
      </c>
      <c r="E2173" s="607">
        <v>2.27</v>
      </c>
      <c r="F2173" s="607">
        <v>13.26</v>
      </c>
      <c r="G2173" s="584">
        <v>15</v>
      </c>
    </row>
    <row r="2174" spans="1:7" ht="30" x14ac:dyDescent="0.2">
      <c r="A2174" s="583" t="s">
        <v>16518</v>
      </c>
      <c r="B2174" s="605" t="s">
        <v>16519</v>
      </c>
      <c r="C2174" s="606" t="s">
        <v>12375</v>
      </c>
      <c r="D2174" s="607">
        <v>10.23</v>
      </c>
      <c r="E2174" s="607">
        <v>2.27</v>
      </c>
      <c r="F2174" s="607">
        <v>12.5</v>
      </c>
      <c r="G2174" s="584">
        <v>15</v>
      </c>
    </row>
    <row r="2175" spans="1:7" ht="15" x14ac:dyDescent="0.2">
      <c r="A2175" s="583" t="s">
        <v>20079</v>
      </c>
      <c r="B2175" s="605" t="s">
        <v>20080</v>
      </c>
      <c r="C2175" s="606" t="s">
        <v>12375</v>
      </c>
      <c r="D2175" s="607">
        <v>2.87</v>
      </c>
      <c r="E2175" s="607">
        <v>5.58</v>
      </c>
      <c r="F2175" s="607">
        <v>8.4499999999999993</v>
      </c>
      <c r="G2175" s="584">
        <v>15</v>
      </c>
    </row>
    <row r="2176" spans="1:7" ht="15" x14ac:dyDescent="0.2">
      <c r="A2176" s="583" t="s">
        <v>20081</v>
      </c>
      <c r="B2176" s="605" t="s">
        <v>20082</v>
      </c>
      <c r="C2176" s="606" t="s">
        <v>12375</v>
      </c>
      <c r="D2176" s="607">
        <v>8.17</v>
      </c>
      <c r="E2176" s="607">
        <v>5.58</v>
      </c>
      <c r="F2176" s="607">
        <v>13.75</v>
      </c>
      <c r="G2176" s="584">
        <v>15</v>
      </c>
    </row>
    <row r="2177" spans="1:7" ht="15" x14ac:dyDescent="0.25">
      <c r="A2177" s="583" t="s">
        <v>16520</v>
      </c>
      <c r="B2177" s="605" t="s">
        <v>16521</v>
      </c>
      <c r="C2177" s="606"/>
      <c r="D2177" s="607"/>
      <c r="E2177" s="607"/>
      <c r="F2177" s="607"/>
      <c r="G2177" s="582"/>
    </row>
    <row r="2178" spans="1:7" ht="30" x14ac:dyDescent="0.2">
      <c r="A2178" s="583" t="s">
        <v>16522</v>
      </c>
      <c r="B2178" s="605" t="s">
        <v>16523</v>
      </c>
      <c r="C2178" s="606" t="s">
        <v>12483</v>
      </c>
      <c r="D2178" s="607">
        <v>59.35</v>
      </c>
      <c r="E2178" s="607">
        <v>16.75</v>
      </c>
      <c r="F2178" s="607">
        <v>76.099999999999994</v>
      </c>
      <c r="G2178" s="584">
        <v>15</v>
      </c>
    </row>
    <row r="2179" spans="1:7" ht="30" x14ac:dyDescent="0.2">
      <c r="A2179" s="583" t="s">
        <v>16524</v>
      </c>
      <c r="B2179" s="605" t="s">
        <v>16525</v>
      </c>
      <c r="C2179" s="606" t="s">
        <v>12483</v>
      </c>
      <c r="D2179" s="607">
        <v>76.19</v>
      </c>
      <c r="E2179" s="607">
        <v>16.75</v>
      </c>
      <c r="F2179" s="607">
        <v>92.94</v>
      </c>
      <c r="G2179" s="584">
        <v>15</v>
      </c>
    </row>
    <row r="2180" spans="1:7" ht="30" x14ac:dyDescent="0.2">
      <c r="A2180" s="583" t="s">
        <v>16526</v>
      </c>
      <c r="B2180" s="605" t="s">
        <v>16527</v>
      </c>
      <c r="C2180" s="606" t="s">
        <v>12375</v>
      </c>
      <c r="D2180" s="607">
        <v>48.98</v>
      </c>
      <c r="E2180" s="607">
        <v>17.309999999999999</v>
      </c>
      <c r="F2180" s="607">
        <v>66.290000000000006</v>
      </c>
      <c r="G2180" s="584">
        <v>15</v>
      </c>
    </row>
    <row r="2181" spans="1:7" ht="30" x14ac:dyDescent="0.2">
      <c r="A2181" s="583" t="s">
        <v>16528</v>
      </c>
      <c r="B2181" s="605" t="s">
        <v>16529</v>
      </c>
      <c r="C2181" s="606" t="s">
        <v>12375</v>
      </c>
      <c r="D2181" s="607">
        <v>139.36000000000001</v>
      </c>
      <c r="E2181" s="607">
        <v>33.5</v>
      </c>
      <c r="F2181" s="607">
        <v>172.86</v>
      </c>
      <c r="G2181" s="584">
        <v>15</v>
      </c>
    </row>
    <row r="2182" spans="1:7" ht="30" x14ac:dyDescent="0.2">
      <c r="A2182" s="583" t="s">
        <v>16530</v>
      </c>
      <c r="B2182" s="605" t="s">
        <v>16531</v>
      </c>
      <c r="C2182" s="606" t="s">
        <v>12375</v>
      </c>
      <c r="D2182" s="607">
        <v>205.5</v>
      </c>
      <c r="E2182" s="607">
        <v>33.5</v>
      </c>
      <c r="F2182" s="607">
        <v>239</v>
      </c>
      <c r="G2182" s="584">
        <v>15</v>
      </c>
    </row>
    <row r="2183" spans="1:7" ht="30" x14ac:dyDescent="0.2">
      <c r="A2183" s="583" t="s">
        <v>16532</v>
      </c>
      <c r="B2183" s="605" t="s">
        <v>21967</v>
      </c>
      <c r="C2183" s="606" t="s">
        <v>12375</v>
      </c>
      <c r="D2183" s="607">
        <v>228.61</v>
      </c>
      <c r="E2183" s="607">
        <v>10.65</v>
      </c>
      <c r="F2183" s="607">
        <v>239.26</v>
      </c>
      <c r="G2183" s="584">
        <v>15</v>
      </c>
    </row>
    <row r="2184" spans="1:7" ht="30" x14ac:dyDescent="0.2">
      <c r="A2184" s="583" t="s">
        <v>16533</v>
      </c>
      <c r="B2184" s="605" t="s">
        <v>21968</v>
      </c>
      <c r="C2184" s="606" t="s">
        <v>12375</v>
      </c>
      <c r="D2184" s="607">
        <v>273.27999999999997</v>
      </c>
      <c r="E2184" s="607">
        <v>10.65</v>
      </c>
      <c r="F2184" s="607">
        <v>283.93</v>
      </c>
      <c r="G2184" s="584">
        <v>15</v>
      </c>
    </row>
    <row r="2185" spans="1:7" ht="30" x14ac:dyDescent="0.2">
      <c r="A2185" s="583" t="s">
        <v>16534</v>
      </c>
      <c r="B2185" s="605" t="s">
        <v>21969</v>
      </c>
      <c r="C2185" s="606" t="s">
        <v>12375</v>
      </c>
      <c r="D2185" s="607">
        <v>439.52</v>
      </c>
      <c r="E2185" s="607">
        <v>10.65</v>
      </c>
      <c r="F2185" s="607">
        <v>450.17</v>
      </c>
      <c r="G2185" s="584">
        <v>15</v>
      </c>
    </row>
    <row r="2186" spans="1:7" ht="15" x14ac:dyDescent="0.25">
      <c r="A2186" s="583" t="s">
        <v>16535</v>
      </c>
      <c r="B2186" s="605" t="s">
        <v>16536</v>
      </c>
      <c r="C2186" s="606"/>
      <c r="D2186" s="607"/>
      <c r="E2186" s="607"/>
      <c r="F2186" s="607"/>
      <c r="G2186" s="582"/>
    </row>
    <row r="2187" spans="1:7" ht="30" x14ac:dyDescent="0.2">
      <c r="A2187" s="583" t="s">
        <v>16537</v>
      </c>
      <c r="B2187" s="605" t="s">
        <v>132</v>
      </c>
      <c r="C2187" s="606" t="s">
        <v>20358</v>
      </c>
      <c r="D2187" s="607">
        <v>218.26</v>
      </c>
      <c r="E2187" s="607">
        <v>16.75</v>
      </c>
      <c r="F2187" s="607">
        <v>235.01</v>
      </c>
      <c r="G2187" s="584">
        <v>15</v>
      </c>
    </row>
    <row r="2188" spans="1:7" ht="30" x14ac:dyDescent="0.2">
      <c r="A2188" s="583" t="s">
        <v>16538</v>
      </c>
      <c r="B2188" s="605" t="s">
        <v>133</v>
      </c>
      <c r="C2188" s="606" t="s">
        <v>20358</v>
      </c>
      <c r="D2188" s="607">
        <v>287.66000000000003</v>
      </c>
      <c r="E2188" s="607">
        <v>16.75</v>
      </c>
      <c r="F2188" s="607">
        <v>304.41000000000003</v>
      </c>
      <c r="G2188" s="584">
        <v>15</v>
      </c>
    </row>
    <row r="2189" spans="1:7" ht="30" x14ac:dyDescent="0.2">
      <c r="A2189" s="583" t="s">
        <v>16539</v>
      </c>
      <c r="B2189" s="605" t="s">
        <v>134</v>
      </c>
      <c r="C2189" s="606" t="s">
        <v>20358</v>
      </c>
      <c r="D2189" s="607">
        <v>337.69</v>
      </c>
      <c r="E2189" s="607">
        <v>16.75</v>
      </c>
      <c r="F2189" s="607">
        <v>354.44</v>
      </c>
      <c r="G2189" s="584">
        <v>15</v>
      </c>
    </row>
    <row r="2190" spans="1:7" ht="30" x14ac:dyDescent="0.2">
      <c r="A2190" s="583" t="s">
        <v>16540</v>
      </c>
      <c r="B2190" s="605" t="s">
        <v>135</v>
      </c>
      <c r="C2190" s="606" t="s">
        <v>20358</v>
      </c>
      <c r="D2190" s="607">
        <v>308.33999999999997</v>
      </c>
      <c r="E2190" s="607">
        <v>16.75</v>
      </c>
      <c r="F2190" s="607">
        <v>325.08999999999997</v>
      </c>
      <c r="G2190" s="584">
        <v>15</v>
      </c>
    </row>
    <row r="2191" spans="1:7" ht="30" x14ac:dyDescent="0.2">
      <c r="A2191" s="583" t="s">
        <v>16541</v>
      </c>
      <c r="B2191" s="605" t="s">
        <v>136</v>
      </c>
      <c r="C2191" s="606" t="s">
        <v>20358</v>
      </c>
      <c r="D2191" s="607">
        <v>392.88</v>
      </c>
      <c r="E2191" s="607">
        <v>16.75</v>
      </c>
      <c r="F2191" s="607">
        <v>409.63</v>
      </c>
      <c r="G2191" s="584">
        <v>15</v>
      </c>
    </row>
    <row r="2192" spans="1:7" ht="15" x14ac:dyDescent="0.25">
      <c r="A2192" s="583" t="s">
        <v>16542</v>
      </c>
      <c r="B2192" s="605" t="s">
        <v>16543</v>
      </c>
      <c r="C2192" s="606"/>
      <c r="D2192" s="607"/>
      <c r="E2192" s="607"/>
      <c r="F2192" s="607"/>
      <c r="G2192" s="582"/>
    </row>
    <row r="2193" spans="1:7" ht="30" x14ac:dyDescent="0.2">
      <c r="A2193" s="583" t="s">
        <v>16544</v>
      </c>
      <c r="B2193" s="605" t="s">
        <v>137</v>
      </c>
      <c r="C2193" s="606" t="s">
        <v>20358</v>
      </c>
      <c r="D2193" s="607">
        <v>5.22</v>
      </c>
      <c r="E2193" s="607">
        <v>2.23</v>
      </c>
      <c r="F2193" s="607">
        <v>7.45</v>
      </c>
      <c r="G2193" s="584">
        <v>15</v>
      </c>
    </row>
    <row r="2194" spans="1:7" ht="30" x14ac:dyDescent="0.2">
      <c r="A2194" s="583" t="s">
        <v>16545</v>
      </c>
      <c r="B2194" s="605" t="s">
        <v>138</v>
      </c>
      <c r="C2194" s="606" t="s">
        <v>20358</v>
      </c>
      <c r="D2194" s="607">
        <v>6.38</v>
      </c>
      <c r="E2194" s="607">
        <v>2.23</v>
      </c>
      <c r="F2194" s="607">
        <v>8.61</v>
      </c>
      <c r="G2194" s="584">
        <v>15</v>
      </c>
    </row>
    <row r="2195" spans="1:7" ht="30" x14ac:dyDescent="0.2">
      <c r="A2195" s="583" t="s">
        <v>16546</v>
      </c>
      <c r="B2195" s="605" t="s">
        <v>139</v>
      </c>
      <c r="C2195" s="606" t="s">
        <v>20358</v>
      </c>
      <c r="D2195" s="607">
        <v>8.3800000000000008</v>
      </c>
      <c r="E2195" s="607">
        <v>2.23</v>
      </c>
      <c r="F2195" s="607">
        <v>10.61</v>
      </c>
      <c r="G2195" s="584">
        <v>15</v>
      </c>
    </row>
    <row r="2196" spans="1:7" ht="30" x14ac:dyDescent="0.2">
      <c r="A2196" s="583" t="s">
        <v>16547</v>
      </c>
      <c r="B2196" s="605" t="s">
        <v>140</v>
      </c>
      <c r="C2196" s="606" t="s">
        <v>20358</v>
      </c>
      <c r="D2196" s="607">
        <v>14.84</v>
      </c>
      <c r="E2196" s="607">
        <v>2.23</v>
      </c>
      <c r="F2196" s="607">
        <v>17.07</v>
      </c>
      <c r="G2196" s="584">
        <v>15</v>
      </c>
    </row>
    <row r="2197" spans="1:7" ht="30" x14ac:dyDescent="0.2">
      <c r="A2197" s="583" t="s">
        <v>16548</v>
      </c>
      <c r="B2197" s="605" t="s">
        <v>141</v>
      </c>
      <c r="C2197" s="606" t="s">
        <v>20358</v>
      </c>
      <c r="D2197" s="607">
        <v>18.66</v>
      </c>
      <c r="E2197" s="607">
        <v>2.23</v>
      </c>
      <c r="F2197" s="607">
        <v>20.89</v>
      </c>
      <c r="G2197" s="584">
        <v>15</v>
      </c>
    </row>
    <row r="2198" spans="1:7" ht="30" x14ac:dyDescent="0.2">
      <c r="A2198" s="583" t="s">
        <v>16549</v>
      </c>
      <c r="B2198" s="605" t="s">
        <v>142</v>
      </c>
      <c r="C2198" s="606" t="s">
        <v>20358</v>
      </c>
      <c r="D2198" s="607">
        <v>24.49</v>
      </c>
      <c r="E2198" s="607">
        <v>2.23</v>
      </c>
      <c r="F2198" s="607">
        <v>26.72</v>
      </c>
      <c r="G2198" s="584">
        <v>15</v>
      </c>
    </row>
    <row r="2199" spans="1:7" ht="30" x14ac:dyDescent="0.2">
      <c r="A2199" s="583" t="s">
        <v>16550</v>
      </c>
      <c r="B2199" s="605" t="s">
        <v>143</v>
      </c>
      <c r="C2199" s="606" t="s">
        <v>20358</v>
      </c>
      <c r="D2199" s="607">
        <v>36.99</v>
      </c>
      <c r="E2199" s="607">
        <v>2.23</v>
      </c>
      <c r="F2199" s="607">
        <v>39.22</v>
      </c>
      <c r="G2199" s="584">
        <v>15</v>
      </c>
    </row>
    <row r="2200" spans="1:7" ht="15" x14ac:dyDescent="0.25">
      <c r="A2200" s="583" t="s">
        <v>16551</v>
      </c>
      <c r="B2200" s="605" t="s">
        <v>16552</v>
      </c>
      <c r="C2200" s="606"/>
      <c r="D2200" s="607"/>
      <c r="E2200" s="607"/>
      <c r="F2200" s="607"/>
      <c r="G2200" s="582"/>
    </row>
    <row r="2201" spans="1:7" ht="15" x14ac:dyDescent="0.2">
      <c r="A2201" s="583" t="s">
        <v>16553</v>
      </c>
      <c r="B2201" s="605" t="s">
        <v>16554</v>
      </c>
      <c r="C2201" s="606" t="s">
        <v>20358</v>
      </c>
      <c r="D2201" s="607">
        <v>9.18</v>
      </c>
      <c r="E2201" s="607">
        <v>19.64</v>
      </c>
      <c r="F2201" s="607">
        <v>28.82</v>
      </c>
      <c r="G2201" s="584">
        <v>15</v>
      </c>
    </row>
    <row r="2202" spans="1:7" ht="15" x14ac:dyDescent="0.2">
      <c r="A2202" s="583" t="s">
        <v>16555</v>
      </c>
      <c r="B2202" s="605" t="s">
        <v>16556</v>
      </c>
      <c r="C2202" s="606" t="s">
        <v>20358</v>
      </c>
      <c r="D2202" s="607">
        <v>12.19</v>
      </c>
      <c r="E2202" s="607">
        <v>19.64</v>
      </c>
      <c r="F2202" s="607">
        <v>31.83</v>
      </c>
      <c r="G2202" s="584">
        <v>15</v>
      </c>
    </row>
    <row r="2203" spans="1:7" ht="15" x14ac:dyDescent="0.2">
      <c r="A2203" s="583" t="s">
        <v>16557</v>
      </c>
      <c r="B2203" s="605" t="s">
        <v>16558</v>
      </c>
      <c r="C2203" s="606" t="s">
        <v>20358</v>
      </c>
      <c r="D2203" s="607">
        <v>30.13</v>
      </c>
      <c r="E2203" s="607">
        <v>19.64</v>
      </c>
      <c r="F2203" s="607">
        <v>49.77</v>
      </c>
      <c r="G2203" s="584">
        <v>15</v>
      </c>
    </row>
    <row r="2204" spans="1:7" ht="15" x14ac:dyDescent="0.2">
      <c r="A2204" s="583" t="s">
        <v>16559</v>
      </c>
      <c r="B2204" s="605" t="s">
        <v>16560</v>
      </c>
      <c r="C2204" s="606" t="s">
        <v>20385</v>
      </c>
      <c r="D2204" s="607">
        <v>17.940000000000001</v>
      </c>
      <c r="E2204" s="607">
        <v>3.79</v>
      </c>
      <c r="F2204" s="607">
        <v>21.73</v>
      </c>
      <c r="G2204" s="584">
        <v>15</v>
      </c>
    </row>
    <row r="2205" spans="1:7" ht="15" x14ac:dyDescent="0.2">
      <c r="A2205" s="583" t="s">
        <v>16561</v>
      </c>
      <c r="B2205" s="605" t="s">
        <v>16562</v>
      </c>
      <c r="C2205" s="606" t="s">
        <v>20385</v>
      </c>
      <c r="D2205" s="607">
        <v>22.87</v>
      </c>
      <c r="E2205" s="607">
        <v>3.79</v>
      </c>
      <c r="F2205" s="607">
        <v>26.66</v>
      </c>
      <c r="G2205" s="584">
        <v>15</v>
      </c>
    </row>
    <row r="2206" spans="1:7" ht="15" x14ac:dyDescent="0.2">
      <c r="A2206" s="583" t="s">
        <v>16563</v>
      </c>
      <c r="B2206" s="605" t="s">
        <v>16564</v>
      </c>
      <c r="C2206" s="606" t="s">
        <v>20385</v>
      </c>
      <c r="D2206" s="607">
        <v>70.25</v>
      </c>
      <c r="E2206" s="607">
        <v>3.79</v>
      </c>
      <c r="F2206" s="607">
        <v>74.040000000000006</v>
      </c>
      <c r="G2206" s="584">
        <v>15</v>
      </c>
    </row>
    <row r="2207" spans="1:7" ht="15" x14ac:dyDescent="0.2">
      <c r="A2207" s="583" t="s">
        <v>16565</v>
      </c>
      <c r="B2207" s="605" t="s">
        <v>16566</v>
      </c>
      <c r="C2207" s="606" t="s">
        <v>20385</v>
      </c>
      <c r="D2207" s="607">
        <v>22.66</v>
      </c>
      <c r="E2207" s="607">
        <v>3.79</v>
      </c>
      <c r="F2207" s="607">
        <v>26.45</v>
      </c>
      <c r="G2207" s="584">
        <v>15</v>
      </c>
    </row>
    <row r="2208" spans="1:7" ht="15" x14ac:dyDescent="0.2">
      <c r="A2208" s="583" t="s">
        <v>16567</v>
      </c>
      <c r="B2208" s="605" t="s">
        <v>16568</v>
      </c>
      <c r="C2208" s="606" t="s">
        <v>20385</v>
      </c>
      <c r="D2208" s="607">
        <v>39.97</v>
      </c>
      <c r="E2208" s="607">
        <v>3.79</v>
      </c>
      <c r="F2208" s="607">
        <v>43.76</v>
      </c>
      <c r="G2208" s="584">
        <v>15</v>
      </c>
    </row>
    <row r="2209" spans="1:7" ht="15" x14ac:dyDescent="0.2">
      <c r="A2209" s="583" t="s">
        <v>16569</v>
      </c>
      <c r="B2209" s="605" t="s">
        <v>16570</v>
      </c>
      <c r="C2209" s="606" t="s">
        <v>20385</v>
      </c>
      <c r="D2209" s="607">
        <v>91.48</v>
      </c>
      <c r="E2209" s="607">
        <v>3.79</v>
      </c>
      <c r="F2209" s="607">
        <v>95.27</v>
      </c>
      <c r="G2209" s="584">
        <v>15</v>
      </c>
    </row>
    <row r="2210" spans="1:7" ht="15" x14ac:dyDescent="0.25">
      <c r="A2210" s="583" t="s">
        <v>16571</v>
      </c>
      <c r="B2210" s="605" t="s">
        <v>16572</v>
      </c>
      <c r="C2210" s="606"/>
      <c r="D2210" s="607"/>
      <c r="E2210" s="607"/>
      <c r="F2210" s="607"/>
      <c r="G2210" s="582"/>
    </row>
    <row r="2211" spans="1:7" ht="15" x14ac:dyDescent="0.2">
      <c r="A2211" s="583" t="s">
        <v>16573</v>
      </c>
      <c r="B2211" s="605" t="s">
        <v>16574</v>
      </c>
      <c r="C2211" s="606" t="s">
        <v>20358</v>
      </c>
      <c r="D2211" s="607">
        <v>91.69</v>
      </c>
      <c r="E2211" s="607">
        <v>16.75</v>
      </c>
      <c r="F2211" s="607">
        <v>108.44</v>
      </c>
      <c r="G2211" s="584">
        <v>15</v>
      </c>
    </row>
    <row r="2212" spans="1:7" ht="30" x14ac:dyDescent="0.2">
      <c r="A2212" s="583" t="s">
        <v>16575</v>
      </c>
      <c r="B2212" s="605" t="s">
        <v>16576</v>
      </c>
      <c r="C2212" s="606" t="s">
        <v>20385</v>
      </c>
      <c r="D2212" s="607">
        <v>97.79</v>
      </c>
      <c r="E2212" s="607">
        <v>27.92</v>
      </c>
      <c r="F2212" s="607">
        <v>125.71</v>
      </c>
      <c r="G2212" s="584">
        <v>15</v>
      </c>
    </row>
    <row r="2213" spans="1:7" ht="30" x14ac:dyDescent="0.2">
      <c r="A2213" s="583" t="s">
        <v>16577</v>
      </c>
      <c r="B2213" s="605" t="s">
        <v>16578</v>
      </c>
      <c r="C2213" s="606" t="s">
        <v>20385</v>
      </c>
      <c r="D2213" s="607">
        <v>133.03</v>
      </c>
      <c r="E2213" s="607">
        <v>27.92</v>
      </c>
      <c r="F2213" s="607">
        <v>160.94999999999999</v>
      </c>
      <c r="G2213" s="584">
        <v>15</v>
      </c>
    </row>
    <row r="2214" spans="1:7" ht="45" x14ac:dyDescent="0.2">
      <c r="A2214" s="583" t="s">
        <v>16579</v>
      </c>
      <c r="B2214" s="605" t="s">
        <v>16580</v>
      </c>
      <c r="C2214" s="606" t="s">
        <v>20385</v>
      </c>
      <c r="D2214" s="607">
        <v>31.08</v>
      </c>
      <c r="E2214" s="607">
        <v>10.65</v>
      </c>
      <c r="F2214" s="607">
        <v>41.73</v>
      </c>
      <c r="G2214" s="584">
        <v>15</v>
      </c>
    </row>
    <row r="2215" spans="1:7" ht="45" x14ac:dyDescent="0.2">
      <c r="A2215" s="583" t="s">
        <v>16581</v>
      </c>
      <c r="B2215" s="605" t="s">
        <v>16582</v>
      </c>
      <c r="C2215" s="606" t="s">
        <v>20385</v>
      </c>
      <c r="D2215" s="607">
        <v>22.34</v>
      </c>
      <c r="E2215" s="607">
        <v>10.65</v>
      </c>
      <c r="F2215" s="607">
        <v>32.99</v>
      </c>
      <c r="G2215" s="584">
        <v>15</v>
      </c>
    </row>
    <row r="2216" spans="1:7" ht="30" x14ac:dyDescent="0.2">
      <c r="A2216" s="583" t="s">
        <v>16583</v>
      </c>
      <c r="B2216" s="605" t="s">
        <v>16584</v>
      </c>
      <c r="C2216" s="606" t="s">
        <v>20385</v>
      </c>
      <c r="D2216" s="607">
        <v>15.51</v>
      </c>
      <c r="E2216" s="607">
        <v>8.3800000000000008</v>
      </c>
      <c r="F2216" s="607">
        <v>23.89</v>
      </c>
      <c r="G2216" s="584">
        <v>15</v>
      </c>
    </row>
    <row r="2217" spans="1:7" ht="15" x14ac:dyDescent="0.2">
      <c r="A2217" s="583" t="s">
        <v>16585</v>
      </c>
      <c r="B2217" s="605" t="s">
        <v>16586</v>
      </c>
      <c r="C2217" s="606" t="s">
        <v>20358</v>
      </c>
      <c r="D2217" s="607">
        <v>65.069999999999993</v>
      </c>
      <c r="E2217" s="607">
        <v>16.75</v>
      </c>
      <c r="F2217" s="607">
        <v>81.819999999999993</v>
      </c>
      <c r="G2217" s="584">
        <v>15</v>
      </c>
    </row>
    <row r="2218" spans="1:7" ht="30" x14ac:dyDescent="0.2">
      <c r="A2218" s="583" t="s">
        <v>16587</v>
      </c>
      <c r="B2218" s="605" t="s">
        <v>16588</v>
      </c>
      <c r="C2218" s="606" t="s">
        <v>20385</v>
      </c>
      <c r="D2218" s="607">
        <v>81.099999999999994</v>
      </c>
      <c r="E2218" s="607">
        <v>27.92</v>
      </c>
      <c r="F2218" s="607">
        <v>109.02</v>
      </c>
      <c r="G2218" s="584">
        <v>15</v>
      </c>
    </row>
    <row r="2219" spans="1:7" ht="30" x14ac:dyDescent="0.2">
      <c r="A2219" s="583" t="s">
        <v>16589</v>
      </c>
      <c r="B2219" s="605" t="s">
        <v>16590</v>
      </c>
      <c r="C2219" s="606" t="s">
        <v>20385</v>
      </c>
      <c r="D2219" s="607">
        <v>12.82</v>
      </c>
      <c r="E2219" s="607">
        <v>8.3800000000000008</v>
      </c>
      <c r="F2219" s="607">
        <v>21.2</v>
      </c>
      <c r="G2219" s="584">
        <v>15</v>
      </c>
    </row>
    <row r="2220" spans="1:7" ht="30" x14ac:dyDescent="0.2">
      <c r="A2220" s="583" t="s">
        <v>16591</v>
      </c>
      <c r="B2220" s="605" t="s">
        <v>16592</v>
      </c>
      <c r="C2220" s="606" t="s">
        <v>20385</v>
      </c>
      <c r="D2220" s="607">
        <v>72.09</v>
      </c>
      <c r="E2220" s="607">
        <v>27.92</v>
      </c>
      <c r="F2220" s="607">
        <v>100.01</v>
      </c>
      <c r="G2220" s="584">
        <v>15</v>
      </c>
    </row>
    <row r="2221" spans="1:7" ht="30" x14ac:dyDescent="0.2">
      <c r="A2221" s="583" t="s">
        <v>16593</v>
      </c>
      <c r="B2221" s="605" t="s">
        <v>16594</v>
      </c>
      <c r="C2221" s="606" t="s">
        <v>20385</v>
      </c>
      <c r="D2221" s="607">
        <v>97.96</v>
      </c>
      <c r="E2221" s="607">
        <v>27.92</v>
      </c>
      <c r="F2221" s="607">
        <v>125.88</v>
      </c>
      <c r="G2221" s="584">
        <v>15</v>
      </c>
    </row>
    <row r="2222" spans="1:7" ht="30" x14ac:dyDescent="0.2">
      <c r="A2222" s="583" t="s">
        <v>16595</v>
      </c>
      <c r="B2222" s="605" t="s">
        <v>16596</v>
      </c>
      <c r="C2222" s="606" t="s">
        <v>20385</v>
      </c>
      <c r="D2222" s="607">
        <v>382.09</v>
      </c>
      <c r="E2222" s="607">
        <v>37.61</v>
      </c>
      <c r="F2222" s="607">
        <v>419.7</v>
      </c>
      <c r="G2222" s="584">
        <v>15</v>
      </c>
    </row>
    <row r="2223" spans="1:7" ht="30" x14ac:dyDescent="0.2">
      <c r="A2223" s="583" t="s">
        <v>16597</v>
      </c>
      <c r="B2223" s="605" t="s">
        <v>16598</v>
      </c>
      <c r="C2223" s="606" t="s">
        <v>20385</v>
      </c>
      <c r="D2223" s="607">
        <v>47.66</v>
      </c>
      <c r="E2223" s="607">
        <v>27.92</v>
      </c>
      <c r="F2223" s="607">
        <v>75.58</v>
      </c>
      <c r="G2223" s="584">
        <v>15</v>
      </c>
    </row>
    <row r="2224" spans="1:7" ht="15" x14ac:dyDescent="0.25">
      <c r="A2224" s="583" t="s">
        <v>16599</v>
      </c>
      <c r="B2224" s="605" t="s">
        <v>16600</v>
      </c>
      <c r="C2224" s="606"/>
      <c r="D2224" s="607"/>
      <c r="E2224" s="607"/>
      <c r="F2224" s="607"/>
      <c r="G2224" s="582"/>
    </row>
    <row r="2225" spans="1:7" ht="30" x14ac:dyDescent="0.2">
      <c r="A2225" s="583" t="s">
        <v>16601</v>
      </c>
      <c r="B2225" s="605" t="s">
        <v>16602</v>
      </c>
      <c r="C2225" s="606" t="s">
        <v>20358</v>
      </c>
      <c r="D2225" s="607">
        <v>2.5</v>
      </c>
      <c r="E2225" s="607">
        <v>16.75</v>
      </c>
      <c r="F2225" s="607">
        <v>19.25</v>
      </c>
      <c r="G2225" s="584">
        <v>15</v>
      </c>
    </row>
    <row r="2226" spans="1:7" ht="30" x14ac:dyDescent="0.2">
      <c r="A2226" s="583" t="s">
        <v>16603</v>
      </c>
      <c r="B2226" s="605" t="s">
        <v>16604</v>
      </c>
      <c r="C2226" s="606" t="s">
        <v>20358</v>
      </c>
      <c r="D2226" s="607">
        <v>2.39</v>
      </c>
      <c r="E2226" s="607">
        <v>16.75</v>
      </c>
      <c r="F2226" s="607">
        <v>19.14</v>
      </c>
      <c r="G2226" s="584">
        <v>15</v>
      </c>
    </row>
    <row r="2227" spans="1:7" ht="30" x14ac:dyDescent="0.2">
      <c r="A2227" s="583" t="s">
        <v>16605</v>
      </c>
      <c r="B2227" s="605" t="s">
        <v>16606</v>
      </c>
      <c r="C2227" s="606" t="s">
        <v>20358</v>
      </c>
      <c r="D2227" s="607">
        <v>4.91</v>
      </c>
      <c r="E2227" s="607">
        <v>16.75</v>
      </c>
      <c r="F2227" s="607">
        <v>21.66</v>
      </c>
      <c r="G2227" s="584">
        <v>15</v>
      </c>
    </row>
    <row r="2228" spans="1:7" ht="30" x14ac:dyDescent="0.2">
      <c r="A2228" s="583" t="s">
        <v>16607</v>
      </c>
      <c r="B2228" s="605" t="s">
        <v>16608</v>
      </c>
      <c r="C2228" s="606" t="s">
        <v>20358</v>
      </c>
      <c r="D2228" s="607">
        <v>3.24</v>
      </c>
      <c r="E2228" s="607">
        <v>16.75</v>
      </c>
      <c r="F2228" s="607">
        <v>19.989999999999998</v>
      </c>
      <c r="G2228" s="584">
        <v>15</v>
      </c>
    </row>
    <row r="2229" spans="1:7" ht="30" x14ac:dyDescent="0.2">
      <c r="A2229" s="583" t="s">
        <v>16609</v>
      </c>
      <c r="B2229" s="605" t="s">
        <v>16610</v>
      </c>
      <c r="C2229" s="606" t="s">
        <v>20358</v>
      </c>
      <c r="D2229" s="607">
        <v>5.95</v>
      </c>
      <c r="E2229" s="607">
        <v>16.75</v>
      </c>
      <c r="F2229" s="607">
        <v>22.7</v>
      </c>
      <c r="G2229" s="584">
        <v>15</v>
      </c>
    </row>
    <row r="2230" spans="1:7" ht="15" x14ac:dyDescent="0.25">
      <c r="A2230" s="583" t="s">
        <v>16611</v>
      </c>
      <c r="B2230" s="605" t="s">
        <v>16612</v>
      </c>
      <c r="C2230" s="606"/>
      <c r="D2230" s="607"/>
      <c r="E2230" s="607"/>
      <c r="F2230" s="607"/>
      <c r="G2230" s="582"/>
    </row>
    <row r="2231" spans="1:7" ht="15" x14ac:dyDescent="0.2">
      <c r="A2231" s="583" t="s">
        <v>16613</v>
      </c>
      <c r="B2231" s="605" t="s">
        <v>16614</v>
      </c>
      <c r="C2231" s="606" t="s">
        <v>20358</v>
      </c>
      <c r="D2231" s="607"/>
      <c r="E2231" s="607">
        <v>13.96</v>
      </c>
      <c r="F2231" s="607">
        <v>13.96</v>
      </c>
      <c r="G2231" s="584">
        <v>15</v>
      </c>
    </row>
    <row r="2232" spans="1:7" ht="15" x14ac:dyDescent="0.2">
      <c r="A2232" s="583" t="s">
        <v>16615</v>
      </c>
      <c r="B2232" s="605" t="s">
        <v>16616</v>
      </c>
      <c r="C2232" s="606" t="s">
        <v>20358</v>
      </c>
      <c r="D2232" s="607"/>
      <c r="E2232" s="607">
        <v>22.33</v>
      </c>
      <c r="F2232" s="607">
        <v>22.33</v>
      </c>
      <c r="G2232" s="584">
        <v>15</v>
      </c>
    </row>
    <row r="2233" spans="1:7" ht="15" x14ac:dyDescent="0.2">
      <c r="A2233" s="583" t="s">
        <v>16617</v>
      </c>
      <c r="B2233" s="605" t="s">
        <v>16618</v>
      </c>
      <c r="C2233" s="606" t="s">
        <v>20385</v>
      </c>
      <c r="D2233" s="607"/>
      <c r="E2233" s="607">
        <v>16.75</v>
      </c>
      <c r="F2233" s="607">
        <v>16.75</v>
      </c>
      <c r="G2233" s="584">
        <v>15</v>
      </c>
    </row>
    <row r="2234" spans="1:7" ht="15" x14ac:dyDescent="0.2">
      <c r="A2234" s="583" t="s">
        <v>16619</v>
      </c>
      <c r="B2234" s="605" t="s">
        <v>16620</v>
      </c>
      <c r="C2234" s="606" t="s">
        <v>20358</v>
      </c>
      <c r="D2234" s="607"/>
      <c r="E2234" s="607">
        <v>55.83</v>
      </c>
      <c r="F2234" s="607">
        <v>55.83</v>
      </c>
      <c r="G2234" s="584">
        <v>15</v>
      </c>
    </row>
    <row r="2235" spans="1:7" ht="15" x14ac:dyDescent="0.25">
      <c r="A2235" s="583" t="s">
        <v>16621</v>
      </c>
      <c r="B2235" s="605" t="s">
        <v>16622</v>
      </c>
      <c r="C2235" s="606"/>
      <c r="D2235" s="607"/>
      <c r="E2235" s="607"/>
      <c r="F2235" s="607"/>
      <c r="G2235" s="582"/>
    </row>
    <row r="2236" spans="1:7" ht="15" x14ac:dyDescent="0.2">
      <c r="A2236" s="583" t="s">
        <v>16623</v>
      </c>
      <c r="B2236" s="605" t="s">
        <v>16624</v>
      </c>
      <c r="C2236" s="606" t="s">
        <v>20358</v>
      </c>
      <c r="D2236" s="607">
        <v>52.2</v>
      </c>
      <c r="E2236" s="607">
        <v>27.92</v>
      </c>
      <c r="F2236" s="607">
        <v>80.12</v>
      </c>
      <c r="G2236" s="584">
        <v>15</v>
      </c>
    </row>
    <row r="2237" spans="1:7" ht="30" x14ac:dyDescent="0.2">
      <c r="A2237" s="583" t="s">
        <v>16625</v>
      </c>
      <c r="B2237" s="605" t="s">
        <v>16626</v>
      </c>
      <c r="C2237" s="606" t="s">
        <v>20358</v>
      </c>
      <c r="D2237" s="607">
        <v>69.28</v>
      </c>
      <c r="E2237" s="607">
        <v>27.92</v>
      </c>
      <c r="F2237" s="607">
        <v>97.2</v>
      </c>
      <c r="G2237" s="584">
        <v>15</v>
      </c>
    </row>
    <row r="2238" spans="1:7" ht="30" x14ac:dyDescent="0.2">
      <c r="A2238" s="583" t="s">
        <v>16627</v>
      </c>
      <c r="B2238" s="605" t="s">
        <v>16628</v>
      </c>
      <c r="C2238" s="606" t="s">
        <v>20358</v>
      </c>
      <c r="D2238" s="607">
        <v>85.31</v>
      </c>
      <c r="E2238" s="607">
        <v>27.92</v>
      </c>
      <c r="F2238" s="607">
        <v>113.23</v>
      </c>
      <c r="G2238" s="584">
        <v>15</v>
      </c>
    </row>
    <row r="2239" spans="1:7" ht="30" x14ac:dyDescent="0.2">
      <c r="A2239" s="583" t="s">
        <v>16629</v>
      </c>
      <c r="B2239" s="605" t="s">
        <v>16630</v>
      </c>
      <c r="C2239" s="606" t="s">
        <v>20358</v>
      </c>
      <c r="D2239" s="607">
        <v>101.92</v>
      </c>
      <c r="E2239" s="607">
        <v>27.92</v>
      </c>
      <c r="F2239" s="607">
        <v>129.84</v>
      </c>
      <c r="G2239" s="584">
        <v>15</v>
      </c>
    </row>
    <row r="2240" spans="1:7" ht="30" x14ac:dyDescent="0.2">
      <c r="A2240" s="583" t="s">
        <v>16631</v>
      </c>
      <c r="B2240" s="605" t="s">
        <v>16632</v>
      </c>
      <c r="C2240" s="606" t="s">
        <v>20358</v>
      </c>
      <c r="D2240" s="607">
        <v>119.96</v>
      </c>
      <c r="E2240" s="607">
        <v>27.92</v>
      </c>
      <c r="F2240" s="607">
        <v>147.88</v>
      </c>
      <c r="G2240" s="584">
        <v>15</v>
      </c>
    </row>
    <row r="2241" spans="1:7" ht="30" x14ac:dyDescent="0.2">
      <c r="A2241" s="583" t="s">
        <v>16633</v>
      </c>
      <c r="B2241" s="605" t="s">
        <v>16634</v>
      </c>
      <c r="C2241" s="606" t="s">
        <v>20358</v>
      </c>
      <c r="D2241" s="607">
        <v>105.24</v>
      </c>
      <c r="E2241" s="607">
        <v>41.87</v>
      </c>
      <c r="F2241" s="607">
        <v>147.11000000000001</v>
      </c>
      <c r="G2241" s="584">
        <v>15</v>
      </c>
    </row>
    <row r="2242" spans="1:7" ht="30" x14ac:dyDescent="0.2">
      <c r="A2242" s="583" t="s">
        <v>16635</v>
      </c>
      <c r="B2242" s="605" t="s">
        <v>16636</v>
      </c>
      <c r="C2242" s="606" t="s">
        <v>20358</v>
      </c>
      <c r="D2242" s="607">
        <v>117.18</v>
      </c>
      <c r="E2242" s="607">
        <v>41.87</v>
      </c>
      <c r="F2242" s="607">
        <v>159.05000000000001</v>
      </c>
      <c r="G2242" s="584">
        <v>15</v>
      </c>
    </row>
    <row r="2243" spans="1:7" ht="30" x14ac:dyDescent="0.2">
      <c r="A2243" s="583" t="s">
        <v>16637</v>
      </c>
      <c r="B2243" s="605" t="s">
        <v>16638</v>
      </c>
      <c r="C2243" s="606" t="s">
        <v>20358</v>
      </c>
      <c r="D2243" s="607">
        <v>138.97999999999999</v>
      </c>
      <c r="E2243" s="607">
        <v>41.87</v>
      </c>
      <c r="F2243" s="607">
        <v>180.85</v>
      </c>
      <c r="G2243" s="584">
        <v>15</v>
      </c>
    </row>
    <row r="2244" spans="1:7" ht="30" x14ac:dyDescent="0.2">
      <c r="A2244" s="583" t="s">
        <v>16639</v>
      </c>
      <c r="B2244" s="605" t="s">
        <v>16640</v>
      </c>
      <c r="C2244" s="606" t="s">
        <v>20358</v>
      </c>
      <c r="D2244" s="607">
        <v>154.31</v>
      </c>
      <c r="E2244" s="607">
        <v>41.87</v>
      </c>
      <c r="F2244" s="607">
        <v>196.18</v>
      </c>
      <c r="G2244" s="584">
        <v>15</v>
      </c>
    </row>
    <row r="2245" spans="1:7" ht="30" x14ac:dyDescent="0.2">
      <c r="A2245" s="583" t="s">
        <v>16641</v>
      </c>
      <c r="B2245" s="605" t="s">
        <v>16642</v>
      </c>
      <c r="C2245" s="606" t="s">
        <v>20358</v>
      </c>
      <c r="D2245" s="607">
        <v>166.92</v>
      </c>
      <c r="E2245" s="607">
        <v>55.83</v>
      </c>
      <c r="F2245" s="607">
        <v>222.75</v>
      </c>
      <c r="G2245" s="584">
        <v>15</v>
      </c>
    </row>
    <row r="2246" spans="1:7" ht="30" x14ac:dyDescent="0.2">
      <c r="A2246" s="583" t="s">
        <v>16643</v>
      </c>
      <c r="B2246" s="605" t="s">
        <v>16644</v>
      </c>
      <c r="C2246" s="606" t="s">
        <v>20358</v>
      </c>
      <c r="D2246" s="607">
        <v>207.14</v>
      </c>
      <c r="E2246" s="607">
        <v>55.83</v>
      </c>
      <c r="F2246" s="607">
        <v>262.97000000000003</v>
      </c>
      <c r="G2246" s="584">
        <v>15</v>
      </c>
    </row>
    <row r="2247" spans="1:7" ht="30" x14ac:dyDescent="0.2">
      <c r="A2247" s="583" t="s">
        <v>16645</v>
      </c>
      <c r="B2247" s="605" t="s">
        <v>16646</v>
      </c>
      <c r="C2247" s="606" t="s">
        <v>20358</v>
      </c>
      <c r="D2247" s="607">
        <v>60.57</v>
      </c>
      <c r="E2247" s="607">
        <v>27.92</v>
      </c>
      <c r="F2247" s="607">
        <v>88.49</v>
      </c>
      <c r="G2247" s="584">
        <v>15</v>
      </c>
    </row>
    <row r="2248" spans="1:7" ht="30" x14ac:dyDescent="0.2">
      <c r="A2248" s="583" t="s">
        <v>16647</v>
      </c>
      <c r="B2248" s="605" t="s">
        <v>16648</v>
      </c>
      <c r="C2248" s="606" t="s">
        <v>20358</v>
      </c>
      <c r="D2248" s="607">
        <v>74.98</v>
      </c>
      <c r="E2248" s="607">
        <v>27.92</v>
      </c>
      <c r="F2248" s="607">
        <v>102.9</v>
      </c>
      <c r="G2248" s="584">
        <v>15</v>
      </c>
    </row>
    <row r="2249" spans="1:7" ht="30" x14ac:dyDescent="0.2">
      <c r="A2249" s="583" t="s">
        <v>16649</v>
      </c>
      <c r="B2249" s="605" t="s">
        <v>16650</v>
      </c>
      <c r="C2249" s="606" t="s">
        <v>20358</v>
      </c>
      <c r="D2249" s="607">
        <v>91.65</v>
      </c>
      <c r="E2249" s="607">
        <v>27.92</v>
      </c>
      <c r="F2249" s="607">
        <v>119.57</v>
      </c>
      <c r="G2249" s="584">
        <v>15</v>
      </c>
    </row>
    <row r="2250" spans="1:7" ht="30" x14ac:dyDescent="0.2">
      <c r="A2250" s="583" t="s">
        <v>16651</v>
      </c>
      <c r="B2250" s="605" t="s">
        <v>16652</v>
      </c>
      <c r="C2250" s="606" t="s">
        <v>20358</v>
      </c>
      <c r="D2250" s="607">
        <v>104.04</v>
      </c>
      <c r="E2250" s="607">
        <v>27.92</v>
      </c>
      <c r="F2250" s="607">
        <v>131.96</v>
      </c>
      <c r="G2250" s="584">
        <v>15</v>
      </c>
    </row>
    <row r="2251" spans="1:7" ht="15" x14ac:dyDescent="0.25">
      <c r="A2251" s="583" t="s">
        <v>16653</v>
      </c>
      <c r="B2251" s="605" t="s">
        <v>16654</v>
      </c>
      <c r="C2251" s="606"/>
      <c r="D2251" s="607"/>
      <c r="E2251" s="607"/>
      <c r="F2251" s="607"/>
      <c r="G2251" s="582"/>
    </row>
    <row r="2252" spans="1:7" ht="30" x14ac:dyDescent="0.2">
      <c r="A2252" s="583" t="s">
        <v>16655</v>
      </c>
      <c r="B2252" s="605" t="s">
        <v>20177</v>
      </c>
      <c r="C2252" s="606" t="s">
        <v>20358</v>
      </c>
      <c r="D2252" s="607">
        <v>101.02</v>
      </c>
      <c r="E2252" s="607">
        <v>41.87</v>
      </c>
      <c r="F2252" s="607">
        <v>142.88999999999999</v>
      </c>
      <c r="G2252" s="584">
        <v>15</v>
      </c>
    </row>
    <row r="2253" spans="1:7" ht="30" x14ac:dyDescent="0.2">
      <c r="A2253" s="583" t="s">
        <v>16656</v>
      </c>
      <c r="B2253" s="605" t="s">
        <v>20178</v>
      </c>
      <c r="C2253" s="606" t="s">
        <v>20358</v>
      </c>
      <c r="D2253" s="607">
        <v>121.13</v>
      </c>
      <c r="E2253" s="607">
        <v>41.87</v>
      </c>
      <c r="F2253" s="607">
        <v>163</v>
      </c>
      <c r="G2253" s="584">
        <v>15</v>
      </c>
    </row>
    <row r="2254" spans="1:7" ht="30" x14ac:dyDescent="0.2">
      <c r="A2254" s="583" t="s">
        <v>16657</v>
      </c>
      <c r="B2254" s="605" t="s">
        <v>20179</v>
      </c>
      <c r="C2254" s="606" t="s">
        <v>20358</v>
      </c>
      <c r="D2254" s="607">
        <v>138.26</v>
      </c>
      <c r="E2254" s="607">
        <v>41.87</v>
      </c>
      <c r="F2254" s="607">
        <v>180.13</v>
      </c>
      <c r="G2254" s="584">
        <v>15</v>
      </c>
    </row>
    <row r="2255" spans="1:7" ht="30" x14ac:dyDescent="0.2">
      <c r="A2255" s="583" t="s">
        <v>16658</v>
      </c>
      <c r="B2255" s="605" t="s">
        <v>20180</v>
      </c>
      <c r="C2255" s="606" t="s">
        <v>20358</v>
      </c>
      <c r="D2255" s="607">
        <v>148.5</v>
      </c>
      <c r="E2255" s="607">
        <v>55.83</v>
      </c>
      <c r="F2255" s="607">
        <v>204.33</v>
      </c>
      <c r="G2255" s="584">
        <v>15</v>
      </c>
    </row>
    <row r="2256" spans="1:7" ht="30" x14ac:dyDescent="0.2">
      <c r="A2256" s="583" t="s">
        <v>16659</v>
      </c>
      <c r="B2256" s="605" t="s">
        <v>20181</v>
      </c>
      <c r="C2256" s="606" t="s">
        <v>20358</v>
      </c>
      <c r="D2256" s="607">
        <v>213.94</v>
      </c>
      <c r="E2256" s="607">
        <v>55.83</v>
      </c>
      <c r="F2256" s="607">
        <v>269.77</v>
      </c>
      <c r="G2256" s="584">
        <v>15</v>
      </c>
    </row>
    <row r="2257" spans="1:7" ht="30" x14ac:dyDescent="0.2">
      <c r="A2257" s="583" t="s">
        <v>16660</v>
      </c>
      <c r="B2257" s="605" t="s">
        <v>20182</v>
      </c>
      <c r="C2257" s="606" t="s">
        <v>20358</v>
      </c>
      <c r="D2257" s="607">
        <v>27.61</v>
      </c>
      <c r="E2257" s="607">
        <v>2.8</v>
      </c>
      <c r="F2257" s="607">
        <v>30.41</v>
      </c>
      <c r="G2257" s="584">
        <v>15</v>
      </c>
    </row>
    <row r="2258" spans="1:7" ht="30" x14ac:dyDescent="0.2">
      <c r="A2258" s="583" t="s">
        <v>16661</v>
      </c>
      <c r="B2258" s="605" t="s">
        <v>20183</v>
      </c>
      <c r="C2258" s="606" t="s">
        <v>20358</v>
      </c>
      <c r="D2258" s="607">
        <v>48.39</v>
      </c>
      <c r="E2258" s="607">
        <v>2.8</v>
      </c>
      <c r="F2258" s="607">
        <v>51.19</v>
      </c>
      <c r="G2258" s="584">
        <v>15</v>
      </c>
    </row>
    <row r="2259" spans="1:7" ht="30" x14ac:dyDescent="0.2">
      <c r="A2259" s="583" t="s">
        <v>16662</v>
      </c>
      <c r="B2259" s="605" t="s">
        <v>20184</v>
      </c>
      <c r="C2259" s="606" t="s">
        <v>20358</v>
      </c>
      <c r="D2259" s="607">
        <v>67.38</v>
      </c>
      <c r="E2259" s="607">
        <v>2.8</v>
      </c>
      <c r="F2259" s="607">
        <v>70.180000000000007</v>
      </c>
      <c r="G2259" s="584">
        <v>15</v>
      </c>
    </row>
    <row r="2260" spans="1:7" ht="30" x14ac:dyDescent="0.2">
      <c r="A2260" s="583" t="s">
        <v>16663</v>
      </c>
      <c r="B2260" s="605" t="s">
        <v>20185</v>
      </c>
      <c r="C2260" s="606" t="s">
        <v>20358</v>
      </c>
      <c r="D2260" s="607">
        <v>84.38</v>
      </c>
      <c r="E2260" s="607">
        <v>2.8</v>
      </c>
      <c r="F2260" s="607">
        <v>87.18</v>
      </c>
      <c r="G2260" s="584">
        <v>15</v>
      </c>
    </row>
    <row r="2261" spans="1:7" ht="30" x14ac:dyDescent="0.2">
      <c r="A2261" s="583" t="s">
        <v>16664</v>
      </c>
      <c r="B2261" s="605" t="s">
        <v>20186</v>
      </c>
      <c r="C2261" s="606" t="s">
        <v>20358</v>
      </c>
      <c r="D2261" s="607">
        <v>114.8</v>
      </c>
      <c r="E2261" s="607">
        <v>2.8</v>
      </c>
      <c r="F2261" s="607">
        <v>117.6</v>
      </c>
      <c r="G2261" s="584">
        <v>15</v>
      </c>
    </row>
    <row r="2262" spans="1:7" ht="30" x14ac:dyDescent="0.2">
      <c r="A2262" s="583" t="s">
        <v>16665</v>
      </c>
      <c r="B2262" s="605" t="s">
        <v>20187</v>
      </c>
      <c r="C2262" s="606" t="s">
        <v>20358</v>
      </c>
      <c r="D2262" s="607">
        <v>121.63</v>
      </c>
      <c r="E2262" s="607">
        <v>2.8</v>
      </c>
      <c r="F2262" s="607">
        <v>124.43</v>
      </c>
      <c r="G2262" s="584">
        <v>15</v>
      </c>
    </row>
    <row r="2263" spans="1:7" ht="30" x14ac:dyDescent="0.2">
      <c r="A2263" s="583" t="s">
        <v>16666</v>
      </c>
      <c r="B2263" s="605" t="s">
        <v>20188</v>
      </c>
      <c r="C2263" s="606" t="s">
        <v>20358</v>
      </c>
      <c r="D2263" s="607">
        <v>163.44</v>
      </c>
      <c r="E2263" s="607">
        <v>2.8</v>
      </c>
      <c r="F2263" s="607">
        <v>166.24</v>
      </c>
      <c r="G2263" s="584">
        <v>15</v>
      </c>
    </row>
    <row r="2264" spans="1:7" ht="15" x14ac:dyDescent="0.25">
      <c r="A2264" s="583" t="s">
        <v>16667</v>
      </c>
      <c r="B2264" s="605" t="s">
        <v>16668</v>
      </c>
      <c r="C2264" s="606"/>
      <c r="D2264" s="607"/>
      <c r="E2264" s="607"/>
      <c r="F2264" s="607"/>
      <c r="G2264" s="582"/>
    </row>
    <row r="2265" spans="1:7" ht="15" x14ac:dyDescent="0.2">
      <c r="A2265" s="583" t="s">
        <v>16669</v>
      </c>
      <c r="B2265" s="605" t="s">
        <v>20189</v>
      </c>
      <c r="C2265" s="606" t="s">
        <v>12375</v>
      </c>
      <c r="D2265" s="607">
        <v>5.8</v>
      </c>
      <c r="E2265" s="607">
        <v>13.96</v>
      </c>
      <c r="F2265" s="607">
        <v>19.760000000000002</v>
      </c>
      <c r="G2265" s="584">
        <v>15</v>
      </c>
    </row>
    <row r="2266" spans="1:7" ht="15" x14ac:dyDescent="0.2">
      <c r="A2266" s="583" t="s">
        <v>16670</v>
      </c>
      <c r="B2266" s="605" t="s">
        <v>20190</v>
      </c>
      <c r="C2266" s="606" t="s">
        <v>12375</v>
      </c>
      <c r="D2266" s="607">
        <v>10.69</v>
      </c>
      <c r="E2266" s="607">
        <v>13.96</v>
      </c>
      <c r="F2266" s="607">
        <v>24.65</v>
      </c>
      <c r="G2266" s="584">
        <v>15</v>
      </c>
    </row>
    <row r="2267" spans="1:7" ht="15" x14ac:dyDescent="0.2">
      <c r="A2267" s="583" t="s">
        <v>16671</v>
      </c>
      <c r="B2267" s="605" t="s">
        <v>20191</v>
      </c>
      <c r="C2267" s="606" t="s">
        <v>12375</v>
      </c>
      <c r="D2267" s="607">
        <v>13.58</v>
      </c>
      <c r="E2267" s="607">
        <v>13.96</v>
      </c>
      <c r="F2267" s="607">
        <v>27.54</v>
      </c>
      <c r="G2267" s="584">
        <v>15</v>
      </c>
    </row>
    <row r="2268" spans="1:7" ht="15" x14ac:dyDescent="0.2">
      <c r="A2268" s="583" t="s">
        <v>16672</v>
      </c>
      <c r="B2268" s="605" t="s">
        <v>20192</v>
      </c>
      <c r="C2268" s="606" t="s">
        <v>12375</v>
      </c>
      <c r="D2268" s="607">
        <v>16.399999999999999</v>
      </c>
      <c r="E2268" s="607">
        <v>13.96</v>
      </c>
      <c r="F2268" s="607">
        <v>30.36</v>
      </c>
      <c r="G2268" s="584">
        <v>15</v>
      </c>
    </row>
    <row r="2269" spans="1:7" ht="15" x14ac:dyDescent="0.2">
      <c r="A2269" s="583" t="s">
        <v>16673</v>
      </c>
      <c r="B2269" s="605" t="s">
        <v>20193</v>
      </c>
      <c r="C2269" s="606" t="s">
        <v>12375</v>
      </c>
      <c r="D2269" s="607">
        <v>18.64</v>
      </c>
      <c r="E2269" s="607">
        <v>13.96</v>
      </c>
      <c r="F2269" s="607">
        <v>32.6</v>
      </c>
      <c r="G2269" s="584">
        <v>15</v>
      </c>
    </row>
    <row r="2270" spans="1:7" ht="15" x14ac:dyDescent="0.2">
      <c r="A2270" s="583" t="s">
        <v>16674</v>
      </c>
      <c r="B2270" s="605" t="s">
        <v>20194</v>
      </c>
      <c r="C2270" s="606" t="s">
        <v>12375</v>
      </c>
      <c r="D2270" s="607">
        <v>22.18</v>
      </c>
      <c r="E2270" s="607">
        <v>13.96</v>
      </c>
      <c r="F2270" s="607">
        <v>36.14</v>
      </c>
      <c r="G2270" s="584">
        <v>15</v>
      </c>
    </row>
    <row r="2271" spans="1:7" ht="15" x14ac:dyDescent="0.2">
      <c r="A2271" s="583" t="s">
        <v>16675</v>
      </c>
      <c r="B2271" s="605" t="s">
        <v>20195</v>
      </c>
      <c r="C2271" s="606" t="s">
        <v>12375</v>
      </c>
      <c r="D2271" s="607">
        <v>13.87</v>
      </c>
      <c r="E2271" s="607">
        <v>13.96</v>
      </c>
      <c r="F2271" s="607">
        <v>27.83</v>
      </c>
      <c r="G2271" s="584">
        <v>15</v>
      </c>
    </row>
    <row r="2272" spans="1:7" ht="15" x14ac:dyDescent="0.2">
      <c r="A2272" s="583" t="s">
        <v>16676</v>
      </c>
      <c r="B2272" s="605" t="s">
        <v>20196</v>
      </c>
      <c r="C2272" s="606" t="s">
        <v>12375</v>
      </c>
      <c r="D2272" s="607">
        <v>15.8</v>
      </c>
      <c r="E2272" s="607">
        <v>13.96</v>
      </c>
      <c r="F2272" s="607">
        <v>29.76</v>
      </c>
      <c r="G2272" s="584">
        <v>15</v>
      </c>
    </row>
    <row r="2273" spans="1:7" ht="15" x14ac:dyDescent="0.2">
      <c r="A2273" s="583" t="s">
        <v>16677</v>
      </c>
      <c r="B2273" s="605" t="s">
        <v>20197</v>
      </c>
      <c r="C2273" s="606" t="s">
        <v>12375</v>
      </c>
      <c r="D2273" s="607">
        <v>21.1</v>
      </c>
      <c r="E2273" s="607">
        <v>13.96</v>
      </c>
      <c r="F2273" s="607">
        <v>35.06</v>
      </c>
      <c r="G2273" s="584">
        <v>15</v>
      </c>
    </row>
    <row r="2274" spans="1:7" ht="15" x14ac:dyDescent="0.2">
      <c r="A2274" s="583" t="s">
        <v>16678</v>
      </c>
      <c r="B2274" s="605" t="s">
        <v>20198</v>
      </c>
      <c r="C2274" s="606" t="s">
        <v>12375</v>
      </c>
      <c r="D2274" s="607">
        <v>21.81</v>
      </c>
      <c r="E2274" s="607">
        <v>13.96</v>
      </c>
      <c r="F2274" s="607">
        <v>35.770000000000003</v>
      </c>
      <c r="G2274" s="584">
        <v>15</v>
      </c>
    </row>
    <row r="2275" spans="1:7" ht="15" x14ac:dyDescent="0.2">
      <c r="A2275" s="583" t="s">
        <v>16679</v>
      </c>
      <c r="B2275" s="605" t="s">
        <v>20199</v>
      </c>
      <c r="C2275" s="606" t="s">
        <v>12375</v>
      </c>
      <c r="D2275" s="607">
        <v>25.89</v>
      </c>
      <c r="E2275" s="607">
        <v>13.96</v>
      </c>
      <c r="F2275" s="607">
        <v>39.85</v>
      </c>
      <c r="G2275" s="584">
        <v>15</v>
      </c>
    </row>
    <row r="2276" spans="1:7" ht="15" x14ac:dyDescent="0.2">
      <c r="A2276" s="583" t="s">
        <v>16680</v>
      </c>
      <c r="B2276" s="605" t="s">
        <v>20200</v>
      </c>
      <c r="C2276" s="606" t="s">
        <v>12375</v>
      </c>
      <c r="D2276" s="607">
        <v>27.92</v>
      </c>
      <c r="E2276" s="607">
        <v>13.96</v>
      </c>
      <c r="F2276" s="607">
        <v>41.88</v>
      </c>
      <c r="G2276" s="584">
        <v>15</v>
      </c>
    </row>
    <row r="2277" spans="1:7" ht="15" x14ac:dyDescent="0.2">
      <c r="A2277" s="583" t="s">
        <v>16681</v>
      </c>
      <c r="B2277" s="605" t="s">
        <v>20201</v>
      </c>
      <c r="C2277" s="606" t="s">
        <v>12375</v>
      </c>
      <c r="D2277" s="607">
        <v>15.34</v>
      </c>
      <c r="E2277" s="607">
        <v>13.96</v>
      </c>
      <c r="F2277" s="607">
        <v>29.3</v>
      </c>
      <c r="G2277" s="584">
        <v>15</v>
      </c>
    </row>
    <row r="2278" spans="1:7" ht="15" x14ac:dyDescent="0.2">
      <c r="A2278" s="583" t="s">
        <v>16682</v>
      </c>
      <c r="B2278" s="605" t="s">
        <v>20202</v>
      </c>
      <c r="C2278" s="606" t="s">
        <v>12375</v>
      </c>
      <c r="D2278" s="607">
        <v>17.45</v>
      </c>
      <c r="E2278" s="607">
        <v>13.96</v>
      </c>
      <c r="F2278" s="607">
        <v>31.41</v>
      </c>
      <c r="G2278" s="584">
        <v>15</v>
      </c>
    </row>
    <row r="2279" spans="1:7" ht="15" x14ac:dyDescent="0.2">
      <c r="A2279" s="583" t="s">
        <v>16683</v>
      </c>
      <c r="B2279" s="605" t="s">
        <v>20203</v>
      </c>
      <c r="C2279" s="606" t="s">
        <v>12375</v>
      </c>
      <c r="D2279" s="607">
        <v>21.87</v>
      </c>
      <c r="E2279" s="607">
        <v>13.96</v>
      </c>
      <c r="F2279" s="607">
        <v>35.83</v>
      </c>
      <c r="G2279" s="584">
        <v>15</v>
      </c>
    </row>
    <row r="2280" spans="1:7" ht="15" x14ac:dyDescent="0.2">
      <c r="A2280" s="583" t="s">
        <v>16684</v>
      </c>
      <c r="B2280" s="605" t="s">
        <v>20204</v>
      </c>
      <c r="C2280" s="606" t="s">
        <v>12375</v>
      </c>
      <c r="D2280" s="607">
        <v>27.25</v>
      </c>
      <c r="E2280" s="607">
        <v>13.96</v>
      </c>
      <c r="F2280" s="607">
        <v>41.21</v>
      </c>
      <c r="G2280" s="584">
        <v>15</v>
      </c>
    </row>
    <row r="2281" spans="1:7" ht="15" x14ac:dyDescent="0.2">
      <c r="A2281" s="583" t="s">
        <v>16685</v>
      </c>
      <c r="B2281" s="605" t="s">
        <v>20205</v>
      </c>
      <c r="C2281" s="606" t="s">
        <v>12375</v>
      </c>
      <c r="D2281" s="607">
        <v>25.85</v>
      </c>
      <c r="E2281" s="607">
        <v>19.54</v>
      </c>
      <c r="F2281" s="607">
        <v>45.39</v>
      </c>
      <c r="G2281" s="584">
        <v>15</v>
      </c>
    </row>
    <row r="2282" spans="1:7" ht="15" x14ac:dyDescent="0.2">
      <c r="A2282" s="583" t="s">
        <v>16686</v>
      </c>
      <c r="B2282" s="605" t="s">
        <v>20206</v>
      </c>
      <c r="C2282" s="606" t="s">
        <v>12375</v>
      </c>
      <c r="D2282" s="607">
        <v>33.200000000000003</v>
      </c>
      <c r="E2282" s="607">
        <v>19.54</v>
      </c>
      <c r="F2282" s="607">
        <v>52.74</v>
      </c>
      <c r="G2282" s="584">
        <v>15</v>
      </c>
    </row>
    <row r="2283" spans="1:7" ht="15" x14ac:dyDescent="0.2">
      <c r="A2283" s="583" t="s">
        <v>16687</v>
      </c>
      <c r="B2283" s="605" t="s">
        <v>20207</v>
      </c>
      <c r="C2283" s="606" t="s">
        <v>12375</v>
      </c>
      <c r="D2283" s="607">
        <v>47.49</v>
      </c>
      <c r="E2283" s="607">
        <v>19.54</v>
      </c>
      <c r="F2283" s="607">
        <v>67.03</v>
      </c>
      <c r="G2283" s="584">
        <v>15</v>
      </c>
    </row>
    <row r="2284" spans="1:7" ht="15" x14ac:dyDescent="0.25">
      <c r="A2284" s="583" t="s">
        <v>16688</v>
      </c>
      <c r="B2284" s="605" t="s">
        <v>16689</v>
      </c>
      <c r="C2284" s="606"/>
      <c r="D2284" s="607"/>
      <c r="E2284" s="607"/>
      <c r="F2284" s="607"/>
      <c r="G2284" s="582"/>
    </row>
    <row r="2285" spans="1:7" ht="15" x14ac:dyDescent="0.25">
      <c r="A2285" s="583" t="s">
        <v>16690</v>
      </c>
      <c r="B2285" s="605" t="s">
        <v>16691</v>
      </c>
      <c r="C2285" s="606"/>
      <c r="D2285" s="607"/>
      <c r="E2285" s="607"/>
      <c r="F2285" s="607"/>
      <c r="G2285" s="582"/>
    </row>
    <row r="2286" spans="1:7" ht="30" x14ac:dyDescent="0.2">
      <c r="A2286" s="583" t="s">
        <v>16692</v>
      </c>
      <c r="B2286" s="605" t="s">
        <v>16693</v>
      </c>
      <c r="C2286" s="606" t="s">
        <v>20358</v>
      </c>
      <c r="D2286" s="607">
        <v>1.59</v>
      </c>
      <c r="E2286" s="607">
        <v>2.23</v>
      </c>
      <c r="F2286" s="607">
        <v>3.82</v>
      </c>
      <c r="G2286" s="584">
        <v>15</v>
      </c>
    </row>
    <row r="2287" spans="1:7" ht="30" x14ac:dyDescent="0.2">
      <c r="A2287" s="583" t="s">
        <v>16694</v>
      </c>
      <c r="B2287" s="605" t="s">
        <v>16695</v>
      </c>
      <c r="C2287" s="606" t="s">
        <v>20358</v>
      </c>
      <c r="D2287" s="607">
        <v>2.42</v>
      </c>
      <c r="E2287" s="607">
        <v>2.23</v>
      </c>
      <c r="F2287" s="607">
        <v>4.6500000000000004</v>
      </c>
      <c r="G2287" s="584">
        <v>15</v>
      </c>
    </row>
    <row r="2288" spans="1:7" ht="30" x14ac:dyDescent="0.2">
      <c r="A2288" s="583" t="s">
        <v>16696</v>
      </c>
      <c r="B2288" s="605" t="s">
        <v>16697</v>
      </c>
      <c r="C2288" s="606" t="s">
        <v>20358</v>
      </c>
      <c r="D2288" s="607">
        <v>3.9</v>
      </c>
      <c r="E2288" s="607">
        <v>3.35</v>
      </c>
      <c r="F2288" s="607">
        <v>7.25</v>
      </c>
      <c r="G2288" s="584">
        <v>15</v>
      </c>
    </row>
    <row r="2289" spans="1:7" ht="30" x14ac:dyDescent="0.2">
      <c r="A2289" s="583" t="s">
        <v>16698</v>
      </c>
      <c r="B2289" s="605" t="s">
        <v>16699</v>
      </c>
      <c r="C2289" s="606" t="s">
        <v>20358</v>
      </c>
      <c r="D2289" s="607">
        <v>5.81</v>
      </c>
      <c r="E2289" s="607">
        <v>3.91</v>
      </c>
      <c r="F2289" s="607">
        <v>9.7200000000000006</v>
      </c>
      <c r="G2289" s="584">
        <v>15</v>
      </c>
    </row>
    <row r="2290" spans="1:7" ht="30" x14ac:dyDescent="0.2">
      <c r="A2290" s="583" t="s">
        <v>16700</v>
      </c>
      <c r="B2290" s="605" t="s">
        <v>16701</v>
      </c>
      <c r="C2290" s="606" t="s">
        <v>20358</v>
      </c>
      <c r="D2290" s="607">
        <v>9.73</v>
      </c>
      <c r="E2290" s="607">
        <v>4.47</v>
      </c>
      <c r="F2290" s="607">
        <v>14.2</v>
      </c>
      <c r="G2290" s="584">
        <v>15</v>
      </c>
    </row>
    <row r="2291" spans="1:7" ht="15" x14ac:dyDescent="0.25">
      <c r="A2291" s="583" t="s">
        <v>16702</v>
      </c>
      <c r="B2291" s="605" t="s">
        <v>16703</v>
      </c>
      <c r="C2291" s="606"/>
      <c r="D2291" s="607"/>
      <c r="E2291" s="607"/>
      <c r="F2291" s="607"/>
      <c r="G2291" s="582"/>
    </row>
    <row r="2292" spans="1:7" ht="30" x14ac:dyDescent="0.2">
      <c r="A2292" s="583" t="s">
        <v>16704</v>
      </c>
      <c r="B2292" s="605" t="s">
        <v>16705</v>
      </c>
      <c r="C2292" s="606" t="s">
        <v>20358</v>
      </c>
      <c r="D2292" s="607">
        <v>1.1599999999999999</v>
      </c>
      <c r="E2292" s="607">
        <v>2.23</v>
      </c>
      <c r="F2292" s="607">
        <v>3.39</v>
      </c>
      <c r="G2292" s="584">
        <v>15</v>
      </c>
    </row>
    <row r="2293" spans="1:7" ht="30" x14ac:dyDescent="0.2">
      <c r="A2293" s="583" t="s">
        <v>16706</v>
      </c>
      <c r="B2293" s="605" t="s">
        <v>16707</v>
      </c>
      <c r="C2293" s="606" t="s">
        <v>20358</v>
      </c>
      <c r="D2293" s="607">
        <v>1.84</v>
      </c>
      <c r="E2293" s="607">
        <v>2.8</v>
      </c>
      <c r="F2293" s="607">
        <v>4.6399999999999997</v>
      </c>
      <c r="G2293" s="584">
        <v>15</v>
      </c>
    </row>
    <row r="2294" spans="1:7" ht="30" x14ac:dyDescent="0.2">
      <c r="A2294" s="583" t="s">
        <v>16708</v>
      </c>
      <c r="B2294" s="605" t="s">
        <v>20296</v>
      </c>
      <c r="C2294" s="606" t="s">
        <v>20358</v>
      </c>
      <c r="D2294" s="607">
        <v>2.81</v>
      </c>
      <c r="E2294" s="607">
        <v>3.35</v>
      </c>
      <c r="F2294" s="607">
        <v>6.16</v>
      </c>
      <c r="G2294" s="584">
        <v>15</v>
      </c>
    </row>
    <row r="2295" spans="1:7" ht="30" x14ac:dyDescent="0.2">
      <c r="A2295" s="583" t="s">
        <v>16709</v>
      </c>
      <c r="B2295" s="605" t="s">
        <v>16710</v>
      </c>
      <c r="C2295" s="606" t="s">
        <v>20358</v>
      </c>
      <c r="D2295" s="607">
        <v>4.05</v>
      </c>
      <c r="E2295" s="607">
        <v>3.91</v>
      </c>
      <c r="F2295" s="607">
        <v>7.96</v>
      </c>
      <c r="G2295" s="584">
        <v>15</v>
      </c>
    </row>
    <row r="2296" spans="1:7" ht="30" x14ac:dyDescent="0.2">
      <c r="A2296" s="583" t="s">
        <v>16711</v>
      </c>
      <c r="B2296" s="605" t="s">
        <v>16712</v>
      </c>
      <c r="C2296" s="606" t="s">
        <v>20358</v>
      </c>
      <c r="D2296" s="607">
        <v>7.4</v>
      </c>
      <c r="E2296" s="607">
        <v>4.47</v>
      </c>
      <c r="F2296" s="607">
        <v>11.87</v>
      </c>
      <c r="G2296" s="584">
        <v>15</v>
      </c>
    </row>
    <row r="2297" spans="1:7" ht="15" x14ac:dyDescent="0.25">
      <c r="A2297" s="583" t="s">
        <v>16713</v>
      </c>
      <c r="B2297" s="605" t="s">
        <v>16714</v>
      </c>
      <c r="C2297" s="606"/>
      <c r="D2297" s="607"/>
      <c r="E2297" s="607"/>
      <c r="F2297" s="607"/>
      <c r="G2297" s="582"/>
    </row>
    <row r="2298" spans="1:7" ht="15" x14ac:dyDescent="0.2">
      <c r="A2298" s="583" t="s">
        <v>16715</v>
      </c>
      <c r="B2298" s="605" t="s">
        <v>16716</v>
      </c>
      <c r="C2298" s="606" t="s">
        <v>20358</v>
      </c>
      <c r="D2298" s="607">
        <v>10.92</v>
      </c>
      <c r="E2298" s="607">
        <v>2.8</v>
      </c>
      <c r="F2298" s="607">
        <v>13.72</v>
      </c>
      <c r="G2298" s="584">
        <v>15</v>
      </c>
    </row>
    <row r="2299" spans="1:7" ht="15" x14ac:dyDescent="0.2">
      <c r="A2299" s="583" t="s">
        <v>16717</v>
      </c>
      <c r="B2299" s="605" t="s">
        <v>16718</v>
      </c>
      <c r="C2299" s="606" t="s">
        <v>20358</v>
      </c>
      <c r="D2299" s="607">
        <v>15.42</v>
      </c>
      <c r="E2299" s="607">
        <v>2.8</v>
      </c>
      <c r="F2299" s="607">
        <v>18.22</v>
      </c>
      <c r="G2299" s="584">
        <v>15</v>
      </c>
    </row>
    <row r="2300" spans="1:7" ht="15" x14ac:dyDescent="0.2">
      <c r="A2300" s="583" t="s">
        <v>16719</v>
      </c>
      <c r="B2300" s="605" t="s">
        <v>16720</v>
      </c>
      <c r="C2300" s="606" t="s">
        <v>20358</v>
      </c>
      <c r="D2300" s="607">
        <v>23.63</v>
      </c>
      <c r="E2300" s="607">
        <v>5.58</v>
      </c>
      <c r="F2300" s="607">
        <v>29.21</v>
      </c>
      <c r="G2300" s="584">
        <v>15</v>
      </c>
    </row>
    <row r="2301" spans="1:7" ht="15" x14ac:dyDescent="0.2">
      <c r="A2301" s="583" t="s">
        <v>16721</v>
      </c>
      <c r="B2301" s="605" t="s">
        <v>16722</v>
      </c>
      <c r="C2301" s="606" t="s">
        <v>20358</v>
      </c>
      <c r="D2301" s="607">
        <v>33.96</v>
      </c>
      <c r="E2301" s="607">
        <v>8.3800000000000008</v>
      </c>
      <c r="F2301" s="607">
        <v>42.34</v>
      </c>
      <c r="G2301" s="584">
        <v>15</v>
      </c>
    </row>
    <row r="2302" spans="1:7" ht="15" x14ac:dyDescent="0.2">
      <c r="A2302" s="583" t="s">
        <v>16723</v>
      </c>
      <c r="B2302" s="605" t="s">
        <v>16724</v>
      </c>
      <c r="C2302" s="606" t="s">
        <v>20358</v>
      </c>
      <c r="D2302" s="607">
        <v>47.29</v>
      </c>
      <c r="E2302" s="607">
        <v>11.16</v>
      </c>
      <c r="F2302" s="607">
        <v>58.45</v>
      </c>
      <c r="G2302" s="584">
        <v>15</v>
      </c>
    </row>
    <row r="2303" spans="1:7" ht="15" x14ac:dyDescent="0.2">
      <c r="A2303" s="583" t="s">
        <v>16725</v>
      </c>
      <c r="B2303" s="605" t="s">
        <v>16726</v>
      </c>
      <c r="C2303" s="606" t="s">
        <v>20358</v>
      </c>
      <c r="D2303" s="607">
        <v>65.98</v>
      </c>
      <c r="E2303" s="607">
        <v>13.96</v>
      </c>
      <c r="F2303" s="607">
        <v>79.94</v>
      </c>
      <c r="G2303" s="584">
        <v>15</v>
      </c>
    </row>
    <row r="2304" spans="1:7" ht="15" x14ac:dyDescent="0.2">
      <c r="A2304" s="583" t="s">
        <v>16727</v>
      </c>
      <c r="B2304" s="605" t="s">
        <v>16728</v>
      </c>
      <c r="C2304" s="606" t="s">
        <v>20358</v>
      </c>
      <c r="D2304" s="607">
        <v>90.63</v>
      </c>
      <c r="E2304" s="607">
        <v>16.75</v>
      </c>
      <c r="F2304" s="607">
        <v>107.38</v>
      </c>
      <c r="G2304" s="584">
        <v>15</v>
      </c>
    </row>
    <row r="2305" spans="1:7" ht="15" x14ac:dyDescent="0.2">
      <c r="A2305" s="583" t="s">
        <v>16729</v>
      </c>
      <c r="B2305" s="605" t="s">
        <v>16730</v>
      </c>
      <c r="C2305" s="606" t="s">
        <v>20358</v>
      </c>
      <c r="D2305" s="607">
        <v>199.72</v>
      </c>
      <c r="E2305" s="607">
        <v>25.12</v>
      </c>
      <c r="F2305" s="607">
        <v>224.84</v>
      </c>
      <c r="G2305" s="584">
        <v>15</v>
      </c>
    </row>
    <row r="2306" spans="1:7" ht="15" x14ac:dyDescent="0.25">
      <c r="A2306" s="583" t="s">
        <v>16731</v>
      </c>
      <c r="B2306" s="605" t="s">
        <v>16732</v>
      </c>
      <c r="C2306" s="606"/>
      <c r="D2306" s="607"/>
      <c r="E2306" s="607"/>
      <c r="F2306" s="607"/>
      <c r="G2306" s="582"/>
    </row>
    <row r="2307" spans="1:7" ht="30" x14ac:dyDescent="0.2">
      <c r="A2307" s="583" t="s">
        <v>16733</v>
      </c>
      <c r="B2307" s="605" t="s">
        <v>16734</v>
      </c>
      <c r="C2307" s="606" t="s">
        <v>20358</v>
      </c>
      <c r="D2307" s="607">
        <v>197.14</v>
      </c>
      <c r="E2307" s="607">
        <v>50.63</v>
      </c>
      <c r="F2307" s="607">
        <v>247.77</v>
      </c>
      <c r="G2307" s="584">
        <v>15</v>
      </c>
    </row>
    <row r="2308" spans="1:7" ht="30" x14ac:dyDescent="0.25">
      <c r="A2308" s="583" t="s">
        <v>16735</v>
      </c>
      <c r="B2308" s="605" t="s">
        <v>16736</v>
      </c>
      <c r="C2308" s="606"/>
      <c r="D2308" s="607"/>
      <c r="E2308" s="607"/>
      <c r="F2308" s="607"/>
      <c r="G2308" s="582"/>
    </row>
    <row r="2309" spans="1:7" ht="30" x14ac:dyDescent="0.2">
      <c r="A2309" s="583" t="s">
        <v>16737</v>
      </c>
      <c r="B2309" s="605" t="s">
        <v>16738</v>
      </c>
      <c r="C2309" s="606" t="s">
        <v>20358</v>
      </c>
      <c r="D2309" s="607">
        <v>57.44</v>
      </c>
      <c r="E2309" s="607">
        <v>30.38</v>
      </c>
      <c r="F2309" s="607">
        <v>87.82</v>
      </c>
      <c r="G2309" s="584">
        <v>15</v>
      </c>
    </row>
    <row r="2310" spans="1:7" ht="30" x14ac:dyDescent="0.2">
      <c r="A2310" s="583" t="s">
        <v>16739</v>
      </c>
      <c r="B2310" s="605" t="s">
        <v>16740</v>
      </c>
      <c r="C2310" s="606" t="s">
        <v>20358</v>
      </c>
      <c r="D2310" s="607">
        <v>72.599999999999994</v>
      </c>
      <c r="E2310" s="607">
        <v>36.57</v>
      </c>
      <c r="F2310" s="607">
        <v>109.17</v>
      </c>
      <c r="G2310" s="584">
        <v>15</v>
      </c>
    </row>
    <row r="2311" spans="1:7" ht="30" x14ac:dyDescent="0.2">
      <c r="A2311" s="583" t="s">
        <v>16741</v>
      </c>
      <c r="B2311" s="605" t="s">
        <v>16742</v>
      </c>
      <c r="C2311" s="606" t="s">
        <v>20358</v>
      </c>
      <c r="D2311" s="607">
        <v>84.47</v>
      </c>
      <c r="E2311" s="607">
        <v>50.63</v>
      </c>
      <c r="F2311" s="607">
        <v>135.1</v>
      </c>
      <c r="G2311" s="584">
        <v>15</v>
      </c>
    </row>
    <row r="2312" spans="1:7" ht="30" x14ac:dyDescent="0.2">
      <c r="A2312" s="583" t="s">
        <v>16743</v>
      </c>
      <c r="B2312" s="605" t="s">
        <v>16744</v>
      </c>
      <c r="C2312" s="606" t="s">
        <v>20358</v>
      </c>
      <c r="D2312" s="607">
        <v>162.15</v>
      </c>
      <c r="E2312" s="607">
        <v>60.75</v>
      </c>
      <c r="F2312" s="607">
        <v>222.9</v>
      </c>
      <c r="G2312" s="584">
        <v>15</v>
      </c>
    </row>
    <row r="2313" spans="1:7" ht="15" x14ac:dyDescent="0.25">
      <c r="A2313" s="583" t="s">
        <v>16745</v>
      </c>
      <c r="B2313" s="605" t="s">
        <v>16746</v>
      </c>
      <c r="C2313" s="606"/>
      <c r="D2313" s="607"/>
      <c r="E2313" s="607"/>
      <c r="F2313" s="607"/>
      <c r="G2313" s="582"/>
    </row>
    <row r="2314" spans="1:7" ht="15" x14ac:dyDescent="0.2">
      <c r="A2314" s="583" t="s">
        <v>16747</v>
      </c>
      <c r="B2314" s="605" t="s">
        <v>16748</v>
      </c>
      <c r="C2314" s="606" t="s">
        <v>20385</v>
      </c>
      <c r="D2314" s="607">
        <v>12.23</v>
      </c>
      <c r="E2314" s="607">
        <v>5.58</v>
      </c>
      <c r="F2314" s="607">
        <v>17.809999999999999</v>
      </c>
      <c r="G2314" s="584">
        <v>15</v>
      </c>
    </row>
    <row r="2315" spans="1:7" ht="15" x14ac:dyDescent="0.2">
      <c r="A2315" s="583" t="s">
        <v>16749</v>
      </c>
      <c r="B2315" s="605" t="s">
        <v>16750</v>
      </c>
      <c r="C2315" s="606" t="s">
        <v>20385</v>
      </c>
      <c r="D2315" s="607">
        <v>6.56</v>
      </c>
      <c r="E2315" s="607">
        <v>5.58</v>
      </c>
      <c r="F2315" s="607">
        <v>12.14</v>
      </c>
      <c r="G2315" s="584">
        <v>15</v>
      </c>
    </row>
    <row r="2316" spans="1:7" ht="15" x14ac:dyDescent="0.2">
      <c r="A2316" s="583" t="s">
        <v>16751</v>
      </c>
      <c r="B2316" s="605" t="s">
        <v>16752</v>
      </c>
      <c r="C2316" s="606" t="s">
        <v>20385</v>
      </c>
      <c r="D2316" s="607">
        <v>9.26</v>
      </c>
      <c r="E2316" s="607">
        <v>5.58</v>
      </c>
      <c r="F2316" s="607">
        <v>14.84</v>
      </c>
      <c r="G2316" s="584">
        <v>15</v>
      </c>
    </row>
    <row r="2317" spans="1:7" ht="15" x14ac:dyDescent="0.2">
      <c r="A2317" s="583" t="s">
        <v>16753</v>
      </c>
      <c r="B2317" s="605" t="s">
        <v>16754</v>
      </c>
      <c r="C2317" s="606" t="s">
        <v>20385</v>
      </c>
      <c r="D2317" s="607">
        <v>11.52</v>
      </c>
      <c r="E2317" s="607">
        <v>5.58</v>
      </c>
      <c r="F2317" s="607">
        <v>17.100000000000001</v>
      </c>
      <c r="G2317" s="584">
        <v>15</v>
      </c>
    </row>
    <row r="2318" spans="1:7" ht="15" x14ac:dyDescent="0.2">
      <c r="A2318" s="583" t="s">
        <v>16755</v>
      </c>
      <c r="B2318" s="605" t="s">
        <v>16756</v>
      </c>
      <c r="C2318" s="606" t="s">
        <v>20385</v>
      </c>
      <c r="D2318" s="607">
        <v>13.18</v>
      </c>
      <c r="E2318" s="607">
        <v>5.58</v>
      </c>
      <c r="F2318" s="607">
        <v>18.760000000000002</v>
      </c>
      <c r="G2318" s="584">
        <v>15</v>
      </c>
    </row>
    <row r="2319" spans="1:7" ht="15" x14ac:dyDescent="0.2">
      <c r="A2319" s="583" t="s">
        <v>16757</v>
      </c>
      <c r="B2319" s="605" t="s">
        <v>16758</v>
      </c>
      <c r="C2319" s="606" t="s">
        <v>20385</v>
      </c>
      <c r="D2319" s="607">
        <v>13.48</v>
      </c>
      <c r="E2319" s="607">
        <v>5.58</v>
      </c>
      <c r="F2319" s="607">
        <v>19.059999999999999</v>
      </c>
      <c r="G2319" s="584">
        <v>15</v>
      </c>
    </row>
    <row r="2320" spans="1:7" ht="15" x14ac:dyDescent="0.2">
      <c r="A2320" s="583" t="s">
        <v>16759</v>
      </c>
      <c r="B2320" s="605" t="s">
        <v>16760</v>
      </c>
      <c r="C2320" s="606" t="s">
        <v>20385</v>
      </c>
      <c r="D2320" s="607">
        <v>16</v>
      </c>
      <c r="E2320" s="607">
        <v>5.58</v>
      </c>
      <c r="F2320" s="607">
        <v>21.58</v>
      </c>
      <c r="G2320" s="584">
        <v>15</v>
      </c>
    </row>
    <row r="2321" spans="1:7" ht="15" x14ac:dyDescent="0.2">
      <c r="A2321" s="583" t="s">
        <v>16761</v>
      </c>
      <c r="B2321" s="605" t="s">
        <v>16762</v>
      </c>
      <c r="C2321" s="606" t="s">
        <v>20385</v>
      </c>
      <c r="D2321" s="607">
        <v>18.22</v>
      </c>
      <c r="E2321" s="607">
        <v>5.58</v>
      </c>
      <c r="F2321" s="607">
        <v>23.8</v>
      </c>
      <c r="G2321" s="584">
        <v>15</v>
      </c>
    </row>
    <row r="2322" spans="1:7" ht="15" x14ac:dyDescent="0.25">
      <c r="A2322" s="583" t="s">
        <v>16763</v>
      </c>
      <c r="B2322" s="605" t="s">
        <v>16764</v>
      </c>
      <c r="C2322" s="606"/>
      <c r="D2322" s="607"/>
      <c r="E2322" s="607"/>
      <c r="F2322" s="607"/>
      <c r="G2322" s="582"/>
    </row>
    <row r="2323" spans="1:7" ht="15" x14ac:dyDescent="0.2">
      <c r="A2323" s="583" t="s">
        <v>16765</v>
      </c>
      <c r="B2323" s="605" t="s">
        <v>16766</v>
      </c>
      <c r="C2323" s="606" t="s">
        <v>20385</v>
      </c>
      <c r="D2323" s="607">
        <v>0.98</v>
      </c>
      <c r="E2323" s="607">
        <v>4.47</v>
      </c>
      <c r="F2323" s="607">
        <v>5.45</v>
      </c>
      <c r="G2323" s="584">
        <v>15</v>
      </c>
    </row>
    <row r="2324" spans="1:7" ht="15" x14ac:dyDescent="0.2">
      <c r="A2324" s="583" t="s">
        <v>16767</v>
      </c>
      <c r="B2324" s="605" t="s">
        <v>16768</v>
      </c>
      <c r="C2324" s="606" t="s">
        <v>20385</v>
      </c>
      <c r="D2324" s="607">
        <v>7.76</v>
      </c>
      <c r="E2324" s="607">
        <v>8.3800000000000008</v>
      </c>
      <c r="F2324" s="607">
        <v>16.14</v>
      </c>
      <c r="G2324" s="584">
        <v>15</v>
      </c>
    </row>
    <row r="2325" spans="1:7" ht="15" x14ac:dyDescent="0.2">
      <c r="A2325" s="583" t="s">
        <v>16769</v>
      </c>
      <c r="B2325" s="605" t="s">
        <v>16770</v>
      </c>
      <c r="C2325" s="606" t="s">
        <v>20385</v>
      </c>
      <c r="D2325" s="607">
        <v>8.49</v>
      </c>
      <c r="E2325" s="607">
        <v>8.3800000000000008</v>
      </c>
      <c r="F2325" s="607">
        <v>16.87</v>
      </c>
      <c r="G2325" s="584">
        <v>15</v>
      </c>
    </row>
    <row r="2326" spans="1:7" ht="15" x14ac:dyDescent="0.2">
      <c r="A2326" s="583" t="s">
        <v>16771</v>
      </c>
      <c r="B2326" s="605" t="s">
        <v>16772</v>
      </c>
      <c r="C2326" s="606" t="s">
        <v>20385</v>
      </c>
      <c r="D2326" s="607">
        <v>9.35</v>
      </c>
      <c r="E2326" s="607">
        <v>8.3800000000000008</v>
      </c>
      <c r="F2326" s="607">
        <v>17.73</v>
      </c>
      <c r="G2326" s="584">
        <v>15</v>
      </c>
    </row>
    <row r="2327" spans="1:7" ht="15" x14ac:dyDescent="0.2">
      <c r="A2327" s="583" t="s">
        <v>16773</v>
      </c>
      <c r="B2327" s="605" t="s">
        <v>16774</v>
      </c>
      <c r="C2327" s="606" t="s">
        <v>20385</v>
      </c>
      <c r="D2327" s="607">
        <v>9.59</v>
      </c>
      <c r="E2327" s="607">
        <v>8.3800000000000008</v>
      </c>
      <c r="F2327" s="607">
        <v>17.97</v>
      </c>
      <c r="G2327" s="584">
        <v>15</v>
      </c>
    </row>
    <row r="2328" spans="1:7" ht="15" x14ac:dyDescent="0.2">
      <c r="A2328" s="583" t="s">
        <v>16775</v>
      </c>
      <c r="B2328" s="605" t="s">
        <v>16776</v>
      </c>
      <c r="C2328" s="606" t="s">
        <v>20385</v>
      </c>
      <c r="D2328" s="607">
        <v>16.7</v>
      </c>
      <c r="E2328" s="607">
        <v>8.3800000000000008</v>
      </c>
      <c r="F2328" s="607">
        <v>25.08</v>
      </c>
      <c r="G2328" s="584">
        <v>15</v>
      </c>
    </row>
    <row r="2329" spans="1:7" ht="15" x14ac:dyDescent="0.2">
      <c r="A2329" s="583" t="s">
        <v>16777</v>
      </c>
      <c r="B2329" s="605" t="s">
        <v>16778</v>
      </c>
      <c r="C2329" s="606" t="s">
        <v>20385</v>
      </c>
      <c r="D2329" s="607">
        <v>15.96</v>
      </c>
      <c r="E2329" s="607">
        <v>8.3800000000000008</v>
      </c>
      <c r="F2329" s="607">
        <v>24.34</v>
      </c>
      <c r="G2329" s="584">
        <v>15</v>
      </c>
    </row>
    <row r="2330" spans="1:7" ht="15" x14ac:dyDescent="0.2">
      <c r="A2330" s="583" t="s">
        <v>16779</v>
      </c>
      <c r="B2330" s="605" t="s">
        <v>16780</v>
      </c>
      <c r="C2330" s="606" t="s">
        <v>20385</v>
      </c>
      <c r="D2330" s="607">
        <v>23.38</v>
      </c>
      <c r="E2330" s="607">
        <v>8.3800000000000008</v>
      </c>
      <c r="F2330" s="607">
        <v>31.76</v>
      </c>
      <c r="G2330" s="584">
        <v>15</v>
      </c>
    </row>
    <row r="2331" spans="1:7" ht="15" x14ac:dyDescent="0.2">
      <c r="A2331" s="583" t="s">
        <v>16781</v>
      </c>
      <c r="B2331" s="605" t="s">
        <v>16782</v>
      </c>
      <c r="C2331" s="606" t="s">
        <v>20385</v>
      </c>
      <c r="D2331" s="607">
        <v>33.64</v>
      </c>
      <c r="E2331" s="607">
        <v>11.16</v>
      </c>
      <c r="F2331" s="607">
        <v>44.8</v>
      </c>
      <c r="G2331" s="584">
        <v>15</v>
      </c>
    </row>
    <row r="2332" spans="1:7" ht="15" x14ac:dyDescent="0.2">
      <c r="A2332" s="583" t="s">
        <v>16783</v>
      </c>
      <c r="B2332" s="605" t="s">
        <v>16784</v>
      </c>
      <c r="C2332" s="606" t="s">
        <v>20385</v>
      </c>
      <c r="D2332" s="607">
        <v>33.799999999999997</v>
      </c>
      <c r="E2332" s="607">
        <v>11.16</v>
      </c>
      <c r="F2332" s="607">
        <v>44.96</v>
      </c>
      <c r="G2332" s="584">
        <v>15</v>
      </c>
    </row>
    <row r="2333" spans="1:7" ht="15" x14ac:dyDescent="0.2">
      <c r="A2333" s="583" t="s">
        <v>16785</v>
      </c>
      <c r="B2333" s="605" t="s">
        <v>16786</v>
      </c>
      <c r="C2333" s="606" t="s">
        <v>20385</v>
      </c>
      <c r="D2333" s="607">
        <v>41.13</v>
      </c>
      <c r="E2333" s="607">
        <v>11.16</v>
      </c>
      <c r="F2333" s="607">
        <v>52.29</v>
      </c>
      <c r="G2333" s="584">
        <v>15</v>
      </c>
    </row>
    <row r="2334" spans="1:7" ht="15" x14ac:dyDescent="0.2">
      <c r="A2334" s="583" t="s">
        <v>16787</v>
      </c>
      <c r="B2334" s="605" t="s">
        <v>16788</v>
      </c>
      <c r="C2334" s="606" t="s">
        <v>20385</v>
      </c>
      <c r="D2334" s="607">
        <v>47.77</v>
      </c>
      <c r="E2334" s="607">
        <v>11.16</v>
      </c>
      <c r="F2334" s="607">
        <v>58.93</v>
      </c>
      <c r="G2334" s="584">
        <v>15</v>
      </c>
    </row>
    <row r="2335" spans="1:7" ht="15" x14ac:dyDescent="0.25">
      <c r="A2335" s="583" t="s">
        <v>16789</v>
      </c>
      <c r="B2335" s="605" t="s">
        <v>16790</v>
      </c>
      <c r="C2335" s="606"/>
      <c r="D2335" s="607"/>
      <c r="E2335" s="607"/>
      <c r="F2335" s="607"/>
      <c r="G2335" s="582"/>
    </row>
    <row r="2336" spans="1:7" ht="30" x14ac:dyDescent="0.2">
      <c r="A2336" s="583" t="s">
        <v>16791</v>
      </c>
      <c r="B2336" s="605" t="s">
        <v>16792</v>
      </c>
      <c r="C2336" s="606" t="s">
        <v>20358</v>
      </c>
      <c r="D2336" s="607">
        <v>6.57</v>
      </c>
      <c r="E2336" s="607">
        <v>8.3800000000000008</v>
      </c>
      <c r="F2336" s="607">
        <v>14.95</v>
      </c>
      <c r="G2336" s="584">
        <v>15</v>
      </c>
    </row>
    <row r="2337" spans="1:7" ht="30" x14ac:dyDescent="0.2">
      <c r="A2337" s="583" t="s">
        <v>16793</v>
      </c>
      <c r="B2337" s="605" t="s">
        <v>16794</v>
      </c>
      <c r="C2337" s="606" t="s">
        <v>20358</v>
      </c>
      <c r="D2337" s="607">
        <v>12.83</v>
      </c>
      <c r="E2337" s="607">
        <v>8.3800000000000008</v>
      </c>
      <c r="F2337" s="607">
        <v>21.21</v>
      </c>
      <c r="G2337" s="584">
        <v>15</v>
      </c>
    </row>
    <row r="2338" spans="1:7" ht="30" x14ac:dyDescent="0.2">
      <c r="A2338" s="583" t="s">
        <v>16795</v>
      </c>
      <c r="B2338" s="605" t="s">
        <v>16796</v>
      </c>
      <c r="C2338" s="606" t="s">
        <v>20358</v>
      </c>
      <c r="D2338" s="607">
        <v>33.68</v>
      </c>
      <c r="E2338" s="607">
        <v>8.3800000000000008</v>
      </c>
      <c r="F2338" s="607">
        <v>42.06</v>
      </c>
      <c r="G2338" s="584">
        <v>15</v>
      </c>
    </row>
    <row r="2339" spans="1:7" ht="30" x14ac:dyDescent="0.2">
      <c r="A2339" s="583" t="s">
        <v>20594</v>
      </c>
      <c r="B2339" s="605" t="s">
        <v>20595</v>
      </c>
      <c r="C2339" s="606" t="s">
        <v>20358</v>
      </c>
      <c r="D2339" s="607">
        <v>0.83</v>
      </c>
      <c r="E2339" s="607">
        <v>4.47</v>
      </c>
      <c r="F2339" s="607">
        <v>5.3</v>
      </c>
      <c r="G2339" s="584">
        <v>15</v>
      </c>
    </row>
    <row r="2340" spans="1:7" ht="15" x14ac:dyDescent="0.2">
      <c r="A2340" s="583" t="s">
        <v>16797</v>
      </c>
      <c r="B2340" s="605" t="s">
        <v>16798</v>
      </c>
      <c r="C2340" s="606" t="s">
        <v>20358</v>
      </c>
      <c r="D2340" s="607">
        <v>1.91</v>
      </c>
      <c r="E2340" s="607">
        <v>16.75</v>
      </c>
      <c r="F2340" s="607">
        <v>18.66</v>
      </c>
      <c r="G2340" s="584">
        <v>15</v>
      </c>
    </row>
    <row r="2341" spans="1:7" ht="30" x14ac:dyDescent="0.2">
      <c r="A2341" s="583" t="s">
        <v>16799</v>
      </c>
      <c r="B2341" s="605" t="s">
        <v>16800</v>
      </c>
      <c r="C2341" s="606" t="s">
        <v>12483</v>
      </c>
      <c r="D2341" s="607">
        <v>7.26</v>
      </c>
      <c r="E2341" s="607">
        <v>6.7</v>
      </c>
      <c r="F2341" s="607">
        <v>13.96</v>
      </c>
      <c r="G2341" s="584">
        <v>15</v>
      </c>
    </row>
    <row r="2342" spans="1:7" ht="30" x14ac:dyDescent="0.2">
      <c r="A2342" s="583" t="s">
        <v>16801</v>
      </c>
      <c r="B2342" s="605" t="s">
        <v>16802</v>
      </c>
      <c r="C2342" s="606" t="s">
        <v>12483</v>
      </c>
      <c r="D2342" s="607">
        <v>4.63</v>
      </c>
      <c r="E2342" s="607">
        <v>5.58</v>
      </c>
      <c r="F2342" s="607">
        <v>10.210000000000001</v>
      </c>
      <c r="G2342" s="584">
        <v>15</v>
      </c>
    </row>
    <row r="2343" spans="1:7" ht="30" x14ac:dyDescent="0.2">
      <c r="A2343" s="583" t="s">
        <v>16803</v>
      </c>
      <c r="B2343" s="605" t="s">
        <v>16804</v>
      </c>
      <c r="C2343" s="606" t="s">
        <v>12483</v>
      </c>
      <c r="D2343" s="607">
        <v>15.25</v>
      </c>
      <c r="E2343" s="607">
        <v>7.26</v>
      </c>
      <c r="F2343" s="607">
        <v>22.51</v>
      </c>
      <c r="G2343" s="584">
        <v>15</v>
      </c>
    </row>
    <row r="2344" spans="1:7" ht="30" x14ac:dyDescent="0.2">
      <c r="A2344" s="583" t="s">
        <v>16805</v>
      </c>
      <c r="B2344" s="605" t="s">
        <v>16806</v>
      </c>
      <c r="C2344" s="606" t="s">
        <v>12483</v>
      </c>
      <c r="D2344" s="607">
        <v>35.89</v>
      </c>
      <c r="E2344" s="607">
        <v>8.93</v>
      </c>
      <c r="F2344" s="607">
        <v>44.82</v>
      </c>
      <c r="G2344" s="584">
        <v>15</v>
      </c>
    </row>
    <row r="2345" spans="1:7" ht="30" x14ac:dyDescent="0.2">
      <c r="A2345" s="583" t="s">
        <v>16807</v>
      </c>
      <c r="B2345" s="605" t="s">
        <v>16808</v>
      </c>
      <c r="C2345" s="606" t="s">
        <v>12483</v>
      </c>
      <c r="D2345" s="607">
        <v>66.19</v>
      </c>
      <c r="E2345" s="607">
        <v>11.73</v>
      </c>
      <c r="F2345" s="607">
        <v>77.92</v>
      </c>
      <c r="G2345" s="584">
        <v>15</v>
      </c>
    </row>
    <row r="2346" spans="1:7" ht="30" x14ac:dyDescent="0.2">
      <c r="A2346" s="583" t="s">
        <v>16809</v>
      </c>
      <c r="B2346" s="605" t="s">
        <v>16810</v>
      </c>
      <c r="C2346" s="606" t="s">
        <v>12483</v>
      </c>
      <c r="D2346" s="607">
        <v>12.22</v>
      </c>
      <c r="E2346" s="607">
        <v>6.7</v>
      </c>
      <c r="F2346" s="607">
        <v>18.920000000000002</v>
      </c>
      <c r="G2346" s="584">
        <v>15</v>
      </c>
    </row>
    <row r="2347" spans="1:7" ht="30" x14ac:dyDescent="0.2">
      <c r="A2347" s="583" t="s">
        <v>16811</v>
      </c>
      <c r="B2347" s="605" t="s">
        <v>16812</v>
      </c>
      <c r="C2347" s="606" t="s">
        <v>12483</v>
      </c>
      <c r="D2347" s="607">
        <v>18.64</v>
      </c>
      <c r="E2347" s="607">
        <v>7.26</v>
      </c>
      <c r="F2347" s="607">
        <v>25.9</v>
      </c>
      <c r="G2347" s="584">
        <v>15</v>
      </c>
    </row>
    <row r="2348" spans="1:7" ht="30" x14ac:dyDescent="0.2">
      <c r="A2348" s="583" t="s">
        <v>16813</v>
      </c>
      <c r="B2348" s="605" t="s">
        <v>16814</v>
      </c>
      <c r="C2348" s="606" t="s">
        <v>12483</v>
      </c>
      <c r="D2348" s="607">
        <v>38.71</v>
      </c>
      <c r="E2348" s="607">
        <v>8.93</v>
      </c>
      <c r="F2348" s="607">
        <v>47.64</v>
      </c>
      <c r="G2348" s="584">
        <v>15</v>
      </c>
    </row>
    <row r="2349" spans="1:7" ht="30" x14ac:dyDescent="0.2">
      <c r="A2349" s="583" t="s">
        <v>16815</v>
      </c>
      <c r="B2349" s="605" t="s">
        <v>16816</v>
      </c>
      <c r="C2349" s="606" t="s">
        <v>12483</v>
      </c>
      <c r="D2349" s="607">
        <v>13.5</v>
      </c>
      <c r="E2349" s="607">
        <v>6.7</v>
      </c>
      <c r="F2349" s="607">
        <v>20.2</v>
      </c>
      <c r="G2349" s="584">
        <v>15</v>
      </c>
    </row>
    <row r="2350" spans="1:7" ht="30" x14ac:dyDescent="0.2">
      <c r="A2350" s="583" t="s">
        <v>16817</v>
      </c>
      <c r="B2350" s="605" t="s">
        <v>16818</v>
      </c>
      <c r="C2350" s="606" t="s">
        <v>12483</v>
      </c>
      <c r="D2350" s="607">
        <v>19.23</v>
      </c>
      <c r="E2350" s="607">
        <v>7.26</v>
      </c>
      <c r="F2350" s="607">
        <v>26.49</v>
      </c>
      <c r="G2350" s="584">
        <v>15</v>
      </c>
    </row>
    <row r="2351" spans="1:7" ht="30" x14ac:dyDescent="0.2">
      <c r="A2351" s="583" t="s">
        <v>16819</v>
      </c>
      <c r="B2351" s="605" t="s">
        <v>16820</v>
      </c>
      <c r="C2351" s="606" t="s">
        <v>12483</v>
      </c>
      <c r="D2351" s="607">
        <v>45.91</v>
      </c>
      <c r="E2351" s="607">
        <v>8.93</v>
      </c>
      <c r="F2351" s="607">
        <v>54.84</v>
      </c>
      <c r="G2351" s="584">
        <v>15</v>
      </c>
    </row>
    <row r="2352" spans="1:7" ht="30" x14ac:dyDescent="0.25">
      <c r="A2352" s="583" t="s">
        <v>16821</v>
      </c>
      <c r="B2352" s="605" t="s">
        <v>16822</v>
      </c>
      <c r="C2352" s="606"/>
      <c r="D2352" s="607"/>
      <c r="E2352" s="607"/>
      <c r="F2352" s="607"/>
      <c r="G2352" s="582"/>
    </row>
    <row r="2353" spans="1:7" ht="30" x14ac:dyDescent="0.2">
      <c r="A2353" s="583" t="s">
        <v>16823</v>
      </c>
      <c r="B2353" s="605" t="s">
        <v>16824</v>
      </c>
      <c r="C2353" s="606" t="s">
        <v>12483</v>
      </c>
      <c r="D2353" s="607">
        <v>5.4</v>
      </c>
      <c r="E2353" s="607">
        <v>5.58</v>
      </c>
      <c r="F2353" s="607">
        <v>10.98</v>
      </c>
      <c r="G2353" s="584">
        <v>15</v>
      </c>
    </row>
    <row r="2354" spans="1:7" ht="30" x14ac:dyDescent="0.2">
      <c r="A2354" s="583" t="s">
        <v>16825</v>
      </c>
      <c r="B2354" s="605" t="s">
        <v>16826</v>
      </c>
      <c r="C2354" s="606" t="s">
        <v>12483</v>
      </c>
      <c r="D2354" s="607">
        <v>7.51</v>
      </c>
      <c r="E2354" s="607">
        <v>5.58</v>
      </c>
      <c r="F2354" s="607">
        <v>13.09</v>
      </c>
      <c r="G2354" s="584">
        <v>15</v>
      </c>
    </row>
    <row r="2355" spans="1:7" ht="30" x14ac:dyDescent="0.2">
      <c r="A2355" s="583" t="s">
        <v>16827</v>
      </c>
      <c r="B2355" s="605" t="s">
        <v>16828</v>
      </c>
      <c r="C2355" s="606" t="s">
        <v>12483</v>
      </c>
      <c r="D2355" s="607">
        <v>7.81</v>
      </c>
      <c r="E2355" s="607">
        <v>5.58</v>
      </c>
      <c r="F2355" s="607">
        <v>13.39</v>
      </c>
      <c r="G2355" s="584">
        <v>15</v>
      </c>
    </row>
    <row r="2356" spans="1:7" ht="15" x14ac:dyDescent="0.25">
      <c r="A2356" s="583" t="s">
        <v>16829</v>
      </c>
      <c r="B2356" s="605" t="s">
        <v>16830</v>
      </c>
      <c r="C2356" s="606"/>
      <c r="D2356" s="607"/>
      <c r="E2356" s="607"/>
      <c r="F2356" s="607"/>
      <c r="G2356" s="582"/>
    </row>
    <row r="2357" spans="1:7" ht="15" x14ac:dyDescent="0.2">
      <c r="A2357" s="583" t="s">
        <v>16831</v>
      </c>
      <c r="B2357" s="605" t="s">
        <v>16832</v>
      </c>
      <c r="C2357" s="606" t="s">
        <v>12483</v>
      </c>
      <c r="D2357" s="607">
        <v>6.89</v>
      </c>
      <c r="E2357" s="607">
        <v>7.96</v>
      </c>
      <c r="F2357" s="607">
        <v>14.85</v>
      </c>
      <c r="G2357" s="584">
        <v>15</v>
      </c>
    </row>
    <row r="2358" spans="1:7" ht="15" x14ac:dyDescent="0.2">
      <c r="A2358" s="583" t="s">
        <v>16833</v>
      </c>
      <c r="B2358" s="605" t="s">
        <v>16834</v>
      </c>
      <c r="C2358" s="606" t="s">
        <v>12483</v>
      </c>
      <c r="D2358" s="607">
        <v>2.72</v>
      </c>
      <c r="E2358" s="607">
        <v>7.96</v>
      </c>
      <c r="F2358" s="607">
        <v>10.68</v>
      </c>
      <c r="G2358" s="584">
        <v>15</v>
      </c>
    </row>
    <row r="2359" spans="1:7" ht="15" x14ac:dyDescent="0.25">
      <c r="A2359" s="583" t="s">
        <v>16835</v>
      </c>
      <c r="B2359" s="605" t="s">
        <v>16836</v>
      </c>
      <c r="C2359" s="606"/>
      <c r="D2359" s="607"/>
      <c r="E2359" s="607"/>
      <c r="F2359" s="607"/>
      <c r="G2359" s="582"/>
    </row>
    <row r="2360" spans="1:7" ht="15" x14ac:dyDescent="0.2">
      <c r="A2360" s="583" t="s">
        <v>16837</v>
      </c>
      <c r="B2360" s="605" t="s">
        <v>16838</v>
      </c>
      <c r="C2360" s="606" t="s">
        <v>12483</v>
      </c>
      <c r="D2360" s="607">
        <v>2.87</v>
      </c>
      <c r="E2360" s="607">
        <v>7.96</v>
      </c>
      <c r="F2360" s="607">
        <v>10.83</v>
      </c>
      <c r="G2360" s="584">
        <v>15</v>
      </c>
    </row>
    <row r="2361" spans="1:7" ht="15" x14ac:dyDescent="0.2">
      <c r="A2361" s="583" t="s">
        <v>16839</v>
      </c>
      <c r="B2361" s="605" t="s">
        <v>16840</v>
      </c>
      <c r="C2361" s="606" t="s">
        <v>12483</v>
      </c>
      <c r="D2361" s="607">
        <v>5.74</v>
      </c>
      <c r="E2361" s="607">
        <v>7.96</v>
      </c>
      <c r="F2361" s="607">
        <v>13.7</v>
      </c>
      <c r="G2361" s="584">
        <v>15</v>
      </c>
    </row>
    <row r="2362" spans="1:7" ht="15" x14ac:dyDescent="0.25">
      <c r="A2362" s="583" t="s">
        <v>16841</v>
      </c>
      <c r="B2362" s="605" t="s">
        <v>16842</v>
      </c>
      <c r="C2362" s="606"/>
      <c r="D2362" s="607"/>
      <c r="E2362" s="607"/>
      <c r="F2362" s="607"/>
      <c r="G2362" s="582"/>
    </row>
    <row r="2363" spans="1:7" ht="15" x14ac:dyDescent="0.2">
      <c r="A2363" s="583" t="s">
        <v>16843</v>
      </c>
      <c r="B2363" s="605" t="s">
        <v>16844</v>
      </c>
      <c r="C2363" s="606" t="s">
        <v>12483</v>
      </c>
      <c r="D2363" s="607">
        <v>2.02</v>
      </c>
      <c r="E2363" s="607">
        <v>6.14</v>
      </c>
      <c r="F2363" s="607">
        <v>8.16</v>
      </c>
      <c r="G2363" s="584">
        <v>15</v>
      </c>
    </row>
    <row r="2364" spans="1:7" ht="15" x14ac:dyDescent="0.2">
      <c r="A2364" s="583" t="s">
        <v>16845</v>
      </c>
      <c r="B2364" s="605" t="s">
        <v>16846</v>
      </c>
      <c r="C2364" s="606" t="s">
        <v>12483</v>
      </c>
      <c r="D2364" s="607">
        <v>19.22</v>
      </c>
      <c r="E2364" s="607">
        <v>6.14</v>
      </c>
      <c r="F2364" s="607">
        <v>25.36</v>
      </c>
      <c r="G2364" s="584">
        <v>15</v>
      </c>
    </row>
    <row r="2365" spans="1:7" ht="15" x14ac:dyDescent="0.2">
      <c r="A2365" s="583" t="s">
        <v>16847</v>
      </c>
      <c r="B2365" s="605" t="s">
        <v>16848</v>
      </c>
      <c r="C2365" s="606" t="s">
        <v>12483</v>
      </c>
      <c r="D2365" s="607">
        <v>8.0299999999999994</v>
      </c>
      <c r="E2365" s="607">
        <v>4.75</v>
      </c>
      <c r="F2365" s="607">
        <v>12.78</v>
      </c>
      <c r="G2365" s="584">
        <v>15</v>
      </c>
    </row>
    <row r="2366" spans="1:7" ht="15" x14ac:dyDescent="0.2">
      <c r="A2366" s="583" t="s">
        <v>16849</v>
      </c>
      <c r="B2366" s="605" t="s">
        <v>20208</v>
      </c>
      <c r="C2366" s="606" t="s">
        <v>12483</v>
      </c>
      <c r="D2366" s="607">
        <v>3.61</v>
      </c>
      <c r="E2366" s="607">
        <v>6.14</v>
      </c>
      <c r="F2366" s="607">
        <v>9.75</v>
      </c>
      <c r="G2366" s="584">
        <v>15</v>
      </c>
    </row>
    <row r="2367" spans="1:7" ht="15" x14ac:dyDescent="0.2">
      <c r="A2367" s="583" t="s">
        <v>16850</v>
      </c>
      <c r="B2367" s="605" t="s">
        <v>16851</v>
      </c>
      <c r="C2367" s="606" t="s">
        <v>12483</v>
      </c>
      <c r="D2367" s="607">
        <v>4.74</v>
      </c>
      <c r="E2367" s="607">
        <v>4.75</v>
      </c>
      <c r="F2367" s="607">
        <v>9.49</v>
      </c>
      <c r="G2367" s="584">
        <v>15</v>
      </c>
    </row>
    <row r="2368" spans="1:7" ht="15" x14ac:dyDescent="0.2">
      <c r="A2368" s="583" t="s">
        <v>16852</v>
      </c>
      <c r="B2368" s="605" t="s">
        <v>16853</v>
      </c>
      <c r="C2368" s="606" t="s">
        <v>12483</v>
      </c>
      <c r="D2368" s="607">
        <v>18.37</v>
      </c>
      <c r="E2368" s="607">
        <v>8.5500000000000007</v>
      </c>
      <c r="F2368" s="607">
        <v>26.92</v>
      </c>
      <c r="G2368" s="584">
        <v>15</v>
      </c>
    </row>
    <row r="2369" spans="1:7" ht="15" x14ac:dyDescent="0.2">
      <c r="A2369" s="583" t="s">
        <v>16854</v>
      </c>
      <c r="B2369" s="605" t="s">
        <v>16855</v>
      </c>
      <c r="C2369" s="606" t="s">
        <v>12483</v>
      </c>
      <c r="D2369" s="607">
        <v>4.47</v>
      </c>
      <c r="E2369" s="607">
        <v>8.5500000000000007</v>
      </c>
      <c r="F2369" s="607">
        <v>13.02</v>
      </c>
      <c r="G2369" s="584">
        <v>15</v>
      </c>
    </row>
    <row r="2370" spans="1:7" ht="15" x14ac:dyDescent="0.25">
      <c r="A2370" s="583" t="s">
        <v>16856</v>
      </c>
      <c r="B2370" s="605" t="s">
        <v>16857</v>
      </c>
      <c r="C2370" s="606"/>
      <c r="D2370" s="607"/>
      <c r="E2370" s="607"/>
      <c r="F2370" s="607"/>
      <c r="G2370" s="582"/>
    </row>
    <row r="2371" spans="1:7" ht="15" x14ac:dyDescent="0.2">
      <c r="A2371" s="583" t="s">
        <v>16858</v>
      </c>
      <c r="B2371" s="605" t="s">
        <v>16859</v>
      </c>
      <c r="C2371" s="606" t="s">
        <v>12375</v>
      </c>
      <c r="D2371" s="607">
        <v>11.05</v>
      </c>
      <c r="E2371" s="607">
        <v>9.31</v>
      </c>
      <c r="F2371" s="607">
        <v>20.36</v>
      </c>
      <c r="G2371" s="584">
        <v>15</v>
      </c>
    </row>
    <row r="2372" spans="1:7" ht="30" x14ac:dyDescent="0.2">
      <c r="A2372" s="583" t="s">
        <v>16860</v>
      </c>
      <c r="B2372" s="605" t="s">
        <v>16861</v>
      </c>
      <c r="C2372" s="606" t="s">
        <v>12483</v>
      </c>
      <c r="D2372" s="607"/>
      <c r="E2372" s="607">
        <v>7.96</v>
      </c>
      <c r="F2372" s="607">
        <v>7.96</v>
      </c>
      <c r="G2372" s="584">
        <v>15</v>
      </c>
    </row>
    <row r="2373" spans="1:7" ht="30" x14ac:dyDescent="0.2">
      <c r="A2373" s="583" t="s">
        <v>16862</v>
      </c>
      <c r="B2373" s="605" t="s">
        <v>16863</v>
      </c>
      <c r="C2373" s="606" t="s">
        <v>12483</v>
      </c>
      <c r="D2373" s="607"/>
      <c r="E2373" s="607">
        <v>15.92</v>
      </c>
      <c r="F2373" s="607">
        <v>15.92</v>
      </c>
      <c r="G2373" s="584">
        <v>15</v>
      </c>
    </row>
    <row r="2374" spans="1:7" ht="30" x14ac:dyDescent="0.25">
      <c r="A2374" s="583" t="s">
        <v>16864</v>
      </c>
      <c r="B2374" s="605" t="s">
        <v>16865</v>
      </c>
      <c r="C2374" s="606"/>
      <c r="D2374" s="607"/>
      <c r="E2374" s="607"/>
      <c r="F2374" s="607"/>
      <c r="G2374" s="582"/>
    </row>
    <row r="2375" spans="1:7" ht="30" x14ac:dyDescent="0.2">
      <c r="A2375" s="583" t="s">
        <v>16866</v>
      </c>
      <c r="B2375" s="605" t="s">
        <v>144</v>
      </c>
      <c r="C2375" s="606" t="s">
        <v>20358</v>
      </c>
      <c r="D2375" s="607">
        <v>1.7</v>
      </c>
      <c r="E2375" s="607">
        <v>1.1100000000000001</v>
      </c>
      <c r="F2375" s="607">
        <v>2.81</v>
      </c>
      <c r="G2375" s="584">
        <v>15</v>
      </c>
    </row>
    <row r="2376" spans="1:7" ht="30" x14ac:dyDescent="0.2">
      <c r="A2376" s="583" t="s">
        <v>16867</v>
      </c>
      <c r="B2376" s="605" t="s">
        <v>145</v>
      </c>
      <c r="C2376" s="606" t="s">
        <v>20358</v>
      </c>
      <c r="D2376" s="607">
        <v>2.44</v>
      </c>
      <c r="E2376" s="607">
        <v>1.1100000000000001</v>
      </c>
      <c r="F2376" s="607">
        <v>3.55</v>
      </c>
      <c r="G2376" s="584">
        <v>15</v>
      </c>
    </row>
    <row r="2377" spans="1:7" ht="30" x14ac:dyDescent="0.2">
      <c r="A2377" s="583" t="s">
        <v>16868</v>
      </c>
      <c r="B2377" s="605" t="s">
        <v>146</v>
      </c>
      <c r="C2377" s="606" t="s">
        <v>20358</v>
      </c>
      <c r="D2377" s="607">
        <v>3.68</v>
      </c>
      <c r="E2377" s="607">
        <v>1.1100000000000001</v>
      </c>
      <c r="F2377" s="607">
        <v>4.79</v>
      </c>
      <c r="G2377" s="584">
        <v>15</v>
      </c>
    </row>
    <row r="2378" spans="1:7" ht="30" x14ac:dyDescent="0.2">
      <c r="A2378" s="583" t="s">
        <v>16869</v>
      </c>
      <c r="B2378" s="605" t="s">
        <v>147</v>
      </c>
      <c r="C2378" s="606" t="s">
        <v>20358</v>
      </c>
      <c r="D2378" s="607">
        <v>5.39</v>
      </c>
      <c r="E2378" s="607">
        <v>1.1100000000000001</v>
      </c>
      <c r="F2378" s="607">
        <v>6.5</v>
      </c>
      <c r="G2378" s="584">
        <v>15</v>
      </c>
    </row>
    <row r="2379" spans="1:7" ht="30" x14ac:dyDescent="0.2">
      <c r="A2379" s="583" t="s">
        <v>16870</v>
      </c>
      <c r="B2379" s="605" t="s">
        <v>148</v>
      </c>
      <c r="C2379" s="606" t="s">
        <v>20358</v>
      </c>
      <c r="D2379" s="607">
        <v>8.49</v>
      </c>
      <c r="E2379" s="607">
        <v>4.47</v>
      </c>
      <c r="F2379" s="607">
        <v>12.96</v>
      </c>
      <c r="G2379" s="584">
        <v>15</v>
      </c>
    </row>
    <row r="2380" spans="1:7" ht="30" x14ac:dyDescent="0.2">
      <c r="A2380" s="583" t="s">
        <v>16871</v>
      </c>
      <c r="B2380" s="605" t="s">
        <v>149</v>
      </c>
      <c r="C2380" s="606" t="s">
        <v>20358</v>
      </c>
      <c r="D2380" s="607">
        <v>13.04</v>
      </c>
      <c r="E2380" s="607">
        <v>5.0199999999999996</v>
      </c>
      <c r="F2380" s="607">
        <v>18.059999999999999</v>
      </c>
      <c r="G2380" s="584">
        <v>15</v>
      </c>
    </row>
    <row r="2381" spans="1:7" ht="30" x14ac:dyDescent="0.2">
      <c r="A2381" s="583" t="s">
        <v>16872</v>
      </c>
      <c r="B2381" s="605" t="s">
        <v>150</v>
      </c>
      <c r="C2381" s="606" t="s">
        <v>20358</v>
      </c>
      <c r="D2381" s="607">
        <v>19.899999999999999</v>
      </c>
      <c r="E2381" s="607">
        <v>5.58</v>
      </c>
      <c r="F2381" s="607">
        <v>25.48</v>
      </c>
      <c r="G2381" s="584">
        <v>15</v>
      </c>
    </row>
    <row r="2382" spans="1:7" ht="30" x14ac:dyDescent="0.2">
      <c r="A2382" s="583" t="s">
        <v>16873</v>
      </c>
      <c r="B2382" s="605" t="s">
        <v>151</v>
      </c>
      <c r="C2382" s="606" t="s">
        <v>20358</v>
      </c>
      <c r="D2382" s="607">
        <v>27.65</v>
      </c>
      <c r="E2382" s="607">
        <v>8.3800000000000008</v>
      </c>
      <c r="F2382" s="607">
        <v>36.03</v>
      </c>
      <c r="G2382" s="584">
        <v>15</v>
      </c>
    </row>
    <row r="2383" spans="1:7" ht="30" x14ac:dyDescent="0.2">
      <c r="A2383" s="583" t="s">
        <v>16874</v>
      </c>
      <c r="B2383" s="605" t="s">
        <v>152</v>
      </c>
      <c r="C2383" s="606" t="s">
        <v>20358</v>
      </c>
      <c r="D2383" s="607">
        <v>39.909999999999997</v>
      </c>
      <c r="E2383" s="607">
        <v>11.16</v>
      </c>
      <c r="F2383" s="607">
        <v>51.07</v>
      </c>
      <c r="G2383" s="584">
        <v>15</v>
      </c>
    </row>
    <row r="2384" spans="1:7" ht="30" x14ac:dyDescent="0.2">
      <c r="A2384" s="583" t="s">
        <v>16875</v>
      </c>
      <c r="B2384" s="605" t="s">
        <v>153</v>
      </c>
      <c r="C2384" s="606" t="s">
        <v>20358</v>
      </c>
      <c r="D2384" s="607">
        <v>55.08</v>
      </c>
      <c r="E2384" s="607">
        <v>13.96</v>
      </c>
      <c r="F2384" s="607">
        <v>69.040000000000006</v>
      </c>
      <c r="G2384" s="584">
        <v>15</v>
      </c>
    </row>
    <row r="2385" spans="1:7" ht="30" x14ac:dyDescent="0.2">
      <c r="A2385" s="583" t="s">
        <v>16876</v>
      </c>
      <c r="B2385" s="605" t="s">
        <v>154</v>
      </c>
      <c r="C2385" s="606" t="s">
        <v>20358</v>
      </c>
      <c r="D2385" s="607">
        <v>74.37</v>
      </c>
      <c r="E2385" s="607">
        <v>16.75</v>
      </c>
      <c r="F2385" s="607">
        <v>91.12</v>
      </c>
      <c r="G2385" s="584">
        <v>15</v>
      </c>
    </row>
    <row r="2386" spans="1:7" ht="30" x14ac:dyDescent="0.2">
      <c r="A2386" s="583" t="s">
        <v>16877</v>
      </c>
      <c r="B2386" s="605" t="s">
        <v>155</v>
      </c>
      <c r="C2386" s="606" t="s">
        <v>20358</v>
      </c>
      <c r="D2386" s="607">
        <v>91.99</v>
      </c>
      <c r="E2386" s="607">
        <v>19.54</v>
      </c>
      <c r="F2386" s="607">
        <v>111.53</v>
      </c>
      <c r="G2386" s="584">
        <v>15</v>
      </c>
    </row>
    <row r="2387" spans="1:7" ht="30" x14ac:dyDescent="0.2">
      <c r="A2387" s="583" t="s">
        <v>16878</v>
      </c>
      <c r="B2387" s="605" t="s">
        <v>156</v>
      </c>
      <c r="C2387" s="606" t="s">
        <v>20358</v>
      </c>
      <c r="D2387" s="607">
        <v>114.38</v>
      </c>
      <c r="E2387" s="607">
        <v>19.54</v>
      </c>
      <c r="F2387" s="607">
        <v>133.91999999999999</v>
      </c>
      <c r="G2387" s="584">
        <v>15</v>
      </c>
    </row>
    <row r="2388" spans="1:7" ht="30" x14ac:dyDescent="0.2">
      <c r="A2388" s="583" t="s">
        <v>16879</v>
      </c>
      <c r="B2388" s="605" t="s">
        <v>157</v>
      </c>
      <c r="C2388" s="606" t="s">
        <v>20358</v>
      </c>
      <c r="D2388" s="607">
        <v>139.21</v>
      </c>
      <c r="E2388" s="607">
        <v>22.33</v>
      </c>
      <c r="F2388" s="607">
        <v>161.54</v>
      </c>
      <c r="G2388" s="584">
        <v>15</v>
      </c>
    </row>
    <row r="2389" spans="1:7" ht="30" x14ac:dyDescent="0.2">
      <c r="A2389" s="583" t="s">
        <v>16880</v>
      </c>
      <c r="B2389" s="605" t="s">
        <v>158</v>
      </c>
      <c r="C2389" s="606" t="s">
        <v>20358</v>
      </c>
      <c r="D2389" s="607">
        <v>186.14</v>
      </c>
      <c r="E2389" s="607">
        <v>25.12</v>
      </c>
      <c r="F2389" s="607">
        <v>211.26</v>
      </c>
      <c r="G2389" s="584">
        <v>15</v>
      </c>
    </row>
    <row r="2390" spans="1:7" ht="30" x14ac:dyDescent="0.2">
      <c r="A2390" s="583" t="s">
        <v>16881</v>
      </c>
      <c r="B2390" s="605" t="s">
        <v>159</v>
      </c>
      <c r="C2390" s="606" t="s">
        <v>20358</v>
      </c>
      <c r="D2390" s="607">
        <v>5.23</v>
      </c>
      <c r="E2390" s="607">
        <v>2.23</v>
      </c>
      <c r="F2390" s="607">
        <v>7.46</v>
      </c>
      <c r="G2390" s="584">
        <v>15</v>
      </c>
    </row>
    <row r="2391" spans="1:7" ht="30" x14ac:dyDescent="0.2">
      <c r="A2391" s="583" t="s">
        <v>16882</v>
      </c>
      <c r="B2391" s="605" t="s">
        <v>160</v>
      </c>
      <c r="C2391" s="606" t="s">
        <v>20358</v>
      </c>
      <c r="D2391" s="607">
        <v>5.24</v>
      </c>
      <c r="E2391" s="607">
        <v>1.1100000000000001</v>
      </c>
      <c r="F2391" s="607">
        <v>6.35</v>
      </c>
      <c r="G2391" s="584">
        <v>15</v>
      </c>
    </row>
    <row r="2392" spans="1:7" ht="30" x14ac:dyDescent="0.2">
      <c r="A2392" s="583" t="s">
        <v>16883</v>
      </c>
      <c r="B2392" s="605" t="s">
        <v>161</v>
      </c>
      <c r="C2392" s="606" t="s">
        <v>20358</v>
      </c>
      <c r="D2392" s="607">
        <v>7.92</v>
      </c>
      <c r="E2392" s="607">
        <v>2.8</v>
      </c>
      <c r="F2392" s="607">
        <v>10.72</v>
      </c>
      <c r="G2392" s="584">
        <v>15</v>
      </c>
    </row>
    <row r="2393" spans="1:7" ht="30" x14ac:dyDescent="0.2">
      <c r="A2393" s="583" t="s">
        <v>16884</v>
      </c>
      <c r="B2393" s="605" t="s">
        <v>162</v>
      </c>
      <c r="C2393" s="606" t="s">
        <v>20358</v>
      </c>
      <c r="D2393" s="607">
        <v>28.48</v>
      </c>
      <c r="E2393" s="607">
        <v>5.58</v>
      </c>
      <c r="F2393" s="607">
        <v>34.06</v>
      </c>
      <c r="G2393" s="584">
        <v>15</v>
      </c>
    </row>
    <row r="2394" spans="1:7" ht="30" x14ac:dyDescent="0.2">
      <c r="A2394" s="583" t="s">
        <v>16885</v>
      </c>
      <c r="B2394" s="605" t="s">
        <v>163</v>
      </c>
      <c r="C2394" s="606" t="s">
        <v>20358</v>
      </c>
      <c r="D2394" s="607">
        <v>72.099999999999994</v>
      </c>
      <c r="E2394" s="607">
        <v>16.75</v>
      </c>
      <c r="F2394" s="607">
        <v>88.85</v>
      </c>
      <c r="G2394" s="584">
        <v>15</v>
      </c>
    </row>
    <row r="2395" spans="1:7" ht="30" x14ac:dyDescent="0.2">
      <c r="A2395" s="583" t="s">
        <v>16886</v>
      </c>
      <c r="B2395" s="605" t="s">
        <v>164</v>
      </c>
      <c r="C2395" s="606" t="s">
        <v>20358</v>
      </c>
      <c r="D2395" s="607">
        <v>101.89</v>
      </c>
      <c r="E2395" s="607">
        <v>22.33</v>
      </c>
      <c r="F2395" s="607">
        <v>124.22</v>
      </c>
      <c r="G2395" s="584">
        <v>15</v>
      </c>
    </row>
    <row r="2396" spans="1:7" ht="30" x14ac:dyDescent="0.2">
      <c r="A2396" s="583" t="s">
        <v>16887</v>
      </c>
      <c r="B2396" s="605" t="s">
        <v>165</v>
      </c>
      <c r="C2396" s="606" t="s">
        <v>20358</v>
      </c>
      <c r="D2396" s="607">
        <v>38.700000000000003</v>
      </c>
      <c r="E2396" s="607">
        <v>7.26</v>
      </c>
      <c r="F2396" s="607">
        <v>45.96</v>
      </c>
      <c r="G2396" s="584">
        <v>15</v>
      </c>
    </row>
    <row r="2397" spans="1:7" ht="15" x14ac:dyDescent="0.25">
      <c r="A2397" s="583" t="s">
        <v>16888</v>
      </c>
      <c r="B2397" s="605" t="s">
        <v>16889</v>
      </c>
      <c r="C2397" s="606"/>
      <c r="D2397" s="607"/>
      <c r="E2397" s="607"/>
      <c r="F2397" s="607"/>
      <c r="G2397" s="582"/>
    </row>
    <row r="2398" spans="1:7" ht="30" x14ac:dyDescent="0.2">
      <c r="A2398" s="583" t="s">
        <v>16890</v>
      </c>
      <c r="B2398" s="605" t="s">
        <v>16891</v>
      </c>
      <c r="C2398" s="606" t="s">
        <v>20358</v>
      </c>
      <c r="D2398" s="607">
        <v>5.74</v>
      </c>
      <c r="E2398" s="607">
        <v>6.7</v>
      </c>
      <c r="F2398" s="607">
        <v>12.44</v>
      </c>
      <c r="G2398" s="584">
        <v>15</v>
      </c>
    </row>
    <row r="2399" spans="1:7" ht="30" x14ac:dyDescent="0.2">
      <c r="A2399" s="583" t="s">
        <v>16892</v>
      </c>
      <c r="B2399" s="605" t="s">
        <v>16893</v>
      </c>
      <c r="C2399" s="606" t="s">
        <v>20358</v>
      </c>
      <c r="D2399" s="607">
        <v>9.57</v>
      </c>
      <c r="E2399" s="607">
        <v>8.3800000000000008</v>
      </c>
      <c r="F2399" s="607">
        <v>17.95</v>
      </c>
      <c r="G2399" s="584">
        <v>15</v>
      </c>
    </row>
    <row r="2400" spans="1:7" ht="30" x14ac:dyDescent="0.2">
      <c r="A2400" s="583" t="s">
        <v>16894</v>
      </c>
      <c r="B2400" s="605" t="s">
        <v>16895</v>
      </c>
      <c r="C2400" s="606" t="s">
        <v>20358</v>
      </c>
      <c r="D2400" s="607">
        <v>14.69</v>
      </c>
      <c r="E2400" s="607">
        <v>10.050000000000001</v>
      </c>
      <c r="F2400" s="607">
        <v>24.74</v>
      </c>
      <c r="G2400" s="584">
        <v>15</v>
      </c>
    </row>
    <row r="2401" spans="1:7" ht="30" x14ac:dyDescent="0.2">
      <c r="A2401" s="583" t="s">
        <v>16896</v>
      </c>
      <c r="B2401" s="605" t="s">
        <v>16897</v>
      </c>
      <c r="C2401" s="606" t="s">
        <v>20358</v>
      </c>
      <c r="D2401" s="607">
        <v>21.51</v>
      </c>
      <c r="E2401" s="607">
        <v>11.73</v>
      </c>
      <c r="F2401" s="607">
        <v>33.24</v>
      </c>
      <c r="G2401" s="584">
        <v>15</v>
      </c>
    </row>
    <row r="2402" spans="1:7" ht="30" x14ac:dyDescent="0.2">
      <c r="A2402" s="583" t="s">
        <v>16898</v>
      </c>
      <c r="B2402" s="605" t="s">
        <v>16899</v>
      </c>
      <c r="C2402" s="606" t="s">
        <v>20358</v>
      </c>
      <c r="D2402" s="607">
        <v>18.88</v>
      </c>
      <c r="E2402" s="607">
        <v>6.7</v>
      </c>
      <c r="F2402" s="607">
        <v>25.58</v>
      </c>
      <c r="G2402" s="584">
        <v>15</v>
      </c>
    </row>
    <row r="2403" spans="1:7" ht="30" x14ac:dyDescent="0.2">
      <c r="A2403" s="583" t="s">
        <v>16900</v>
      </c>
      <c r="B2403" s="605" t="s">
        <v>16901</v>
      </c>
      <c r="C2403" s="606" t="s">
        <v>20358</v>
      </c>
      <c r="D2403" s="607">
        <v>30.23</v>
      </c>
      <c r="E2403" s="607">
        <v>15.63</v>
      </c>
      <c r="F2403" s="607">
        <v>45.86</v>
      </c>
      <c r="G2403" s="584">
        <v>15</v>
      </c>
    </row>
    <row r="2404" spans="1:7" ht="30" x14ac:dyDescent="0.25">
      <c r="A2404" s="583" t="s">
        <v>16902</v>
      </c>
      <c r="B2404" s="605" t="s">
        <v>16903</v>
      </c>
      <c r="C2404" s="606"/>
      <c r="D2404" s="607"/>
      <c r="E2404" s="607"/>
      <c r="F2404" s="607"/>
      <c r="G2404" s="582"/>
    </row>
    <row r="2405" spans="1:7" ht="30" x14ac:dyDescent="0.2">
      <c r="A2405" s="583" t="s">
        <v>16904</v>
      </c>
      <c r="B2405" s="605" t="s">
        <v>16905</v>
      </c>
      <c r="C2405" s="606" t="s">
        <v>12483</v>
      </c>
      <c r="D2405" s="607">
        <v>98.85</v>
      </c>
      <c r="E2405" s="607">
        <v>1.67</v>
      </c>
      <c r="F2405" s="607">
        <v>100.52</v>
      </c>
      <c r="G2405" s="584">
        <v>15</v>
      </c>
    </row>
    <row r="2406" spans="1:7" ht="30" x14ac:dyDescent="0.2">
      <c r="A2406" s="583" t="s">
        <v>16906</v>
      </c>
      <c r="B2406" s="605" t="s">
        <v>16907</v>
      </c>
      <c r="C2406" s="606" t="s">
        <v>12483</v>
      </c>
      <c r="D2406" s="607">
        <v>112.73</v>
      </c>
      <c r="E2406" s="607">
        <v>1.67</v>
      </c>
      <c r="F2406" s="607">
        <v>114.4</v>
      </c>
      <c r="G2406" s="584">
        <v>15</v>
      </c>
    </row>
    <row r="2407" spans="1:7" ht="30" x14ac:dyDescent="0.25">
      <c r="A2407" s="583" t="s">
        <v>16908</v>
      </c>
      <c r="B2407" s="605" t="s">
        <v>16909</v>
      </c>
      <c r="C2407" s="606"/>
      <c r="D2407" s="607"/>
      <c r="E2407" s="607"/>
      <c r="F2407" s="607"/>
      <c r="G2407" s="582"/>
    </row>
    <row r="2408" spans="1:7" ht="30" x14ac:dyDescent="0.2">
      <c r="A2408" s="583" t="s">
        <v>16910</v>
      </c>
      <c r="B2408" s="605" t="s">
        <v>16911</v>
      </c>
      <c r="C2408" s="606" t="s">
        <v>12483</v>
      </c>
      <c r="D2408" s="607">
        <v>2.0099999999999998</v>
      </c>
      <c r="E2408" s="607">
        <v>2.23</v>
      </c>
      <c r="F2408" s="607">
        <v>4.24</v>
      </c>
      <c r="G2408" s="584">
        <v>15</v>
      </c>
    </row>
    <row r="2409" spans="1:7" ht="30" x14ac:dyDescent="0.2">
      <c r="A2409" s="583" t="s">
        <v>16912</v>
      </c>
      <c r="B2409" s="605" t="s">
        <v>16913</v>
      </c>
      <c r="C2409" s="606" t="s">
        <v>12483</v>
      </c>
      <c r="D2409" s="607">
        <v>3.1</v>
      </c>
      <c r="E2409" s="607">
        <v>2.8</v>
      </c>
      <c r="F2409" s="607">
        <v>5.9</v>
      </c>
      <c r="G2409" s="584">
        <v>15</v>
      </c>
    </row>
    <row r="2410" spans="1:7" ht="30" x14ac:dyDescent="0.2">
      <c r="A2410" s="583" t="s">
        <v>16914</v>
      </c>
      <c r="B2410" s="605" t="s">
        <v>16915</v>
      </c>
      <c r="C2410" s="606" t="s">
        <v>12483</v>
      </c>
      <c r="D2410" s="607">
        <v>4.5199999999999996</v>
      </c>
      <c r="E2410" s="607">
        <v>3.35</v>
      </c>
      <c r="F2410" s="607">
        <v>7.87</v>
      </c>
      <c r="G2410" s="584">
        <v>15</v>
      </c>
    </row>
    <row r="2411" spans="1:7" ht="30" x14ac:dyDescent="0.2">
      <c r="A2411" s="583" t="s">
        <v>16916</v>
      </c>
      <c r="B2411" s="605" t="s">
        <v>16917</v>
      </c>
      <c r="C2411" s="606" t="s">
        <v>12483</v>
      </c>
      <c r="D2411" s="607">
        <v>6.44</v>
      </c>
      <c r="E2411" s="607">
        <v>3.91</v>
      </c>
      <c r="F2411" s="607">
        <v>10.35</v>
      </c>
      <c r="G2411" s="584">
        <v>15</v>
      </c>
    </row>
    <row r="2412" spans="1:7" ht="30" x14ac:dyDescent="0.2">
      <c r="A2412" s="583" t="s">
        <v>16918</v>
      </c>
      <c r="B2412" s="605" t="s">
        <v>16919</v>
      </c>
      <c r="C2412" s="606" t="s">
        <v>12483</v>
      </c>
      <c r="D2412" s="607">
        <v>10.19</v>
      </c>
      <c r="E2412" s="607">
        <v>4.47</v>
      </c>
      <c r="F2412" s="607">
        <v>14.66</v>
      </c>
      <c r="G2412" s="584">
        <v>15</v>
      </c>
    </row>
    <row r="2413" spans="1:7" ht="30" x14ac:dyDescent="0.2">
      <c r="A2413" s="583" t="s">
        <v>16920</v>
      </c>
      <c r="B2413" s="605" t="s">
        <v>16921</v>
      </c>
      <c r="C2413" s="606" t="s">
        <v>12483</v>
      </c>
      <c r="D2413" s="607">
        <v>15.63</v>
      </c>
      <c r="E2413" s="607">
        <v>5.0199999999999996</v>
      </c>
      <c r="F2413" s="607">
        <v>20.65</v>
      </c>
      <c r="G2413" s="584">
        <v>15</v>
      </c>
    </row>
    <row r="2414" spans="1:7" ht="30" x14ac:dyDescent="0.2">
      <c r="A2414" s="583" t="s">
        <v>16922</v>
      </c>
      <c r="B2414" s="605" t="s">
        <v>16923</v>
      </c>
      <c r="C2414" s="606" t="s">
        <v>12483</v>
      </c>
      <c r="D2414" s="607">
        <v>24.08</v>
      </c>
      <c r="E2414" s="607">
        <v>5.58</v>
      </c>
      <c r="F2414" s="607">
        <v>29.66</v>
      </c>
      <c r="G2414" s="584">
        <v>15</v>
      </c>
    </row>
    <row r="2415" spans="1:7" ht="30" x14ac:dyDescent="0.2">
      <c r="A2415" s="583" t="s">
        <v>16924</v>
      </c>
      <c r="B2415" s="605" t="s">
        <v>16925</v>
      </c>
      <c r="C2415" s="606" t="s">
        <v>12483</v>
      </c>
      <c r="D2415" s="607">
        <v>32.96</v>
      </c>
      <c r="E2415" s="607">
        <v>8.3800000000000008</v>
      </c>
      <c r="F2415" s="607">
        <v>41.34</v>
      </c>
      <c r="G2415" s="584">
        <v>15</v>
      </c>
    </row>
    <row r="2416" spans="1:7" ht="30" x14ac:dyDescent="0.2">
      <c r="A2416" s="583" t="s">
        <v>16926</v>
      </c>
      <c r="B2416" s="605" t="s">
        <v>16927</v>
      </c>
      <c r="C2416" s="606" t="s">
        <v>12483</v>
      </c>
      <c r="D2416" s="607">
        <v>46.92</v>
      </c>
      <c r="E2416" s="607">
        <v>11.16</v>
      </c>
      <c r="F2416" s="607">
        <v>58.08</v>
      </c>
      <c r="G2416" s="584">
        <v>15</v>
      </c>
    </row>
    <row r="2417" spans="1:7" ht="30" x14ac:dyDescent="0.2">
      <c r="A2417" s="583" t="s">
        <v>16928</v>
      </c>
      <c r="B2417" s="605" t="s">
        <v>16929</v>
      </c>
      <c r="C2417" s="606" t="s">
        <v>12483</v>
      </c>
      <c r="D2417" s="607">
        <v>65.17</v>
      </c>
      <c r="E2417" s="607">
        <v>13.96</v>
      </c>
      <c r="F2417" s="607">
        <v>79.13</v>
      </c>
      <c r="G2417" s="584">
        <v>15</v>
      </c>
    </row>
    <row r="2418" spans="1:7" ht="30" x14ac:dyDescent="0.2">
      <c r="A2418" s="583" t="s">
        <v>16930</v>
      </c>
      <c r="B2418" s="605" t="s">
        <v>16931</v>
      </c>
      <c r="C2418" s="606" t="s">
        <v>12483</v>
      </c>
      <c r="D2418" s="607">
        <v>87.61</v>
      </c>
      <c r="E2418" s="607">
        <v>16.75</v>
      </c>
      <c r="F2418" s="607">
        <v>104.36</v>
      </c>
      <c r="G2418" s="584">
        <v>15</v>
      </c>
    </row>
    <row r="2419" spans="1:7" ht="30" x14ac:dyDescent="0.2">
      <c r="A2419" s="583" t="s">
        <v>16932</v>
      </c>
      <c r="B2419" s="605" t="s">
        <v>16933</v>
      </c>
      <c r="C2419" s="606" t="s">
        <v>12483</v>
      </c>
      <c r="D2419" s="607">
        <v>111.28</v>
      </c>
      <c r="E2419" s="607">
        <v>19.54</v>
      </c>
      <c r="F2419" s="607">
        <v>130.82</v>
      </c>
      <c r="G2419" s="584">
        <v>15</v>
      </c>
    </row>
    <row r="2420" spans="1:7" ht="30" x14ac:dyDescent="0.2">
      <c r="A2420" s="583" t="s">
        <v>16934</v>
      </c>
      <c r="B2420" s="605" t="s">
        <v>16935</v>
      </c>
      <c r="C2420" s="606" t="s">
        <v>12483</v>
      </c>
      <c r="D2420" s="607">
        <v>138.04</v>
      </c>
      <c r="E2420" s="607">
        <v>22.33</v>
      </c>
      <c r="F2420" s="607">
        <v>160.37</v>
      </c>
      <c r="G2420" s="584">
        <v>15</v>
      </c>
    </row>
    <row r="2421" spans="1:7" ht="30" x14ac:dyDescent="0.2">
      <c r="A2421" s="583" t="s">
        <v>16936</v>
      </c>
      <c r="B2421" s="605" t="s">
        <v>16937</v>
      </c>
      <c r="C2421" s="606" t="s">
        <v>12483</v>
      </c>
      <c r="D2421" s="607">
        <v>166.54</v>
      </c>
      <c r="E2421" s="607">
        <v>25.12</v>
      </c>
      <c r="F2421" s="607">
        <v>191.66</v>
      </c>
      <c r="G2421" s="584">
        <v>15</v>
      </c>
    </row>
    <row r="2422" spans="1:7" ht="30" x14ac:dyDescent="0.2">
      <c r="A2422" s="583" t="s">
        <v>16938</v>
      </c>
      <c r="B2422" s="605" t="s">
        <v>16939</v>
      </c>
      <c r="C2422" s="606" t="s">
        <v>12483</v>
      </c>
      <c r="D2422" s="607">
        <v>219.13</v>
      </c>
      <c r="E2422" s="607">
        <v>27.92</v>
      </c>
      <c r="F2422" s="607">
        <v>247.05</v>
      </c>
      <c r="G2422" s="584">
        <v>15</v>
      </c>
    </row>
    <row r="2423" spans="1:7" ht="15" x14ac:dyDescent="0.25">
      <c r="A2423" s="583" t="s">
        <v>16940</v>
      </c>
      <c r="B2423" s="605" t="s">
        <v>16941</v>
      </c>
      <c r="C2423" s="606"/>
      <c r="D2423" s="607"/>
      <c r="E2423" s="607"/>
      <c r="F2423" s="607"/>
      <c r="G2423" s="582"/>
    </row>
    <row r="2424" spans="1:7" ht="30" x14ac:dyDescent="0.2">
      <c r="A2424" s="583" t="s">
        <v>16942</v>
      </c>
      <c r="B2424" s="605" t="s">
        <v>16943</v>
      </c>
      <c r="C2424" s="606" t="s">
        <v>12483</v>
      </c>
      <c r="D2424" s="607">
        <v>8.9700000000000006</v>
      </c>
      <c r="E2424" s="607">
        <v>2.8</v>
      </c>
      <c r="F2424" s="607">
        <v>11.77</v>
      </c>
      <c r="G2424" s="584">
        <v>15</v>
      </c>
    </row>
    <row r="2425" spans="1:7" ht="30" x14ac:dyDescent="0.2">
      <c r="A2425" s="583" t="s">
        <v>16944</v>
      </c>
      <c r="B2425" s="605" t="s">
        <v>16945</v>
      </c>
      <c r="C2425" s="606" t="s">
        <v>12483</v>
      </c>
      <c r="D2425" s="607">
        <v>13.61</v>
      </c>
      <c r="E2425" s="607">
        <v>5.58</v>
      </c>
      <c r="F2425" s="607">
        <v>19.190000000000001</v>
      </c>
      <c r="G2425" s="584">
        <v>15</v>
      </c>
    </row>
    <row r="2426" spans="1:7" ht="30" x14ac:dyDescent="0.2">
      <c r="A2426" s="583" t="s">
        <v>16946</v>
      </c>
      <c r="B2426" s="605" t="s">
        <v>16947</v>
      </c>
      <c r="C2426" s="606" t="s">
        <v>12483</v>
      </c>
      <c r="D2426" s="607">
        <v>17.600000000000001</v>
      </c>
      <c r="E2426" s="607">
        <v>5.58</v>
      </c>
      <c r="F2426" s="607">
        <v>23.18</v>
      </c>
      <c r="G2426" s="584">
        <v>15</v>
      </c>
    </row>
    <row r="2427" spans="1:7" ht="15" x14ac:dyDescent="0.25">
      <c r="A2427" s="583" t="s">
        <v>16948</v>
      </c>
      <c r="B2427" s="605" t="s">
        <v>16949</v>
      </c>
      <c r="C2427" s="606"/>
      <c r="D2427" s="607"/>
      <c r="E2427" s="607"/>
      <c r="F2427" s="607"/>
      <c r="G2427" s="582"/>
    </row>
    <row r="2428" spans="1:7" ht="30" x14ac:dyDescent="0.2">
      <c r="A2428" s="583" t="s">
        <v>16950</v>
      </c>
      <c r="B2428" s="605" t="s">
        <v>16951</v>
      </c>
      <c r="C2428" s="606" t="s">
        <v>12483</v>
      </c>
      <c r="D2428" s="607">
        <v>4.9400000000000004</v>
      </c>
      <c r="E2428" s="607">
        <v>13.96</v>
      </c>
      <c r="F2428" s="607">
        <v>18.899999999999999</v>
      </c>
      <c r="G2428" s="584">
        <v>15</v>
      </c>
    </row>
    <row r="2429" spans="1:7" ht="30" x14ac:dyDescent="0.25">
      <c r="A2429" s="583" t="s">
        <v>16952</v>
      </c>
      <c r="B2429" s="605" t="s">
        <v>16953</v>
      </c>
      <c r="C2429" s="606"/>
      <c r="D2429" s="607"/>
      <c r="E2429" s="607"/>
      <c r="F2429" s="607"/>
      <c r="G2429" s="582"/>
    </row>
    <row r="2430" spans="1:7" ht="15" x14ac:dyDescent="0.25">
      <c r="A2430" s="583" t="s">
        <v>16954</v>
      </c>
      <c r="B2430" s="605" t="s">
        <v>16955</v>
      </c>
      <c r="C2430" s="606"/>
      <c r="D2430" s="607"/>
      <c r="E2430" s="607"/>
      <c r="F2430" s="607"/>
      <c r="G2430" s="582"/>
    </row>
    <row r="2431" spans="1:7" ht="15" x14ac:dyDescent="0.2">
      <c r="A2431" s="583" t="s">
        <v>16956</v>
      </c>
      <c r="B2431" s="605" t="s">
        <v>16957</v>
      </c>
      <c r="C2431" s="606" t="s">
        <v>20385</v>
      </c>
      <c r="D2431" s="607">
        <v>1.96</v>
      </c>
      <c r="E2431" s="607">
        <v>13.96</v>
      </c>
      <c r="F2431" s="607">
        <v>15.92</v>
      </c>
      <c r="G2431" s="584">
        <v>15</v>
      </c>
    </row>
    <row r="2432" spans="1:7" ht="15" x14ac:dyDescent="0.2">
      <c r="A2432" s="583" t="s">
        <v>16958</v>
      </c>
      <c r="B2432" s="605" t="s">
        <v>16959</v>
      </c>
      <c r="C2432" s="606" t="s">
        <v>20385</v>
      </c>
      <c r="D2432" s="607">
        <v>3.32</v>
      </c>
      <c r="E2432" s="607">
        <v>13.96</v>
      </c>
      <c r="F2432" s="607">
        <v>17.28</v>
      </c>
      <c r="G2432" s="584">
        <v>15</v>
      </c>
    </row>
    <row r="2433" spans="1:7" ht="15" x14ac:dyDescent="0.2">
      <c r="A2433" s="583" t="s">
        <v>16960</v>
      </c>
      <c r="B2433" s="605" t="s">
        <v>20384</v>
      </c>
      <c r="C2433" s="606" t="s">
        <v>20385</v>
      </c>
      <c r="D2433" s="607">
        <v>2.84</v>
      </c>
      <c r="E2433" s="607">
        <v>16.75</v>
      </c>
      <c r="F2433" s="607">
        <v>19.59</v>
      </c>
      <c r="G2433" s="584">
        <v>15</v>
      </c>
    </row>
    <row r="2434" spans="1:7" ht="15" x14ac:dyDescent="0.2">
      <c r="A2434" s="583" t="s">
        <v>16961</v>
      </c>
      <c r="B2434" s="605" t="s">
        <v>16962</v>
      </c>
      <c r="C2434" s="606" t="s">
        <v>20385</v>
      </c>
      <c r="D2434" s="607">
        <v>2</v>
      </c>
      <c r="E2434" s="607">
        <v>13.96</v>
      </c>
      <c r="F2434" s="607">
        <v>15.96</v>
      </c>
      <c r="G2434" s="584">
        <v>15</v>
      </c>
    </row>
    <row r="2435" spans="1:7" ht="15" x14ac:dyDescent="0.25">
      <c r="A2435" s="583" t="s">
        <v>16963</v>
      </c>
      <c r="B2435" s="605" t="s">
        <v>16964</v>
      </c>
      <c r="C2435" s="606"/>
      <c r="D2435" s="607"/>
      <c r="E2435" s="607"/>
      <c r="F2435" s="607"/>
      <c r="G2435" s="582"/>
    </row>
    <row r="2436" spans="1:7" ht="15" x14ac:dyDescent="0.2">
      <c r="A2436" s="583" t="s">
        <v>16965</v>
      </c>
      <c r="B2436" s="605" t="s">
        <v>16966</v>
      </c>
      <c r="C2436" s="606" t="s">
        <v>20385</v>
      </c>
      <c r="D2436" s="607">
        <v>42.55</v>
      </c>
      <c r="E2436" s="607">
        <v>44.67</v>
      </c>
      <c r="F2436" s="607">
        <v>87.22</v>
      </c>
      <c r="G2436" s="584">
        <v>15</v>
      </c>
    </row>
    <row r="2437" spans="1:7" ht="30" x14ac:dyDescent="0.2">
      <c r="A2437" s="583" t="s">
        <v>16967</v>
      </c>
      <c r="B2437" s="605" t="s">
        <v>16968</v>
      </c>
      <c r="C2437" s="606" t="s">
        <v>20385</v>
      </c>
      <c r="D2437" s="607">
        <v>15.91</v>
      </c>
      <c r="E2437" s="607">
        <v>16.75</v>
      </c>
      <c r="F2437" s="607">
        <v>32.659999999999997</v>
      </c>
      <c r="G2437" s="584">
        <v>15</v>
      </c>
    </row>
    <row r="2438" spans="1:7" ht="30" x14ac:dyDescent="0.2">
      <c r="A2438" s="583" t="s">
        <v>16969</v>
      </c>
      <c r="B2438" s="605" t="s">
        <v>16970</v>
      </c>
      <c r="C2438" s="606" t="s">
        <v>20385</v>
      </c>
      <c r="D2438" s="607">
        <v>18.239999999999998</v>
      </c>
      <c r="E2438" s="607">
        <v>16.75</v>
      </c>
      <c r="F2438" s="607">
        <v>34.99</v>
      </c>
      <c r="G2438" s="584">
        <v>15</v>
      </c>
    </row>
    <row r="2439" spans="1:7" ht="30" x14ac:dyDescent="0.2">
      <c r="A2439" s="583" t="s">
        <v>16971</v>
      </c>
      <c r="B2439" s="605" t="s">
        <v>166</v>
      </c>
      <c r="C2439" s="606" t="s">
        <v>20385</v>
      </c>
      <c r="D2439" s="607">
        <v>29.82</v>
      </c>
      <c r="E2439" s="607">
        <v>16.75</v>
      </c>
      <c r="F2439" s="607">
        <v>46.57</v>
      </c>
      <c r="G2439" s="584">
        <v>15</v>
      </c>
    </row>
    <row r="2440" spans="1:7" ht="30" x14ac:dyDescent="0.2">
      <c r="A2440" s="583" t="s">
        <v>16972</v>
      </c>
      <c r="B2440" s="605" t="s">
        <v>167</v>
      </c>
      <c r="C2440" s="606" t="s">
        <v>20385</v>
      </c>
      <c r="D2440" s="607">
        <v>56.87</v>
      </c>
      <c r="E2440" s="607">
        <v>22.33</v>
      </c>
      <c r="F2440" s="607">
        <v>79.2</v>
      </c>
      <c r="G2440" s="584">
        <v>15</v>
      </c>
    </row>
    <row r="2441" spans="1:7" ht="30" x14ac:dyDescent="0.2">
      <c r="A2441" s="583" t="s">
        <v>16973</v>
      </c>
      <c r="B2441" s="605" t="s">
        <v>168</v>
      </c>
      <c r="C2441" s="606" t="s">
        <v>20385</v>
      </c>
      <c r="D2441" s="607">
        <v>135.58000000000001</v>
      </c>
      <c r="E2441" s="607">
        <v>22.33</v>
      </c>
      <c r="F2441" s="607">
        <v>157.91</v>
      </c>
      <c r="G2441" s="584">
        <v>15</v>
      </c>
    </row>
    <row r="2442" spans="1:7" ht="30" x14ac:dyDescent="0.2">
      <c r="A2442" s="583" t="s">
        <v>16974</v>
      </c>
      <c r="B2442" s="605" t="s">
        <v>169</v>
      </c>
      <c r="C2442" s="606" t="s">
        <v>20385</v>
      </c>
      <c r="D2442" s="607">
        <v>181.4</v>
      </c>
      <c r="E2442" s="607">
        <v>27.92</v>
      </c>
      <c r="F2442" s="607">
        <v>209.32</v>
      </c>
      <c r="G2442" s="584">
        <v>15</v>
      </c>
    </row>
    <row r="2443" spans="1:7" ht="30" x14ac:dyDescent="0.2">
      <c r="A2443" s="583" t="s">
        <v>16975</v>
      </c>
      <c r="B2443" s="605" t="s">
        <v>170</v>
      </c>
      <c r="C2443" s="606" t="s">
        <v>20385</v>
      </c>
      <c r="D2443" s="607">
        <v>168.27</v>
      </c>
      <c r="E2443" s="607">
        <v>16.75</v>
      </c>
      <c r="F2443" s="607">
        <v>185.02</v>
      </c>
      <c r="G2443" s="584">
        <v>15</v>
      </c>
    </row>
    <row r="2444" spans="1:7" ht="30" x14ac:dyDescent="0.2">
      <c r="A2444" s="583" t="s">
        <v>16976</v>
      </c>
      <c r="B2444" s="605" t="s">
        <v>171</v>
      </c>
      <c r="C2444" s="606" t="s">
        <v>20385</v>
      </c>
      <c r="D2444" s="607">
        <v>562.73</v>
      </c>
      <c r="E2444" s="607">
        <v>16.75</v>
      </c>
      <c r="F2444" s="607">
        <v>579.48</v>
      </c>
      <c r="G2444" s="584">
        <v>15</v>
      </c>
    </row>
    <row r="2445" spans="1:7" ht="30" x14ac:dyDescent="0.2">
      <c r="A2445" s="583" t="s">
        <v>16977</v>
      </c>
      <c r="B2445" s="605" t="s">
        <v>172</v>
      </c>
      <c r="C2445" s="606" t="s">
        <v>20385</v>
      </c>
      <c r="D2445" s="607">
        <v>820.75</v>
      </c>
      <c r="E2445" s="607">
        <v>16.75</v>
      </c>
      <c r="F2445" s="607">
        <v>837.5</v>
      </c>
      <c r="G2445" s="584">
        <v>15</v>
      </c>
    </row>
    <row r="2446" spans="1:7" ht="30" x14ac:dyDescent="0.2">
      <c r="A2446" s="583" t="s">
        <v>16978</v>
      </c>
      <c r="B2446" s="605" t="s">
        <v>173</v>
      </c>
      <c r="C2446" s="606" t="s">
        <v>20385</v>
      </c>
      <c r="D2446" s="607">
        <v>1767.42</v>
      </c>
      <c r="E2446" s="607">
        <v>22.33</v>
      </c>
      <c r="F2446" s="607">
        <v>1789.75</v>
      </c>
      <c r="G2446" s="584">
        <v>15</v>
      </c>
    </row>
    <row r="2447" spans="1:7" ht="30" x14ac:dyDescent="0.2">
      <c r="A2447" s="583" t="s">
        <v>16979</v>
      </c>
      <c r="B2447" s="605" t="s">
        <v>16980</v>
      </c>
      <c r="C2447" s="606" t="s">
        <v>20385</v>
      </c>
      <c r="D2447" s="607">
        <v>24.76</v>
      </c>
      <c r="E2447" s="607">
        <v>16.75</v>
      </c>
      <c r="F2447" s="607">
        <v>41.51</v>
      </c>
      <c r="G2447" s="584">
        <v>15</v>
      </c>
    </row>
    <row r="2448" spans="1:7" ht="30" x14ac:dyDescent="0.2">
      <c r="A2448" s="583" t="s">
        <v>16981</v>
      </c>
      <c r="B2448" s="605" t="s">
        <v>16982</v>
      </c>
      <c r="C2448" s="606" t="s">
        <v>20385</v>
      </c>
      <c r="D2448" s="607">
        <v>78.27</v>
      </c>
      <c r="E2448" s="607">
        <v>16.75</v>
      </c>
      <c r="F2448" s="607">
        <v>95.02</v>
      </c>
      <c r="G2448" s="584">
        <v>15</v>
      </c>
    </row>
    <row r="2449" spans="1:7" ht="30" x14ac:dyDescent="0.2">
      <c r="A2449" s="583" t="s">
        <v>16983</v>
      </c>
      <c r="B2449" s="605" t="s">
        <v>16984</v>
      </c>
      <c r="C2449" s="606" t="s">
        <v>20385</v>
      </c>
      <c r="D2449" s="607">
        <v>205.79</v>
      </c>
      <c r="E2449" s="607">
        <v>22.33</v>
      </c>
      <c r="F2449" s="607">
        <v>228.12</v>
      </c>
      <c r="G2449" s="584">
        <v>15</v>
      </c>
    </row>
    <row r="2450" spans="1:7" ht="15" x14ac:dyDescent="0.25">
      <c r="A2450" s="583" t="s">
        <v>16985</v>
      </c>
      <c r="B2450" s="605" t="s">
        <v>16986</v>
      </c>
      <c r="C2450" s="606"/>
      <c r="D2450" s="607"/>
      <c r="E2450" s="607"/>
      <c r="F2450" s="607"/>
      <c r="G2450" s="582"/>
    </row>
    <row r="2451" spans="1:7" ht="15" x14ac:dyDescent="0.2">
      <c r="A2451" s="583" t="s">
        <v>16987</v>
      </c>
      <c r="B2451" s="605" t="s">
        <v>16988</v>
      </c>
      <c r="C2451" s="606" t="s">
        <v>21478</v>
      </c>
      <c r="D2451" s="607">
        <v>26.4</v>
      </c>
      <c r="E2451" s="607">
        <v>16.75</v>
      </c>
      <c r="F2451" s="607">
        <v>43.15</v>
      </c>
      <c r="G2451" s="584">
        <v>15</v>
      </c>
    </row>
    <row r="2452" spans="1:7" ht="15" x14ac:dyDescent="0.2">
      <c r="A2452" s="583" t="s">
        <v>16989</v>
      </c>
      <c r="B2452" s="605" t="s">
        <v>16990</v>
      </c>
      <c r="C2452" s="606" t="s">
        <v>20385</v>
      </c>
      <c r="D2452" s="607">
        <v>29.33</v>
      </c>
      <c r="E2452" s="607">
        <v>16.75</v>
      </c>
      <c r="F2452" s="607">
        <v>46.08</v>
      </c>
      <c r="G2452" s="584">
        <v>15</v>
      </c>
    </row>
    <row r="2453" spans="1:7" ht="15" x14ac:dyDescent="0.2">
      <c r="A2453" s="583" t="s">
        <v>16991</v>
      </c>
      <c r="B2453" s="605" t="s">
        <v>16992</v>
      </c>
      <c r="C2453" s="606" t="s">
        <v>20385</v>
      </c>
      <c r="D2453" s="607">
        <v>67.400000000000006</v>
      </c>
      <c r="E2453" s="607">
        <v>16.75</v>
      </c>
      <c r="F2453" s="607">
        <v>84.15</v>
      </c>
      <c r="G2453" s="584">
        <v>15</v>
      </c>
    </row>
    <row r="2454" spans="1:7" ht="15" x14ac:dyDescent="0.2">
      <c r="A2454" s="583" t="s">
        <v>16993</v>
      </c>
      <c r="B2454" s="605" t="s">
        <v>16994</v>
      </c>
      <c r="C2454" s="606" t="s">
        <v>21478</v>
      </c>
      <c r="D2454" s="607">
        <v>272.77999999999997</v>
      </c>
      <c r="E2454" s="607">
        <v>16.75</v>
      </c>
      <c r="F2454" s="607">
        <v>289.52999999999997</v>
      </c>
      <c r="G2454" s="584">
        <v>15</v>
      </c>
    </row>
    <row r="2455" spans="1:7" ht="15" x14ac:dyDescent="0.2">
      <c r="A2455" s="583" t="s">
        <v>16995</v>
      </c>
      <c r="B2455" s="605" t="s">
        <v>16996</v>
      </c>
      <c r="C2455" s="606" t="s">
        <v>21478</v>
      </c>
      <c r="D2455" s="607">
        <v>277.63</v>
      </c>
      <c r="E2455" s="607">
        <v>16.75</v>
      </c>
      <c r="F2455" s="607">
        <v>294.38</v>
      </c>
      <c r="G2455" s="584">
        <v>15</v>
      </c>
    </row>
    <row r="2456" spans="1:7" ht="30" x14ac:dyDescent="0.2">
      <c r="A2456" s="583" t="s">
        <v>16997</v>
      </c>
      <c r="B2456" s="605" t="s">
        <v>16998</v>
      </c>
      <c r="C2456" s="606" t="s">
        <v>21478</v>
      </c>
      <c r="D2456" s="607">
        <v>19.98</v>
      </c>
      <c r="E2456" s="607">
        <v>16.75</v>
      </c>
      <c r="F2456" s="607">
        <v>36.729999999999997</v>
      </c>
      <c r="G2456" s="584">
        <v>15</v>
      </c>
    </row>
    <row r="2457" spans="1:7" ht="15" x14ac:dyDescent="0.2">
      <c r="A2457" s="583" t="s">
        <v>16999</v>
      </c>
      <c r="B2457" s="605" t="s">
        <v>17000</v>
      </c>
      <c r="C2457" s="606" t="s">
        <v>21478</v>
      </c>
      <c r="D2457" s="607">
        <v>333.38</v>
      </c>
      <c r="E2457" s="607">
        <v>16.75</v>
      </c>
      <c r="F2457" s="607">
        <v>350.13</v>
      </c>
      <c r="G2457" s="584">
        <v>15</v>
      </c>
    </row>
    <row r="2458" spans="1:7" ht="30" x14ac:dyDescent="0.2">
      <c r="A2458" s="583" t="s">
        <v>17001</v>
      </c>
      <c r="B2458" s="605" t="s">
        <v>17002</v>
      </c>
      <c r="C2458" s="606" t="s">
        <v>20385</v>
      </c>
      <c r="D2458" s="607">
        <v>23.17</v>
      </c>
      <c r="E2458" s="607">
        <v>16.75</v>
      </c>
      <c r="F2458" s="607">
        <v>39.92</v>
      </c>
      <c r="G2458" s="584">
        <v>15</v>
      </c>
    </row>
    <row r="2459" spans="1:7" ht="15" x14ac:dyDescent="0.2">
      <c r="A2459" s="583" t="s">
        <v>17003</v>
      </c>
      <c r="B2459" s="605" t="s">
        <v>17004</v>
      </c>
      <c r="C2459" s="606" t="s">
        <v>21478</v>
      </c>
      <c r="D2459" s="607">
        <v>12.84</v>
      </c>
      <c r="E2459" s="607">
        <v>16.75</v>
      </c>
      <c r="F2459" s="607">
        <v>29.59</v>
      </c>
      <c r="G2459" s="584">
        <v>15</v>
      </c>
    </row>
    <row r="2460" spans="1:7" ht="15" x14ac:dyDescent="0.2">
      <c r="A2460" s="583" t="s">
        <v>17005</v>
      </c>
      <c r="B2460" s="605" t="s">
        <v>17006</v>
      </c>
      <c r="C2460" s="606" t="s">
        <v>21478</v>
      </c>
      <c r="D2460" s="607">
        <v>13.92</v>
      </c>
      <c r="E2460" s="607">
        <v>16.75</v>
      </c>
      <c r="F2460" s="607">
        <v>30.67</v>
      </c>
      <c r="G2460" s="584">
        <v>15</v>
      </c>
    </row>
    <row r="2461" spans="1:7" ht="15" x14ac:dyDescent="0.2">
      <c r="A2461" s="583" t="s">
        <v>17007</v>
      </c>
      <c r="B2461" s="605" t="s">
        <v>17008</v>
      </c>
      <c r="C2461" s="606" t="s">
        <v>21478</v>
      </c>
      <c r="D2461" s="607">
        <v>32.770000000000003</v>
      </c>
      <c r="E2461" s="607">
        <v>16.75</v>
      </c>
      <c r="F2461" s="607">
        <v>49.52</v>
      </c>
      <c r="G2461" s="584">
        <v>15</v>
      </c>
    </row>
    <row r="2462" spans="1:7" ht="30" x14ac:dyDescent="0.2">
      <c r="A2462" s="583" t="s">
        <v>17009</v>
      </c>
      <c r="B2462" s="605" t="s">
        <v>17010</v>
      </c>
      <c r="C2462" s="606" t="s">
        <v>21478</v>
      </c>
      <c r="D2462" s="607">
        <v>27.15</v>
      </c>
      <c r="E2462" s="607">
        <v>16.75</v>
      </c>
      <c r="F2462" s="607">
        <v>43.9</v>
      </c>
      <c r="G2462" s="584">
        <v>15</v>
      </c>
    </row>
    <row r="2463" spans="1:7" ht="30" x14ac:dyDescent="0.2">
      <c r="A2463" s="583" t="s">
        <v>17011</v>
      </c>
      <c r="B2463" s="605" t="s">
        <v>17012</v>
      </c>
      <c r="C2463" s="606" t="s">
        <v>21478</v>
      </c>
      <c r="D2463" s="607">
        <v>26.02</v>
      </c>
      <c r="E2463" s="607">
        <v>16.75</v>
      </c>
      <c r="F2463" s="607">
        <v>42.77</v>
      </c>
      <c r="G2463" s="584">
        <v>15</v>
      </c>
    </row>
    <row r="2464" spans="1:7" ht="30" x14ac:dyDescent="0.2">
      <c r="A2464" s="583" t="s">
        <v>20209</v>
      </c>
      <c r="B2464" s="605" t="s">
        <v>20210</v>
      </c>
      <c r="C2464" s="606" t="s">
        <v>21478</v>
      </c>
      <c r="D2464" s="607">
        <v>37.04</v>
      </c>
      <c r="E2464" s="607">
        <v>20.65</v>
      </c>
      <c r="F2464" s="607">
        <v>57.69</v>
      </c>
      <c r="G2464" s="584">
        <v>15</v>
      </c>
    </row>
    <row r="2465" spans="1:7" ht="15" x14ac:dyDescent="0.25">
      <c r="A2465" s="583" t="s">
        <v>17013</v>
      </c>
      <c r="B2465" s="605" t="s">
        <v>17014</v>
      </c>
      <c r="C2465" s="606"/>
      <c r="D2465" s="607"/>
      <c r="E2465" s="607"/>
      <c r="F2465" s="607"/>
      <c r="G2465" s="582"/>
    </row>
    <row r="2466" spans="1:7" ht="15" x14ac:dyDescent="0.2">
      <c r="A2466" s="583" t="s">
        <v>17015</v>
      </c>
      <c r="B2466" s="605" t="s">
        <v>17016</v>
      </c>
      <c r="C2466" s="606" t="s">
        <v>21478</v>
      </c>
      <c r="D2466" s="607">
        <v>14.32</v>
      </c>
      <c r="E2466" s="607">
        <v>18.98</v>
      </c>
      <c r="F2466" s="607">
        <v>33.299999999999997</v>
      </c>
      <c r="G2466" s="584">
        <v>15</v>
      </c>
    </row>
    <row r="2467" spans="1:7" ht="15" x14ac:dyDescent="0.2">
      <c r="A2467" s="583" t="s">
        <v>17017</v>
      </c>
      <c r="B2467" s="605" t="s">
        <v>17018</v>
      </c>
      <c r="C2467" s="606" t="s">
        <v>21478</v>
      </c>
      <c r="D2467" s="607">
        <v>24.66</v>
      </c>
      <c r="E2467" s="607">
        <v>19.54</v>
      </c>
      <c r="F2467" s="607">
        <v>44.2</v>
      </c>
      <c r="G2467" s="584">
        <v>15</v>
      </c>
    </row>
    <row r="2468" spans="1:7" ht="15" x14ac:dyDescent="0.2">
      <c r="A2468" s="583" t="s">
        <v>17019</v>
      </c>
      <c r="B2468" s="605" t="s">
        <v>17020</v>
      </c>
      <c r="C2468" s="606" t="s">
        <v>21478</v>
      </c>
      <c r="D2468" s="607">
        <v>26.91</v>
      </c>
      <c r="E2468" s="607">
        <v>27.92</v>
      </c>
      <c r="F2468" s="607">
        <v>54.83</v>
      </c>
      <c r="G2468" s="584">
        <v>15</v>
      </c>
    </row>
    <row r="2469" spans="1:7" ht="15" x14ac:dyDescent="0.2">
      <c r="A2469" s="583" t="s">
        <v>17021</v>
      </c>
      <c r="B2469" s="605" t="s">
        <v>17022</v>
      </c>
      <c r="C2469" s="606" t="s">
        <v>21478</v>
      </c>
      <c r="D2469" s="607">
        <v>18.64</v>
      </c>
      <c r="E2469" s="607">
        <v>15.07</v>
      </c>
      <c r="F2469" s="607">
        <v>33.71</v>
      </c>
      <c r="G2469" s="584">
        <v>15</v>
      </c>
    </row>
    <row r="2470" spans="1:7" ht="15" x14ac:dyDescent="0.2">
      <c r="A2470" s="583" t="s">
        <v>17023</v>
      </c>
      <c r="B2470" s="605" t="s">
        <v>17024</v>
      </c>
      <c r="C2470" s="606" t="s">
        <v>21478</v>
      </c>
      <c r="D2470" s="607">
        <v>12.87</v>
      </c>
      <c r="E2470" s="607">
        <v>25.12</v>
      </c>
      <c r="F2470" s="607">
        <v>37.99</v>
      </c>
      <c r="G2470" s="584">
        <v>15</v>
      </c>
    </row>
    <row r="2471" spans="1:7" ht="15" x14ac:dyDescent="0.2">
      <c r="A2471" s="583" t="s">
        <v>17025</v>
      </c>
      <c r="B2471" s="605" t="s">
        <v>17026</v>
      </c>
      <c r="C2471" s="606" t="s">
        <v>21478</v>
      </c>
      <c r="D2471" s="607">
        <v>23.73</v>
      </c>
      <c r="E2471" s="607">
        <v>21.22</v>
      </c>
      <c r="F2471" s="607">
        <v>44.95</v>
      </c>
      <c r="G2471" s="584">
        <v>15</v>
      </c>
    </row>
    <row r="2472" spans="1:7" ht="15" x14ac:dyDescent="0.2">
      <c r="A2472" s="583" t="s">
        <v>17027</v>
      </c>
      <c r="B2472" s="605" t="s">
        <v>17028</v>
      </c>
      <c r="C2472" s="606" t="s">
        <v>21478</v>
      </c>
      <c r="D2472" s="607">
        <v>12.63</v>
      </c>
      <c r="E2472" s="607">
        <v>25.12</v>
      </c>
      <c r="F2472" s="607">
        <v>37.75</v>
      </c>
      <c r="G2472" s="584">
        <v>15</v>
      </c>
    </row>
    <row r="2473" spans="1:7" ht="15" x14ac:dyDescent="0.2">
      <c r="A2473" s="583" t="s">
        <v>17029</v>
      </c>
      <c r="B2473" s="605" t="s">
        <v>17030</v>
      </c>
      <c r="C2473" s="606" t="s">
        <v>21478</v>
      </c>
      <c r="D2473" s="607">
        <v>19.5</v>
      </c>
      <c r="E2473" s="607">
        <v>27.92</v>
      </c>
      <c r="F2473" s="607">
        <v>47.42</v>
      </c>
      <c r="G2473" s="584">
        <v>15</v>
      </c>
    </row>
    <row r="2474" spans="1:7" ht="15" x14ac:dyDescent="0.2">
      <c r="A2474" s="583" t="s">
        <v>17031</v>
      </c>
      <c r="B2474" s="605" t="s">
        <v>17032</v>
      </c>
      <c r="C2474" s="606" t="s">
        <v>21478</v>
      </c>
      <c r="D2474" s="607">
        <v>53.79</v>
      </c>
      <c r="E2474" s="607">
        <v>19.54</v>
      </c>
      <c r="F2474" s="607">
        <v>73.33</v>
      </c>
      <c r="G2474" s="584">
        <v>15</v>
      </c>
    </row>
    <row r="2475" spans="1:7" ht="15" x14ac:dyDescent="0.2">
      <c r="A2475" s="583" t="s">
        <v>17033</v>
      </c>
      <c r="B2475" s="605" t="s">
        <v>17034</v>
      </c>
      <c r="C2475" s="606" t="s">
        <v>21478</v>
      </c>
      <c r="D2475" s="607">
        <v>45.82</v>
      </c>
      <c r="E2475" s="607">
        <v>19.54</v>
      </c>
      <c r="F2475" s="607">
        <v>65.36</v>
      </c>
      <c r="G2475" s="584">
        <v>15</v>
      </c>
    </row>
    <row r="2476" spans="1:7" ht="15" x14ac:dyDescent="0.2">
      <c r="A2476" s="583" t="s">
        <v>17035</v>
      </c>
      <c r="B2476" s="605" t="s">
        <v>17036</v>
      </c>
      <c r="C2476" s="606" t="s">
        <v>21478</v>
      </c>
      <c r="D2476" s="607">
        <v>18.420000000000002</v>
      </c>
      <c r="E2476" s="607">
        <v>13.96</v>
      </c>
      <c r="F2476" s="607">
        <v>32.380000000000003</v>
      </c>
      <c r="G2476" s="584">
        <v>15</v>
      </c>
    </row>
    <row r="2477" spans="1:7" ht="15" x14ac:dyDescent="0.2">
      <c r="A2477" s="583" t="s">
        <v>17037</v>
      </c>
      <c r="B2477" s="605" t="s">
        <v>21425</v>
      </c>
      <c r="C2477" s="606" t="s">
        <v>21478</v>
      </c>
      <c r="D2477" s="607">
        <v>54.76</v>
      </c>
      <c r="E2477" s="607">
        <v>21.22</v>
      </c>
      <c r="F2477" s="607">
        <v>75.98</v>
      </c>
      <c r="G2477" s="584">
        <v>15</v>
      </c>
    </row>
    <row r="2478" spans="1:7" ht="30" x14ac:dyDescent="0.2">
      <c r="A2478" s="583" t="s">
        <v>17038</v>
      </c>
      <c r="B2478" s="605" t="s">
        <v>17039</v>
      </c>
      <c r="C2478" s="606" t="s">
        <v>20385</v>
      </c>
      <c r="D2478" s="607">
        <v>35.229999999999997</v>
      </c>
      <c r="E2478" s="607">
        <v>16.75</v>
      </c>
      <c r="F2478" s="607">
        <v>51.98</v>
      </c>
      <c r="G2478" s="584">
        <v>15</v>
      </c>
    </row>
    <row r="2479" spans="1:7" ht="30" x14ac:dyDescent="0.2">
      <c r="A2479" s="583" t="s">
        <v>17040</v>
      </c>
      <c r="B2479" s="605" t="s">
        <v>17041</v>
      </c>
      <c r="C2479" s="606" t="s">
        <v>20385</v>
      </c>
      <c r="D2479" s="607">
        <v>99.27</v>
      </c>
      <c r="E2479" s="607">
        <v>27.92</v>
      </c>
      <c r="F2479" s="607">
        <v>127.19</v>
      </c>
      <c r="G2479" s="584">
        <v>15</v>
      </c>
    </row>
    <row r="2480" spans="1:7" ht="15" x14ac:dyDescent="0.25">
      <c r="A2480" s="583" t="s">
        <v>17042</v>
      </c>
      <c r="B2480" s="605" t="s">
        <v>17043</v>
      </c>
      <c r="C2480" s="606"/>
      <c r="D2480" s="607"/>
      <c r="E2480" s="607"/>
      <c r="F2480" s="607"/>
      <c r="G2480" s="582"/>
    </row>
    <row r="2481" spans="1:7" ht="15" x14ac:dyDescent="0.2">
      <c r="A2481" s="583" t="s">
        <v>17044</v>
      </c>
      <c r="B2481" s="605" t="s">
        <v>17045</v>
      </c>
      <c r="C2481" s="606" t="s">
        <v>21478</v>
      </c>
      <c r="D2481" s="607">
        <v>14.49</v>
      </c>
      <c r="E2481" s="607">
        <v>27.92</v>
      </c>
      <c r="F2481" s="607">
        <v>42.41</v>
      </c>
      <c r="G2481" s="584">
        <v>15</v>
      </c>
    </row>
    <row r="2482" spans="1:7" ht="15" x14ac:dyDescent="0.2">
      <c r="A2482" s="583" t="s">
        <v>17046</v>
      </c>
      <c r="B2482" s="605" t="s">
        <v>17047</v>
      </c>
      <c r="C2482" s="606" t="s">
        <v>21478</v>
      </c>
      <c r="D2482" s="607">
        <v>23.04</v>
      </c>
      <c r="E2482" s="607">
        <v>27.92</v>
      </c>
      <c r="F2482" s="607">
        <v>50.96</v>
      </c>
      <c r="G2482" s="584">
        <v>15</v>
      </c>
    </row>
    <row r="2483" spans="1:7" ht="15" x14ac:dyDescent="0.2">
      <c r="A2483" s="583" t="s">
        <v>17048</v>
      </c>
      <c r="B2483" s="605" t="s">
        <v>17049</v>
      </c>
      <c r="C2483" s="606" t="s">
        <v>21478</v>
      </c>
      <c r="D2483" s="607">
        <v>43.22</v>
      </c>
      <c r="E2483" s="607">
        <v>27.92</v>
      </c>
      <c r="F2483" s="607">
        <v>71.14</v>
      </c>
      <c r="G2483" s="584">
        <v>15</v>
      </c>
    </row>
    <row r="2484" spans="1:7" ht="15" x14ac:dyDescent="0.2">
      <c r="A2484" s="583" t="s">
        <v>17050</v>
      </c>
      <c r="B2484" s="605" t="s">
        <v>17051</v>
      </c>
      <c r="C2484" s="606" t="s">
        <v>21478</v>
      </c>
      <c r="D2484" s="607">
        <v>54.07</v>
      </c>
      <c r="E2484" s="607">
        <v>27.92</v>
      </c>
      <c r="F2484" s="607">
        <v>81.99</v>
      </c>
      <c r="G2484" s="584">
        <v>15</v>
      </c>
    </row>
    <row r="2485" spans="1:7" ht="15" x14ac:dyDescent="0.2">
      <c r="A2485" s="583" t="s">
        <v>17052</v>
      </c>
      <c r="B2485" s="605" t="s">
        <v>17053</v>
      </c>
      <c r="C2485" s="606" t="s">
        <v>21478</v>
      </c>
      <c r="D2485" s="607">
        <v>73.760000000000005</v>
      </c>
      <c r="E2485" s="607">
        <v>27.92</v>
      </c>
      <c r="F2485" s="607">
        <v>101.68</v>
      </c>
      <c r="G2485" s="584">
        <v>15</v>
      </c>
    </row>
    <row r="2486" spans="1:7" ht="15" x14ac:dyDescent="0.2">
      <c r="A2486" s="583" t="s">
        <v>17054</v>
      </c>
      <c r="B2486" s="605" t="s">
        <v>17055</v>
      </c>
      <c r="C2486" s="606" t="s">
        <v>21478</v>
      </c>
      <c r="D2486" s="607">
        <v>219.66</v>
      </c>
      <c r="E2486" s="607">
        <v>27.92</v>
      </c>
      <c r="F2486" s="607">
        <v>247.58</v>
      </c>
      <c r="G2486" s="584">
        <v>15</v>
      </c>
    </row>
    <row r="2487" spans="1:7" ht="15" x14ac:dyDescent="0.2">
      <c r="A2487" s="583" t="s">
        <v>17056</v>
      </c>
      <c r="B2487" s="605" t="s">
        <v>17057</v>
      </c>
      <c r="C2487" s="606" t="s">
        <v>21478</v>
      </c>
      <c r="D2487" s="607">
        <v>271.83999999999997</v>
      </c>
      <c r="E2487" s="607">
        <v>27.92</v>
      </c>
      <c r="F2487" s="607">
        <v>299.76</v>
      </c>
      <c r="G2487" s="584">
        <v>15</v>
      </c>
    </row>
    <row r="2488" spans="1:7" ht="15" x14ac:dyDescent="0.2">
      <c r="A2488" s="583" t="s">
        <v>17058</v>
      </c>
      <c r="B2488" s="605" t="s">
        <v>17059</v>
      </c>
      <c r="C2488" s="606" t="s">
        <v>21478</v>
      </c>
      <c r="D2488" s="607">
        <v>400.46</v>
      </c>
      <c r="E2488" s="607">
        <v>27.92</v>
      </c>
      <c r="F2488" s="607">
        <v>428.38</v>
      </c>
      <c r="G2488" s="584">
        <v>15</v>
      </c>
    </row>
    <row r="2489" spans="1:7" ht="15" x14ac:dyDescent="0.2">
      <c r="A2489" s="583" t="s">
        <v>17060</v>
      </c>
      <c r="B2489" s="605" t="s">
        <v>17061</v>
      </c>
      <c r="C2489" s="606" t="s">
        <v>21478</v>
      </c>
      <c r="D2489" s="607">
        <v>18.72</v>
      </c>
      <c r="E2489" s="607">
        <v>27.92</v>
      </c>
      <c r="F2489" s="607">
        <v>46.64</v>
      </c>
      <c r="G2489" s="584">
        <v>15</v>
      </c>
    </row>
    <row r="2490" spans="1:7" ht="15" x14ac:dyDescent="0.25">
      <c r="A2490" s="583" t="s">
        <v>17062</v>
      </c>
      <c r="B2490" s="605" t="s">
        <v>17063</v>
      </c>
      <c r="C2490" s="606"/>
      <c r="D2490" s="607"/>
      <c r="E2490" s="607"/>
      <c r="F2490" s="607"/>
      <c r="G2490" s="582"/>
    </row>
    <row r="2491" spans="1:7" ht="15" x14ac:dyDescent="0.2">
      <c r="A2491" s="583" t="s">
        <v>17064</v>
      </c>
      <c r="B2491" s="605" t="s">
        <v>17065</v>
      </c>
      <c r="C2491" s="606" t="s">
        <v>20385</v>
      </c>
      <c r="D2491" s="607">
        <v>3.49</v>
      </c>
      <c r="E2491" s="607">
        <v>13.96</v>
      </c>
      <c r="F2491" s="607">
        <v>17.45</v>
      </c>
      <c r="G2491" s="584">
        <v>15</v>
      </c>
    </row>
    <row r="2492" spans="1:7" ht="15" x14ac:dyDescent="0.2">
      <c r="A2492" s="583" t="s">
        <v>17066</v>
      </c>
      <c r="B2492" s="605" t="s">
        <v>17067</v>
      </c>
      <c r="C2492" s="606" t="s">
        <v>20385</v>
      </c>
      <c r="D2492" s="607">
        <v>6.82</v>
      </c>
      <c r="E2492" s="607">
        <v>13.96</v>
      </c>
      <c r="F2492" s="607">
        <v>20.78</v>
      </c>
      <c r="G2492" s="584">
        <v>15</v>
      </c>
    </row>
    <row r="2493" spans="1:7" ht="15" x14ac:dyDescent="0.2">
      <c r="A2493" s="583" t="s">
        <v>17068</v>
      </c>
      <c r="B2493" s="605" t="s">
        <v>17069</v>
      </c>
      <c r="C2493" s="606" t="s">
        <v>20385</v>
      </c>
      <c r="D2493" s="607">
        <v>8.32</v>
      </c>
      <c r="E2493" s="607">
        <v>13.96</v>
      </c>
      <c r="F2493" s="607">
        <v>22.28</v>
      </c>
      <c r="G2493" s="584">
        <v>15</v>
      </c>
    </row>
    <row r="2494" spans="1:7" ht="15" x14ac:dyDescent="0.25">
      <c r="A2494" s="583" t="s">
        <v>17070</v>
      </c>
      <c r="B2494" s="605" t="s">
        <v>17071</v>
      </c>
      <c r="C2494" s="606"/>
      <c r="D2494" s="607"/>
      <c r="E2494" s="607"/>
      <c r="F2494" s="607"/>
      <c r="G2494" s="582"/>
    </row>
    <row r="2495" spans="1:7" ht="15" x14ac:dyDescent="0.2">
      <c r="A2495" s="583" t="s">
        <v>17072</v>
      </c>
      <c r="B2495" s="605" t="s">
        <v>17073</v>
      </c>
      <c r="C2495" s="606" t="s">
        <v>20385</v>
      </c>
      <c r="D2495" s="607">
        <v>286.31</v>
      </c>
      <c r="E2495" s="607">
        <v>27.92</v>
      </c>
      <c r="F2495" s="607">
        <v>314.23</v>
      </c>
      <c r="G2495" s="584">
        <v>15</v>
      </c>
    </row>
    <row r="2496" spans="1:7" ht="15" x14ac:dyDescent="0.2">
      <c r="A2496" s="583" t="s">
        <v>17074</v>
      </c>
      <c r="B2496" s="605" t="s">
        <v>17075</v>
      </c>
      <c r="C2496" s="606" t="s">
        <v>20385</v>
      </c>
      <c r="D2496" s="607">
        <v>287.99</v>
      </c>
      <c r="E2496" s="607">
        <v>27.92</v>
      </c>
      <c r="F2496" s="607">
        <v>315.91000000000003</v>
      </c>
      <c r="G2496" s="584">
        <v>15</v>
      </c>
    </row>
    <row r="2497" spans="1:7" ht="15" x14ac:dyDescent="0.2">
      <c r="A2497" s="583" t="s">
        <v>17076</v>
      </c>
      <c r="B2497" s="605" t="s">
        <v>17077</v>
      </c>
      <c r="C2497" s="606" t="s">
        <v>20385</v>
      </c>
      <c r="D2497" s="607">
        <v>308.68</v>
      </c>
      <c r="E2497" s="607">
        <v>27.92</v>
      </c>
      <c r="F2497" s="607">
        <v>336.6</v>
      </c>
      <c r="G2497" s="584">
        <v>15</v>
      </c>
    </row>
    <row r="2498" spans="1:7" ht="15" x14ac:dyDescent="0.2">
      <c r="A2498" s="583" t="s">
        <v>17078</v>
      </c>
      <c r="B2498" s="605" t="s">
        <v>17079</v>
      </c>
      <c r="C2498" s="606" t="s">
        <v>20385</v>
      </c>
      <c r="D2498" s="607">
        <v>196.48</v>
      </c>
      <c r="E2498" s="607">
        <v>27.92</v>
      </c>
      <c r="F2498" s="607">
        <v>224.4</v>
      </c>
      <c r="G2498" s="584">
        <v>15</v>
      </c>
    </row>
    <row r="2499" spans="1:7" ht="15" x14ac:dyDescent="0.2">
      <c r="A2499" s="583" t="s">
        <v>17080</v>
      </c>
      <c r="B2499" s="605" t="s">
        <v>17081</v>
      </c>
      <c r="C2499" s="606" t="s">
        <v>20385</v>
      </c>
      <c r="D2499" s="607">
        <v>346.97</v>
      </c>
      <c r="E2499" s="607">
        <v>27.92</v>
      </c>
      <c r="F2499" s="607">
        <v>374.89</v>
      </c>
      <c r="G2499" s="584">
        <v>15</v>
      </c>
    </row>
    <row r="2500" spans="1:7" ht="15" x14ac:dyDescent="0.2">
      <c r="A2500" s="583" t="s">
        <v>17082</v>
      </c>
      <c r="B2500" s="605" t="s">
        <v>17083</v>
      </c>
      <c r="C2500" s="606" t="s">
        <v>20385</v>
      </c>
      <c r="D2500" s="607">
        <v>575.36</v>
      </c>
      <c r="E2500" s="607">
        <v>27.92</v>
      </c>
      <c r="F2500" s="607">
        <v>603.28</v>
      </c>
      <c r="G2500" s="584">
        <v>15</v>
      </c>
    </row>
    <row r="2501" spans="1:7" ht="15" x14ac:dyDescent="0.2">
      <c r="A2501" s="583" t="s">
        <v>17084</v>
      </c>
      <c r="B2501" s="605" t="s">
        <v>17085</v>
      </c>
      <c r="C2501" s="606" t="s">
        <v>20385</v>
      </c>
      <c r="D2501" s="607">
        <v>719.09</v>
      </c>
      <c r="E2501" s="607">
        <v>27.92</v>
      </c>
      <c r="F2501" s="607">
        <v>747.01</v>
      </c>
      <c r="G2501" s="584">
        <v>15</v>
      </c>
    </row>
    <row r="2502" spans="1:7" ht="15" x14ac:dyDescent="0.2">
      <c r="A2502" s="583" t="s">
        <v>17086</v>
      </c>
      <c r="B2502" s="605" t="s">
        <v>17087</v>
      </c>
      <c r="C2502" s="606" t="s">
        <v>20385</v>
      </c>
      <c r="D2502" s="607">
        <v>1071.97</v>
      </c>
      <c r="E2502" s="607">
        <v>27.92</v>
      </c>
      <c r="F2502" s="607">
        <v>1099.8900000000001</v>
      </c>
      <c r="G2502" s="584">
        <v>15</v>
      </c>
    </row>
    <row r="2503" spans="1:7" ht="15" x14ac:dyDescent="0.2">
      <c r="A2503" s="583" t="s">
        <v>17088</v>
      </c>
      <c r="B2503" s="605" t="s">
        <v>17089</v>
      </c>
      <c r="C2503" s="606" t="s">
        <v>20385</v>
      </c>
      <c r="D2503" s="607">
        <v>1618.61</v>
      </c>
      <c r="E2503" s="607">
        <v>27.92</v>
      </c>
      <c r="F2503" s="607">
        <v>1646.53</v>
      </c>
      <c r="G2503" s="584">
        <v>15</v>
      </c>
    </row>
    <row r="2504" spans="1:7" ht="15" x14ac:dyDescent="0.2">
      <c r="A2504" s="583" t="s">
        <v>17090</v>
      </c>
      <c r="B2504" s="605" t="s">
        <v>17091</v>
      </c>
      <c r="C2504" s="606" t="s">
        <v>20385</v>
      </c>
      <c r="D2504" s="607">
        <v>3302.08</v>
      </c>
      <c r="E2504" s="607">
        <v>27.92</v>
      </c>
      <c r="F2504" s="607">
        <v>3330</v>
      </c>
      <c r="G2504" s="584">
        <v>15</v>
      </c>
    </row>
    <row r="2505" spans="1:7" ht="15" x14ac:dyDescent="0.2">
      <c r="A2505" s="583" t="s">
        <v>17092</v>
      </c>
      <c r="B2505" s="605" t="s">
        <v>17093</v>
      </c>
      <c r="C2505" s="606" t="s">
        <v>20385</v>
      </c>
      <c r="D2505" s="607">
        <v>2148.62</v>
      </c>
      <c r="E2505" s="607">
        <v>27.92</v>
      </c>
      <c r="F2505" s="607">
        <v>2176.54</v>
      </c>
      <c r="G2505" s="584">
        <v>15</v>
      </c>
    </row>
    <row r="2506" spans="1:7" ht="15" x14ac:dyDescent="0.2">
      <c r="A2506" s="583" t="s">
        <v>17094</v>
      </c>
      <c r="B2506" s="605" t="s">
        <v>17095</v>
      </c>
      <c r="C2506" s="606" t="s">
        <v>20385</v>
      </c>
      <c r="D2506" s="607">
        <v>5801.06</v>
      </c>
      <c r="E2506" s="607">
        <v>27.92</v>
      </c>
      <c r="F2506" s="607">
        <v>5828.98</v>
      </c>
      <c r="G2506" s="584">
        <v>15</v>
      </c>
    </row>
    <row r="2507" spans="1:7" ht="15" x14ac:dyDescent="0.2">
      <c r="A2507" s="583" t="s">
        <v>17096</v>
      </c>
      <c r="B2507" s="605" t="s">
        <v>17097</v>
      </c>
      <c r="C2507" s="606" t="s">
        <v>20385</v>
      </c>
      <c r="D2507" s="607">
        <v>73.7</v>
      </c>
      <c r="E2507" s="607">
        <v>27.92</v>
      </c>
      <c r="F2507" s="607">
        <v>101.62</v>
      </c>
      <c r="G2507" s="584">
        <v>15</v>
      </c>
    </row>
    <row r="2508" spans="1:7" ht="15" x14ac:dyDescent="0.2">
      <c r="A2508" s="583" t="s">
        <v>17098</v>
      </c>
      <c r="B2508" s="605" t="s">
        <v>17099</v>
      </c>
      <c r="C2508" s="606" t="s">
        <v>20385</v>
      </c>
      <c r="D2508" s="607">
        <v>116.46</v>
      </c>
      <c r="E2508" s="607">
        <v>27.92</v>
      </c>
      <c r="F2508" s="607">
        <v>144.38</v>
      </c>
      <c r="G2508" s="584">
        <v>15</v>
      </c>
    </row>
    <row r="2509" spans="1:7" ht="15" x14ac:dyDescent="0.2">
      <c r="A2509" s="583" t="s">
        <v>17100</v>
      </c>
      <c r="B2509" s="605" t="s">
        <v>17101</v>
      </c>
      <c r="C2509" s="606" t="s">
        <v>20385</v>
      </c>
      <c r="D2509" s="607">
        <v>145.38999999999999</v>
      </c>
      <c r="E2509" s="607">
        <v>27.92</v>
      </c>
      <c r="F2509" s="607">
        <v>173.31</v>
      </c>
      <c r="G2509" s="584">
        <v>15</v>
      </c>
    </row>
    <row r="2510" spans="1:7" ht="15" x14ac:dyDescent="0.25">
      <c r="A2510" s="583" t="s">
        <v>17102</v>
      </c>
      <c r="B2510" s="605" t="s">
        <v>17103</v>
      </c>
      <c r="C2510" s="606"/>
      <c r="D2510" s="607"/>
      <c r="E2510" s="607"/>
      <c r="F2510" s="607"/>
      <c r="G2510" s="582"/>
    </row>
    <row r="2511" spans="1:7" ht="15" x14ac:dyDescent="0.2">
      <c r="A2511" s="583" t="s">
        <v>17104</v>
      </c>
      <c r="B2511" s="605" t="s">
        <v>17105</v>
      </c>
      <c r="C2511" s="606" t="s">
        <v>20385</v>
      </c>
      <c r="D2511" s="607">
        <v>80.06</v>
      </c>
      <c r="E2511" s="607">
        <v>25.12</v>
      </c>
      <c r="F2511" s="607">
        <v>105.18</v>
      </c>
      <c r="G2511" s="584">
        <v>15</v>
      </c>
    </row>
    <row r="2512" spans="1:7" ht="30" x14ac:dyDescent="0.2">
      <c r="A2512" s="583" t="s">
        <v>17106</v>
      </c>
      <c r="B2512" s="605" t="s">
        <v>17107</v>
      </c>
      <c r="C2512" s="606" t="s">
        <v>20385</v>
      </c>
      <c r="D2512" s="607">
        <v>258.93</v>
      </c>
      <c r="E2512" s="607">
        <v>27.92</v>
      </c>
      <c r="F2512" s="607">
        <v>286.85000000000002</v>
      </c>
      <c r="G2512" s="584">
        <v>15</v>
      </c>
    </row>
    <row r="2513" spans="1:7" ht="30" x14ac:dyDescent="0.2">
      <c r="A2513" s="583" t="s">
        <v>17108</v>
      </c>
      <c r="B2513" s="605" t="s">
        <v>17109</v>
      </c>
      <c r="C2513" s="606" t="s">
        <v>20385</v>
      </c>
      <c r="D2513" s="607">
        <v>460.15</v>
      </c>
      <c r="E2513" s="607">
        <v>27.92</v>
      </c>
      <c r="F2513" s="607">
        <v>488.07</v>
      </c>
      <c r="G2513" s="584">
        <v>15</v>
      </c>
    </row>
    <row r="2514" spans="1:7" ht="30" x14ac:dyDescent="0.2">
      <c r="A2514" s="583" t="s">
        <v>17110</v>
      </c>
      <c r="B2514" s="605" t="s">
        <v>17111</v>
      </c>
      <c r="C2514" s="606" t="s">
        <v>20385</v>
      </c>
      <c r="D2514" s="607">
        <v>302.06</v>
      </c>
      <c r="E2514" s="607">
        <v>27.92</v>
      </c>
      <c r="F2514" s="607">
        <v>329.98</v>
      </c>
      <c r="G2514" s="584">
        <v>15</v>
      </c>
    </row>
    <row r="2515" spans="1:7" ht="15" x14ac:dyDescent="0.2">
      <c r="A2515" s="583" t="s">
        <v>17112</v>
      </c>
      <c r="B2515" s="605" t="s">
        <v>17113</v>
      </c>
      <c r="C2515" s="606" t="s">
        <v>20385</v>
      </c>
      <c r="D2515" s="607">
        <v>94.96</v>
      </c>
      <c r="E2515" s="607">
        <v>55.83</v>
      </c>
      <c r="F2515" s="607">
        <v>150.79</v>
      </c>
      <c r="G2515" s="584">
        <v>15</v>
      </c>
    </row>
    <row r="2516" spans="1:7" ht="30" x14ac:dyDescent="0.2">
      <c r="A2516" s="583" t="s">
        <v>17114</v>
      </c>
      <c r="B2516" s="605" t="s">
        <v>17115</v>
      </c>
      <c r="C2516" s="606" t="s">
        <v>20385</v>
      </c>
      <c r="D2516" s="607">
        <v>4500.34</v>
      </c>
      <c r="E2516" s="607">
        <v>55.83</v>
      </c>
      <c r="F2516" s="607">
        <v>4556.17</v>
      </c>
      <c r="G2516" s="584">
        <v>15</v>
      </c>
    </row>
    <row r="2517" spans="1:7" ht="30" x14ac:dyDescent="0.2">
      <c r="A2517" s="583" t="s">
        <v>17116</v>
      </c>
      <c r="B2517" s="605" t="s">
        <v>20211</v>
      </c>
      <c r="C2517" s="606" t="s">
        <v>20385</v>
      </c>
      <c r="D2517" s="607">
        <v>111.35</v>
      </c>
      <c r="E2517" s="607">
        <v>55.83</v>
      </c>
      <c r="F2517" s="607">
        <v>167.18</v>
      </c>
      <c r="G2517" s="584">
        <v>15</v>
      </c>
    </row>
    <row r="2518" spans="1:7" ht="30" x14ac:dyDescent="0.2">
      <c r="A2518" s="583" t="s">
        <v>17117</v>
      </c>
      <c r="B2518" s="605" t="s">
        <v>17118</v>
      </c>
      <c r="C2518" s="606" t="s">
        <v>20385</v>
      </c>
      <c r="D2518" s="607">
        <v>2738.12</v>
      </c>
      <c r="E2518" s="607">
        <v>27.92</v>
      </c>
      <c r="F2518" s="607">
        <v>2766.04</v>
      </c>
      <c r="G2518" s="584">
        <v>15</v>
      </c>
    </row>
    <row r="2519" spans="1:7" ht="15" x14ac:dyDescent="0.2">
      <c r="A2519" s="583" t="s">
        <v>17119</v>
      </c>
      <c r="B2519" s="605" t="s">
        <v>17120</v>
      </c>
      <c r="C2519" s="606" t="s">
        <v>20385</v>
      </c>
      <c r="D2519" s="607">
        <v>119.63</v>
      </c>
      <c r="E2519" s="607">
        <v>55.83</v>
      </c>
      <c r="F2519" s="607">
        <v>175.46</v>
      </c>
      <c r="G2519" s="584">
        <v>15</v>
      </c>
    </row>
    <row r="2520" spans="1:7" ht="15" x14ac:dyDescent="0.2">
      <c r="A2520" s="583" t="s">
        <v>17121</v>
      </c>
      <c r="B2520" s="605" t="s">
        <v>17122</v>
      </c>
      <c r="C2520" s="606" t="s">
        <v>20385</v>
      </c>
      <c r="D2520" s="607">
        <v>270.95</v>
      </c>
      <c r="E2520" s="607">
        <v>33.5</v>
      </c>
      <c r="F2520" s="607">
        <v>304.45</v>
      </c>
      <c r="G2520" s="584">
        <v>15</v>
      </c>
    </row>
    <row r="2521" spans="1:7" ht="15" x14ac:dyDescent="0.25">
      <c r="A2521" s="583" t="s">
        <v>17123</v>
      </c>
      <c r="B2521" s="605" t="s">
        <v>17124</v>
      </c>
      <c r="C2521" s="606"/>
      <c r="D2521" s="607"/>
      <c r="E2521" s="607"/>
      <c r="F2521" s="607"/>
      <c r="G2521" s="582"/>
    </row>
    <row r="2522" spans="1:7" ht="15" x14ac:dyDescent="0.2">
      <c r="A2522" s="583" t="s">
        <v>17125</v>
      </c>
      <c r="B2522" s="605" t="s">
        <v>17126</v>
      </c>
      <c r="C2522" s="606" t="s">
        <v>12375</v>
      </c>
      <c r="D2522" s="607">
        <v>652.84</v>
      </c>
      <c r="E2522" s="607">
        <v>22.33</v>
      </c>
      <c r="F2522" s="607">
        <v>675.17</v>
      </c>
      <c r="G2522" s="584">
        <v>15</v>
      </c>
    </row>
    <row r="2523" spans="1:7" ht="15" x14ac:dyDescent="0.2">
      <c r="A2523" s="583" t="s">
        <v>17127</v>
      </c>
      <c r="B2523" s="605" t="s">
        <v>17128</v>
      </c>
      <c r="C2523" s="606" t="s">
        <v>12375</v>
      </c>
      <c r="D2523" s="607">
        <v>323.5</v>
      </c>
      <c r="E2523" s="607">
        <v>22.33</v>
      </c>
      <c r="F2523" s="607">
        <v>345.83</v>
      </c>
      <c r="G2523" s="584">
        <v>15</v>
      </c>
    </row>
    <row r="2524" spans="1:7" ht="15" x14ac:dyDescent="0.2">
      <c r="A2524" s="583" t="s">
        <v>17129</v>
      </c>
      <c r="B2524" s="605" t="s">
        <v>17130</v>
      </c>
      <c r="C2524" s="606" t="s">
        <v>12375</v>
      </c>
      <c r="D2524" s="607">
        <v>175.91</v>
      </c>
      <c r="E2524" s="607">
        <v>22.33</v>
      </c>
      <c r="F2524" s="607">
        <v>198.24</v>
      </c>
      <c r="G2524" s="584">
        <v>15</v>
      </c>
    </row>
    <row r="2525" spans="1:7" ht="15" x14ac:dyDescent="0.2">
      <c r="A2525" s="583" t="s">
        <v>17131</v>
      </c>
      <c r="B2525" s="605" t="s">
        <v>17132</v>
      </c>
      <c r="C2525" s="606" t="s">
        <v>12375</v>
      </c>
      <c r="D2525" s="607">
        <v>459.1</v>
      </c>
      <c r="E2525" s="607">
        <v>22.33</v>
      </c>
      <c r="F2525" s="607">
        <v>481.43</v>
      </c>
      <c r="G2525" s="584">
        <v>15</v>
      </c>
    </row>
    <row r="2526" spans="1:7" ht="15" x14ac:dyDescent="0.25">
      <c r="A2526" s="583" t="s">
        <v>17133</v>
      </c>
      <c r="B2526" s="605" t="s">
        <v>17134</v>
      </c>
      <c r="C2526" s="606"/>
      <c r="D2526" s="607"/>
      <c r="E2526" s="607"/>
      <c r="F2526" s="607"/>
      <c r="G2526" s="582"/>
    </row>
    <row r="2527" spans="1:7" ht="15" x14ac:dyDescent="0.2">
      <c r="A2527" s="583" t="s">
        <v>17135</v>
      </c>
      <c r="B2527" s="605" t="s">
        <v>17136</v>
      </c>
      <c r="C2527" s="606" t="s">
        <v>12375</v>
      </c>
      <c r="D2527" s="607">
        <v>166.5</v>
      </c>
      <c r="E2527" s="607">
        <v>22.33</v>
      </c>
      <c r="F2527" s="607">
        <v>188.83</v>
      </c>
      <c r="G2527" s="584">
        <v>15</v>
      </c>
    </row>
    <row r="2528" spans="1:7" ht="30" x14ac:dyDescent="0.2">
      <c r="A2528" s="583" t="s">
        <v>17137</v>
      </c>
      <c r="B2528" s="605" t="s">
        <v>17138</v>
      </c>
      <c r="C2528" s="606" t="s">
        <v>12375</v>
      </c>
      <c r="D2528" s="607">
        <v>402.18</v>
      </c>
      <c r="E2528" s="607">
        <v>13.96</v>
      </c>
      <c r="F2528" s="607">
        <v>416.14</v>
      </c>
      <c r="G2528" s="584">
        <v>15</v>
      </c>
    </row>
    <row r="2529" spans="1:7" ht="15" x14ac:dyDescent="0.25">
      <c r="A2529" s="583" t="s">
        <v>17139</v>
      </c>
      <c r="B2529" s="605" t="s">
        <v>17140</v>
      </c>
      <c r="C2529" s="606"/>
      <c r="D2529" s="607"/>
      <c r="E2529" s="607"/>
      <c r="F2529" s="607"/>
      <c r="G2529" s="582"/>
    </row>
    <row r="2530" spans="1:7" ht="15" x14ac:dyDescent="0.2">
      <c r="A2530" s="583" t="s">
        <v>17141</v>
      </c>
      <c r="B2530" s="605" t="s">
        <v>17142</v>
      </c>
      <c r="C2530" s="606" t="s">
        <v>12375</v>
      </c>
      <c r="D2530" s="607">
        <v>139.06</v>
      </c>
      <c r="E2530" s="607">
        <v>22.33</v>
      </c>
      <c r="F2530" s="607">
        <v>161.38999999999999</v>
      </c>
      <c r="G2530" s="584">
        <v>15</v>
      </c>
    </row>
    <row r="2531" spans="1:7" ht="30" x14ac:dyDescent="0.2">
      <c r="A2531" s="583" t="s">
        <v>17143</v>
      </c>
      <c r="B2531" s="605" t="s">
        <v>17144</v>
      </c>
      <c r="C2531" s="606" t="s">
        <v>12375</v>
      </c>
      <c r="D2531" s="607">
        <v>139.59</v>
      </c>
      <c r="E2531" s="607">
        <v>27.92</v>
      </c>
      <c r="F2531" s="607">
        <v>167.51</v>
      </c>
      <c r="G2531" s="584">
        <v>15</v>
      </c>
    </row>
    <row r="2532" spans="1:7" ht="15" x14ac:dyDescent="0.25">
      <c r="A2532" s="583" t="s">
        <v>17145</v>
      </c>
      <c r="B2532" s="605" t="s">
        <v>17146</v>
      </c>
      <c r="C2532" s="606"/>
      <c r="D2532" s="607"/>
      <c r="E2532" s="607"/>
      <c r="F2532" s="607"/>
      <c r="G2532" s="582"/>
    </row>
    <row r="2533" spans="1:7" ht="15" x14ac:dyDescent="0.2">
      <c r="A2533" s="583" t="s">
        <v>17147</v>
      </c>
      <c r="B2533" s="605" t="s">
        <v>17148</v>
      </c>
      <c r="C2533" s="606" t="s">
        <v>12375</v>
      </c>
      <c r="D2533" s="607">
        <v>66.72</v>
      </c>
      <c r="E2533" s="607">
        <v>44.67</v>
      </c>
      <c r="F2533" s="607">
        <v>111.39</v>
      </c>
      <c r="G2533" s="584">
        <v>15</v>
      </c>
    </row>
    <row r="2534" spans="1:7" ht="15" x14ac:dyDescent="0.2">
      <c r="A2534" s="583" t="s">
        <v>17149</v>
      </c>
      <c r="B2534" s="605" t="s">
        <v>17150</v>
      </c>
      <c r="C2534" s="606" t="s">
        <v>12375</v>
      </c>
      <c r="D2534" s="607">
        <v>54.2</v>
      </c>
      <c r="E2534" s="607">
        <v>44.67</v>
      </c>
      <c r="F2534" s="607">
        <v>98.87</v>
      </c>
      <c r="G2534" s="584">
        <v>15</v>
      </c>
    </row>
    <row r="2535" spans="1:7" ht="15" x14ac:dyDescent="0.2">
      <c r="A2535" s="583" t="s">
        <v>17151</v>
      </c>
      <c r="B2535" s="605" t="s">
        <v>17152</v>
      </c>
      <c r="C2535" s="606" t="s">
        <v>12375</v>
      </c>
      <c r="D2535" s="607">
        <v>37.72</v>
      </c>
      <c r="E2535" s="607">
        <v>16.75</v>
      </c>
      <c r="F2535" s="607">
        <v>54.47</v>
      </c>
      <c r="G2535" s="584">
        <v>15</v>
      </c>
    </row>
    <row r="2536" spans="1:7" ht="15" x14ac:dyDescent="0.2">
      <c r="A2536" s="583" t="s">
        <v>17153</v>
      </c>
      <c r="B2536" s="605" t="s">
        <v>17154</v>
      </c>
      <c r="C2536" s="606" t="s">
        <v>12375</v>
      </c>
      <c r="D2536" s="607">
        <v>121.35</v>
      </c>
      <c r="E2536" s="607">
        <v>16.75</v>
      </c>
      <c r="F2536" s="607">
        <v>138.1</v>
      </c>
      <c r="G2536" s="584">
        <v>15</v>
      </c>
    </row>
    <row r="2537" spans="1:7" ht="15" x14ac:dyDescent="0.2">
      <c r="A2537" s="583" t="s">
        <v>17155</v>
      </c>
      <c r="B2537" s="605" t="s">
        <v>17156</v>
      </c>
      <c r="C2537" s="606" t="s">
        <v>12375</v>
      </c>
      <c r="D2537" s="607">
        <v>458.73</v>
      </c>
      <c r="E2537" s="607">
        <v>16.75</v>
      </c>
      <c r="F2537" s="607">
        <v>475.48</v>
      </c>
      <c r="G2537" s="584">
        <v>15</v>
      </c>
    </row>
    <row r="2538" spans="1:7" ht="15" x14ac:dyDescent="0.2">
      <c r="A2538" s="583" t="s">
        <v>17157</v>
      </c>
      <c r="B2538" s="605" t="s">
        <v>17158</v>
      </c>
      <c r="C2538" s="606" t="s">
        <v>12375</v>
      </c>
      <c r="D2538" s="607">
        <v>4.22</v>
      </c>
      <c r="E2538" s="607">
        <v>1.82</v>
      </c>
      <c r="F2538" s="607">
        <v>6.04</v>
      </c>
      <c r="G2538" s="584">
        <v>15</v>
      </c>
    </row>
    <row r="2539" spans="1:7" ht="15" x14ac:dyDescent="0.2">
      <c r="A2539" s="583" t="s">
        <v>17159</v>
      </c>
      <c r="B2539" s="605" t="s">
        <v>17160</v>
      </c>
      <c r="C2539" s="606" t="s">
        <v>12375</v>
      </c>
      <c r="D2539" s="607">
        <v>9.76</v>
      </c>
      <c r="E2539" s="607">
        <v>1.82</v>
      </c>
      <c r="F2539" s="607">
        <v>11.58</v>
      </c>
      <c r="G2539" s="584">
        <v>15</v>
      </c>
    </row>
    <row r="2540" spans="1:7" ht="15" x14ac:dyDescent="0.2">
      <c r="A2540" s="583" t="s">
        <v>17161</v>
      </c>
      <c r="B2540" s="605" t="s">
        <v>17162</v>
      </c>
      <c r="C2540" s="606" t="s">
        <v>12375</v>
      </c>
      <c r="D2540" s="607">
        <v>45.65</v>
      </c>
      <c r="E2540" s="607">
        <v>22.33</v>
      </c>
      <c r="F2540" s="607">
        <v>67.98</v>
      </c>
      <c r="G2540" s="584">
        <v>15</v>
      </c>
    </row>
    <row r="2541" spans="1:7" ht="15" x14ac:dyDescent="0.2">
      <c r="A2541" s="583" t="s">
        <v>17163</v>
      </c>
      <c r="B2541" s="605" t="s">
        <v>17164</v>
      </c>
      <c r="C2541" s="606" t="s">
        <v>12375</v>
      </c>
      <c r="D2541" s="607">
        <v>9.26</v>
      </c>
      <c r="E2541" s="607">
        <v>11.16</v>
      </c>
      <c r="F2541" s="607">
        <v>20.420000000000002</v>
      </c>
      <c r="G2541" s="584">
        <v>15</v>
      </c>
    </row>
    <row r="2542" spans="1:7" ht="15" x14ac:dyDescent="0.2">
      <c r="A2542" s="583" t="s">
        <v>17165</v>
      </c>
      <c r="B2542" s="605" t="s">
        <v>17166</v>
      </c>
      <c r="C2542" s="606" t="s">
        <v>12375</v>
      </c>
      <c r="D2542" s="607">
        <v>10.67</v>
      </c>
      <c r="E2542" s="607">
        <v>11.16</v>
      </c>
      <c r="F2542" s="607">
        <v>21.83</v>
      </c>
      <c r="G2542" s="584">
        <v>15</v>
      </c>
    </row>
    <row r="2543" spans="1:7" ht="30" x14ac:dyDescent="0.2">
      <c r="A2543" s="583" t="s">
        <v>17167</v>
      </c>
      <c r="B2543" s="605" t="s">
        <v>17168</v>
      </c>
      <c r="C2543" s="606" t="s">
        <v>12375</v>
      </c>
      <c r="D2543" s="607">
        <v>456.54</v>
      </c>
      <c r="E2543" s="607">
        <v>55.83</v>
      </c>
      <c r="F2543" s="607">
        <v>512.37</v>
      </c>
      <c r="G2543" s="584">
        <v>15</v>
      </c>
    </row>
    <row r="2544" spans="1:7" ht="30" x14ac:dyDescent="0.2">
      <c r="A2544" s="583" t="s">
        <v>20212</v>
      </c>
      <c r="B2544" s="605" t="s">
        <v>20213</v>
      </c>
      <c r="C2544" s="606" t="s">
        <v>12375</v>
      </c>
      <c r="D2544" s="607">
        <v>104.01</v>
      </c>
      <c r="E2544" s="607">
        <v>16.75</v>
      </c>
      <c r="F2544" s="607">
        <v>120.76</v>
      </c>
      <c r="G2544" s="584">
        <v>15</v>
      </c>
    </row>
    <row r="2545" spans="1:7" ht="30" x14ac:dyDescent="0.2">
      <c r="A2545" s="583" t="s">
        <v>17169</v>
      </c>
      <c r="B2545" s="605" t="s">
        <v>17170</v>
      </c>
      <c r="C2545" s="606" t="s">
        <v>12375</v>
      </c>
      <c r="D2545" s="607">
        <v>53.98</v>
      </c>
      <c r="E2545" s="607">
        <v>25.36</v>
      </c>
      <c r="F2545" s="607">
        <v>79.34</v>
      </c>
      <c r="G2545" s="584">
        <v>15</v>
      </c>
    </row>
    <row r="2546" spans="1:7" ht="30" x14ac:dyDescent="0.2">
      <c r="A2546" s="583" t="s">
        <v>17171</v>
      </c>
      <c r="B2546" s="605" t="s">
        <v>17172</v>
      </c>
      <c r="C2546" s="606" t="s">
        <v>12375</v>
      </c>
      <c r="D2546" s="607">
        <v>46.62</v>
      </c>
      <c r="E2546" s="607">
        <v>25.36</v>
      </c>
      <c r="F2546" s="607">
        <v>71.98</v>
      </c>
      <c r="G2546" s="584">
        <v>15</v>
      </c>
    </row>
    <row r="2547" spans="1:7" ht="15" x14ac:dyDescent="0.25">
      <c r="A2547" s="583" t="s">
        <v>17173</v>
      </c>
      <c r="B2547" s="605" t="s">
        <v>17174</v>
      </c>
      <c r="C2547" s="606"/>
      <c r="D2547" s="607"/>
      <c r="E2547" s="607"/>
      <c r="F2547" s="607"/>
      <c r="G2547" s="582"/>
    </row>
    <row r="2548" spans="1:7" ht="15" x14ac:dyDescent="0.25">
      <c r="A2548" s="583" t="s">
        <v>17175</v>
      </c>
      <c r="B2548" s="605" t="s">
        <v>17176</v>
      </c>
      <c r="C2548" s="606"/>
      <c r="D2548" s="607"/>
      <c r="E2548" s="607"/>
      <c r="F2548" s="607"/>
      <c r="G2548" s="582"/>
    </row>
    <row r="2549" spans="1:7" ht="30" x14ac:dyDescent="0.2">
      <c r="A2549" s="583" t="s">
        <v>17177</v>
      </c>
      <c r="B2549" s="605" t="s">
        <v>20083</v>
      </c>
      <c r="C2549" s="606" t="s">
        <v>20385</v>
      </c>
      <c r="D2549" s="607">
        <v>15.93</v>
      </c>
      <c r="E2549" s="607">
        <v>4.54</v>
      </c>
      <c r="F2549" s="607">
        <v>20.47</v>
      </c>
      <c r="G2549" s="584">
        <v>15</v>
      </c>
    </row>
    <row r="2550" spans="1:7" ht="30" x14ac:dyDescent="0.2">
      <c r="A2550" s="583" t="s">
        <v>17178</v>
      </c>
      <c r="B2550" s="605" t="s">
        <v>20084</v>
      </c>
      <c r="C2550" s="606" t="s">
        <v>20385</v>
      </c>
      <c r="D2550" s="607">
        <v>18.32</v>
      </c>
      <c r="E2550" s="607">
        <v>4.54</v>
      </c>
      <c r="F2550" s="607">
        <v>22.86</v>
      </c>
      <c r="G2550" s="584">
        <v>15</v>
      </c>
    </row>
    <row r="2551" spans="1:7" ht="30" x14ac:dyDescent="0.2">
      <c r="A2551" s="583" t="s">
        <v>17179</v>
      </c>
      <c r="B2551" s="605" t="s">
        <v>20085</v>
      </c>
      <c r="C2551" s="606" t="s">
        <v>20385</v>
      </c>
      <c r="D2551" s="607">
        <v>55.65</v>
      </c>
      <c r="E2551" s="607">
        <v>4.54</v>
      </c>
      <c r="F2551" s="607">
        <v>60.19</v>
      </c>
      <c r="G2551" s="584">
        <v>15</v>
      </c>
    </row>
    <row r="2552" spans="1:7" ht="15" x14ac:dyDescent="0.2">
      <c r="A2552" s="583" t="s">
        <v>17180</v>
      </c>
      <c r="B2552" s="605" t="s">
        <v>20214</v>
      </c>
      <c r="C2552" s="606" t="s">
        <v>20385</v>
      </c>
      <c r="D2552" s="607">
        <v>14.85</v>
      </c>
      <c r="E2552" s="607">
        <v>4.54</v>
      </c>
      <c r="F2552" s="607">
        <v>19.39</v>
      </c>
      <c r="G2552" s="584">
        <v>15</v>
      </c>
    </row>
    <row r="2553" spans="1:7" ht="15" x14ac:dyDescent="0.25">
      <c r="A2553" s="583" t="s">
        <v>17181</v>
      </c>
      <c r="B2553" s="605" t="s">
        <v>17182</v>
      </c>
      <c r="C2553" s="606"/>
      <c r="D2553" s="607"/>
      <c r="E2553" s="607"/>
      <c r="F2553" s="607"/>
      <c r="G2553" s="582"/>
    </row>
    <row r="2554" spans="1:7" ht="30" x14ac:dyDescent="0.2">
      <c r="A2554" s="583" t="s">
        <v>17183</v>
      </c>
      <c r="B2554" s="605" t="s">
        <v>17184</v>
      </c>
      <c r="C2554" s="606" t="s">
        <v>20385</v>
      </c>
      <c r="D2554" s="607">
        <v>7.13</v>
      </c>
      <c r="E2554" s="607">
        <v>4.45</v>
      </c>
      <c r="F2554" s="607">
        <v>11.58</v>
      </c>
      <c r="G2554" s="584">
        <v>15</v>
      </c>
    </row>
    <row r="2555" spans="1:7" ht="30" x14ac:dyDescent="0.2">
      <c r="A2555" s="583" t="s">
        <v>17185</v>
      </c>
      <c r="B2555" s="605" t="s">
        <v>17186</v>
      </c>
      <c r="C2555" s="606" t="s">
        <v>20358</v>
      </c>
      <c r="D2555" s="607">
        <v>86.11</v>
      </c>
      <c r="E2555" s="607">
        <v>22.33</v>
      </c>
      <c r="F2555" s="607">
        <v>108.44</v>
      </c>
      <c r="G2555" s="584">
        <v>15</v>
      </c>
    </row>
    <row r="2556" spans="1:7" ht="15" x14ac:dyDescent="0.25">
      <c r="A2556" s="583" t="s">
        <v>17187</v>
      </c>
      <c r="B2556" s="605" t="s">
        <v>17188</v>
      </c>
      <c r="C2556" s="606"/>
      <c r="D2556" s="607"/>
      <c r="E2556" s="607"/>
      <c r="F2556" s="607"/>
      <c r="G2556" s="582"/>
    </row>
    <row r="2557" spans="1:7" ht="15" x14ac:dyDescent="0.2">
      <c r="A2557" s="583" t="s">
        <v>17189</v>
      </c>
      <c r="B2557" s="605" t="s">
        <v>17190</v>
      </c>
      <c r="C2557" s="606" t="s">
        <v>20385</v>
      </c>
      <c r="D2557" s="607">
        <v>21.77</v>
      </c>
      <c r="E2557" s="607">
        <v>4.54</v>
      </c>
      <c r="F2557" s="607">
        <v>26.31</v>
      </c>
      <c r="G2557" s="584">
        <v>15</v>
      </c>
    </row>
    <row r="2558" spans="1:7" ht="15" x14ac:dyDescent="0.2">
      <c r="A2558" s="583" t="s">
        <v>17191</v>
      </c>
      <c r="B2558" s="605" t="s">
        <v>17192</v>
      </c>
      <c r="C2558" s="606" t="s">
        <v>20385</v>
      </c>
      <c r="D2558" s="607">
        <v>7.99</v>
      </c>
      <c r="E2558" s="607">
        <v>4.54</v>
      </c>
      <c r="F2558" s="607">
        <v>12.53</v>
      </c>
      <c r="G2558" s="584">
        <v>15</v>
      </c>
    </row>
    <row r="2559" spans="1:7" ht="30" x14ac:dyDescent="0.2">
      <c r="A2559" s="583" t="s">
        <v>17193</v>
      </c>
      <c r="B2559" s="605" t="s">
        <v>17194</v>
      </c>
      <c r="C2559" s="606" t="s">
        <v>20385</v>
      </c>
      <c r="D2559" s="607">
        <v>10.93</v>
      </c>
      <c r="E2559" s="607">
        <v>4.54</v>
      </c>
      <c r="F2559" s="607">
        <v>15.47</v>
      </c>
      <c r="G2559" s="584">
        <v>15</v>
      </c>
    </row>
    <row r="2560" spans="1:7" ht="15" x14ac:dyDescent="0.25">
      <c r="A2560" s="583" t="s">
        <v>17195</v>
      </c>
      <c r="B2560" s="605" t="s">
        <v>17196</v>
      </c>
      <c r="C2560" s="606"/>
      <c r="D2560" s="607"/>
      <c r="E2560" s="607"/>
      <c r="F2560" s="607"/>
      <c r="G2560" s="582"/>
    </row>
    <row r="2561" spans="1:7" ht="15" x14ac:dyDescent="0.2">
      <c r="A2561" s="583" t="s">
        <v>17197</v>
      </c>
      <c r="B2561" s="605" t="s">
        <v>17198</v>
      </c>
      <c r="C2561" s="606" t="s">
        <v>20385</v>
      </c>
      <c r="D2561" s="607">
        <v>18.07</v>
      </c>
      <c r="E2561" s="607">
        <v>4.54</v>
      </c>
      <c r="F2561" s="607">
        <v>22.61</v>
      </c>
      <c r="G2561" s="584">
        <v>15</v>
      </c>
    </row>
    <row r="2562" spans="1:7" ht="15" x14ac:dyDescent="0.2">
      <c r="A2562" s="583" t="s">
        <v>17199</v>
      </c>
      <c r="B2562" s="605" t="s">
        <v>17200</v>
      </c>
      <c r="C2562" s="606" t="s">
        <v>20385</v>
      </c>
      <c r="D2562" s="607">
        <v>11.13</v>
      </c>
      <c r="E2562" s="607">
        <v>4.54</v>
      </c>
      <c r="F2562" s="607">
        <v>15.67</v>
      </c>
      <c r="G2562" s="584">
        <v>15</v>
      </c>
    </row>
    <row r="2563" spans="1:7" ht="15" x14ac:dyDescent="0.2">
      <c r="A2563" s="583" t="s">
        <v>17201</v>
      </c>
      <c r="B2563" s="605" t="s">
        <v>17202</v>
      </c>
      <c r="C2563" s="606" t="s">
        <v>20385</v>
      </c>
      <c r="D2563" s="607">
        <v>17.71</v>
      </c>
      <c r="E2563" s="607">
        <v>4.54</v>
      </c>
      <c r="F2563" s="607">
        <v>22.25</v>
      </c>
      <c r="G2563" s="584">
        <v>15</v>
      </c>
    </row>
    <row r="2564" spans="1:7" ht="15" x14ac:dyDescent="0.2">
      <c r="A2564" s="583" t="s">
        <v>17203</v>
      </c>
      <c r="B2564" s="605" t="s">
        <v>17204</v>
      </c>
      <c r="C2564" s="606" t="s">
        <v>20385</v>
      </c>
      <c r="D2564" s="607">
        <v>17.61</v>
      </c>
      <c r="E2564" s="607">
        <v>4.54</v>
      </c>
      <c r="F2564" s="607">
        <v>22.15</v>
      </c>
      <c r="G2564" s="584">
        <v>15</v>
      </c>
    </row>
    <row r="2565" spans="1:7" ht="30" x14ac:dyDescent="0.2">
      <c r="A2565" s="583" t="s">
        <v>17205</v>
      </c>
      <c r="B2565" s="605" t="s">
        <v>17206</v>
      </c>
      <c r="C2565" s="606" t="s">
        <v>20385</v>
      </c>
      <c r="D2565" s="607">
        <v>24.01</v>
      </c>
      <c r="E2565" s="607">
        <v>4.54</v>
      </c>
      <c r="F2565" s="607">
        <v>28.55</v>
      </c>
      <c r="G2565" s="584">
        <v>15</v>
      </c>
    </row>
    <row r="2566" spans="1:7" ht="30" x14ac:dyDescent="0.2">
      <c r="A2566" s="583" t="s">
        <v>17207</v>
      </c>
      <c r="B2566" s="605" t="s">
        <v>17208</v>
      </c>
      <c r="C2566" s="606" t="s">
        <v>20385</v>
      </c>
      <c r="D2566" s="607">
        <v>14.8</v>
      </c>
      <c r="E2566" s="607">
        <v>4.54</v>
      </c>
      <c r="F2566" s="607">
        <v>19.34</v>
      </c>
      <c r="G2566" s="584">
        <v>15</v>
      </c>
    </row>
    <row r="2567" spans="1:7" ht="30" x14ac:dyDescent="0.2">
      <c r="A2567" s="583" t="s">
        <v>17209</v>
      </c>
      <c r="B2567" s="605" t="s">
        <v>17210</v>
      </c>
      <c r="C2567" s="606" t="s">
        <v>20385</v>
      </c>
      <c r="D2567" s="607">
        <v>15.89</v>
      </c>
      <c r="E2567" s="607">
        <v>4.54</v>
      </c>
      <c r="F2567" s="607">
        <v>20.43</v>
      </c>
      <c r="G2567" s="584">
        <v>15</v>
      </c>
    </row>
    <row r="2568" spans="1:7" ht="15" x14ac:dyDescent="0.2">
      <c r="A2568" s="583" t="s">
        <v>17211</v>
      </c>
      <c r="B2568" s="605" t="s">
        <v>17212</v>
      </c>
      <c r="C2568" s="606" t="s">
        <v>20385</v>
      </c>
      <c r="D2568" s="607">
        <v>18.73</v>
      </c>
      <c r="E2568" s="607">
        <v>4.54</v>
      </c>
      <c r="F2568" s="607">
        <v>23.27</v>
      </c>
      <c r="G2568" s="584">
        <v>15</v>
      </c>
    </row>
    <row r="2569" spans="1:7" ht="15" x14ac:dyDescent="0.2">
      <c r="A2569" s="583" t="s">
        <v>17213</v>
      </c>
      <c r="B2569" s="605" t="s">
        <v>17214</v>
      </c>
      <c r="C2569" s="606" t="s">
        <v>20385</v>
      </c>
      <c r="D2569" s="607">
        <v>15.54</v>
      </c>
      <c r="E2569" s="607">
        <v>4.54</v>
      </c>
      <c r="F2569" s="607">
        <v>20.079999999999998</v>
      </c>
      <c r="G2569" s="584">
        <v>15</v>
      </c>
    </row>
    <row r="2570" spans="1:7" ht="15" x14ac:dyDescent="0.2">
      <c r="A2570" s="583" t="s">
        <v>17215</v>
      </c>
      <c r="B2570" s="605" t="s">
        <v>17216</v>
      </c>
      <c r="C2570" s="606" t="s">
        <v>20385</v>
      </c>
      <c r="D2570" s="607">
        <v>15.9</v>
      </c>
      <c r="E2570" s="607">
        <v>4.54</v>
      </c>
      <c r="F2570" s="607">
        <v>20.440000000000001</v>
      </c>
      <c r="G2570" s="584">
        <v>15</v>
      </c>
    </row>
    <row r="2571" spans="1:7" ht="15" x14ac:dyDescent="0.2">
      <c r="A2571" s="583" t="s">
        <v>17217</v>
      </c>
      <c r="B2571" s="605" t="s">
        <v>20297</v>
      </c>
      <c r="C2571" s="606" t="s">
        <v>20385</v>
      </c>
      <c r="D2571" s="607">
        <v>14.2</v>
      </c>
      <c r="E2571" s="607">
        <v>4.54</v>
      </c>
      <c r="F2571" s="607">
        <v>18.739999999999998</v>
      </c>
      <c r="G2571" s="584">
        <v>15</v>
      </c>
    </row>
    <row r="2572" spans="1:7" ht="30" x14ac:dyDescent="0.25">
      <c r="A2572" s="583" t="s">
        <v>17218</v>
      </c>
      <c r="B2572" s="605" t="s">
        <v>17219</v>
      </c>
      <c r="C2572" s="606"/>
      <c r="D2572" s="607"/>
      <c r="E2572" s="607"/>
      <c r="F2572" s="607"/>
      <c r="G2572" s="582"/>
    </row>
    <row r="2573" spans="1:7" ht="30" x14ac:dyDescent="0.2">
      <c r="A2573" s="583" t="s">
        <v>17220</v>
      </c>
      <c r="B2573" s="605" t="s">
        <v>17221</v>
      </c>
      <c r="C2573" s="606" t="s">
        <v>20385</v>
      </c>
      <c r="D2573" s="607">
        <v>34.840000000000003</v>
      </c>
      <c r="E2573" s="607">
        <v>11.16</v>
      </c>
      <c r="F2573" s="607">
        <v>46</v>
      </c>
      <c r="G2573" s="584">
        <v>15</v>
      </c>
    </row>
    <row r="2574" spans="1:7" ht="15" x14ac:dyDescent="0.25">
      <c r="A2574" s="583" t="s">
        <v>17222</v>
      </c>
      <c r="B2574" s="605" t="s">
        <v>17223</v>
      </c>
      <c r="C2574" s="606"/>
      <c r="D2574" s="607"/>
      <c r="E2574" s="607"/>
      <c r="F2574" s="607"/>
      <c r="G2574" s="582"/>
    </row>
    <row r="2575" spans="1:7" ht="45" x14ac:dyDescent="0.2">
      <c r="A2575" s="583" t="s">
        <v>17224</v>
      </c>
      <c r="B2575" s="605" t="s">
        <v>20215</v>
      </c>
      <c r="C2575" s="606" t="s">
        <v>20385</v>
      </c>
      <c r="D2575" s="607">
        <v>54.88</v>
      </c>
      <c r="E2575" s="607">
        <v>22.33</v>
      </c>
      <c r="F2575" s="607">
        <v>77.209999999999994</v>
      </c>
      <c r="G2575" s="584">
        <v>15</v>
      </c>
    </row>
    <row r="2576" spans="1:7" ht="45" x14ac:dyDescent="0.2">
      <c r="A2576" s="583" t="s">
        <v>17225</v>
      </c>
      <c r="B2576" s="605" t="s">
        <v>20216</v>
      </c>
      <c r="C2576" s="606" t="s">
        <v>20385</v>
      </c>
      <c r="D2576" s="607">
        <v>102.26</v>
      </c>
      <c r="E2576" s="607">
        <v>11.16</v>
      </c>
      <c r="F2576" s="607">
        <v>113.42</v>
      </c>
      <c r="G2576" s="584">
        <v>15</v>
      </c>
    </row>
    <row r="2577" spans="1:7" ht="45" x14ac:dyDescent="0.2">
      <c r="A2577" s="583" t="s">
        <v>17226</v>
      </c>
      <c r="B2577" s="605" t="s">
        <v>20217</v>
      </c>
      <c r="C2577" s="606" t="s">
        <v>20385</v>
      </c>
      <c r="D2577" s="607">
        <v>46.26</v>
      </c>
      <c r="E2577" s="607">
        <v>22.33</v>
      </c>
      <c r="F2577" s="607">
        <v>68.59</v>
      </c>
      <c r="G2577" s="584">
        <v>15</v>
      </c>
    </row>
    <row r="2578" spans="1:7" ht="45" x14ac:dyDescent="0.2">
      <c r="A2578" s="583" t="s">
        <v>17227</v>
      </c>
      <c r="B2578" s="605" t="s">
        <v>20218</v>
      </c>
      <c r="C2578" s="606" t="s">
        <v>20385</v>
      </c>
      <c r="D2578" s="607">
        <v>86.45</v>
      </c>
      <c r="E2578" s="607">
        <v>22.33</v>
      </c>
      <c r="F2578" s="607">
        <v>108.78</v>
      </c>
      <c r="G2578" s="584">
        <v>15</v>
      </c>
    </row>
    <row r="2579" spans="1:7" ht="45" x14ac:dyDescent="0.2">
      <c r="A2579" s="583" t="s">
        <v>17228</v>
      </c>
      <c r="B2579" s="605" t="s">
        <v>17229</v>
      </c>
      <c r="C2579" s="606" t="s">
        <v>20385</v>
      </c>
      <c r="D2579" s="607">
        <v>55.2</v>
      </c>
      <c r="E2579" s="607">
        <v>11.16</v>
      </c>
      <c r="F2579" s="607">
        <v>66.36</v>
      </c>
      <c r="G2579" s="584">
        <v>15</v>
      </c>
    </row>
    <row r="2580" spans="1:7" ht="45" x14ac:dyDescent="0.2">
      <c r="A2580" s="583" t="s">
        <v>17230</v>
      </c>
      <c r="B2580" s="605" t="s">
        <v>20219</v>
      </c>
      <c r="C2580" s="606" t="s">
        <v>20385</v>
      </c>
      <c r="D2580" s="607">
        <v>60.94</v>
      </c>
      <c r="E2580" s="607">
        <v>22.33</v>
      </c>
      <c r="F2580" s="607">
        <v>83.27</v>
      </c>
      <c r="G2580" s="584">
        <v>15</v>
      </c>
    </row>
    <row r="2581" spans="1:7" ht="15" x14ac:dyDescent="0.25">
      <c r="A2581" s="583" t="s">
        <v>17231</v>
      </c>
      <c r="B2581" s="605" t="s">
        <v>17232</v>
      </c>
      <c r="C2581" s="606"/>
      <c r="D2581" s="607"/>
      <c r="E2581" s="607"/>
      <c r="F2581" s="607"/>
      <c r="G2581" s="582"/>
    </row>
    <row r="2582" spans="1:7" ht="30" x14ac:dyDescent="0.2">
      <c r="A2582" s="583" t="s">
        <v>17233</v>
      </c>
      <c r="B2582" s="605" t="s">
        <v>20086</v>
      </c>
      <c r="C2582" s="606" t="s">
        <v>20385</v>
      </c>
      <c r="D2582" s="607">
        <v>48.39</v>
      </c>
      <c r="E2582" s="607">
        <v>78.540000000000006</v>
      </c>
      <c r="F2582" s="607">
        <v>126.93</v>
      </c>
      <c r="G2582" s="584">
        <v>15</v>
      </c>
    </row>
    <row r="2583" spans="1:7" ht="30" x14ac:dyDescent="0.2">
      <c r="A2583" s="583" t="s">
        <v>17234</v>
      </c>
      <c r="B2583" s="605" t="s">
        <v>17235</v>
      </c>
      <c r="C2583" s="606" t="s">
        <v>20385</v>
      </c>
      <c r="D2583" s="607">
        <v>665.48</v>
      </c>
      <c r="E2583" s="607">
        <v>78.540000000000006</v>
      </c>
      <c r="F2583" s="607">
        <v>744.02</v>
      </c>
      <c r="G2583" s="584">
        <v>15</v>
      </c>
    </row>
    <row r="2584" spans="1:7" ht="30" x14ac:dyDescent="0.2">
      <c r="A2584" s="583" t="s">
        <v>17236</v>
      </c>
      <c r="B2584" s="605" t="s">
        <v>17237</v>
      </c>
      <c r="C2584" s="606" t="s">
        <v>20385</v>
      </c>
      <c r="D2584" s="607">
        <v>503.75</v>
      </c>
      <c r="E2584" s="607">
        <v>78.540000000000006</v>
      </c>
      <c r="F2584" s="607">
        <v>582.29</v>
      </c>
      <c r="G2584" s="584">
        <v>15</v>
      </c>
    </row>
    <row r="2585" spans="1:7" ht="30" x14ac:dyDescent="0.2">
      <c r="A2585" s="583" t="s">
        <v>17238</v>
      </c>
      <c r="B2585" s="605" t="s">
        <v>17239</v>
      </c>
      <c r="C2585" s="606" t="s">
        <v>20385</v>
      </c>
      <c r="D2585" s="607">
        <v>2023.66</v>
      </c>
      <c r="E2585" s="607">
        <v>340.98</v>
      </c>
      <c r="F2585" s="607">
        <v>2364.64</v>
      </c>
      <c r="G2585" s="584">
        <v>15</v>
      </c>
    </row>
    <row r="2586" spans="1:7" ht="30" x14ac:dyDescent="0.2">
      <c r="A2586" s="583" t="s">
        <v>17240</v>
      </c>
      <c r="B2586" s="605" t="s">
        <v>17241</v>
      </c>
      <c r="C2586" s="606" t="s">
        <v>20385</v>
      </c>
      <c r="D2586" s="607">
        <v>2391.11</v>
      </c>
      <c r="E2586" s="607">
        <v>126.15</v>
      </c>
      <c r="F2586" s="607">
        <v>2517.2600000000002</v>
      </c>
      <c r="G2586" s="584">
        <v>15</v>
      </c>
    </row>
    <row r="2587" spans="1:7" ht="30" x14ac:dyDescent="0.2">
      <c r="A2587" s="583" t="s">
        <v>17242</v>
      </c>
      <c r="B2587" s="605" t="s">
        <v>17243</v>
      </c>
      <c r="C2587" s="606" t="s">
        <v>20385</v>
      </c>
      <c r="D2587" s="607">
        <v>2006.15</v>
      </c>
      <c r="E2587" s="607">
        <v>126.15</v>
      </c>
      <c r="F2587" s="607">
        <v>2132.3000000000002</v>
      </c>
      <c r="G2587" s="584">
        <v>15</v>
      </c>
    </row>
    <row r="2588" spans="1:7" ht="30" x14ac:dyDescent="0.2">
      <c r="A2588" s="583" t="s">
        <v>17244</v>
      </c>
      <c r="B2588" s="605" t="s">
        <v>17245</v>
      </c>
      <c r="C2588" s="606" t="s">
        <v>20385</v>
      </c>
      <c r="D2588" s="607">
        <v>620.37</v>
      </c>
      <c r="E2588" s="607">
        <v>81.34</v>
      </c>
      <c r="F2588" s="607">
        <v>701.71</v>
      </c>
      <c r="G2588" s="584">
        <v>15</v>
      </c>
    </row>
    <row r="2589" spans="1:7" ht="30" x14ac:dyDescent="0.2">
      <c r="A2589" s="583" t="s">
        <v>17246</v>
      </c>
      <c r="B2589" s="605" t="s">
        <v>17247</v>
      </c>
      <c r="C2589" s="606" t="s">
        <v>20385</v>
      </c>
      <c r="D2589" s="607">
        <v>654.82000000000005</v>
      </c>
      <c r="E2589" s="607">
        <v>81.34</v>
      </c>
      <c r="F2589" s="607">
        <v>736.16</v>
      </c>
      <c r="G2589" s="584">
        <v>15</v>
      </c>
    </row>
    <row r="2590" spans="1:7" ht="30" x14ac:dyDescent="0.2">
      <c r="A2590" s="583" t="s">
        <v>17248</v>
      </c>
      <c r="B2590" s="605" t="s">
        <v>17249</v>
      </c>
      <c r="C2590" s="606" t="s">
        <v>20385</v>
      </c>
      <c r="D2590" s="607">
        <v>1519.58</v>
      </c>
      <c r="E2590" s="607">
        <v>126.15</v>
      </c>
      <c r="F2590" s="607">
        <v>1645.73</v>
      </c>
      <c r="G2590" s="584">
        <v>15</v>
      </c>
    </row>
    <row r="2591" spans="1:7" ht="30" x14ac:dyDescent="0.2">
      <c r="A2591" s="583" t="s">
        <v>17250</v>
      </c>
      <c r="B2591" s="605" t="s">
        <v>17251</v>
      </c>
      <c r="C2591" s="606" t="s">
        <v>20385</v>
      </c>
      <c r="D2591" s="607">
        <v>1431.6</v>
      </c>
      <c r="E2591" s="607">
        <v>564.57000000000005</v>
      </c>
      <c r="F2591" s="607">
        <v>1996.17</v>
      </c>
      <c r="G2591" s="584">
        <v>15</v>
      </c>
    </row>
    <row r="2592" spans="1:7" ht="30" x14ac:dyDescent="0.2">
      <c r="A2592" s="583" t="s">
        <v>17252</v>
      </c>
      <c r="B2592" s="605" t="s">
        <v>17253</v>
      </c>
      <c r="C2592" s="606" t="s">
        <v>20385</v>
      </c>
      <c r="D2592" s="607">
        <v>1020.8</v>
      </c>
      <c r="E2592" s="607">
        <v>126.15</v>
      </c>
      <c r="F2592" s="607">
        <v>1146.95</v>
      </c>
      <c r="G2592" s="584">
        <v>15</v>
      </c>
    </row>
    <row r="2593" spans="1:7" ht="15" x14ac:dyDescent="0.25">
      <c r="A2593" s="583" t="s">
        <v>17254</v>
      </c>
      <c r="B2593" s="605" t="s">
        <v>17255</v>
      </c>
      <c r="C2593" s="606"/>
      <c r="D2593" s="607"/>
      <c r="E2593" s="607"/>
      <c r="F2593" s="607"/>
      <c r="G2593" s="582"/>
    </row>
    <row r="2594" spans="1:7" ht="30" x14ac:dyDescent="0.2">
      <c r="A2594" s="583" t="s">
        <v>17256</v>
      </c>
      <c r="B2594" s="605" t="s">
        <v>17257</v>
      </c>
      <c r="C2594" s="606" t="s">
        <v>20385</v>
      </c>
      <c r="D2594" s="607">
        <v>489.52</v>
      </c>
      <c r="E2594" s="607">
        <v>39.270000000000003</v>
      </c>
      <c r="F2594" s="607">
        <v>528.79</v>
      </c>
      <c r="G2594" s="584">
        <v>15</v>
      </c>
    </row>
    <row r="2595" spans="1:7" ht="30" x14ac:dyDescent="0.2">
      <c r="A2595" s="583" t="s">
        <v>20220</v>
      </c>
      <c r="B2595" s="605" t="s">
        <v>20221</v>
      </c>
      <c r="C2595" s="606" t="s">
        <v>20385</v>
      </c>
      <c r="D2595" s="607">
        <v>113.13</v>
      </c>
      <c r="E2595" s="607">
        <v>16.75</v>
      </c>
      <c r="F2595" s="607">
        <v>129.88</v>
      </c>
      <c r="G2595" s="584">
        <v>15</v>
      </c>
    </row>
    <row r="2596" spans="1:7" ht="30" x14ac:dyDescent="0.2">
      <c r="A2596" s="583" t="s">
        <v>17258</v>
      </c>
      <c r="B2596" s="605" t="s">
        <v>20087</v>
      </c>
      <c r="C2596" s="606" t="s">
        <v>20385</v>
      </c>
      <c r="D2596" s="607">
        <v>34.21</v>
      </c>
      <c r="E2596" s="607">
        <v>16.75</v>
      </c>
      <c r="F2596" s="607">
        <v>50.96</v>
      </c>
      <c r="G2596" s="584">
        <v>15</v>
      </c>
    </row>
    <row r="2597" spans="1:7" ht="30" x14ac:dyDescent="0.2">
      <c r="A2597" s="583" t="s">
        <v>17259</v>
      </c>
      <c r="B2597" s="605" t="s">
        <v>17260</v>
      </c>
      <c r="C2597" s="606" t="s">
        <v>20385</v>
      </c>
      <c r="D2597" s="607">
        <v>384.24</v>
      </c>
      <c r="E2597" s="607">
        <v>39.270000000000003</v>
      </c>
      <c r="F2597" s="607">
        <v>423.51</v>
      </c>
      <c r="G2597" s="584">
        <v>15</v>
      </c>
    </row>
    <row r="2598" spans="1:7" ht="30" x14ac:dyDescent="0.2">
      <c r="A2598" s="583" t="s">
        <v>17261</v>
      </c>
      <c r="B2598" s="605" t="s">
        <v>17262</v>
      </c>
      <c r="C2598" s="606" t="s">
        <v>20385</v>
      </c>
      <c r="D2598" s="607">
        <v>362.85</v>
      </c>
      <c r="E2598" s="607">
        <v>39.270000000000003</v>
      </c>
      <c r="F2598" s="607">
        <v>402.12</v>
      </c>
      <c r="G2598" s="584">
        <v>15</v>
      </c>
    </row>
    <row r="2599" spans="1:7" ht="30" x14ac:dyDescent="0.2">
      <c r="A2599" s="583" t="s">
        <v>20088</v>
      </c>
      <c r="B2599" s="605" t="s">
        <v>20089</v>
      </c>
      <c r="C2599" s="606" t="s">
        <v>20385</v>
      </c>
      <c r="D2599" s="607">
        <v>114.97</v>
      </c>
      <c r="E2599" s="607">
        <v>27.92</v>
      </c>
      <c r="F2599" s="607">
        <v>142.88999999999999</v>
      </c>
      <c r="G2599" s="584">
        <v>15</v>
      </c>
    </row>
    <row r="2600" spans="1:7" ht="30" x14ac:dyDescent="0.2">
      <c r="A2600" s="583" t="s">
        <v>20298</v>
      </c>
      <c r="B2600" s="605" t="s">
        <v>20299</v>
      </c>
      <c r="C2600" s="606" t="s">
        <v>20385</v>
      </c>
      <c r="D2600" s="607">
        <v>235.62</v>
      </c>
      <c r="E2600" s="607">
        <v>39.270000000000003</v>
      </c>
      <c r="F2600" s="607">
        <v>274.89</v>
      </c>
      <c r="G2600" s="584">
        <v>15</v>
      </c>
    </row>
    <row r="2601" spans="1:7" ht="30" x14ac:dyDescent="0.2">
      <c r="A2601" s="583" t="s">
        <v>17263</v>
      </c>
      <c r="B2601" s="605" t="s">
        <v>17264</v>
      </c>
      <c r="C2601" s="606" t="s">
        <v>20385</v>
      </c>
      <c r="D2601" s="607">
        <v>68.69</v>
      </c>
      <c r="E2601" s="607">
        <v>16.75</v>
      </c>
      <c r="F2601" s="607">
        <v>85.44</v>
      </c>
      <c r="G2601" s="584">
        <v>15</v>
      </c>
    </row>
    <row r="2602" spans="1:7" ht="30" x14ac:dyDescent="0.2">
      <c r="A2602" s="583" t="s">
        <v>17265</v>
      </c>
      <c r="B2602" s="605" t="s">
        <v>17266</v>
      </c>
      <c r="C2602" s="606" t="s">
        <v>20385</v>
      </c>
      <c r="D2602" s="607">
        <v>94.83</v>
      </c>
      <c r="E2602" s="607">
        <v>16.75</v>
      </c>
      <c r="F2602" s="607">
        <v>111.58</v>
      </c>
      <c r="G2602" s="584">
        <v>15</v>
      </c>
    </row>
    <row r="2603" spans="1:7" ht="30" x14ac:dyDescent="0.2">
      <c r="A2603" s="583" t="s">
        <v>17267</v>
      </c>
      <c r="B2603" s="605" t="s">
        <v>20090</v>
      </c>
      <c r="C2603" s="606" t="s">
        <v>20385</v>
      </c>
      <c r="D2603" s="607">
        <v>7861.69</v>
      </c>
      <c r="E2603" s="607">
        <v>39.270000000000003</v>
      </c>
      <c r="F2603" s="607">
        <v>7900.96</v>
      </c>
      <c r="G2603" s="584">
        <v>15</v>
      </c>
    </row>
    <row r="2604" spans="1:7" ht="45" x14ac:dyDescent="0.2">
      <c r="A2604" s="583" t="s">
        <v>17268</v>
      </c>
      <c r="B2604" s="605" t="s">
        <v>20397</v>
      </c>
      <c r="C2604" s="606" t="s">
        <v>20385</v>
      </c>
      <c r="D2604" s="607">
        <v>669.83</v>
      </c>
      <c r="E2604" s="607">
        <v>39.270000000000003</v>
      </c>
      <c r="F2604" s="607">
        <v>709.1</v>
      </c>
      <c r="G2604" s="584">
        <v>15</v>
      </c>
    </row>
    <row r="2605" spans="1:7" ht="30" x14ac:dyDescent="0.2">
      <c r="A2605" s="583" t="s">
        <v>20091</v>
      </c>
      <c r="B2605" s="605" t="s">
        <v>21426</v>
      </c>
      <c r="C2605" s="606" t="s">
        <v>20385</v>
      </c>
      <c r="D2605" s="607">
        <v>612.9</v>
      </c>
      <c r="E2605" s="607">
        <v>39.270000000000003</v>
      </c>
      <c r="F2605" s="607">
        <v>652.16999999999996</v>
      </c>
      <c r="G2605" s="584">
        <v>15</v>
      </c>
    </row>
    <row r="2606" spans="1:7" ht="30" x14ac:dyDescent="0.2">
      <c r="A2606" s="583" t="s">
        <v>20092</v>
      </c>
      <c r="B2606" s="605" t="s">
        <v>21427</v>
      </c>
      <c r="C2606" s="606" t="s">
        <v>20385</v>
      </c>
      <c r="D2606" s="607">
        <v>984.82</v>
      </c>
      <c r="E2606" s="607">
        <v>39.270000000000003</v>
      </c>
      <c r="F2606" s="607">
        <v>1024.0899999999999</v>
      </c>
      <c r="G2606" s="584">
        <v>15</v>
      </c>
    </row>
    <row r="2607" spans="1:7" ht="45" x14ac:dyDescent="0.2">
      <c r="A2607" s="583" t="s">
        <v>17269</v>
      </c>
      <c r="B2607" s="605" t="s">
        <v>20093</v>
      </c>
      <c r="C2607" s="606" t="s">
        <v>20385</v>
      </c>
      <c r="D2607" s="607">
        <v>323.14</v>
      </c>
      <c r="E2607" s="607">
        <v>39.270000000000003</v>
      </c>
      <c r="F2607" s="607">
        <v>362.41</v>
      </c>
      <c r="G2607" s="584">
        <v>15</v>
      </c>
    </row>
    <row r="2608" spans="1:7" ht="30" x14ac:dyDescent="0.2">
      <c r="A2608" s="583" t="s">
        <v>17270</v>
      </c>
      <c r="B2608" s="605" t="s">
        <v>20222</v>
      </c>
      <c r="C2608" s="606" t="s">
        <v>20385</v>
      </c>
      <c r="D2608" s="607">
        <v>62.07</v>
      </c>
      <c r="E2608" s="607">
        <v>39.270000000000003</v>
      </c>
      <c r="F2608" s="607">
        <v>101.34</v>
      </c>
      <c r="G2608" s="584">
        <v>15</v>
      </c>
    </row>
    <row r="2609" spans="1:7" ht="45" x14ac:dyDescent="0.2">
      <c r="A2609" s="583" t="s">
        <v>17271</v>
      </c>
      <c r="B2609" s="605" t="s">
        <v>20398</v>
      </c>
      <c r="C2609" s="606" t="s">
        <v>20385</v>
      </c>
      <c r="D2609" s="607">
        <v>414.14</v>
      </c>
      <c r="E2609" s="607">
        <v>39.270000000000003</v>
      </c>
      <c r="F2609" s="607">
        <v>453.41</v>
      </c>
      <c r="G2609" s="584">
        <v>15</v>
      </c>
    </row>
    <row r="2610" spans="1:7" ht="15" x14ac:dyDescent="0.25">
      <c r="A2610" s="583" t="s">
        <v>17272</v>
      </c>
      <c r="B2610" s="605" t="s">
        <v>17273</v>
      </c>
      <c r="C2610" s="606"/>
      <c r="D2610" s="607"/>
      <c r="E2610" s="607"/>
      <c r="F2610" s="607"/>
      <c r="G2610" s="582"/>
    </row>
    <row r="2611" spans="1:7" ht="30" x14ac:dyDescent="0.2">
      <c r="A2611" s="583" t="s">
        <v>17274</v>
      </c>
      <c r="B2611" s="605" t="s">
        <v>20094</v>
      </c>
      <c r="C2611" s="606" t="s">
        <v>20385</v>
      </c>
      <c r="D2611" s="607">
        <v>964.71</v>
      </c>
      <c r="E2611" s="607">
        <v>27.92</v>
      </c>
      <c r="F2611" s="607">
        <v>992.63</v>
      </c>
      <c r="G2611" s="584">
        <v>15</v>
      </c>
    </row>
    <row r="2612" spans="1:7" ht="15" x14ac:dyDescent="0.25">
      <c r="A2612" s="583" t="s">
        <v>17275</v>
      </c>
      <c r="B2612" s="605" t="s">
        <v>17276</v>
      </c>
      <c r="C2612" s="606"/>
      <c r="D2612" s="607"/>
      <c r="E2612" s="607"/>
      <c r="F2612" s="607"/>
      <c r="G2612" s="582"/>
    </row>
    <row r="2613" spans="1:7" ht="30" x14ac:dyDescent="0.2">
      <c r="A2613" s="583" t="s">
        <v>17277</v>
      </c>
      <c r="B2613" s="605" t="s">
        <v>174</v>
      </c>
      <c r="C2613" s="606" t="s">
        <v>20385</v>
      </c>
      <c r="D2613" s="607">
        <v>236.36</v>
      </c>
      <c r="E2613" s="607">
        <v>22.33</v>
      </c>
      <c r="F2613" s="607">
        <v>258.69</v>
      </c>
      <c r="G2613" s="584">
        <v>15</v>
      </c>
    </row>
    <row r="2614" spans="1:7" ht="30" x14ac:dyDescent="0.2">
      <c r="A2614" s="583" t="s">
        <v>17278</v>
      </c>
      <c r="B2614" s="605" t="s">
        <v>17279</v>
      </c>
      <c r="C2614" s="606" t="s">
        <v>20385</v>
      </c>
      <c r="D2614" s="607">
        <v>274.39999999999998</v>
      </c>
      <c r="E2614" s="607">
        <v>22.33</v>
      </c>
      <c r="F2614" s="607">
        <v>296.73</v>
      </c>
      <c r="G2614" s="584">
        <v>15</v>
      </c>
    </row>
    <row r="2615" spans="1:7" ht="30" x14ac:dyDescent="0.2">
      <c r="A2615" s="583" t="s">
        <v>17280</v>
      </c>
      <c r="B2615" s="605" t="s">
        <v>175</v>
      </c>
      <c r="C2615" s="606" t="s">
        <v>20385</v>
      </c>
      <c r="D2615" s="607">
        <v>159.51</v>
      </c>
      <c r="E2615" s="607">
        <v>22.33</v>
      </c>
      <c r="F2615" s="607">
        <v>181.84</v>
      </c>
      <c r="G2615" s="584">
        <v>15</v>
      </c>
    </row>
    <row r="2616" spans="1:7" ht="15" x14ac:dyDescent="0.25">
      <c r="A2616" s="583" t="s">
        <v>17281</v>
      </c>
      <c r="B2616" s="605" t="s">
        <v>17282</v>
      </c>
      <c r="C2616" s="606"/>
      <c r="D2616" s="607"/>
      <c r="E2616" s="607"/>
      <c r="F2616" s="607"/>
      <c r="G2616" s="582"/>
    </row>
    <row r="2617" spans="1:7" ht="45" x14ac:dyDescent="0.2">
      <c r="A2617" s="583" t="s">
        <v>17283</v>
      </c>
      <c r="B2617" s="605" t="s">
        <v>17284</v>
      </c>
      <c r="C2617" s="606" t="s">
        <v>20385</v>
      </c>
      <c r="D2617" s="607">
        <v>153.58000000000001</v>
      </c>
      <c r="E2617" s="607">
        <v>22.33</v>
      </c>
      <c r="F2617" s="607">
        <v>175.91</v>
      </c>
      <c r="G2617" s="584">
        <v>15</v>
      </c>
    </row>
    <row r="2618" spans="1:7" ht="30" x14ac:dyDescent="0.2">
      <c r="A2618" s="583" t="s">
        <v>17285</v>
      </c>
      <c r="B2618" s="605" t="s">
        <v>17286</v>
      </c>
      <c r="C2618" s="606" t="s">
        <v>20385</v>
      </c>
      <c r="D2618" s="607">
        <v>48.91</v>
      </c>
      <c r="E2618" s="607">
        <v>22.33</v>
      </c>
      <c r="F2618" s="607">
        <v>71.239999999999995</v>
      </c>
      <c r="G2618" s="584">
        <v>15</v>
      </c>
    </row>
    <row r="2619" spans="1:7" ht="45" x14ac:dyDescent="0.2">
      <c r="A2619" s="583" t="s">
        <v>17287</v>
      </c>
      <c r="B2619" s="605" t="s">
        <v>17288</v>
      </c>
      <c r="C2619" s="606" t="s">
        <v>20385</v>
      </c>
      <c r="D2619" s="607">
        <v>134.82</v>
      </c>
      <c r="E2619" s="607">
        <v>22.33</v>
      </c>
      <c r="F2619" s="607">
        <v>157.15</v>
      </c>
      <c r="G2619" s="584">
        <v>15</v>
      </c>
    </row>
    <row r="2620" spans="1:7" ht="45" x14ac:dyDescent="0.2">
      <c r="A2620" s="583" t="s">
        <v>17289</v>
      </c>
      <c r="B2620" s="605" t="s">
        <v>17290</v>
      </c>
      <c r="C2620" s="606" t="s">
        <v>20385</v>
      </c>
      <c r="D2620" s="607">
        <v>88.94</v>
      </c>
      <c r="E2620" s="607">
        <v>27.92</v>
      </c>
      <c r="F2620" s="607">
        <v>116.86</v>
      </c>
      <c r="G2620" s="584">
        <v>15</v>
      </c>
    </row>
    <row r="2621" spans="1:7" ht="45" x14ac:dyDescent="0.2">
      <c r="A2621" s="583" t="s">
        <v>17291</v>
      </c>
      <c r="B2621" s="605" t="s">
        <v>21428</v>
      </c>
      <c r="C2621" s="606" t="s">
        <v>20385</v>
      </c>
      <c r="D2621" s="607">
        <v>124.15</v>
      </c>
      <c r="E2621" s="607">
        <v>22.33</v>
      </c>
      <c r="F2621" s="607">
        <v>146.47999999999999</v>
      </c>
      <c r="G2621" s="584">
        <v>15</v>
      </c>
    </row>
    <row r="2622" spans="1:7" ht="45" x14ac:dyDescent="0.2">
      <c r="A2622" s="583" t="s">
        <v>17292</v>
      </c>
      <c r="B2622" s="605" t="s">
        <v>17293</v>
      </c>
      <c r="C2622" s="606" t="s">
        <v>20385</v>
      </c>
      <c r="D2622" s="607">
        <v>176.49</v>
      </c>
      <c r="E2622" s="607">
        <v>22.33</v>
      </c>
      <c r="F2622" s="607">
        <v>198.82</v>
      </c>
      <c r="G2622" s="584">
        <v>15</v>
      </c>
    </row>
    <row r="2623" spans="1:7" ht="45" x14ac:dyDescent="0.2">
      <c r="A2623" s="583" t="s">
        <v>17294</v>
      </c>
      <c r="B2623" s="605" t="s">
        <v>20095</v>
      </c>
      <c r="C2623" s="606" t="s">
        <v>20385</v>
      </c>
      <c r="D2623" s="607">
        <v>119.69</v>
      </c>
      <c r="E2623" s="607">
        <v>16.75</v>
      </c>
      <c r="F2623" s="607">
        <v>136.44</v>
      </c>
      <c r="G2623" s="584">
        <v>15</v>
      </c>
    </row>
    <row r="2624" spans="1:7" ht="45" x14ac:dyDescent="0.2">
      <c r="A2624" s="583" t="s">
        <v>17295</v>
      </c>
      <c r="B2624" s="605" t="s">
        <v>20096</v>
      </c>
      <c r="C2624" s="606" t="s">
        <v>20385</v>
      </c>
      <c r="D2624" s="607">
        <v>148.38</v>
      </c>
      <c r="E2624" s="607">
        <v>22.33</v>
      </c>
      <c r="F2624" s="607">
        <v>170.71</v>
      </c>
      <c r="G2624" s="584">
        <v>15</v>
      </c>
    </row>
    <row r="2625" spans="1:7" ht="30" x14ac:dyDescent="0.2">
      <c r="A2625" s="583" t="s">
        <v>17296</v>
      </c>
      <c r="B2625" s="605" t="s">
        <v>20097</v>
      </c>
      <c r="C2625" s="606" t="s">
        <v>20385</v>
      </c>
      <c r="D2625" s="607">
        <v>85.85</v>
      </c>
      <c r="E2625" s="607">
        <v>27.92</v>
      </c>
      <c r="F2625" s="607">
        <v>113.77</v>
      </c>
      <c r="G2625" s="584">
        <v>15</v>
      </c>
    </row>
    <row r="2626" spans="1:7" ht="30" x14ac:dyDescent="0.2">
      <c r="A2626" s="583" t="s">
        <v>17297</v>
      </c>
      <c r="B2626" s="605" t="s">
        <v>21429</v>
      </c>
      <c r="C2626" s="606" t="s">
        <v>20385</v>
      </c>
      <c r="D2626" s="607">
        <v>118.37</v>
      </c>
      <c r="E2626" s="607">
        <v>27.92</v>
      </c>
      <c r="F2626" s="607">
        <v>146.29</v>
      </c>
      <c r="G2626" s="584">
        <v>15</v>
      </c>
    </row>
    <row r="2627" spans="1:7" ht="45" x14ac:dyDescent="0.2">
      <c r="A2627" s="583" t="s">
        <v>17298</v>
      </c>
      <c r="B2627" s="605" t="s">
        <v>20098</v>
      </c>
      <c r="C2627" s="606" t="s">
        <v>20385</v>
      </c>
      <c r="D2627" s="607">
        <v>211.19</v>
      </c>
      <c r="E2627" s="607">
        <v>27.92</v>
      </c>
      <c r="F2627" s="607">
        <v>239.11</v>
      </c>
      <c r="G2627" s="584">
        <v>15</v>
      </c>
    </row>
    <row r="2628" spans="1:7" ht="45" x14ac:dyDescent="0.2">
      <c r="A2628" s="583" t="s">
        <v>17299</v>
      </c>
      <c r="B2628" s="605" t="s">
        <v>21430</v>
      </c>
      <c r="C2628" s="606" t="s">
        <v>20385</v>
      </c>
      <c r="D2628" s="607">
        <v>143.77000000000001</v>
      </c>
      <c r="E2628" s="607">
        <v>27.92</v>
      </c>
      <c r="F2628" s="607">
        <v>171.69</v>
      </c>
      <c r="G2628" s="584">
        <v>15</v>
      </c>
    </row>
    <row r="2629" spans="1:7" ht="30" x14ac:dyDescent="0.2">
      <c r="A2629" s="583" t="s">
        <v>17300</v>
      </c>
      <c r="B2629" s="605" t="s">
        <v>20099</v>
      </c>
      <c r="C2629" s="606" t="s">
        <v>20385</v>
      </c>
      <c r="D2629" s="607">
        <v>71.94</v>
      </c>
      <c r="E2629" s="607">
        <v>27.92</v>
      </c>
      <c r="F2629" s="607">
        <v>99.86</v>
      </c>
      <c r="G2629" s="584">
        <v>15</v>
      </c>
    </row>
    <row r="2630" spans="1:7" ht="45" x14ac:dyDescent="0.2">
      <c r="A2630" s="583" t="s">
        <v>17301</v>
      </c>
      <c r="B2630" s="605" t="s">
        <v>20100</v>
      </c>
      <c r="C2630" s="606" t="s">
        <v>20385</v>
      </c>
      <c r="D2630" s="607">
        <v>62.38</v>
      </c>
      <c r="E2630" s="607">
        <v>22.33</v>
      </c>
      <c r="F2630" s="607">
        <v>84.71</v>
      </c>
      <c r="G2630" s="584">
        <v>15</v>
      </c>
    </row>
    <row r="2631" spans="1:7" ht="30" x14ac:dyDescent="0.2">
      <c r="A2631" s="583" t="s">
        <v>17302</v>
      </c>
      <c r="B2631" s="605" t="s">
        <v>20101</v>
      </c>
      <c r="C2631" s="606" t="s">
        <v>20385</v>
      </c>
      <c r="D2631" s="607">
        <v>100.81</v>
      </c>
      <c r="E2631" s="607">
        <v>22.33</v>
      </c>
      <c r="F2631" s="607">
        <v>123.14</v>
      </c>
      <c r="G2631" s="584">
        <v>15</v>
      </c>
    </row>
    <row r="2632" spans="1:7" ht="45" x14ac:dyDescent="0.2">
      <c r="A2632" s="583" t="s">
        <v>17303</v>
      </c>
      <c r="B2632" s="605" t="s">
        <v>20399</v>
      </c>
      <c r="C2632" s="606" t="s">
        <v>20385</v>
      </c>
      <c r="D2632" s="607">
        <v>84.81</v>
      </c>
      <c r="E2632" s="607">
        <v>22.33</v>
      </c>
      <c r="F2632" s="607">
        <v>107.14</v>
      </c>
      <c r="G2632" s="584">
        <v>15</v>
      </c>
    </row>
    <row r="2633" spans="1:7" ht="30" x14ac:dyDescent="0.2">
      <c r="A2633" s="583" t="s">
        <v>20223</v>
      </c>
      <c r="B2633" s="605" t="s">
        <v>20300</v>
      </c>
      <c r="C2633" s="606" t="s">
        <v>20385</v>
      </c>
      <c r="D2633" s="607">
        <v>115.42</v>
      </c>
      <c r="E2633" s="607">
        <v>22.33</v>
      </c>
      <c r="F2633" s="607">
        <v>137.75</v>
      </c>
      <c r="G2633" s="584">
        <v>15</v>
      </c>
    </row>
    <row r="2634" spans="1:7" ht="15" x14ac:dyDescent="0.25">
      <c r="A2634" s="583" t="s">
        <v>17304</v>
      </c>
      <c r="B2634" s="605" t="s">
        <v>17305</v>
      </c>
      <c r="C2634" s="606"/>
      <c r="D2634" s="607"/>
      <c r="E2634" s="607"/>
      <c r="F2634" s="607"/>
      <c r="G2634" s="582"/>
    </row>
    <row r="2635" spans="1:7" ht="30" x14ac:dyDescent="0.2">
      <c r="A2635" s="583" t="s">
        <v>17306</v>
      </c>
      <c r="B2635" s="605" t="s">
        <v>17307</v>
      </c>
      <c r="C2635" s="606" t="s">
        <v>20385</v>
      </c>
      <c r="D2635" s="607">
        <v>43.67</v>
      </c>
      <c r="E2635" s="607">
        <v>16.75</v>
      </c>
      <c r="F2635" s="607">
        <v>60.42</v>
      </c>
      <c r="G2635" s="584">
        <v>15</v>
      </c>
    </row>
    <row r="2636" spans="1:7" ht="15" x14ac:dyDescent="0.25">
      <c r="A2636" s="583" t="s">
        <v>17308</v>
      </c>
      <c r="B2636" s="605" t="s">
        <v>17309</v>
      </c>
      <c r="C2636" s="606"/>
      <c r="D2636" s="607"/>
      <c r="E2636" s="607"/>
      <c r="F2636" s="607"/>
      <c r="G2636" s="582"/>
    </row>
    <row r="2637" spans="1:7" ht="30" x14ac:dyDescent="0.2">
      <c r="A2637" s="583" t="s">
        <v>17310</v>
      </c>
      <c r="B2637" s="605" t="s">
        <v>17311</v>
      </c>
      <c r="C2637" s="606" t="s">
        <v>20385</v>
      </c>
      <c r="D2637" s="607">
        <v>0.48</v>
      </c>
      <c r="E2637" s="607">
        <v>22.33</v>
      </c>
      <c r="F2637" s="607">
        <v>22.81</v>
      </c>
      <c r="G2637" s="584">
        <v>15</v>
      </c>
    </row>
    <row r="2638" spans="1:7" ht="30" x14ac:dyDescent="0.2">
      <c r="A2638" s="583" t="s">
        <v>17312</v>
      </c>
      <c r="B2638" s="605" t="s">
        <v>17313</v>
      </c>
      <c r="C2638" s="606" t="s">
        <v>20385</v>
      </c>
      <c r="D2638" s="607">
        <v>7.44</v>
      </c>
      <c r="E2638" s="607">
        <v>4.54</v>
      </c>
      <c r="F2638" s="607">
        <v>11.98</v>
      </c>
      <c r="G2638" s="584">
        <v>15</v>
      </c>
    </row>
    <row r="2639" spans="1:7" ht="15" x14ac:dyDescent="0.2">
      <c r="A2639" s="583" t="s">
        <v>17314</v>
      </c>
      <c r="B2639" s="605" t="s">
        <v>17315</v>
      </c>
      <c r="C2639" s="606" t="s">
        <v>20385</v>
      </c>
      <c r="D2639" s="607"/>
      <c r="E2639" s="607">
        <v>22.33</v>
      </c>
      <c r="F2639" s="607">
        <v>22.33</v>
      </c>
      <c r="G2639" s="584">
        <v>15</v>
      </c>
    </row>
    <row r="2640" spans="1:7" ht="15" x14ac:dyDescent="0.2">
      <c r="A2640" s="583" t="s">
        <v>17316</v>
      </c>
      <c r="B2640" s="605" t="s">
        <v>17317</v>
      </c>
      <c r="C2640" s="606" t="s">
        <v>20385</v>
      </c>
      <c r="D2640" s="607"/>
      <c r="E2640" s="607">
        <v>4.54</v>
      </c>
      <c r="F2640" s="607">
        <v>4.54</v>
      </c>
      <c r="G2640" s="584">
        <v>15</v>
      </c>
    </row>
    <row r="2641" spans="1:7" ht="15" x14ac:dyDescent="0.25">
      <c r="A2641" s="583" t="s">
        <v>17318</v>
      </c>
      <c r="B2641" s="605" t="s">
        <v>20102</v>
      </c>
      <c r="C2641" s="606"/>
      <c r="D2641" s="607"/>
      <c r="E2641" s="607"/>
      <c r="F2641" s="607"/>
      <c r="G2641" s="582"/>
    </row>
    <row r="2642" spans="1:7" ht="45" x14ac:dyDescent="0.2">
      <c r="A2642" s="583" t="s">
        <v>17319</v>
      </c>
      <c r="B2642" s="605" t="s">
        <v>20301</v>
      </c>
      <c r="C2642" s="606" t="s">
        <v>20385</v>
      </c>
      <c r="D2642" s="607">
        <v>334.87</v>
      </c>
      <c r="E2642" s="607">
        <v>22.33</v>
      </c>
      <c r="F2642" s="607">
        <v>357.2</v>
      </c>
      <c r="G2642" s="584">
        <v>15</v>
      </c>
    </row>
    <row r="2643" spans="1:7" ht="45" x14ac:dyDescent="0.2">
      <c r="A2643" s="583" t="s">
        <v>17320</v>
      </c>
      <c r="B2643" s="605" t="s">
        <v>20103</v>
      </c>
      <c r="C2643" s="606" t="s">
        <v>20385</v>
      </c>
      <c r="D2643" s="607">
        <v>211.3</v>
      </c>
      <c r="E2643" s="607">
        <v>16.75</v>
      </c>
      <c r="F2643" s="607">
        <v>228.05</v>
      </c>
      <c r="G2643" s="584">
        <v>15</v>
      </c>
    </row>
    <row r="2644" spans="1:7" ht="45" x14ac:dyDescent="0.2">
      <c r="A2644" s="583" t="s">
        <v>17321</v>
      </c>
      <c r="B2644" s="605" t="s">
        <v>20104</v>
      </c>
      <c r="C2644" s="606" t="s">
        <v>20385</v>
      </c>
      <c r="D2644" s="607">
        <v>152.35</v>
      </c>
      <c r="E2644" s="607">
        <v>22.33</v>
      </c>
      <c r="F2644" s="607">
        <v>174.68</v>
      </c>
      <c r="G2644" s="584">
        <v>15</v>
      </c>
    </row>
    <row r="2645" spans="1:7" ht="45" x14ac:dyDescent="0.2">
      <c r="A2645" s="583" t="s">
        <v>17322</v>
      </c>
      <c r="B2645" s="605" t="s">
        <v>21431</v>
      </c>
      <c r="C2645" s="606" t="s">
        <v>20385</v>
      </c>
      <c r="D2645" s="607">
        <v>262.64999999999998</v>
      </c>
      <c r="E2645" s="607">
        <v>16.75</v>
      </c>
      <c r="F2645" s="607">
        <v>279.39999999999998</v>
      </c>
      <c r="G2645" s="584">
        <v>15</v>
      </c>
    </row>
    <row r="2646" spans="1:7" ht="30" x14ac:dyDescent="0.2">
      <c r="A2646" s="583" t="s">
        <v>20105</v>
      </c>
      <c r="B2646" s="605" t="s">
        <v>20106</v>
      </c>
      <c r="C2646" s="606" t="s">
        <v>20385</v>
      </c>
      <c r="D2646" s="607">
        <v>78.67</v>
      </c>
      <c r="E2646" s="607">
        <v>27.92</v>
      </c>
      <c r="F2646" s="607">
        <v>106.59</v>
      </c>
      <c r="G2646" s="584">
        <v>15</v>
      </c>
    </row>
    <row r="2647" spans="1:7" ht="15" x14ac:dyDescent="0.25">
      <c r="A2647" s="583" t="s">
        <v>17323</v>
      </c>
      <c r="B2647" s="605" t="s">
        <v>17324</v>
      </c>
      <c r="C2647" s="606"/>
      <c r="D2647" s="607"/>
      <c r="E2647" s="607"/>
      <c r="F2647" s="607"/>
      <c r="G2647" s="582"/>
    </row>
    <row r="2648" spans="1:7" ht="15" x14ac:dyDescent="0.25">
      <c r="A2648" s="583" t="s">
        <v>17325</v>
      </c>
      <c r="B2648" s="605" t="s">
        <v>17326</v>
      </c>
      <c r="C2648" s="606"/>
      <c r="D2648" s="607"/>
      <c r="E2648" s="607"/>
      <c r="F2648" s="607"/>
      <c r="G2648" s="582"/>
    </row>
    <row r="2649" spans="1:7" ht="30" x14ac:dyDescent="0.2">
      <c r="A2649" s="583" t="s">
        <v>17327</v>
      </c>
      <c r="B2649" s="605" t="s">
        <v>17328</v>
      </c>
      <c r="C2649" s="606" t="s">
        <v>20385</v>
      </c>
      <c r="D2649" s="607">
        <v>86.7</v>
      </c>
      <c r="E2649" s="607">
        <v>13.96</v>
      </c>
      <c r="F2649" s="607">
        <v>100.66</v>
      </c>
      <c r="G2649" s="584">
        <v>15</v>
      </c>
    </row>
    <row r="2650" spans="1:7" ht="30" x14ac:dyDescent="0.2">
      <c r="A2650" s="583" t="s">
        <v>17329</v>
      </c>
      <c r="B2650" s="605" t="s">
        <v>17330</v>
      </c>
      <c r="C2650" s="606" t="s">
        <v>20385</v>
      </c>
      <c r="D2650" s="607">
        <v>90.35</v>
      </c>
      <c r="E2650" s="607">
        <v>13.96</v>
      </c>
      <c r="F2650" s="607">
        <v>104.31</v>
      </c>
      <c r="G2650" s="584">
        <v>15</v>
      </c>
    </row>
    <row r="2651" spans="1:7" ht="15" x14ac:dyDescent="0.2">
      <c r="A2651" s="583" t="s">
        <v>17331</v>
      </c>
      <c r="B2651" s="605" t="s">
        <v>17332</v>
      </c>
      <c r="C2651" s="606" t="s">
        <v>20385</v>
      </c>
      <c r="D2651" s="607">
        <v>71.099999999999994</v>
      </c>
      <c r="E2651" s="607">
        <v>13.96</v>
      </c>
      <c r="F2651" s="607">
        <v>85.06</v>
      </c>
      <c r="G2651" s="584">
        <v>15</v>
      </c>
    </row>
    <row r="2652" spans="1:7" ht="15" x14ac:dyDescent="0.2">
      <c r="A2652" s="583" t="s">
        <v>17333</v>
      </c>
      <c r="B2652" s="605" t="s">
        <v>17334</v>
      </c>
      <c r="C2652" s="606" t="s">
        <v>20385</v>
      </c>
      <c r="D2652" s="607">
        <v>47.01</v>
      </c>
      <c r="E2652" s="607">
        <v>13.96</v>
      </c>
      <c r="F2652" s="607">
        <v>60.97</v>
      </c>
      <c r="G2652" s="584">
        <v>15</v>
      </c>
    </row>
    <row r="2653" spans="1:7" ht="15" x14ac:dyDescent="0.2">
      <c r="A2653" s="583" t="s">
        <v>17335</v>
      </c>
      <c r="B2653" s="605" t="s">
        <v>17336</v>
      </c>
      <c r="C2653" s="606" t="s">
        <v>20385</v>
      </c>
      <c r="D2653" s="607">
        <v>4.22</v>
      </c>
      <c r="E2653" s="607">
        <v>13.96</v>
      </c>
      <c r="F2653" s="607">
        <v>18.18</v>
      </c>
      <c r="G2653" s="584">
        <v>15</v>
      </c>
    </row>
    <row r="2654" spans="1:7" ht="30" x14ac:dyDescent="0.2">
      <c r="A2654" s="583" t="s">
        <v>17337</v>
      </c>
      <c r="B2654" s="605" t="s">
        <v>17338</v>
      </c>
      <c r="C2654" s="606" t="s">
        <v>20385</v>
      </c>
      <c r="D2654" s="607">
        <v>29.22</v>
      </c>
      <c r="E2654" s="607">
        <v>13.96</v>
      </c>
      <c r="F2654" s="607">
        <v>43.18</v>
      </c>
      <c r="G2654" s="584">
        <v>15</v>
      </c>
    </row>
    <row r="2655" spans="1:7" ht="30" x14ac:dyDescent="0.2">
      <c r="A2655" s="583" t="s">
        <v>17339</v>
      </c>
      <c r="B2655" s="605" t="s">
        <v>17340</v>
      </c>
      <c r="C2655" s="606" t="s">
        <v>20385</v>
      </c>
      <c r="D2655" s="607">
        <v>9.27</v>
      </c>
      <c r="E2655" s="607">
        <v>13.96</v>
      </c>
      <c r="F2655" s="607">
        <v>23.23</v>
      </c>
      <c r="G2655" s="584">
        <v>15</v>
      </c>
    </row>
    <row r="2656" spans="1:7" ht="30" x14ac:dyDescent="0.2">
      <c r="A2656" s="583" t="s">
        <v>17341</v>
      </c>
      <c r="B2656" s="605" t="s">
        <v>17342</v>
      </c>
      <c r="C2656" s="606" t="s">
        <v>20385</v>
      </c>
      <c r="D2656" s="607">
        <v>15.12</v>
      </c>
      <c r="E2656" s="607">
        <v>13.96</v>
      </c>
      <c r="F2656" s="607">
        <v>29.08</v>
      </c>
      <c r="G2656" s="584">
        <v>15</v>
      </c>
    </row>
    <row r="2657" spans="1:7" ht="15" x14ac:dyDescent="0.25">
      <c r="A2657" s="583" t="s">
        <v>17343</v>
      </c>
      <c r="B2657" s="605" t="s">
        <v>17344</v>
      </c>
      <c r="C2657" s="606"/>
      <c r="D2657" s="607"/>
      <c r="E2657" s="607"/>
      <c r="F2657" s="607"/>
      <c r="G2657" s="582"/>
    </row>
    <row r="2658" spans="1:7" ht="15" x14ac:dyDescent="0.2">
      <c r="A2658" s="583" t="s">
        <v>17345</v>
      </c>
      <c r="B2658" s="605" t="s">
        <v>17346</v>
      </c>
      <c r="C2658" s="606" t="s">
        <v>20385</v>
      </c>
      <c r="D2658" s="607">
        <v>6.19</v>
      </c>
      <c r="E2658" s="607">
        <v>13.96</v>
      </c>
      <c r="F2658" s="607">
        <v>20.149999999999999</v>
      </c>
      <c r="G2658" s="584">
        <v>15</v>
      </c>
    </row>
    <row r="2659" spans="1:7" ht="15" x14ac:dyDescent="0.2">
      <c r="A2659" s="583" t="s">
        <v>17347</v>
      </c>
      <c r="B2659" s="605" t="s">
        <v>17348</v>
      </c>
      <c r="C2659" s="606" t="s">
        <v>20385</v>
      </c>
      <c r="D2659" s="607">
        <v>17.36</v>
      </c>
      <c r="E2659" s="607">
        <v>13.96</v>
      </c>
      <c r="F2659" s="607">
        <v>31.32</v>
      </c>
      <c r="G2659" s="584">
        <v>15</v>
      </c>
    </row>
    <row r="2660" spans="1:7" ht="15" x14ac:dyDescent="0.2">
      <c r="A2660" s="583" t="s">
        <v>17349</v>
      </c>
      <c r="B2660" s="605" t="s">
        <v>17350</v>
      </c>
      <c r="C2660" s="606" t="s">
        <v>20385</v>
      </c>
      <c r="D2660" s="607">
        <v>5.99</v>
      </c>
      <c r="E2660" s="607">
        <v>13.96</v>
      </c>
      <c r="F2660" s="607">
        <v>19.95</v>
      </c>
      <c r="G2660" s="584">
        <v>15</v>
      </c>
    </row>
    <row r="2661" spans="1:7" ht="30" x14ac:dyDescent="0.2">
      <c r="A2661" s="583" t="s">
        <v>17351</v>
      </c>
      <c r="B2661" s="605" t="s">
        <v>17352</v>
      </c>
      <c r="C2661" s="606" t="s">
        <v>20385</v>
      </c>
      <c r="D2661" s="607">
        <v>9.0399999999999991</v>
      </c>
      <c r="E2661" s="607">
        <v>13.96</v>
      </c>
      <c r="F2661" s="607">
        <v>23</v>
      </c>
      <c r="G2661" s="584">
        <v>15</v>
      </c>
    </row>
    <row r="2662" spans="1:7" ht="30" x14ac:dyDescent="0.2">
      <c r="A2662" s="583" t="s">
        <v>17353</v>
      </c>
      <c r="B2662" s="605" t="s">
        <v>17354</v>
      </c>
      <c r="C2662" s="606" t="s">
        <v>20385</v>
      </c>
      <c r="D2662" s="607">
        <v>14.81</v>
      </c>
      <c r="E2662" s="607">
        <v>13.96</v>
      </c>
      <c r="F2662" s="607">
        <v>28.77</v>
      </c>
      <c r="G2662" s="584">
        <v>15</v>
      </c>
    </row>
    <row r="2663" spans="1:7" ht="30" x14ac:dyDescent="0.2">
      <c r="A2663" s="583" t="s">
        <v>17355</v>
      </c>
      <c r="B2663" s="605" t="s">
        <v>17356</v>
      </c>
      <c r="C2663" s="606" t="s">
        <v>20385</v>
      </c>
      <c r="D2663" s="607">
        <v>18.82</v>
      </c>
      <c r="E2663" s="607">
        <v>13.96</v>
      </c>
      <c r="F2663" s="607">
        <v>32.78</v>
      </c>
      <c r="G2663" s="584">
        <v>15</v>
      </c>
    </row>
    <row r="2664" spans="1:7" ht="15" x14ac:dyDescent="0.25">
      <c r="A2664" s="583" t="s">
        <v>17357</v>
      </c>
      <c r="B2664" s="605" t="s">
        <v>17358</v>
      </c>
      <c r="C2664" s="606" t="s">
        <v>20385</v>
      </c>
      <c r="D2664" s="607"/>
      <c r="E2664" s="607"/>
      <c r="F2664" s="607"/>
      <c r="G2664" s="582"/>
    </row>
    <row r="2665" spans="1:7" ht="30" x14ac:dyDescent="0.2">
      <c r="A2665" s="583" t="s">
        <v>17359</v>
      </c>
      <c r="B2665" s="605" t="s">
        <v>17360</v>
      </c>
      <c r="C2665" s="606" t="s">
        <v>20385</v>
      </c>
      <c r="D2665" s="607">
        <v>11.31</v>
      </c>
      <c r="E2665" s="607">
        <v>13.96</v>
      </c>
      <c r="F2665" s="607">
        <v>25.27</v>
      </c>
      <c r="G2665" s="584">
        <v>15</v>
      </c>
    </row>
    <row r="2666" spans="1:7" ht="30" x14ac:dyDescent="0.2">
      <c r="A2666" s="583" t="s">
        <v>17361</v>
      </c>
      <c r="B2666" s="605" t="s">
        <v>17362</v>
      </c>
      <c r="C2666" s="606" t="s">
        <v>20385</v>
      </c>
      <c r="D2666" s="607">
        <v>17.2</v>
      </c>
      <c r="E2666" s="607">
        <v>13.96</v>
      </c>
      <c r="F2666" s="607">
        <v>31.16</v>
      </c>
      <c r="G2666" s="584">
        <v>15</v>
      </c>
    </row>
    <row r="2667" spans="1:7" ht="30" x14ac:dyDescent="0.2">
      <c r="A2667" s="583" t="s">
        <v>17363</v>
      </c>
      <c r="B2667" s="605" t="s">
        <v>17364</v>
      </c>
      <c r="C2667" s="606" t="s">
        <v>20385</v>
      </c>
      <c r="D2667" s="607">
        <v>15.34</v>
      </c>
      <c r="E2667" s="607">
        <v>13.96</v>
      </c>
      <c r="F2667" s="607">
        <v>29.3</v>
      </c>
      <c r="G2667" s="584">
        <v>15</v>
      </c>
    </row>
    <row r="2668" spans="1:7" ht="30" x14ac:dyDescent="0.2">
      <c r="A2668" s="583" t="s">
        <v>17365</v>
      </c>
      <c r="B2668" s="605" t="s">
        <v>17366</v>
      </c>
      <c r="C2668" s="606" t="s">
        <v>20385</v>
      </c>
      <c r="D2668" s="607">
        <v>19.55</v>
      </c>
      <c r="E2668" s="607">
        <v>13.96</v>
      </c>
      <c r="F2668" s="607">
        <v>33.51</v>
      </c>
      <c r="G2668" s="584">
        <v>15</v>
      </c>
    </row>
    <row r="2669" spans="1:7" ht="15" x14ac:dyDescent="0.25">
      <c r="A2669" s="583" t="s">
        <v>17367</v>
      </c>
      <c r="B2669" s="605" t="s">
        <v>17368</v>
      </c>
      <c r="C2669" s="606"/>
      <c r="D2669" s="607"/>
      <c r="E2669" s="607"/>
      <c r="F2669" s="607"/>
      <c r="G2669" s="582"/>
    </row>
    <row r="2670" spans="1:7" ht="15" x14ac:dyDescent="0.2">
      <c r="A2670" s="583" t="s">
        <v>17369</v>
      </c>
      <c r="B2670" s="605" t="s">
        <v>17370</v>
      </c>
      <c r="C2670" s="606" t="s">
        <v>12375</v>
      </c>
      <c r="D2670" s="607">
        <v>12.94</v>
      </c>
      <c r="E2670" s="607">
        <v>13.96</v>
      </c>
      <c r="F2670" s="607">
        <v>26.9</v>
      </c>
      <c r="G2670" s="584">
        <v>15</v>
      </c>
    </row>
    <row r="2671" spans="1:7" ht="15" x14ac:dyDescent="0.2">
      <c r="A2671" s="583" t="s">
        <v>17371</v>
      </c>
      <c r="B2671" s="605" t="s">
        <v>17372</v>
      </c>
      <c r="C2671" s="606" t="s">
        <v>12375</v>
      </c>
      <c r="D2671" s="607">
        <v>11.82</v>
      </c>
      <c r="E2671" s="607">
        <v>13.96</v>
      </c>
      <c r="F2671" s="607">
        <v>25.78</v>
      </c>
      <c r="G2671" s="584">
        <v>15</v>
      </c>
    </row>
    <row r="2672" spans="1:7" ht="15" x14ac:dyDescent="0.2">
      <c r="A2672" s="583" t="s">
        <v>17373</v>
      </c>
      <c r="B2672" s="605" t="s">
        <v>17374</v>
      </c>
      <c r="C2672" s="606" t="s">
        <v>12375</v>
      </c>
      <c r="D2672" s="607">
        <v>54.12</v>
      </c>
      <c r="E2672" s="607">
        <v>13.96</v>
      </c>
      <c r="F2672" s="607">
        <v>68.08</v>
      </c>
      <c r="G2672" s="584">
        <v>15</v>
      </c>
    </row>
    <row r="2673" spans="1:7" ht="15" x14ac:dyDescent="0.2">
      <c r="A2673" s="583" t="s">
        <v>17375</v>
      </c>
      <c r="B2673" s="605" t="s">
        <v>17376</v>
      </c>
      <c r="C2673" s="606" t="s">
        <v>12375</v>
      </c>
      <c r="D2673" s="607">
        <v>148.4</v>
      </c>
      <c r="E2673" s="607">
        <v>16.75</v>
      </c>
      <c r="F2673" s="607">
        <v>165.15</v>
      </c>
      <c r="G2673" s="584">
        <v>15</v>
      </c>
    </row>
    <row r="2674" spans="1:7" ht="15" x14ac:dyDescent="0.2">
      <c r="A2674" s="583" t="s">
        <v>17377</v>
      </c>
      <c r="B2674" s="605" t="s">
        <v>17378</v>
      </c>
      <c r="C2674" s="606" t="s">
        <v>12483</v>
      </c>
      <c r="D2674" s="607">
        <v>71.209999999999994</v>
      </c>
      <c r="E2674" s="607">
        <v>16.75</v>
      </c>
      <c r="F2674" s="607">
        <v>87.96</v>
      </c>
      <c r="G2674" s="584">
        <v>15</v>
      </c>
    </row>
    <row r="2675" spans="1:7" ht="15" x14ac:dyDescent="0.2">
      <c r="A2675" s="583" t="s">
        <v>17379</v>
      </c>
      <c r="B2675" s="605" t="s">
        <v>17380</v>
      </c>
      <c r="C2675" s="606" t="s">
        <v>12375</v>
      </c>
      <c r="D2675" s="607">
        <v>17.52</v>
      </c>
      <c r="E2675" s="607">
        <v>13.96</v>
      </c>
      <c r="F2675" s="607">
        <v>31.48</v>
      </c>
      <c r="G2675" s="584">
        <v>15</v>
      </c>
    </row>
    <row r="2676" spans="1:7" ht="15" x14ac:dyDescent="0.2">
      <c r="A2676" s="583" t="s">
        <v>17381</v>
      </c>
      <c r="B2676" s="605" t="s">
        <v>17382</v>
      </c>
      <c r="C2676" s="606" t="s">
        <v>12375</v>
      </c>
      <c r="D2676" s="607">
        <v>30.14</v>
      </c>
      <c r="E2676" s="607">
        <v>13.96</v>
      </c>
      <c r="F2676" s="607">
        <v>44.1</v>
      </c>
      <c r="G2676" s="584">
        <v>15</v>
      </c>
    </row>
    <row r="2677" spans="1:7" ht="15" x14ac:dyDescent="0.25">
      <c r="A2677" s="583" t="s">
        <v>17383</v>
      </c>
      <c r="B2677" s="605" t="s">
        <v>17384</v>
      </c>
      <c r="C2677" s="606"/>
      <c r="D2677" s="607"/>
      <c r="E2677" s="607"/>
      <c r="F2677" s="607"/>
      <c r="G2677" s="582"/>
    </row>
    <row r="2678" spans="1:7" ht="15" x14ac:dyDescent="0.2">
      <c r="A2678" s="583" t="s">
        <v>17385</v>
      </c>
      <c r="B2678" s="605" t="s">
        <v>17386</v>
      </c>
      <c r="C2678" s="606" t="s">
        <v>12375</v>
      </c>
      <c r="D2678" s="607">
        <v>37.43</v>
      </c>
      <c r="E2678" s="607">
        <v>13.96</v>
      </c>
      <c r="F2678" s="607">
        <v>51.39</v>
      </c>
      <c r="G2678" s="584">
        <v>15</v>
      </c>
    </row>
    <row r="2679" spans="1:7" ht="30" x14ac:dyDescent="0.2">
      <c r="A2679" s="583" t="s">
        <v>17387</v>
      </c>
      <c r="B2679" s="605" t="s">
        <v>17388</v>
      </c>
      <c r="C2679" s="606" t="s">
        <v>12375</v>
      </c>
      <c r="D2679" s="607">
        <v>15.4</v>
      </c>
      <c r="E2679" s="607">
        <v>13.96</v>
      </c>
      <c r="F2679" s="607">
        <v>29.36</v>
      </c>
      <c r="G2679" s="584">
        <v>15</v>
      </c>
    </row>
    <row r="2680" spans="1:7" ht="15" x14ac:dyDescent="0.2">
      <c r="A2680" s="583" t="s">
        <v>17389</v>
      </c>
      <c r="B2680" s="605" t="s">
        <v>17390</v>
      </c>
      <c r="C2680" s="606" t="s">
        <v>12375</v>
      </c>
      <c r="D2680" s="607">
        <v>87.54</v>
      </c>
      <c r="E2680" s="607">
        <v>13.96</v>
      </c>
      <c r="F2680" s="607">
        <v>101.5</v>
      </c>
      <c r="G2680" s="584">
        <v>15</v>
      </c>
    </row>
    <row r="2681" spans="1:7" ht="15" x14ac:dyDescent="0.2">
      <c r="A2681" s="583" t="s">
        <v>17391</v>
      </c>
      <c r="B2681" s="605" t="s">
        <v>17392</v>
      </c>
      <c r="C2681" s="606" t="s">
        <v>12375</v>
      </c>
      <c r="D2681" s="607">
        <v>64.47</v>
      </c>
      <c r="E2681" s="607">
        <v>13.96</v>
      </c>
      <c r="F2681" s="607">
        <v>78.430000000000007</v>
      </c>
      <c r="G2681" s="584">
        <v>15</v>
      </c>
    </row>
    <row r="2682" spans="1:7" ht="15" x14ac:dyDescent="0.2">
      <c r="A2682" s="583" t="s">
        <v>17393</v>
      </c>
      <c r="B2682" s="605" t="s">
        <v>17394</v>
      </c>
      <c r="C2682" s="606" t="s">
        <v>12375</v>
      </c>
      <c r="D2682" s="607">
        <v>146.97999999999999</v>
      </c>
      <c r="E2682" s="607">
        <v>13.96</v>
      </c>
      <c r="F2682" s="607">
        <v>160.94</v>
      </c>
      <c r="G2682" s="584">
        <v>15</v>
      </c>
    </row>
    <row r="2683" spans="1:7" ht="15" x14ac:dyDescent="0.2">
      <c r="A2683" s="583" t="s">
        <v>17395</v>
      </c>
      <c r="B2683" s="605" t="s">
        <v>17396</v>
      </c>
      <c r="C2683" s="606" t="s">
        <v>12375</v>
      </c>
      <c r="D2683" s="607">
        <v>20.93</v>
      </c>
      <c r="E2683" s="607">
        <v>55.83</v>
      </c>
      <c r="F2683" s="607">
        <v>76.760000000000005</v>
      </c>
      <c r="G2683" s="584">
        <v>15</v>
      </c>
    </row>
    <row r="2684" spans="1:7" ht="15" x14ac:dyDescent="0.2">
      <c r="A2684" s="583" t="s">
        <v>17397</v>
      </c>
      <c r="B2684" s="605" t="s">
        <v>17398</v>
      </c>
      <c r="C2684" s="606" t="s">
        <v>12375</v>
      </c>
      <c r="D2684" s="607">
        <v>20.149999999999999</v>
      </c>
      <c r="E2684" s="607">
        <v>5.58</v>
      </c>
      <c r="F2684" s="607">
        <v>25.73</v>
      </c>
      <c r="G2684" s="584">
        <v>15</v>
      </c>
    </row>
    <row r="2685" spans="1:7" ht="30" x14ac:dyDescent="0.2">
      <c r="A2685" s="583" t="s">
        <v>17399</v>
      </c>
      <c r="B2685" s="605" t="s">
        <v>17400</v>
      </c>
      <c r="C2685" s="606" t="s">
        <v>12375</v>
      </c>
      <c r="D2685" s="607">
        <v>26.31</v>
      </c>
      <c r="E2685" s="607">
        <v>5.58</v>
      </c>
      <c r="F2685" s="607">
        <v>31.89</v>
      </c>
      <c r="G2685" s="584">
        <v>15</v>
      </c>
    </row>
    <row r="2686" spans="1:7" ht="15" x14ac:dyDescent="0.2">
      <c r="A2686" s="583" t="s">
        <v>17401</v>
      </c>
      <c r="B2686" s="605" t="s">
        <v>17402</v>
      </c>
      <c r="C2686" s="606" t="s">
        <v>12375</v>
      </c>
      <c r="D2686" s="607">
        <v>18.260000000000002</v>
      </c>
      <c r="E2686" s="607">
        <v>5.58</v>
      </c>
      <c r="F2686" s="607">
        <v>23.84</v>
      </c>
      <c r="G2686" s="584">
        <v>15</v>
      </c>
    </row>
    <row r="2687" spans="1:7" ht="15" x14ac:dyDescent="0.2">
      <c r="A2687" s="583" t="s">
        <v>17403</v>
      </c>
      <c r="B2687" s="605" t="s">
        <v>17404</v>
      </c>
      <c r="C2687" s="606" t="s">
        <v>12375</v>
      </c>
      <c r="D2687" s="607">
        <v>3.76</v>
      </c>
      <c r="E2687" s="607">
        <v>5.58</v>
      </c>
      <c r="F2687" s="607">
        <v>9.34</v>
      </c>
      <c r="G2687" s="584">
        <v>15</v>
      </c>
    </row>
    <row r="2688" spans="1:7" ht="15" x14ac:dyDescent="0.2">
      <c r="A2688" s="583" t="s">
        <v>17405</v>
      </c>
      <c r="B2688" s="605" t="s">
        <v>17406</v>
      </c>
      <c r="C2688" s="606" t="s">
        <v>12483</v>
      </c>
      <c r="D2688" s="607">
        <v>13.36</v>
      </c>
      <c r="E2688" s="607">
        <v>22.33</v>
      </c>
      <c r="F2688" s="607">
        <v>35.69</v>
      </c>
      <c r="G2688" s="584">
        <v>15</v>
      </c>
    </row>
    <row r="2689" spans="1:7" ht="15" x14ac:dyDescent="0.2">
      <c r="A2689" s="583" t="s">
        <v>17407</v>
      </c>
      <c r="B2689" s="605" t="s">
        <v>17408</v>
      </c>
      <c r="C2689" s="606" t="s">
        <v>12375</v>
      </c>
      <c r="D2689" s="607">
        <v>20.350000000000001</v>
      </c>
      <c r="E2689" s="607">
        <v>13.96</v>
      </c>
      <c r="F2689" s="607">
        <v>34.31</v>
      </c>
      <c r="G2689" s="584">
        <v>15</v>
      </c>
    </row>
    <row r="2690" spans="1:7" ht="15" x14ac:dyDescent="0.2">
      <c r="A2690" s="583" t="s">
        <v>17409</v>
      </c>
      <c r="B2690" s="605" t="s">
        <v>20224</v>
      </c>
      <c r="C2690" s="606" t="s">
        <v>12375</v>
      </c>
      <c r="D2690" s="607">
        <v>279.74</v>
      </c>
      <c r="E2690" s="607">
        <v>27.92</v>
      </c>
      <c r="F2690" s="607">
        <v>307.66000000000003</v>
      </c>
      <c r="G2690" s="584">
        <v>15</v>
      </c>
    </row>
    <row r="2691" spans="1:7" ht="15" x14ac:dyDescent="0.2">
      <c r="A2691" s="583" t="s">
        <v>17410</v>
      </c>
      <c r="B2691" s="605" t="s">
        <v>20302</v>
      </c>
      <c r="C2691" s="606" t="s">
        <v>12375</v>
      </c>
      <c r="D2691" s="607">
        <v>181.02</v>
      </c>
      <c r="E2691" s="607">
        <v>27.92</v>
      </c>
      <c r="F2691" s="607">
        <v>208.94</v>
      </c>
      <c r="G2691" s="584">
        <v>15</v>
      </c>
    </row>
    <row r="2692" spans="1:7" ht="15" x14ac:dyDescent="0.2">
      <c r="A2692" s="583" t="s">
        <v>17411</v>
      </c>
      <c r="B2692" s="605" t="s">
        <v>20225</v>
      </c>
      <c r="C2692" s="606" t="s">
        <v>12375</v>
      </c>
      <c r="D2692" s="607">
        <v>171.84</v>
      </c>
      <c r="E2692" s="607">
        <v>27.92</v>
      </c>
      <c r="F2692" s="607">
        <v>199.76</v>
      </c>
      <c r="G2692" s="584">
        <v>15</v>
      </c>
    </row>
    <row r="2693" spans="1:7" ht="15" x14ac:dyDescent="0.2">
      <c r="A2693" s="583" t="s">
        <v>17412</v>
      </c>
      <c r="B2693" s="605" t="s">
        <v>20226</v>
      </c>
      <c r="C2693" s="606" t="s">
        <v>12375</v>
      </c>
      <c r="D2693" s="607">
        <v>50.49</v>
      </c>
      <c r="E2693" s="607">
        <v>13.96</v>
      </c>
      <c r="F2693" s="607">
        <v>64.45</v>
      </c>
      <c r="G2693" s="584">
        <v>15</v>
      </c>
    </row>
    <row r="2694" spans="1:7" ht="15" x14ac:dyDescent="0.2">
      <c r="A2694" s="583" t="s">
        <v>17413</v>
      </c>
      <c r="B2694" s="605" t="s">
        <v>17414</v>
      </c>
      <c r="C2694" s="606" t="s">
        <v>12375</v>
      </c>
      <c r="D2694" s="607">
        <v>2.78</v>
      </c>
      <c r="E2694" s="607">
        <v>11.16</v>
      </c>
      <c r="F2694" s="607">
        <v>13.94</v>
      </c>
      <c r="G2694" s="584">
        <v>15</v>
      </c>
    </row>
    <row r="2695" spans="1:7" ht="30" x14ac:dyDescent="0.2">
      <c r="A2695" s="583" t="s">
        <v>17415</v>
      </c>
      <c r="B2695" s="605" t="s">
        <v>17416</v>
      </c>
      <c r="C2695" s="606" t="s">
        <v>12375</v>
      </c>
      <c r="D2695" s="607">
        <v>10.91</v>
      </c>
      <c r="E2695" s="607">
        <v>13.96</v>
      </c>
      <c r="F2695" s="607">
        <v>24.87</v>
      </c>
      <c r="G2695" s="584">
        <v>15</v>
      </c>
    </row>
    <row r="2696" spans="1:7" ht="30" x14ac:dyDescent="0.2">
      <c r="A2696" s="583" t="s">
        <v>17417</v>
      </c>
      <c r="B2696" s="605" t="s">
        <v>17418</v>
      </c>
      <c r="C2696" s="606" t="s">
        <v>12483</v>
      </c>
      <c r="D2696" s="607">
        <v>15.62</v>
      </c>
      <c r="E2696" s="607">
        <v>27.92</v>
      </c>
      <c r="F2696" s="607">
        <v>43.54</v>
      </c>
      <c r="G2696" s="584">
        <v>15</v>
      </c>
    </row>
    <row r="2697" spans="1:7" ht="30" x14ac:dyDescent="0.2">
      <c r="A2697" s="583" t="s">
        <v>17419</v>
      </c>
      <c r="B2697" s="605" t="s">
        <v>17420</v>
      </c>
      <c r="C2697" s="606" t="s">
        <v>12375</v>
      </c>
      <c r="D2697" s="607">
        <v>10.38</v>
      </c>
      <c r="E2697" s="607">
        <v>13.96</v>
      </c>
      <c r="F2697" s="607">
        <v>24.34</v>
      </c>
      <c r="G2697" s="584">
        <v>15</v>
      </c>
    </row>
    <row r="2698" spans="1:7" ht="30" x14ac:dyDescent="0.2">
      <c r="A2698" s="583" t="s">
        <v>17421</v>
      </c>
      <c r="B2698" s="605" t="s">
        <v>20227</v>
      </c>
      <c r="C2698" s="606" t="s">
        <v>12375</v>
      </c>
      <c r="D2698" s="607">
        <v>47.83</v>
      </c>
      <c r="E2698" s="607">
        <v>11.16</v>
      </c>
      <c r="F2698" s="607">
        <v>58.99</v>
      </c>
      <c r="G2698" s="584">
        <v>15</v>
      </c>
    </row>
    <row r="2699" spans="1:7" ht="30" x14ac:dyDescent="0.2">
      <c r="A2699" s="583" t="s">
        <v>17422</v>
      </c>
      <c r="B2699" s="605" t="s">
        <v>17423</v>
      </c>
      <c r="C2699" s="606" t="s">
        <v>12375</v>
      </c>
      <c r="D2699" s="607">
        <v>5.32</v>
      </c>
      <c r="E2699" s="607">
        <v>13.96</v>
      </c>
      <c r="F2699" s="607">
        <v>19.28</v>
      </c>
      <c r="G2699" s="584">
        <v>15</v>
      </c>
    </row>
    <row r="2700" spans="1:7" ht="15" x14ac:dyDescent="0.2">
      <c r="A2700" s="583" t="s">
        <v>17424</v>
      </c>
      <c r="B2700" s="605" t="s">
        <v>17425</v>
      </c>
      <c r="C2700" s="606" t="s">
        <v>12375</v>
      </c>
      <c r="D2700" s="607">
        <v>48.69</v>
      </c>
      <c r="E2700" s="607">
        <v>2.8</v>
      </c>
      <c r="F2700" s="607">
        <v>51.49</v>
      </c>
      <c r="G2700" s="584">
        <v>15</v>
      </c>
    </row>
    <row r="2701" spans="1:7" ht="30" x14ac:dyDescent="0.2">
      <c r="A2701" s="583" t="s">
        <v>17426</v>
      </c>
      <c r="B2701" s="605" t="s">
        <v>17427</v>
      </c>
      <c r="C2701" s="606" t="s">
        <v>12375</v>
      </c>
      <c r="D2701" s="607">
        <v>18.829999999999998</v>
      </c>
      <c r="E2701" s="607">
        <v>13.96</v>
      </c>
      <c r="F2701" s="607">
        <v>32.79</v>
      </c>
      <c r="G2701" s="584">
        <v>15</v>
      </c>
    </row>
    <row r="2702" spans="1:7" ht="30" x14ac:dyDescent="0.2">
      <c r="A2702" s="583" t="s">
        <v>17428</v>
      </c>
      <c r="B2702" s="605" t="s">
        <v>17429</v>
      </c>
      <c r="C2702" s="606" t="s">
        <v>12375</v>
      </c>
      <c r="D2702" s="607">
        <v>32.82</v>
      </c>
      <c r="E2702" s="607">
        <v>13.96</v>
      </c>
      <c r="F2702" s="607">
        <v>46.78</v>
      </c>
      <c r="G2702" s="584">
        <v>15</v>
      </c>
    </row>
    <row r="2703" spans="1:7" ht="30" x14ac:dyDescent="0.2">
      <c r="A2703" s="583" t="s">
        <v>17430</v>
      </c>
      <c r="B2703" s="605" t="s">
        <v>17431</v>
      </c>
      <c r="C2703" s="606" t="s">
        <v>12375</v>
      </c>
      <c r="D2703" s="607">
        <v>56.18</v>
      </c>
      <c r="E2703" s="607">
        <v>13.96</v>
      </c>
      <c r="F2703" s="607">
        <v>70.14</v>
      </c>
      <c r="G2703" s="584">
        <v>15</v>
      </c>
    </row>
    <row r="2704" spans="1:7" ht="30" x14ac:dyDescent="0.2">
      <c r="A2704" s="583" t="s">
        <v>17432</v>
      </c>
      <c r="B2704" s="605" t="s">
        <v>17433</v>
      </c>
      <c r="C2704" s="606" t="s">
        <v>12483</v>
      </c>
      <c r="D2704" s="607">
        <v>201.03</v>
      </c>
      <c r="E2704" s="607">
        <v>27.92</v>
      </c>
      <c r="F2704" s="607">
        <v>228.95</v>
      </c>
      <c r="G2704" s="584">
        <v>15</v>
      </c>
    </row>
    <row r="2705" spans="1:7" ht="30" x14ac:dyDescent="0.2">
      <c r="A2705" s="583" t="s">
        <v>17434</v>
      </c>
      <c r="B2705" s="605" t="s">
        <v>17435</v>
      </c>
      <c r="C2705" s="606" t="s">
        <v>12375</v>
      </c>
      <c r="D2705" s="607">
        <v>434.78</v>
      </c>
      <c r="E2705" s="607">
        <v>55.83</v>
      </c>
      <c r="F2705" s="607">
        <v>490.61</v>
      </c>
      <c r="G2705" s="584">
        <v>15</v>
      </c>
    </row>
    <row r="2706" spans="1:7" ht="30" x14ac:dyDescent="0.2">
      <c r="A2706" s="583" t="s">
        <v>17436</v>
      </c>
      <c r="B2706" s="605" t="s">
        <v>17437</v>
      </c>
      <c r="C2706" s="606" t="s">
        <v>12375</v>
      </c>
      <c r="D2706" s="607">
        <v>293.44</v>
      </c>
      <c r="E2706" s="607">
        <v>55.83</v>
      </c>
      <c r="F2706" s="607">
        <v>349.27</v>
      </c>
      <c r="G2706" s="584">
        <v>15</v>
      </c>
    </row>
    <row r="2707" spans="1:7" ht="15" x14ac:dyDescent="0.2">
      <c r="A2707" s="583" t="s">
        <v>17438</v>
      </c>
      <c r="B2707" s="605" t="s">
        <v>17439</v>
      </c>
      <c r="C2707" s="606" t="s">
        <v>12375</v>
      </c>
      <c r="D2707" s="607">
        <v>1.0900000000000001</v>
      </c>
      <c r="E2707" s="607">
        <v>2.27</v>
      </c>
      <c r="F2707" s="607">
        <v>3.36</v>
      </c>
      <c r="G2707" s="584">
        <v>15</v>
      </c>
    </row>
    <row r="2708" spans="1:7" ht="30" x14ac:dyDescent="0.2">
      <c r="A2708" s="583" t="s">
        <v>17440</v>
      </c>
      <c r="B2708" s="605" t="s">
        <v>17441</v>
      </c>
      <c r="C2708" s="606" t="s">
        <v>12375</v>
      </c>
      <c r="D2708" s="607">
        <v>7.81</v>
      </c>
      <c r="E2708" s="607">
        <v>13.96</v>
      </c>
      <c r="F2708" s="607">
        <v>21.77</v>
      </c>
      <c r="G2708" s="584">
        <v>15</v>
      </c>
    </row>
    <row r="2709" spans="1:7" ht="30" x14ac:dyDescent="0.2">
      <c r="A2709" s="583" t="s">
        <v>17442</v>
      </c>
      <c r="B2709" s="605" t="s">
        <v>17443</v>
      </c>
      <c r="C2709" s="606" t="s">
        <v>12483</v>
      </c>
      <c r="D2709" s="607">
        <v>9.11</v>
      </c>
      <c r="E2709" s="607">
        <v>27.92</v>
      </c>
      <c r="F2709" s="607">
        <v>37.03</v>
      </c>
      <c r="G2709" s="584">
        <v>15</v>
      </c>
    </row>
    <row r="2710" spans="1:7" ht="30" x14ac:dyDescent="0.2">
      <c r="A2710" s="583" t="s">
        <v>17444</v>
      </c>
      <c r="B2710" s="605" t="s">
        <v>17445</v>
      </c>
      <c r="C2710" s="606" t="s">
        <v>12375</v>
      </c>
      <c r="D2710" s="607">
        <v>16.21</v>
      </c>
      <c r="E2710" s="607">
        <v>5.58</v>
      </c>
      <c r="F2710" s="607">
        <v>21.79</v>
      </c>
      <c r="G2710" s="584">
        <v>15</v>
      </c>
    </row>
    <row r="2711" spans="1:7" ht="30" x14ac:dyDescent="0.2">
      <c r="A2711" s="583" t="s">
        <v>17446</v>
      </c>
      <c r="B2711" s="605" t="s">
        <v>20228</v>
      </c>
      <c r="C2711" s="606" t="s">
        <v>12375</v>
      </c>
      <c r="D2711" s="607">
        <v>7.66</v>
      </c>
      <c r="E2711" s="607">
        <v>13.96</v>
      </c>
      <c r="F2711" s="607">
        <v>21.62</v>
      </c>
      <c r="G2711" s="584">
        <v>15</v>
      </c>
    </row>
    <row r="2712" spans="1:7" ht="30" x14ac:dyDescent="0.2">
      <c r="A2712" s="583" t="s">
        <v>17447</v>
      </c>
      <c r="B2712" s="605" t="s">
        <v>20229</v>
      </c>
      <c r="C2712" s="606" t="s">
        <v>12375</v>
      </c>
      <c r="D2712" s="607">
        <v>6.77</v>
      </c>
      <c r="E2712" s="607">
        <v>13.96</v>
      </c>
      <c r="F2712" s="607">
        <v>20.73</v>
      </c>
      <c r="G2712" s="584">
        <v>15</v>
      </c>
    </row>
    <row r="2713" spans="1:7" ht="15" x14ac:dyDescent="0.2">
      <c r="A2713" s="583" t="s">
        <v>17448</v>
      </c>
      <c r="B2713" s="605" t="s">
        <v>21432</v>
      </c>
      <c r="C2713" s="606" t="s">
        <v>12483</v>
      </c>
      <c r="D2713" s="607">
        <v>61.42</v>
      </c>
      <c r="E2713" s="607">
        <v>13.96</v>
      </c>
      <c r="F2713" s="607">
        <v>75.38</v>
      </c>
      <c r="G2713" s="584">
        <v>15</v>
      </c>
    </row>
    <row r="2714" spans="1:7" ht="30" x14ac:dyDescent="0.2">
      <c r="A2714" s="583" t="s">
        <v>17449</v>
      </c>
      <c r="B2714" s="605" t="s">
        <v>17450</v>
      </c>
      <c r="C2714" s="606" t="s">
        <v>12375</v>
      </c>
      <c r="D2714" s="607">
        <v>46.94</v>
      </c>
      <c r="E2714" s="607">
        <v>13.96</v>
      </c>
      <c r="F2714" s="607">
        <v>60.9</v>
      </c>
      <c r="G2714" s="584">
        <v>15</v>
      </c>
    </row>
    <row r="2715" spans="1:7" ht="30" x14ac:dyDescent="0.2">
      <c r="A2715" s="583" t="s">
        <v>17451</v>
      </c>
      <c r="B2715" s="605" t="s">
        <v>17452</v>
      </c>
      <c r="C2715" s="606" t="s">
        <v>12375</v>
      </c>
      <c r="D2715" s="607">
        <v>55.36</v>
      </c>
      <c r="E2715" s="607">
        <v>13.96</v>
      </c>
      <c r="F2715" s="607">
        <v>69.319999999999993</v>
      </c>
      <c r="G2715" s="584">
        <v>15</v>
      </c>
    </row>
    <row r="2716" spans="1:7" ht="15" x14ac:dyDescent="0.2">
      <c r="A2716" s="583" t="s">
        <v>17453</v>
      </c>
      <c r="B2716" s="605" t="s">
        <v>17454</v>
      </c>
      <c r="C2716" s="606" t="s">
        <v>12375</v>
      </c>
      <c r="D2716" s="607">
        <v>4.3099999999999996</v>
      </c>
      <c r="E2716" s="607">
        <v>13.96</v>
      </c>
      <c r="F2716" s="607">
        <v>18.27</v>
      </c>
      <c r="G2716" s="584">
        <v>15</v>
      </c>
    </row>
    <row r="2717" spans="1:7" ht="15" x14ac:dyDescent="0.2">
      <c r="A2717" s="583" t="s">
        <v>17455</v>
      </c>
      <c r="B2717" s="605" t="s">
        <v>17456</v>
      </c>
      <c r="C2717" s="606" t="s">
        <v>12375</v>
      </c>
      <c r="D2717" s="607">
        <v>6.36</v>
      </c>
      <c r="E2717" s="607">
        <v>13.96</v>
      </c>
      <c r="F2717" s="607">
        <v>20.32</v>
      </c>
      <c r="G2717" s="584">
        <v>15</v>
      </c>
    </row>
    <row r="2718" spans="1:7" ht="15" x14ac:dyDescent="0.2">
      <c r="A2718" s="583" t="s">
        <v>17457</v>
      </c>
      <c r="B2718" s="605" t="s">
        <v>17458</v>
      </c>
      <c r="C2718" s="606" t="s">
        <v>12375</v>
      </c>
      <c r="D2718" s="607">
        <v>9.41</v>
      </c>
      <c r="E2718" s="607">
        <v>13.96</v>
      </c>
      <c r="F2718" s="607">
        <v>23.37</v>
      </c>
      <c r="G2718" s="584">
        <v>15</v>
      </c>
    </row>
    <row r="2719" spans="1:7" ht="15" x14ac:dyDescent="0.2">
      <c r="A2719" s="583" t="s">
        <v>17459</v>
      </c>
      <c r="B2719" s="605" t="s">
        <v>17460</v>
      </c>
      <c r="C2719" s="606" t="s">
        <v>12375</v>
      </c>
      <c r="D2719" s="607">
        <v>9.36</v>
      </c>
      <c r="E2719" s="607">
        <v>13.96</v>
      </c>
      <c r="F2719" s="607">
        <v>23.32</v>
      </c>
      <c r="G2719" s="584">
        <v>15</v>
      </c>
    </row>
    <row r="2720" spans="1:7" ht="30" x14ac:dyDescent="0.2">
      <c r="A2720" s="583" t="s">
        <v>17461</v>
      </c>
      <c r="B2720" s="605" t="s">
        <v>17462</v>
      </c>
      <c r="C2720" s="606" t="s">
        <v>12375</v>
      </c>
      <c r="D2720" s="607">
        <v>104.02</v>
      </c>
      <c r="E2720" s="607">
        <v>13.96</v>
      </c>
      <c r="F2720" s="607">
        <v>117.98</v>
      </c>
      <c r="G2720" s="584">
        <v>15</v>
      </c>
    </row>
    <row r="2721" spans="1:7" ht="30" x14ac:dyDescent="0.2">
      <c r="A2721" s="583" t="s">
        <v>17463</v>
      </c>
      <c r="B2721" s="605" t="s">
        <v>17464</v>
      </c>
      <c r="C2721" s="606" t="s">
        <v>12427</v>
      </c>
      <c r="D2721" s="607">
        <v>208.25</v>
      </c>
      <c r="E2721" s="607">
        <v>5.68</v>
      </c>
      <c r="F2721" s="607">
        <v>213.93</v>
      </c>
      <c r="G2721" s="584">
        <v>15</v>
      </c>
    </row>
    <row r="2722" spans="1:7" ht="15" x14ac:dyDescent="0.25">
      <c r="A2722" s="583" t="s">
        <v>17465</v>
      </c>
      <c r="B2722" s="605" t="s">
        <v>17466</v>
      </c>
      <c r="C2722" s="606"/>
      <c r="D2722" s="607"/>
      <c r="E2722" s="607"/>
      <c r="F2722" s="607"/>
      <c r="G2722" s="582"/>
    </row>
    <row r="2723" spans="1:7" ht="30" x14ac:dyDescent="0.2">
      <c r="A2723" s="583" t="s">
        <v>17467</v>
      </c>
      <c r="B2723" s="605" t="s">
        <v>17468</v>
      </c>
      <c r="C2723" s="606" t="s">
        <v>12375</v>
      </c>
      <c r="D2723" s="607">
        <v>11.22</v>
      </c>
      <c r="E2723" s="607">
        <v>27.92</v>
      </c>
      <c r="F2723" s="607">
        <v>39.14</v>
      </c>
      <c r="G2723" s="584">
        <v>15</v>
      </c>
    </row>
    <row r="2724" spans="1:7" ht="30" x14ac:dyDescent="0.2">
      <c r="A2724" s="583" t="s">
        <v>17469</v>
      </c>
      <c r="B2724" s="605" t="s">
        <v>17470</v>
      </c>
      <c r="C2724" s="606" t="s">
        <v>12375</v>
      </c>
      <c r="D2724" s="607">
        <v>21.01</v>
      </c>
      <c r="E2724" s="607">
        <v>27.92</v>
      </c>
      <c r="F2724" s="607">
        <v>48.93</v>
      </c>
      <c r="G2724" s="584">
        <v>15</v>
      </c>
    </row>
    <row r="2725" spans="1:7" ht="30" x14ac:dyDescent="0.2">
      <c r="A2725" s="583" t="s">
        <v>17471</v>
      </c>
      <c r="B2725" s="605" t="s">
        <v>17472</v>
      </c>
      <c r="C2725" s="606" t="s">
        <v>12375</v>
      </c>
      <c r="D2725" s="607">
        <v>21.28</v>
      </c>
      <c r="E2725" s="607">
        <v>27.92</v>
      </c>
      <c r="F2725" s="607">
        <v>49.2</v>
      </c>
      <c r="G2725" s="584">
        <v>15</v>
      </c>
    </row>
    <row r="2726" spans="1:7" ht="30" x14ac:dyDescent="0.2">
      <c r="A2726" s="583" t="s">
        <v>17473</v>
      </c>
      <c r="B2726" s="605" t="s">
        <v>17474</v>
      </c>
      <c r="C2726" s="606" t="s">
        <v>12375</v>
      </c>
      <c r="D2726" s="607">
        <v>42.19</v>
      </c>
      <c r="E2726" s="607">
        <v>27.92</v>
      </c>
      <c r="F2726" s="607">
        <v>70.11</v>
      </c>
      <c r="G2726" s="584">
        <v>15</v>
      </c>
    </row>
    <row r="2727" spans="1:7" ht="30" x14ac:dyDescent="0.2">
      <c r="A2727" s="583" t="s">
        <v>17475</v>
      </c>
      <c r="B2727" s="605" t="s">
        <v>17476</v>
      </c>
      <c r="C2727" s="606" t="s">
        <v>12375</v>
      </c>
      <c r="D2727" s="607">
        <v>11.11</v>
      </c>
      <c r="E2727" s="607">
        <v>27.92</v>
      </c>
      <c r="F2727" s="607">
        <v>39.03</v>
      </c>
      <c r="G2727" s="584">
        <v>15</v>
      </c>
    </row>
    <row r="2728" spans="1:7" ht="30" x14ac:dyDescent="0.2">
      <c r="A2728" s="583" t="s">
        <v>17477</v>
      </c>
      <c r="B2728" s="605" t="s">
        <v>17478</v>
      </c>
      <c r="C2728" s="606" t="s">
        <v>12375</v>
      </c>
      <c r="D2728" s="607">
        <v>20.5</v>
      </c>
      <c r="E2728" s="607">
        <v>27.92</v>
      </c>
      <c r="F2728" s="607">
        <v>48.42</v>
      </c>
      <c r="G2728" s="584">
        <v>15</v>
      </c>
    </row>
    <row r="2729" spans="1:7" ht="30" x14ac:dyDescent="0.2">
      <c r="A2729" s="583" t="s">
        <v>17479</v>
      </c>
      <c r="B2729" s="605" t="s">
        <v>17480</v>
      </c>
      <c r="C2729" s="606" t="s">
        <v>12375</v>
      </c>
      <c r="D2729" s="607">
        <v>11.23</v>
      </c>
      <c r="E2729" s="607">
        <v>27.92</v>
      </c>
      <c r="F2729" s="607">
        <v>39.15</v>
      </c>
      <c r="G2729" s="584">
        <v>15</v>
      </c>
    </row>
    <row r="2730" spans="1:7" ht="30" x14ac:dyDescent="0.2">
      <c r="A2730" s="583" t="s">
        <v>17481</v>
      </c>
      <c r="B2730" s="605" t="s">
        <v>17482</v>
      </c>
      <c r="C2730" s="606" t="s">
        <v>12375</v>
      </c>
      <c r="D2730" s="607">
        <v>42.63</v>
      </c>
      <c r="E2730" s="607">
        <v>27.92</v>
      </c>
      <c r="F2730" s="607">
        <v>70.55</v>
      </c>
      <c r="G2730" s="584">
        <v>15</v>
      </c>
    </row>
    <row r="2731" spans="1:7" ht="30" x14ac:dyDescent="0.2">
      <c r="A2731" s="583" t="s">
        <v>17483</v>
      </c>
      <c r="B2731" s="605" t="s">
        <v>17484</v>
      </c>
      <c r="C2731" s="606" t="s">
        <v>12375</v>
      </c>
      <c r="D2731" s="607">
        <v>21.77</v>
      </c>
      <c r="E2731" s="607">
        <v>27.92</v>
      </c>
      <c r="F2731" s="607">
        <v>49.69</v>
      </c>
      <c r="G2731" s="584">
        <v>15</v>
      </c>
    </row>
    <row r="2732" spans="1:7" ht="30" x14ac:dyDescent="0.2">
      <c r="A2732" s="583" t="s">
        <v>17485</v>
      </c>
      <c r="B2732" s="605" t="s">
        <v>17486</v>
      </c>
      <c r="C2732" s="606" t="s">
        <v>12375</v>
      </c>
      <c r="D2732" s="607">
        <v>42.68</v>
      </c>
      <c r="E2732" s="607">
        <v>27.92</v>
      </c>
      <c r="F2732" s="607">
        <v>70.599999999999994</v>
      </c>
      <c r="G2732" s="584">
        <v>15</v>
      </c>
    </row>
    <row r="2733" spans="1:7" ht="30" x14ac:dyDescent="0.2">
      <c r="A2733" s="583" t="s">
        <v>17487</v>
      </c>
      <c r="B2733" s="605" t="s">
        <v>17488</v>
      </c>
      <c r="C2733" s="606" t="s">
        <v>12375</v>
      </c>
      <c r="D2733" s="607">
        <v>21.93</v>
      </c>
      <c r="E2733" s="607">
        <v>27.92</v>
      </c>
      <c r="F2733" s="607">
        <v>49.85</v>
      </c>
      <c r="G2733" s="584">
        <v>15</v>
      </c>
    </row>
    <row r="2734" spans="1:7" ht="30" x14ac:dyDescent="0.2">
      <c r="A2734" s="583" t="s">
        <v>17489</v>
      </c>
      <c r="B2734" s="605" t="s">
        <v>17490</v>
      </c>
      <c r="C2734" s="606" t="s">
        <v>12375</v>
      </c>
      <c r="D2734" s="607">
        <v>20.95</v>
      </c>
      <c r="E2734" s="607">
        <v>27.92</v>
      </c>
      <c r="F2734" s="607">
        <v>48.87</v>
      </c>
      <c r="G2734" s="584">
        <v>15</v>
      </c>
    </row>
    <row r="2735" spans="1:7" ht="30" x14ac:dyDescent="0.2">
      <c r="A2735" s="583" t="s">
        <v>17491</v>
      </c>
      <c r="B2735" s="605" t="s">
        <v>17492</v>
      </c>
      <c r="C2735" s="606" t="s">
        <v>12375</v>
      </c>
      <c r="D2735" s="607">
        <v>20.82</v>
      </c>
      <c r="E2735" s="607">
        <v>27.92</v>
      </c>
      <c r="F2735" s="607">
        <v>48.74</v>
      </c>
      <c r="G2735" s="584">
        <v>15</v>
      </c>
    </row>
    <row r="2736" spans="1:7" ht="30" x14ac:dyDescent="0.2">
      <c r="A2736" s="583" t="s">
        <v>17493</v>
      </c>
      <c r="B2736" s="605" t="s">
        <v>17494</v>
      </c>
      <c r="C2736" s="606" t="s">
        <v>12375</v>
      </c>
      <c r="D2736" s="607">
        <v>10.94</v>
      </c>
      <c r="E2736" s="607">
        <v>27.92</v>
      </c>
      <c r="F2736" s="607">
        <v>38.86</v>
      </c>
      <c r="G2736" s="584">
        <v>15</v>
      </c>
    </row>
    <row r="2737" spans="1:7" ht="45" x14ac:dyDescent="0.2">
      <c r="A2737" s="583" t="s">
        <v>17495</v>
      </c>
      <c r="B2737" s="605" t="s">
        <v>17496</v>
      </c>
      <c r="C2737" s="606" t="s">
        <v>12375</v>
      </c>
      <c r="D2737" s="607">
        <v>23.3</v>
      </c>
      <c r="E2737" s="607">
        <v>27.92</v>
      </c>
      <c r="F2737" s="607">
        <v>51.22</v>
      </c>
      <c r="G2737" s="584">
        <v>15</v>
      </c>
    </row>
    <row r="2738" spans="1:7" ht="45" x14ac:dyDescent="0.2">
      <c r="A2738" s="583" t="s">
        <v>17497</v>
      </c>
      <c r="B2738" s="605" t="s">
        <v>17498</v>
      </c>
      <c r="C2738" s="606" t="s">
        <v>12375</v>
      </c>
      <c r="D2738" s="607">
        <v>21.38</v>
      </c>
      <c r="E2738" s="607">
        <v>27.92</v>
      </c>
      <c r="F2738" s="607">
        <v>49.3</v>
      </c>
      <c r="G2738" s="584">
        <v>15</v>
      </c>
    </row>
    <row r="2739" spans="1:7" ht="45" x14ac:dyDescent="0.2">
      <c r="A2739" s="583" t="s">
        <v>17499</v>
      </c>
      <c r="B2739" s="605" t="s">
        <v>17500</v>
      </c>
      <c r="C2739" s="606" t="s">
        <v>12375</v>
      </c>
      <c r="D2739" s="607">
        <v>21.37</v>
      </c>
      <c r="E2739" s="607">
        <v>27.92</v>
      </c>
      <c r="F2739" s="607">
        <v>49.29</v>
      </c>
      <c r="G2739" s="584">
        <v>15</v>
      </c>
    </row>
    <row r="2740" spans="1:7" ht="30" x14ac:dyDescent="0.2">
      <c r="A2740" s="583" t="s">
        <v>17501</v>
      </c>
      <c r="B2740" s="605" t="s">
        <v>17502</v>
      </c>
      <c r="C2740" s="606" t="s">
        <v>12375</v>
      </c>
      <c r="D2740" s="607">
        <v>11.25</v>
      </c>
      <c r="E2740" s="607">
        <v>27.92</v>
      </c>
      <c r="F2740" s="607">
        <v>39.17</v>
      </c>
      <c r="G2740" s="584">
        <v>15</v>
      </c>
    </row>
    <row r="2741" spans="1:7" ht="30" x14ac:dyDescent="0.2">
      <c r="A2741" s="583" t="s">
        <v>17503</v>
      </c>
      <c r="B2741" s="605" t="s">
        <v>17504</v>
      </c>
      <c r="C2741" s="606" t="s">
        <v>12375</v>
      </c>
      <c r="D2741" s="607">
        <v>10.81</v>
      </c>
      <c r="E2741" s="607">
        <v>27.92</v>
      </c>
      <c r="F2741" s="607">
        <v>38.729999999999997</v>
      </c>
      <c r="G2741" s="584">
        <v>15</v>
      </c>
    </row>
    <row r="2742" spans="1:7" ht="30" x14ac:dyDescent="0.2">
      <c r="A2742" s="583" t="s">
        <v>17505</v>
      </c>
      <c r="B2742" s="605" t="s">
        <v>17506</v>
      </c>
      <c r="C2742" s="606" t="s">
        <v>12375</v>
      </c>
      <c r="D2742" s="607">
        <v>20.85</v>
      </c>
      <c r="E2742" s="607">
        <v>27.92</v>
      </c>
      <c r="F2742" s="607">
        <v>48.77</v>
      </c>
      <c r="G2742" s="584">
        <v>15</v>
      </c>
    </row>
    <row r="2743" spans="1:7" ht="15" x14ac:dyDescent="0.25">
      <c r="A2743" s="583" t="s">
        <v>17507</v>
      </c>
      <c r="B2743" s="605" t="s">
        <v>17508</v>
      </c>
      <c r="C2743" s="606"/>
      <c r="D2743" s="607"/>
      <c r="E2743" s="607"/>
      <c r="F2743" s="607"/>
      <c r="G2743" s="582"/>
    </row>
    <row r="2744" spans="1:7" ht="15" x14ac:dyDescent="0.25">
      <c r="A2744" s="583" t="s">
        <v>17509</v>
      </c>
      <c r="B2744" s="605" t="s">
        <v>17510</v>
      </c>
      <c r="C2744" s="606"/>
      <c r="D2744" s="607"/>
      <c r="E2744" s="607"/>
      <c r="F2744" s="607"/>
      <c r="G2744" s="582"/>
    </row>
    <row r="2745" spans="1:7" ht="45" x14ac:dyDescent="0.2">
      <c r="A2745" s="583" t="s">
        <v>17511</v>
      </c>
      <c r="B2745" s="605" t="s">
        <v>17512</v>
      </c>
      <c r="C2745" s="606" t="s">
        <v>12375</v>
      </c>
      <c r="D2745" s="607">
        <v>1305.68</v>
      </c>
      <c r="E2745" s="607">
        <v>78.540000000000006</v>
      </c>
      <c r="F2745" s="607">
        <v>1384.22</v>
      </c>
      <c r="G2745" s="584">
        <v>15</v>
      </c>
    </row>
    <row r="2746" spans="1:7" ht="45" x14ac:dyDescent="0.2">
      <c r="A2746" s="583" t="s">
        <v>17513</v>
      </c>
      <c r="B2746" s="605" t="s">
        <v>17514</v>
      </c>
      <c r="C2746" s="606" t="s">
        <v>12375</v>
      </c>
      <c r="D2746" s="607">
        <v>1671.92</v>
      </c>
      <c r="E2746" s="607">
        <v>78.540000000000006</v>
      </c>
      <c r="F2746" s="607">
        <v>1750.46</v>
      </c>
      <c r="G2746" s="584">
        <v>15</v>
      </c>
    </row>
    <row r="2747" spans="1:7" ht="15" x14ac:dyDescent="0.25">
      <c r="A2747" s="583" t="s">
        <v>17515</v>
      </c>
      <c r="B2747" s="605" t="s">
        <v>17516</v>
      </c>
      <c r="C2747" s="606"/>
      <c r="D2747" s="607"/>
      <c r="E2747" s="607"/>
      <c r="F2747" s="607"/>
      <c r="G2747" s="582"/>
    </row>
    <row r="2748" spans="1:7" ht="15" x14ac:dyDescent="0.2">
      <c r="A2748" s="583" t="s">
        <v>17517</v>
      </c>
      <c r="B2748" s="605" t="s">
        <v>17518</v>
      </c>
      <c r="C2748" s="606" t="s">
        <v>20385</v>
      </c>
      <c r="D2748" s="607">
        <v>25.92</v>
      </c>
      <c r="E2748" s="607">
        <v>27.92</v>
      </c>
      <c r="F2748" s="607">
        <v>53.84</v>
      </c>
      <c r="G2748" s="584">
        <v>15</v>
      </c>
    </row>
    <row r="2749" spans="1:7" ht="30" x14ac:dyDescent="0.2">
      <c r="A2749" s="583" t="s">
        <v>17519</v>
      </c>
      <c r="B2749" s="605" t="s">
        <v>17520</v>
      </c>
      <c r="C2749" s="606" t="s">
        <v>20385</v>
      </c>
      <c r="D2749" s="607">
        <v>1239.74</v>
      </c>
      <c r="E2749" s="607">
        <v>53.03</v>
      </c>
      <c r="F2749" s="607">
        <v>1292.77</v>
      </c>
      <c r="G2749" s="584">
        <v>15</v>
      </c>
    </row>
    <row r="2750" spans="1:7" ht="15" x14ac:dyDescent="0.2">
      <c r="A2750" s="583" t="s">
        <v>17521</v>
      </c>
      <c r="B2750" s="605" t="s">
        <v>17522</v>
      </c>
      <c r="C2750" s="606" t="s">
        <v>20385</v>
      </c>
      <c r="D2750" s="607">
        <v>305.3</v>
      </c>
      <c r="E2750" s="607">
        <v>44.48</v>
      </c>
      <c r="F2750" s="607">
        <v>349.78</v>
      </c>
      <c r="G2750" s="584">
        <v>15</v>
      </c>
    </row>
    <row r="2751" spans="1:7" ht="30" x14ac:dyDescent="0.2">
      <c r="A2751" s="583" t="s">
        <v>17523</v>
      </c>
      <c r="B2751" s="605" t="s">
        <v>17524</v>
      </c>
      <c r="C2751" s="606" t="s">
        <v>20385</v>
      </c>
      <c r="D2751" s="607">
        <v>162.47</v>
      </c>
      <c r="E2751" s="607">
        <v>27.92</v>
      </c>
      <c r="F2751" s="607">
        <v>190.39</v>
      </c>
      <c r="G2751" s="584">
        <v>15</v>
      </c>
    </row>
    <row r="2752" spans="1:7" ht="30" x14ac:dyDescent="0.2">
      <c r="A2752" s="583" t="s">
        <v>17525</v>
      </c>
      <c r="B2752" s="605" t="s">
        <v>17526</v>
      </c>
      <c r="C2752" s="606" t="s">
        <v>20385</v>
      </c>
      <c r="D2752" s="607">
        <v>15.98</v>
      </c>
      <c r="E2752" s="607">
        <v>33.590000000000003</v>
      </c>
      <c r="F2752" s="607">
        <v>49.57</v>
      </c>
      <c r="G2752" s="584">
        <v>15</v>
      </c>
    </row>
    <row r="2753" spans="1:7" ht="15" x14ac:dyDescent="0.2">
      <c r="A2753" s="583" t="s">
        <v>17527</v>
      </c>
      <c r="B2753" s="605" t="s">
        <v>17528</v>
      </c>
      <c r="C2753" s="606" t="s">
        <v>20385</v>
      </c>
      <c r="D2753" s="607">
        <v>92.9</v>
      </c>
      <c r="E2753" s="607">
        <v>44.48</v>
      </c>
      <c r="F2753" s="607">
        <v>137.38</v>
      </c>
      <c r="G2753" s="584">
        <v>15</v>
      </c>
    </row>
    <row r="2754" spans="1:7" ht="30" x14ac:dyDescent="0.2">
      <c r="A2754" s="583" t="s">
        <v>17529</v>
      </c>
      <c r="B2754" s="605" t="s">
        <v>17530</v>
      </c>
      <c r="C2754" s="606" t="s">
        <v>20385</v>
      </c>
      <c r="D2754" s="607">
        <v>2089.62</v>
      </c>
      <c r="E2754" s="607">
        <v>111.66</v>
      </c>
      <c r="F2754" s="607">
        <v>2201.2800000000002</v>
      </c>
      <c r="G2754" s="584">
        <v>15</v>
      </c>
    </row>
    <row r="2755" spans="1:7" ht="15" x14ac:dyDescent="0.2">
      <c r="A2755" s="583" t="s">
        <v>17531</v>
      </c>
      <c r="B2755" s="605" t="s">
        <v>17532</v>
      </c>
      <c r="C2755" s="606" t="s">
        <v>20385</v>
      </c>
      <c r="D2755" s="607">
        <v>165.77</v>
      </c>
      <c r="E2755" s="607">
        <v>44.48</v>
      </c>
      <c r="F2755" s="607">
        <v>210.25</v>
      </c>
      <c r="G2755" s="584">
        <v>15</v>
      </c>
    </row>
    <row r="2756" spans="1:7" ht="15" x14ac:dyDescent="0.25">
      <c r="A2756" s="583" t="s">
        <v>17533</v>
      </c>
      <c r="B2756" s="605" t="s">
        <v>17534</v>
      </c>
      <c r="C2756" s="606"/>
      <c r="D2756" s="607"/>
      <c r="E2756" s="607"/>
      <c r="F2756" s="607"/>
      <c r="G2756" s="582"/>
    </row>
    <row r="2757" spans="1:7" ht="15" x14ac:dyDescent="0.2">
      <c r="A2757" s="583" t="s">
        <v>17535</v>
      </c>
      <c r="B2757" s="605" t="s">
        <v>17536</v>
      </c>
      <c r="C2757" s="606" t="s">
        <v>12375</v>
      </c>
      <c r="D2757" s="607">
        <v>39849.949999999997</v>
      </c>
      <c r="E2757" s="607">
        <v>223.32</v>
      </c>
      <c r="F2757" s="607">
        <v>40073.269999999997</v>
      </c>
      <c r="G2757" s="584">
        <v>15</v>
      </c>
    </row>
    <row r="2758" spans="1:7" ht="15" x14ac:dyDescent="0.2">
      <c r="A2758" s="583" t="s">
        <v>17537</v>
      </c>
      <c r="B2758" s="605" t="s">
        <v>17538</v>
      </c>
      <c r="C2758" s="606" t="s">
        <v>12375</v>
      </c>
      <c r="D2758" s="607">
        <v>43145.8</v>
      </c>
      <c r="E2758" s="607">
        <v>251.24</v>
      </c>
      <c r="F2758" s="607">
        <v>43397.04</v>
      </c>
      <c r="G2758" s="584">
        <v>15</v>
      </c>
    </row>
    <row r="2759" spans="1:7" ht="30" x14ac:dyDescent="0.2">
      <c r="A2759" s="583" t="s">
        <v>17539</v>
      </c>
      <c r="B2759" s="605" t="s">
        <v>17540</v>
      </c>
      <c r="C2759" s="606" t="s">
        <v>12375</v>
      </c>
      <c r="D2759" s="607">
        <v>595.38</v>
      </c>
      <c r="E2759" s="607">
        <v>279.14999999999998</v>
      </c>
      <c r="F2759" s="607">
        <v>874.53</v>
      </c>
      <c r="G2759" s="584">
        <v>15</v>
      </c>
    </row>
    <row r="2760" spans="1:7" ht="30" x14ac:dyDescent="0.2">
      <c r="A2760" s="583" t="s">
        <v>17541</v>
      </c>
      <c r="B2760" s="605" t="s">
        <v>17542</v>
      </c>
      <c r="C2760" s="606" t="s">
        <v>12676</v>
      </c>
      <c r="D2760" s="607">
        <v>20877.580000000002</v>
      </c>
      <c r="E2760" s="607"/>
      <c r="F2760" s="607">
        <v>20877.580000000002</v>
      </c>
      <c r="G2760" s="584">
        <v>15</v>
      </c>
    </row>
    <row r="2761" spans="1:7" ht="30" x14ac:dyDescent="0.2">
      <c r="A2761" s="583" t="s">
        <v>21433</v>
      </c>
      <c r="B2761" s="605" t="s">
        <v>21434</v>
      </c>
      <c r="C2761" s="606" t="s">
        <v>12676</v>
      </c>
      <c r="D2761" s="607">
        <v>16122.48</v>
      </c>
      <c r="E2761" s="607"/>
      <c r="F2761" s="607">
        <v>16122.48</v>
      </c>
      <c r="G2761" s="584">
        <v>15</v>
      </c>
    </row>
    <row r="2762" spans="1:7" ht="30" x14ac:dyDescent="0.2">
      <c r="A2762" s="583" t="s">
        <v>17543</v>
      </c>
      <c r="B2762" s="605" t="s">
        <v>17544</v>
      </c>
      <c r="C2762" s="606" t="s">
        <v>12375</v>
      </c>
      <c r="D2762" s="607">
        <v>1260.8800000000001</v>
      </c>
      <c r="E2762" s="607">
        <v>57.92</v>
      </c>
      <c r="F2762" s="607">
        <v>1318.8</v>
      </c>
      <c r="G2762" s="584">
        <v>15</v>
      </c>
    </row>
    <row r="2763" spans="1:7" ht="30" x14ac:dyDescent="0.2">
      <c r="A2763" s="583" t="s">
        <v>17545</v>
      </c>
      <c r="B2763" s="605" t="s">
        <v>17546</v>
      </c>
      <c r="C2763" s="606" t="s">
        <v>12375</v>
      </c>
      <c r="D2763" s="607">
        <v>1852.11</v>
      </c>
      <c r="E2763" s="607">
        <v>72.39</v>
      </c>
      <c r="F2763" s="607">
        <v>1924.5</v>
      </c>
      <c r="G2763" s="584">
        <v>15</v>
      </c>
    </row>
    <row r="2764" spans="1:7" ht="30" x14ac:dyDescent="0.2">
      <c r="A2764" s="583" t="s">
        <v>17547</v>
      </c>
      <c r="B2764" s="605" t="s">
        <v>17548</v>
      </c>
      <c r="C2764" s="606" t="s">
        <v>12375</v>
      </c>
      <c r="D2764" s="607">
        <v>3516.53</v>
      </c>
      <c r="E2764" s="607">
        <v>78.540000000000006</v>
      </c>
      <c r="F2764" s="607">
        <v>3595.07</v>
      </c>
      <c r="G2764" s="584">
        <v>15</v>
      </c>
    </row>
    <row r="2765" spans="1:7" ht="15" x14ac:dyDescent="0.25">
      <c r="A2765" s="583" t="s">
        <v>17549</v>
      </c>
      <c r="B2765" s="605" t="s">
        <v>17550</v>
      </c>
      <c r="C2765" s="606"/>
      <c r="D2765" s="607"/>
      <c r="E2765" s="607"/>
      <c r="F2765" s="607"/>
      <c r="G2765" s="582"/>
    </row>
    <row r="2766" spans="1:7" ht="15" x14ac:dyDescent="0.2">
      <c r="A2766" s="583" t="s">
        <v>17551</v>
      </c>
      <c r="B2766" s="605" t="s">
        <v>17552</v>
      </c>
      <c r="C2766" s="606" t="s">
        <v>12375</v>
      </c>
      <c r="D2766" s="607">
        <v>207.23</v>
      </c>
      <c r="E2766" s="607">
        <v>44.48</v>
      </c>
      <c r="F2766" s="607">
        <v>251.71</v>
      </c>
      <c r="G2766" s="584">
        <v>15</v>
      </c>
    </row>
    <row r="2767" spans="1:7" ht="15" x14ac:dyDescent="0.25">
      <c r="A2767" s="583" t="s">
        <v>17553</v>
      </c>
      <c r="B2767" s="605" t="s">
        <v>17554</v>
      </c>
      <c r="C2767" s="606"/>
      <c r="D2767" s="607"/>
      <c r="E2767" s="607"/>
      <c r="F2767" s="607"/>
      <c r="G2767" s="582"/>
    </row>
    <row r="2768" spans="1:7" ht="15" x14ac:dyDescent="0.2">
      <c r="A2768" s="583" t="s">
        <v>17555</v>
      </c>
      <c r="B2768" s="605" t="s">
        <v>17556</v>
      </c>
      <c r="C2768" s="606" t="s">
        <v>12375</v>
      </c>
      <c r="D2768" s="607">
        <v>419.75</v>
      </c>
      <c r="E2768" s="607">
        <v>55.83</v>
      </c>
      <c r="F2768" s="607">
        <v>475.58</v>
      </c>
      <c r="G2768" s="584">
        <v>15</v>
      </c>
    </row>
    <row r="2769" spans="1:7" ht="30" x14ac:dyDescent="0.2">
      <c r="A2769" s="583" t="s">
        <v>17557</v>
      </c>
      <c r="B2769" s="605" t="s">
        <v>17558</v>
      </c>
      <c r="C2769" s="606" t="s">
        <v>12375</v>
      </c>
      <c r="D2769" s="607">
        <v>322.39999999999998</v>
      </c>
      <c r="E2769" s="607">
        <v>55.83</v>
      </c>
      <c r="F2769" s="607">
        <v>378.23</v>
      </c>
      <c r="G2769" s="584">
        <v>15</v>
      </c>
    </row>
    <row r="2770" spans="1:7" ht="15" x14ac:dyDescent="0.25">
      <c r="A2770" s="583" t="s">
        <v>17559</v>
      </c>
      <c r="B2770" s="605" t="s">
        <v>17560</v>
      </c>
      <c r="C2770" s="606"/>
      <c r="D2770" s="607"/>
      <c r="E2770" s="607"/>
      <c r="F2770" s="607"/>
      <c r="G2770" s="582"/>
    </row>
    <row r="2771" spans="1:7" ht="15" x14ac:dyDescent="0.2">
      <c r="A2771" s="583" t="s">
        <v>17561</v>
      </c>
      <c r="B2771" s="605" t="s">
        <v>17562</v>
      </c>
      <c r="C2771" s="606" t="s">
        <v>12375</v>
      </c>
      <c r="D2771" s="607">
        <v>39.15</v>
      </c>
      <c r="E2771" s="607">
        <v>27.92</v>
      </c>
      <c r="F2771" s="607">
        <v>67.069999999999993</v>
      </c>
      <c r="G2771" s="584">
        <v>15</v>
      </c>
    </row>
    <row r="2772" spans="1:7" ht="15" x14ac:dyDescent="0.25">
      <c r="A2772" s="583" t="s">
        <v>17563</v>
      </c>
      <c r="B2772" s="605" t="s">
        <v>17564</v>
      </c>
      <c r="C2772" s="606"/>
      <c r="D2772" s="607"/>
      <c r="E2772" s="607"/>
      <c r="F2772" s="607"/>
      <c r="G2772" s="582"/>
    </row>
    <row r="2773" spans="1:7" ht="30" x14ac:dyDescent="0.2">
      <c r="A2773" s="583" t="s">
        <v>17565</v>
      </c>
      <c r="B2773" s="605" t="s">
        <v>17566</v>
      </c>
      <c r="C2773" s="606" t="s">
        <v>12676</v>
      </c>
      <c r="D2773" s="607">
        <v>14770.14</v>
      </c>
      <c r="E2773" s="607">
        <v>453.1</v>
      </c>
      <c r="F2773" s="607">
        <v>15223.24</v>
      </c>
      <c r="G2773" s="584">
        <v>15</v>
      </c>
    </row>
    <row r="2774" spans="1:7" ht="30" x14ac:dyDescent="0.2">
      <c r="A2774" s="583" t="s">
        <v>17567</v>
      </c>
      <c r="B2774" s="605" t="s">
        <v>17568</v>
      </c>
      <c r="C2774" s="606" t="s">
        <v>12676</v>
      </c>
      <c r="D2774" s="607">
        <v>8730.01</v>
      </c>
      <c r="E2774" s="607">
        <v>438.86</v>
      </c>
      <c r="F2774" s="607">
        <v>9168.8700000000008</v>
      </c>
      <c r="G2774" s="584">
        <v>15</v>
      </c>
    </row>
    <row r="2775" spans="1:7" ht="30" x14ac:dyDescent="0.2">
      <c r="A2775" s="583" t="s">
        <v>17569</v>
      </c>
      <c r="B2775" s="605" t="s">
        <v>17570</v>
      </c>
      <c r="C2775" s="606" t="s">
        <v>12676</v>
      </c>
      <c r="D2775" s="607">
        <v>10435.969999999999</v>
      </c>
      <c r="E2775" s="607">
        <v>453.1</v>
      </c>
      <c r="F2775" s="607">
        <v>10889.07</v>
      </c>
      <c r="G2775" s="584">
        <v>15</v>
      </c>
    </row>
    <row r="2776" spans="1:7" ht="30" x14ac:dyDescent="0.2">
      <c r="A2776" s="583" t="s">
        <v>17571</v>
      </c>
      <c r="B2776" s="605" t="s">
        <v>17572</v>
      </c>
      <c r="C2776" s="606" t="s">
        <v>12676</v>
      </c>
      <c r="D2776" s="607">
        <v>14648.34</v>
      </c>
      <c r="E2776" s="607">
        <v>453.1</v>
      </c>
      <c r="F2776" s="607">
        <v>15101.44</v>
      </c>
      <c r="G2776" s="584">
        <v>15</v>
      </c>
    </row>
    <row r="2777" spans="1:7" ht="30" x14ac:dyDescent="0.2">
      <c r="A2777" s="583" t="s">
        <v>17573</v>
      </c>
      <c r="B2777" s="605" t="s">
        <v>17574</v>
      </c>
      <c r="C2777" s="606" t="s">
        <v>12676</v>
      </c>
      <c r="D2777" s="607">
        <v>3711.01</v>
      </c>
      <c r="E2777" s="607">
        <v>438.86</v>
      </c>
      <c r="F2777" s="607">
        <v>4149.87</v>
      </c>
      <c r="G2777" s="584">
        <v>15</v>
      </c>
    </row>
    <row r="2778" spans="1:7" ht="30" x14ac:dyDescent="0.2">
      <c r="A2778" s="583" t="s">
        <v>17575</v>
      </c>
      <c r="B2778" s="605" t="s">
        <v>17576</v>
      </c>
      <c r="C2778" s="606" t="s">
        <v>12676</v>
      </c>
      <c r="D2778" s="607">
        <v>5101.3500000000004</v>
      </c>
      <c r="E2778" s="607">
        <v>438.86</v>
      </c>
      <c r="F2778" s="607">
        <v>5540.21</v>
      </c>
      <c r="G2778" s="584">
        <v>15</v>
      </c>
    </row>
    <row r="2779" spans="1:7" ht="30" x14ac:dyDescent="0.2">
      <c r="A2779" s="583" t="s">
        <v>17577</v>
      </c>
      <c r="B2779" s="605" t="s">
        <v>17578</v>
      </c>
      <c r="C2779" s="606" t="s">
        <v>12676</v>
      </c>
      <c r="D2779" s="607">
        <v>8285.0400000000009</v>
      </c>
      <c r="E2779" s="607">
        <v>453.1</v>
      </c>
      <c r="F2779" s="607">
        <v>8738.14</v>
      </c>
      <c r="G2779" s="584">
        <v>15</v>
      </c>
    </row>
    <row r="2780" spans="1:7" ht="30" x14ac:dyDescent="0.2">
      <c r="A2780" s="583" t="s">
        <v>17579</v>
      </c>
      <c r="B2780" s="605" t="s">
        <v>17580</v>
      </c>
      <c r="C2780" s="606" t="s">
        <v>12676</v>
      </c>
      <c r="D2780" s="607">
        <v>8615.59</v>
      </c>
      <c r="E2780" s="607">
        <v>453.1</v>
      </c>
      <c r="F2780" s="607">
        <v>9068.69</v>
      </c>
      <c r="G2780" s="584">
        <v>15</v>
      </c>
    </row>
    <row r="2781" spans="1:7" ht="30" x14ac:dyDescent="0.2">
      <c r="A2781" s="583" t="s">
        <v>17581</v>
      </c>
      <c r="B2781" s="605" t="s">
        <v>17582</v>
      </c>
      <c r="C2781" s="606" t="s">
        <v>12676</v>
      </c>
      <c r="D2781" s="607">
        <v>7878.75</v>
      </c>
      <c r="E2781" s="607">
        <v>453.1</v>
      </c>
      <c r="F2781" s="607">
        <v>8331.85</v>
      </c>
      <c r="G2781" s="584">
        <v>15</v>
      </c>
    </row>
    <row r="2782" spans="1:7" ht="30" x14ac:dyDescent="0.2">
      <c r="A2782" s="583" t="s">
        <v>17583</v>
      </c>
      <c r="B2782" s="605" t="s">
        <v>17584</v>
      </c>
      <c r="C2782" s="606" t="s">
        <v>12676</v>
      </c>
      <c r="D2782" s="607">
        <v>11800.74</v>
      </c>
      <c r="E2782" s="607">
        <v>453.1</v>
      </c>
      <c r="F2782" s="607">
        <v>12253.84</v>
      </c>
      <c r="G2782" s="584">
        <v>15</v>
      </c>
    </row>
    <row r="2783" spans="1:7" ht="15" x14ac:dyDescent="0.25">
      <c r="A2783" s="583" t="s">
        <v>17585</v>
      </c>
      <c r="B2783" s="605" t="s">
        <v>17586</v>
      </c>
      <c r="C2783" s="606"/>
      <c r="D2783" s="607"/>
      <c r="E2783" s="607"/>
      <c r="F2783" s="607"/>
      <c r="G2783" s="582"/>
    </row>
    <row r="2784" spans="1:7" ht="30" x14ac:dyDescent="0.2">
      <c r="A2784" s="583" t="s">
        <v>17587</v>
      </c>
      <c r="B2784" s="605" t="s">
        <v>17588</v>
      </c>
      <c r="C2784" s="606" t="s">
        <v>12375</v>
      </c>
      <c r="D2784" s="607">
        <v>45653.72</v>
      </c>
      <c r="E2784" s="607">
        <v>1024.72</v>
      </c>
      <c r="F2784" s="607">
        <v>46678.44</v>
      </c>
      <c r="G2784" s="584">
        <v>15</v>
      </c>
    </row>
    <row r="2785" spans="1:7" ht="30" x14ac:dyDescent="0.2">
      <c r="A2785" s="583" t="s">
        <v>17589</v>
      </c>
      <c r="B2785" s="605" t="s">
        <v>17590</v>
      </c>
      <c r="C2785" s="606" t="s">
        <v>12375</v>
      </c>
      <c r="D2785" s="607">
        <v>52773.67</v>
      </c>
      <c r="E2785" s="607">
        <v>1024.72</v>
      </c>
      <c r="F2785" s="607">
        <v>53798.39</v>
      </c>
      <c r="G2785" s="584">
        <v>15</v>
      </c>
    </row>
    <row r="2786" spans="1:7" ht="30" x14ac:dyDescent="0.2">
      <c r="A2786" s="583" t="s">
        <v>17591</v>
      </c>
      <c r="B2786" s="605" t="s">
        <v>17592</v>
      </c>
      <c r="C2786" s="606" t="s">
        <v>12375</v>
      </c>
      <c r="D2786" s="607">
        <v>60976.09</v>
      </c>
      <c r="E2786" s="607">
        <v>1024.72</v>
      </c>
      <c r="F2786" s="607">
        <v>62000.81</v>
      </c>
      <c r="G2786" s="584">
        <v>15</v>
      </c>
    </row>
    <row r="2787" spans="1:7" ht="30" x14ac:dyDescent="0.2">
      <c r="A2787" s="583" t="s">
        <v>17593</v>
      </c>
      <c r="B2787" s="605" t="s">
        <v>17594</v>
      </c>
      <c r="C2787" s="606" t="s">
        <v>12375</v>
      </c>
      <c r="D2787" s="607">
        <v>67950.960000000006</v>
      </c>
      <c r="E2787" s="607">
        <v>1024.72</v>
      </c>
      <c r="F2787" s="607">
        <v>68975.679999999993</v>
      </c>
      <c r="G2787" s="584">
        <v>15</v>
      </c>
    </row>
    <row r="2788" spans="1:7" ht="30" x14ac:dyDescent="0.2">
      <c r="A2788" s="583" t="s">
        <v>17595</v>
      </c>
      <c r="B2788" s="605" t="s">
        <v>17596</v>
      </c>
      <c r="C2788" s="606" t="s">
        <v>12375</v>
      </c>
      <c r="D2788" s="607">
        <v>4389.62</v>
      </c>
      <c r="E2788" s="607">
        <v>896.63</v>
      </c>
      <c r="F2788" s="607">
        <v>5286.25</v>
      </c>
      <c r="G2788" s="584">
        <v>15</v>
      </c>
    </row>
    <row r="2789" spans="1:7" ht="30" x14ac:dyDescent="0.2">
      <c r="A2789" s="583" t="s">
        <v>17597</v>
      </c>
      <c r="B2789" s="605" t="s">
        <v>17598</v>
      </c>
      <c r="C2789" s="606" t="s">
        <v>12375</v>
      </c>
      <c r="D2789" s="607">
        <v>5675.02</v>
      </c>
      <c r="E2789" s="607">
        <v>896.63</v>
      </c>
      <c r="F2789" s="607">
        <v>6571.65</v>
      </c>
      <c r="G2789" s="584">
        <v>15</v>
      </c>
    </row>
    <row r="2790" spans="1:7" ht="30" x14ac:dyDescent="0.2">
      <c r="A2790" s="583" t="s">
        <v>17599</v>
      </c>
      <c r="B2790" s="605" t="s">
        <v>17600</v>
      </c>
      <c r="C2790" s="606" t="s">
        <v>12375</v>
      </c>
      <c r="D2790" s="607">
        <v>7630.65</v>
      </c>
      <c r="E2790" s="607">
        <v>896.63</v>
      </c>
      <c r="F2790" s="607">
        <v>8527.2800000000007</v>
      </c>
      <c r="G2790" s="584">
        <v>15</v>
      </c>
    </row>
    <row r="2791" spans="1:7" ht="30" x14ac:dyDescent="0.2">
      <c r="A2791" s="583" t="s">
        <v>17601</v>
      </c>
      <c r="B2791" s="605" t="s">
        <v>17602</v>
      </c>
      <c r="C2791" s="606" t="s">
        <v>12375</v>
      </c>
      <c r="D2791" s="607">
        <v>4886.66</v>
      </c>
      <c r="E2791" s="607">
        <v>896.63</v>
      </c>
      <c r="F2791" s="607">
        <v>5783.29</v>
      </c>
      <c r="G2791" s="584">
        <v>15</v>
      </c>
    </row>
    <row r="2792" spans="1:7" ht="30" x14ac:dyDescent="0.2">
      <c r="A2792" s="583" t="s">
        <v>17603</v>
      </c>
      <c r="B2792" s="605" t="s">
        <v>17604</v>
      </c>
      <c r="C2792" s="606" t="s">
        <v>12375</v>
      </c>
      <c r="D2792" s="607">
        <v>5626.81</v>
      </c>
      <c r="E2792" s="607">
        <v>896.63</v>
      </c>
      <c r="F2792" s="607">
        <v>6523.44</v>
      </c>
      <c r="G2792" s="584">
        <v>15</v>
      </c>
    </row>
    <row r="2793" spans="1:7" ht="30" x14ac:dyDescent="0.2">
      <c r="A2793" s="583" t="s">
        <v>17605</v>
      </c>
      <c r="B2793" s="605" t="s">
        <v>17606</v>
      </c>
      <c r="C2793" s="606" t="s">
        <v>12375</v>
      </c>
      <c r="D2793" s="607">
        <v>6680.42</v>
      </c>
      <c r="E2793" s="607">
        <v>896.63</v>
      </c>
      <c r="F2793" s="607">
        <v>7577.05</v>
      </c>
      <c r="G2793" s="584">
        <v>15</v>
      </c>
    </row>
    <row r="2794" spans="1:7" ht="30" x14ac:dyDescent="0.2">
      <c r="A2794" s="583" t="s">
        <v>17607</v>
      </c>
      <c r="B2794" s="605" t="s">
        <v>17608</v>
      </c>
      <c r="C2794" s="606" t="s">
        <v>12375</v>
      </c>
      <c r="D2794" s="607">
        <v>7737.41</v>
      </c>
      <c r="E2794" s="607">
        <v>896.63</v>
      </c>
      <c r="F2794" s="607">
        <v>8634.0400000000009</v>
      </c>
      <c r="G2794" s="584">
        <v>15</v>
      </c>
    </row>
    <row r="2795" spans="1:7" ht="30" x14ac:dyDescent="0.2">
      <c r="A2795" s="583" t="s">
        <v>17609</v>
      </c>
      <c r="B2795" s="605" t="s">
        <v>17610</v>
      </c>
      <c r="C2795" s="606" t="s">
        <v>12375</v>
      </c>
      <c r="D2795" s="607">
        <v>4509.9399999999996</v>
      </c>
      <c r="E2795" s="607">
        <v>896.63</v>
      </c>
      <c r="F2795" s="607">
        <v>5406.57</v>
      </c>
      <c r="G2795" s="584">
        <v>15</v>
      </c>
    </row>
    <row r="2796" spans="1:7" ht="30" x14ac:dyDescent="0.2">
      <c r="A2796" s="583" t="s">
        <v>17611</v>
      </c>
      <c r="B2796" s="605" t="s">
        <v>17612</v>
      </c>
      <c r="C2796" s="606" t="s">
        <v>12375</v>
      </c>
      <c r="D2796" s="607">
        <v>5123.88</v>
      </c>
      <c r="E2796" s="607">
        <v>896.63</v>
      </c>
      <c r="F2796" s="607">
        <v>6020.51</v>
      </c>
      <c r="G2796" s="584">
        <v>15</v>
      </c>
    </row>
    <row r="2797" spans="1:7" ht="30" x14ac:dyDescent="0.2">
      <c r="A2797" s="583" t="s">
        <v>17613</v>
      </c>
      <c r="B2797" s="605" t="s">
        <v>17614</v>
      </c>
      <c r="C2797" s="606" t="s">
        <v>12375</v>
      </c>
      <c r="D2797" s="607">
        <v>5561.41</v>
      </c>
      <c r="E2797" s="607">
        <v>896.63</v>
      </c>
      <c r="F2797" s="607">
        <v>6458.04</v>
      </c>
      <c r="G2797" s="584">
        <v>15</v>
      </c>
    </row>
    <row r="2798" spans="1:7" ht="30" x14ac:dyDescent="0.2">
      <c r="A2798" s="583" t="s">
        <v>17615</v>
      </c>
      <c r="B2798" s="605" t="s">
        <v>17616</v>
      </c>
      <c r="C2798" s="606" t="s">
        <v>12375</v>
      </c>
      <c r="D2798" s="607">
        <v>5743.82</v>
      </c>
      <c r="E2798" s="607">
        <v>896.63</v>
      </c>
      <c r="F2798" s="607">
        <v>6640.45</v>
      </c>
      <c r="G2798" s="584">
        <v>15</v>
      </c>
    </row>
    <row r="2799" spans="1:7" ht="15" x14ac:dyDescent="0.25">
      <c r="A2799" s="583" t="s">
        <v>17617</v>
      </c>
      <c r="B2799" s="605" t="s">
        <v>17618</v>
      </c>
      <c r="C2799" s="606"/>
      <c r="D2799" s="607"/>
      <c r="E2799" s="607"/>
      <c r="F2799" s="607"/>
      <c r="G2799" s="582"/>
    </row>
    <row r="2800" spans="1:7" ht="30" x14ac:dyDescent="0.2">
      <c r="A2800" s="583" t="s">
        <v>17619</v>
      </c>
      <c r="B2800" s="605" t="s">
        <v>17620</v>
      </c>
      <c r="C2800" s="606" t="s">
        <v>12375</v>
      </c>
      <c r="D2800" s="607">
        <v>11389.2</v>
      </c>
      <c r="E2800" s="607">
        <v>314.16000000000003</v>
      </c>
      <c r="F2800" s="607">
        <v>11703.36</v>
      </c>
      <c r="G2800" s="584">
        <v>15</v>
      </c>
    </row>
    <row r="2801" spans="1:7" ht="30" x14ac:dyDescent="0.2">
      <c r="A2801" s="583" t="s">
        <v>17621</v>
      </c>
      <c r="B2801" s="605" t="s">
        <v>17622</v>
      </c>
      <c r="C2801" s="606" t="s">
        <v>12375</v>
      </c>
      <c r="D2801" s="607">
        <v>19927.3</v>
      </c>
      <c r="E2801" s="607">
        <v>314.16000000000003</v>
      </c>
      <c r="F2801" s="607">
        <v>20241.46</v>
      </c>
      <c r="G2801" s="584">
        <v>15</v>
      </c>
    </row>
    <row r="2802" spans="1:7" ht="30" x14ac:dyDescent="0.2">
      <c r="A2802" s="583" t="s">
        <v>17623</v>
      </c>
      <c r="B2802" s="605" t="s">
        <v>17624</v>
      </c>
      <c r="C2802" s="606" t="s">
        <v>12375</v>
      </c>
      <c r="D2802" s="607">
        <v>5642.45</v>
      </c>
      <c r="E2802" s="607">
        <v>314.16000000000003</v>
      </c>
      <c r="F2802" s="607">
        <v>5956.61</v>
      </c>
      <c r="G2802" s="584">
        <v>15</v>
      </c>
    </row>
    <row r="2803" spans="1:7" ht="30" x14ac:dyDescent="0.2">
      <c r="A2803" s="583" t="s">
        <v>17625</v>
      </c>
      <c r="B2803" s="605" t="s">
        <v>17626</v>
      </c>
      <c r="C2803" s="606" t="s">
        <v>12375</v>
      </c>
      <c r="D2803" s="607">
        <v>2653.06</v>
      </c>
      <c r="E2803" s="607">
        <v>314.16000000000003</v>
      </c>
      <c r="F2803" s="607">
        <v>2967.22</v>
      </c>
      <c r="G2803" s="584">
        <v>15</v>
      </c>
    </row>
    <row r="2804" spans="1:7" ht="30" x14ac:dyDescent="0.2">
      <c r="A2804" s="583" t="s">
        <v>17627</v>
      </c>
      <c r="B2804" s="605" t="s">
        <v>17628</v>
      </c>
      <c r="C2804" s="606" t="s">
        <v>12375</v>
      </c>
      <c r="D2804" s="607">
        <v>49329.82</v>
      </c>
      <c r="E2804" s="607">
        <v>314.16000000000003</v>
      </c>
      <c r="F2804" s="607">
        <v>49643.98</v>
      </c>
      <c r="G2804" s="584">
        <v>15</v>
      </c>
    </row>
    <row r="2805" spans="1:7" ht="30" x14ac:dyDescent="0.2">
      <c r="A2805" s="583" t="s">
        <v>17629</v>
      </c>
      <c r="B2805" s="605" t="s">
        <v>17630</v>
      </c>
      <c r="C2805" s="606" t="s">
        <v>12375</v>
      </c>
      <c r="D2805" s="607">
        <v>3890.11</v>
      </c>
      <c r="E2805" s="607">
        <v>314.16000000000003</v>
      </c>
      <c r="F2805" s="607">
        <v>4204.2700000000004</v>
      </c>
      <c r="G2805" s="584">
        <v>15</v>
      </c>
    </row>
    <row r="2806" spans="1:7" ht="30" x14ac:dyDescent="0.2">
      <c r="A2806" s="583" t="s">
        <v>17631</v>
      </c>
      <c r="B2806" s="605" t="s">
        <v>17632</v>
      </c>
      <c r="C2806" s="606" t="s">
        <v>12375</v>
      </c>
      <c r="D2806" s="607">
        <v>12057.6</v>
      </c>
      <c r="E2806" s="607">
        <v>314.16000000000003</v>
      </c>
      <c r="F2806" s="607">
        <v>12371.76</v>
      </c>
      <c r="G2806" s="584">
        <v>15</v>
      </c>
    </row>
    <row r="2807" spans="1:7" ht="30" x14ac:dyDescent="0.2">
      <c r="A2807" s="583" t="s">
        <v>17633</v>
      </c>
      <c r="B2807" s="605" t="s">
        <v>17634</v>
      </c>
      <c r="C2807" s="606" t="s">
        <v>12375</v>
      </c>
      <c r="D2807" s="607">
        <v>5348.16</v>
      </c>
      <c r="E2807" s="607">
        <v>314.16000000000003</v>
      </c>
      <c r="F2807" s="607">
        <v>5662.32</v>
      </c>
      <c r="G2807" s="584">
        <v>15</v>
      </c>
    </row>
    <row r="2808" spans="1:7" ht="30" x14ac:dyDescent="0.2">
      <c r="A2808" s="583" t="s">
        <v>17635</v>
      </c>
      <c r="B2808" s="605" t="s">
        <v>17636</v>
      </c>
      <c r="C2808" s="606" t="s">
        <v>12375</v>
      </c>
      <c r="D2808" s="607">
        <v>18666.05</v>
      </c>
      <c r="E2808" s="607">
        <v>314.16000000000003</v>
      </c>
      <c r="F2808" s="607">
        <v>18980.21</v>
      </c>
      <c r="G2808" s="584">
        <v>15</v>
      </c>
    </row>
    <row r="2809" spans="1:7" ht="30" x14ac:dyDescent="0.2">
      <c r="A2809" s="583" t="s">
        <v>17637</v>
      </c>
      <c r="B2809" s="605" t="s">
        <v>17638</v>
      </c>
      <c r="C2809" s="606" t="s">
        <v>12375</v>
      </c>
      <c r="D2809" s="607">
        <v>3896.77</v>
      </c>
      <c r="E2809" s="607">
        <v>314.16000000000003</v>
      </c>
      <c r="F2809" s="607">
        <v>4210.93</v>
      </c>
      <c r="G2809" s="584">
        <v>15</v>
      </c>
    </row>
    <row r="2810" spans="1:7" ht="30" x14ac:dyDescent="0.2">
      <c r="A2810" s="583" t="s">
        <v>17639</v>
      </c>
      <c r="B2810" s="605" t="s">
        <v>17640</v>
      </c>
      <c r="C2810" s="606" t="s">
        <v>12375</v>
      </c>
      <c r="D2810" s="607">
        <v>6086.12</v>
      </c>
      <c r="E2810" s="607">
        <v>314.16000000000003</v>
      </c>
      <c r="F2810" s="607">
        <v>6400.28</v>
      </c>
      <c r="G2810" s="584">
        <v>15</v>
      </c>
    </row>
    <row r="2811" spans="1:7" ht="30" x14ac:dyDescent="0.2">
      <c r="A2811" s="583" t="s">
        <v>17641</v>
      </c>
      <c r="B2811" s="605" t="s">
        <v>17642</v>
      </c>
      <c r="C2811" s="606" t="s">
        <v>12375</v>
      </c>
      <c r="D2811" s="607">
        <v>6093.44</v>
      </c>
      <c r="E2811" s="607">
        <v>314.16000000000003</v>
      </c>
      <c r="F2811" s="607">
        <v>6407.6</v>
      </c>
      <c r="G2811" s="584">
        <v>15</v>
      </c>
    </row>
    <row r="2812" spans="1:7" ht="30" x14ac:dyDescent="0.2">
      <c r="A2812" s="583" t="s">
        <v>17643</v>
      </c>
      <c r="B2812" s="605" t="s">
        <v>17644</v>
      </c>
      <c r="C2812" s="606" t="s">
        <v>12375</v>
      </c>
      <c r="D2812" s="607">
        <v>9453.07</v>
      </c>
      <c r="E2812" s="607">
        <v>314.16000000000003</v>
      </c>
      <c r="F2812" s="607">
        <v>9767.23</v>
      </c>
      <c r="G2812" s="584">
        <v>15</v>
      </c>
    </row>
    <row r="2813" spans="1:7" ht="30" x14ac:dyDescent="0.2">
      <c r="A2813" s="583" t="s">
        <v>17645</v>
      </c>
      <c r="B2813" s="605" t="s">
        <v>17646</v>
      </c>
      <c r="C2813" s="606" t="s">
        <v>12375</v>
      </c>
      <c r="D2813" s="607">
        <v>6546.32</v>
      </c>
      <c r="E2813" s="607">
        <v>314.16000000000003</v>
      </c>
      <c r="F2813" s="607">
        <v>6860.48</v>
      </c>
      <c r="G2813" s="584">
        <v>15</v>
      </c>
    </row>
    <row r="2814" spans="1:7" ht="30" x14ac:dyDescent="0.2">
      <c r="A2814" s="583" t="s">
        <v>17647</v>
      </c>
      <c r="B2814" s="605" t="s">
        <v>17648</v>
      </c>
      <c r="C2814" s="606" t="s">
        <v>12375</v>
      </c>
      <c r="D2814" s="607">
        <v>2153.12</v>
      </c>
      <c r="E2814" s="607">
        <v>314.16000000000003</v>
      </c>
      <c r="F2814" s="607">
        <v>2467.2800000000002</v>
      </c>
      <c r="G2814" s="584">
        <v>15</v>
      </c>
    </row>
    <row r="2815" spans="1:7" ht="30" x14ac:dyDescent="0.2">
      <c r="A2815" s="583" t="s">
        <v>17649</v>
      </c>
      <c r="B2815" s="605" t="s">
        <v>17650</v>
      </c>
      <c r="C2815" s="606" t="s">
        <v>12375</v>
      </c>
      <c r="D2815" s="607">
        <v>1448.49</v>
      </c>
      <c r="E2815" s="607">
        <v>314.16000000000003</v>
      </c>
      <c r="F2815" s="607">
        <v>1762.65</v>
      </c>
      <c r="G2815" s="584">
        <v>15</v>
      </c>
    </row>
    <row r="2816" spans="1:7" ht="30" x14ac:dyDescent="0.2">
      <c r="A2816" s="583" t="s">
        <v>17651</v>
      </c>
      <c r="B2816" s="605" t="s">
        <v>17652</v>
      </c>
      <c r="C2816" s="606" t="s">
        <v>12375</v>
      </c>
      <c r="D2816" s="607">
        <v>22698.25</v>
      </c>
      <c r="E2816" s="607">
        <v>314.16000000000003</v>
      </c>
      <c r="F2816" s="607">
        <v>23012.41</v>
      </c>
      <c r="G2816" s="584">
        <v>15</v>
      </c>
    </row>
    <row r="2817" spans="1:7" ht="30" x14ac:dyDescent="0.2">
      <c r="A2817" s="583" t="s">
        <v>17653</v>
      </c>
      <c r="B2817" s="605" t="s">
        <v>17654</v>
      </c>
      <c r="C2817" s="606" t="s">
        <v>12375</v>
      </c>
      <c r="D2817" s="607">
        <v>16137.2</v>
      </c>
      <c r="E2817" s="607">
        <v>314.16000000000003</v>
      </c>
      <c r="F2817" s="607">
        <v>16451.36</v>
      </c>
      <c r="G2817" s="584">
        <v>15</v>
      </c>
    </row>
    <row r="2818" spans="1:7" ht="30" x14ac:dyDescent="0.2">
      <c r="A2818" s="583" t="s">
        <v>17655</v>
      </c>
      <c r="B2818" s="605" t="s">
        <v>17656</v>
      </c>
      <c r="C2818" s="606" t="s">
        <v>12375</v>
      </c>
      <c r="D2818" s="607">
        <v>2759.73</v>
      </c>
      <c r="E2818" s="607">
        <v>314.16000000000003</v>
      </c>
      <c r="F2818" s="607">
        <v>3073.89</v>
      </c>
      <c r="G2818" s="584">
        <v>15</v>
      </c>
    </row>
    <row r="2819" spans="1:7" ht="30" x14ac:dyDescent="0.2">
      <c r="A2819" s="583" t="s">
        <v>17657</v>
      </c>
      <c r="B2819" s="605" t="s">
        <v>17658</v>
      </c>
      <c r="C2819" s="606" t="s">
        <v>12375</v>
      </c>
      <c r="D2819" s="607">
        <v>25082.45</v>
      </c>
      <c r="E2819" s="607">
        <v>314.16000000000003</v>
      </c>
      <c r="F2819" s="607">
        <v>25396.61</v>
      </c>
      <c r="G2819" s="584">
        <v>15</v>
      </c>
    </row>
    <row r="2820" spans="1:7" ht="30" x14ac:dyDescent="0.2">
      <c r="A2820" s="583" t="s">
        <v>17659</v>
      </c>
      <c r="B2820" s="605" t="s">
        <v>17660</v>
      </c>
      <c r="C2820" s="606" t="s">
        <v>12375</v>
      </c>
      <c r="D2820" s="607">
        <v>29695.03</v>
      </c>
      <c r="E2820" s="607">
        <v>314.16000000000003</v>
      </c>
      <c r="F2820" s="607">
        <v>30009.19</v>
      </c>
      <c r="G2820" s="584">
        <v>15</v>
      </c>
    </row>
    <row r="2821" spans="1:7" ht="30" x14ac:dyDescent="0.2">
      <c r="A2821" s="583" t="s">
        <v>17661</v>
      </c>
      <c r="B2821" s="605" t="s">
        <v>17662</v>
      </c>
      <c r="C2821" s="606" t="s">
        <v>12375</v>
      </c>
      <c r="D2821" s="607">
        <v>2126.14</v>
      </c>
      <c r="E2821" s="607">
        <v>314.16000000000003</v>
      </c>
      <c r="F2821" s="607">
        <v>2440.3000000000002</v>
      </c>
      <c r="G2821" s="584">
        <v>15</v>
      </c>
    </row>
    <row r="2822" spans="1:7" ht="30" x14ac:dyDescent="0.2">
      <c r="A2822" s="583" t="s">
        <v>17663</v>
      </c>
      <c r="B2822" s="605" t="s">
        <v>17664</v>
      </c>
      <c r="C2822" s="606" t="s">
        <v>12375</v>
      </c>
      <c r="D2822" s="607">
        <v>4656.82</v>
      </c>
      <c r="E2822" s="607">
        <v>314.16000000000003</v>
      </c>
      <c r="F2822" s="607">
        <v>4970.9799999999996</v>
      </c>
      <c r="G2822" s="584">
        <v>15</v>
      </c>
    </row>
    <row r="2823" spans="1:7" ht="15" x14ac:dyDescent="0.25">
      <c r="A2823" s="583" t="s">
        <v>17665</v>
      </c>
      <c r="B2823" s="605" t="s">
        <v>17666</v>
      </c>
      <c r="C2823" s="606"/>
      <c r="D2823" s="607"/>
      <c r="E2823" s="607"/>
      <c r="F2823" s="607"/>
      <c r="G2823" s="582"/>
    </row>
    <row r="2824" spans="1:7" ht="30" x14ac:dyDescent="0.2">
      <c r="A2824" s="583" t="s">
        <v>17667</v>
      </c>
      <c r="B2824" s="605" t="s">
        <v>17668</v>
      </c>
      <c r="C2824" s="606" t="s">
        <v>12375</v>
      </c>
      <c r="D2824" s="607">
        <v>11100.55</v>
      </c>
      <c r="E2824" s="607">
        <v>669.96</v>
      </c>
      <c r="F2824" s="607">
        <v>11770.51</v>
      </c>
      <c r="G2824" s="584">
        <v>15</v>
      </c>
    </row>
    <row r="2825" spans="1:7" ht="30" x14ac:dyDescent="0.2">
      <c r="A2825" s="583" t="s">
        <v>17669</v>
      </c>
      <c r="B2825" s="605" t="s">
        <v>17670</v>
      </c>
      <c r="C2825" s="606" t="s">
        <v>12375</v>
      </c>
      <c r="D2825" s="607">
        <v>10291.41</v>
      </c>
      <c r="E2825" s="607">
        <v>669.96</v>
      </c>
      <c r="F2825" s="607">
        <v>10961.37</v>
      </c>
      <c r="G2825" s="584">
        <v>15</v>
      </c>
    </row>
    <row r="2826" spans="1:7" ht="30" x14ac:dyDescent="0.2">
      <c r="A2826" s="583" t="s">
        <v>17671</v>
      </c>
      <c r="B2826" s="605" t="s">
        <v>17672</v>
      </c>
      <c r="C2826" s="606" t="s">
        <v>12375</v>
      </c>
      <c r="D2826" s="607">
        <v>18729.54</v>
      </c>
      <c r="E2826" s="607">
        <v>669.96</v>
      </c>
      <c r="F2826" s="607">
        <v>19399.5</v>
      </c>
      <c r="G2826" s="584">
        <v>15</v>
      </c>
    </row>
    <row r="2827" spans="1:7" ht="30" x14ac:dyDescent="0.2">
      <c r="A2827" s="583" t="s">
        <v>17673</v>
      </c>
      <c r="B2827" s="605" t="s">
        <v>17674</v>
      </c>
      <c r="C2827" s="606" t="s">
        <v>12375</v>
      </c>
      <c r="D2827" s="607">
        <v>11037.26</v>
      </c>
      <c r="E2827" s="607">
        <v>669.96</v>
      </c>
      <c r="F2827" s="607">
        <v>11707.22</v>
      </c>
      <c r="G2827" s="584">
        <v>15</v>
      </c>
    </row>
    <row r="2828" spans="1:7" ht="30" x14ac:dyDescent="0.2">
      <c r="A2828" s="583" t="s">
        <v>17675</v>
      </c>
      <c r="B2828" s="605" t="s">
        <v>17676</v>
      </c>
      <c r="C2828" s="606" t="s">
        <v>12375</v>
      </c>
      <c r="D2828" s="607">
        <v>12665.6</v>
      </c>
      <c r="E2828" s="607">
        <v>669.96</v>
      </c>
      <c r="F2828" s="607">
        <v>13335.56</v>
      </c>
      <c r="G2828" s="584">
        <v>15</v>
      </c>
    </row>
    <row r="2829" spans="1:7" ht="30" x14ac:dyDescent="0.2">
      <c r="A2829" s="583" t="s">
        <v>17677</v>
      </c>
      <c r="B2829" s="605" t="s">
        <v>17678</v>
      </c>
      <c r="C2829" s="606" t="s">
        <v>12375</v>
      </c>
      <c r="D2829" s="607">
        <v>16859.669999999998</v>
      </c>
      <c r="E2829" s="607">
        <v>669.96</v>
      </c>
      <c r="F2829" s="607">
        <v>17529.63</v>
      </c>
      <c r="G2829" s="584">
        <v>15</v>
      </c>
    </row>
    <row r="2830" spans="1:7" ht="45" x14ac:dyDescent="0.2">
      <c r="A2830" s="583" t="s">
        <v>17679</v>
      </c>
      <c r="B2830" s="605" t="s">
        <v>17680</v>
      </c>
      <c r="C2830" s="606" t="s">
        <v>12375</v>
      </c>
      <c r="D2830" s="607">
        <v>8228.93</v>
      </c>
      <c r="E2830" s="607">
        <v>446.64</v>
      </c>
      <c r="F2830" s="607">
        <v>8675.57</v>
      </c>
      <c r="G2830" s="584">
        <v>15</v>
      </c>
    </row>
    <row r="2831" spans="1:7" ht="45" x14ac:dyDescent="0.2">
      <c r="A2831" s="583" t="s">
        <v>17681</v>
      </c>
      <c r="B2831" s="605" t="s">
        <v>17682</v>
      </c>
      <c r="C2831" s="606" t="s">
        <v>12375</v>
      </c>
      <c r="D2831" s="607">
        <v>11486.16</v>
      </c>
      <c r="E2831" s="607">
        <v>446.64</v>
      </c>
      <c r="F2831" s="607">
        <v>11932.8</v>
      </c>
      <c r="G2831" s="584">
        <v>15</v>
      </c>
    </row>
    <row r="2832" spans="1:7" ht="30" x14ac:dyDescent="0.2">
      <c r="A2832" s="583" t="s">
        <v>17683</v>
      </c>
      <c r="B2832" s="605" t="s">
        <v>17684</v>
      </c>
      <c r="C2832" s="606" t="s">
        <v>12375</v>
      </c>
      <c r="D2832" s="607">
        <v>2882.25</v>
      </c>
      <c r="E2832" s="607">
        <v>446.64</v>
      </c>
      <c r="F2832" s="607">
        <v>3328.89</v>
      </c>
      <c r="G2832" s="584">
        <v>15</v>
      </c>
    </row>
    <row r="2833" spans="1:7" ht="30" x14ac:dyDescent="0.2">
      <c r="A2833" s="583" t="s">
        <v>17685</v>
      </c>
      <c r="B2833" s="605" t="s">
        <v>17686</v>
      </c>
      <c r="C2833" s="606" t="s">
        <v>12375</v>
      </c>
      <c r="D2833" s="607">
        <v>3566.99</v>
      </c>
      <c r="E2833" s="607">
        <v>446.64</v>
      </c>
      <c r="F2833" s="607">
        <v>4013.63</v>
      </c>
      <c r="G2833" s="584">
        <v>15</v>
      </c>
    </row>
    <row r="2834" spans="1:7" ht="30" x14ac:dyDescent="0.2">
      <c r="A2834" s="583" t="s">
        <v>17687</v>
      </c>
      <c r="B2834" s="605" t="s">
        <v>17688</v>
      </c>
      <c r="C2834" s="606" t="s">
        <v>12375</v>
      </c>
      <c r="D2834" s="607">
        <v>6890.19</v>
      </c>
      <c r="E2834" s="607">
        <v>446.64</v>
      </c>
      <c r="F2834" s="607">
        <v>7336.83</v>
      </c>
      <c r="G2834" s="584">
        <v>15</v>
      </c>
    </row>
    <row r="2835" spans="1:7" ht="30" x14ac:dyDescent="0.2">
      <c r="A2835" s="583" t="s">
        <v>17689</v>
      </c>
      <c r="B2835" s="605" t="s">
        <v>17690</v>
      </c>
      <c r="C2835" s="606" t="s">
        <v>12375</v>
      </c>
      <c r="D2835" s="607">
        <v>4108.88</v>
      </c>
      <c r="E2835" s="607">
        <v>446.64</v>
      </c>
      <c r="F2835" s="607">
        <v>4555.5200000000004</v>
      </c>
      <c r="G2835" s="584">
        <v>15</v>
      </c>
    </row>
    <row r="2836" spans="1:7" ht="30" x14ac:dyDescent="0.2">
      <c r="A2836" s="583" t="s">
        <v>17691</v>
      </c>
      <c r="B2836" s="605" t="s">
        <v>17692</v>
      </c>
      <c r="C2836" s="606" t="s">
        <v>12375</v>
      </c>
      <c r="D2836" s="607">
        <v>13778.5</v>
      </c>
      <c r="E2836" s="607">
        <v>446.64</v>
      </c>
      <c r="F2836" s="607">
        <v>14225.14</v>
      </c>
      <c r="G2836" s="584">
        <v>15</v>
      </c>
    </row>
    <row r="2837" spans="1:7" ht="30" x14ac:dyDescent="0.2">
      <c r="A2837" s="583" t="s">
        <v>17693</v>
      </c>
      <c r="B2837" s="605" t="s">
        <v>17694</v>
      </c>
      <c r="C2837" s="606" t="s">
        <v>12375</v>
      </c>
      <c r="D2837" s="607">
        <v>28744.34</v>
      </c>
      <c r="E2837" s="607">
        <v>446.64</v>
      </c>
      <c r="F2837" s="607">
        <v>29190.98</v>
      </c>
      <c r="G2837" s="584">
        <v>15</v>
      </c>
    </row>
    <row r="2838" spans="1:7" ht="45" x14ac:dyDescent="0.2">
      <c r="A2838" s="583" t="s">
        <v>17695</v>
      </c>
      <c r="B2838" s="605" t="s">
        <v>17696</v>
      </c>
      <c r="C2838" s="606" t="s">
        <v>12375</v>
      </c>
      <c r="D2838" s="607">
        <v>8034.22</v>
      </c>
      <c r="E2838" s="607">
        <v>446.64</v>
      </c>
      <c r="F2838" s="607">
        <v>8480.86</v>
      </c>
      <c r="G2838" s="584">
        <v>15</v>
      </c>
    </row>
    <row r="2839" spans="1:7" ht="30" x14ac:dyDescent="0.2">
      <c r="A2839" s="583" t="s">
        <v>17697</v>
      </c>
      <c r="B2839" s="605" t="s">
        <v>17698</v>
      </c>
      <c r="C2839" s="606" t="s">
        <v>12375</v>
      </c>
      <c r="D2839" s="607">
        <v>32127.48</v>
      </c>
      <c r="E2839" s="607">
        <v>446.64</v>
      </c>
      <c r="F2839" s="607">
        <v>32574.12</v>
      </c>
      <c r="G2839" s="584">
        <v>15</v>
      </c>
    </row>
    <row r="2840" spans="1:7" ht="15" x14ac:dyDescent="0.25">
      <c r="A2840" s="583" t="s">
        <v>17699</v>
      </c>
      <c r="B2840" s="605" t="s">
        <v>17700</v>
      </c>
      <c r="C2840" s="606"/>
      <c r="D2840" s="607"/>
      <c r="E2840" s="607"/>
      <c r="F2840" s="607"/>
      <c r="G2840" s="582"/>
    </row>
    <row r="2841" spans="1:7" ht="15" x14ac:dyDescent="0.2">
      <c r="A2841" s="583" t="s">
        <v>17701</v>
      </c>
      <c r="B2841" s="605" t="s">
        <v>17702</v>
      </c>
      <c r="C2841" s="606" t="s">
        <v>12375</v>
      </c>
      <c r="D2841" s="607">
        <v>3804.47</v>
      </c>
      <c r="E2841" s="607">
        <v>157.08000000000001</v>
      </c>
      <c r="F2841" s="607">
        <v>3961.55</v>
      </c>
      <c r="G2841" s="584">
        <v>15</v>
      </c>
    </row>
    <row r="2842" spans="1:7" ht="15" x14ac:dyDescent="0.25">
      <c r="A2842" s="583" t="s">
        <v>17703</v>
      </c>
      <c r="B2842" s="605" t="s">
        <v>17704</v>
      </c>
      <c r="C2842" s="606"/>
      <c r="D2842" s="607"/>
      <c r="E2842" s="607"/>
      <c r="F2842" s="607"/>
      <c r="G2842" s="582"/>
    </row>
    <row r="2843" spans="1:7" ht="30" x14ac:dyDescent="0.2">
      <c r="A2843" s="583" t="s">
        <v>17705</v>
      </c>
      <c r="B2843" s="605" t="s">
        <v>17706</v>
      </c>
      <c r="C2843" s="606" t="s">
        <v>12375</v>
      </c>
      <c r="D2843" s="607">
        <v>29.19</v>
      </c>
      <c r="E2843" s="607">
        <v>15.1</v>
      </c>
      <c r="F2843" s="607">
        <v>44.29</v>
      </c>
      <c r="G2843" s="584">
        <v>15</v>
      </c>
    </row>
    <row r="2844" spans="1:7" ht="30" x14ac:dyDescent="0.2">
      <c r="A2844" s="583" t="s">
        <v>17707</v>
      </c>
      <c r="B2844" s="605" t="s">
        <v>17708</v>
      </c>
      <c r="C2844" s="606" t="s">
        <v>12375</v>
      </c>
      <c r="D2844" s="607">
        <v>601.85</v>
      </c>
      <c r="E2844" s="607">
        <v>55.83</v>
      </c>
      <c r="F2844" s="607">
        <v>657.68</v>
      </c>
      <c r="G2844" s="584">
        <v>15</v>
      </c>
    </row>
    <row r="2845" spans="1:7" ht="15" x14ac:dyDescent="0.2">
      <c r="A2845" s="583" t="s">
        <v>17709</v>
      </c>
      <c r="B2845" s="605" t="s">
        <v>20303</v>
      </c>
      <c r="C2845" s="606" t="s">
        <v>12375</v>
      </c>
      <c r="D2845" s="607">
        <v>209.38</v>
      </c>
      <c r="E2845" s="607">
        <v>27.92</v>
      </c>
      <c r="F2845" s="607">
        <v>237.3</v>
      </c>
      <c r="G2845" s="584">
        <v>15</v>
      </c>
    </row>
    <row r="2846" spans="1:7" ht="15" x14ac:dyDescent="0.2">
      <c r="A2846" s="583" t="s">
        <v>17710</v>
      </c>
      <c r="B2846" s="605" t="s">
        <v>17711</v>
      </c>
      <c r="C2846" s="606" t="s">
        <v>12375</v>
      </c>
      <c r="D2846" s="607">
        <v>609.46</v>
      </c>
      <c r="E2846" s="607">
        <v>27.92</v>
      </c>
      <c r="F2846" s="607">
        <v>637.38</v>
      </c>
      <c r="G2846" s="584">
        <v>15</v>
      </c>
    </row>
    <row r="2847" spans="1:7" ht="30" x14ac:dyDescent="0.2">
      <c r="A2847" s="583" t="s">
        <v>17712</v>
      </c>
      <c r="B2847" s="605" t="s">
        <v>17713</v>
      </c>
      <c r="C2847" s="606" t="s">
        <v>12375</v>
      </c>
      <c r="D2847" s="607">
        <v>85.05</v>
      </c>
      <c r="E2847" s="607">
        <v>11.16</v>
      </c>
      <c r="F2847" s="607">
        <v>96.21</v>
      </c>
      <c r="G2847" s="584">
        <v>15</v>
      </c>
    </row>
    <row r="2848" spans="1:7" ht="30" x14ac:dyDescent="0.2">
      <c r="A2848" s="583" t="s">
        <v>17714</v>
      </c>
      <c r="B2848" s="605" t="s">
        <v>17715</v>
      </c>
      <c r="C2848" s="606" t="s">
        <v>12375</v>
      </c>
      <c r="D2848" s="607">
        <v>432.13</v>
      </c>
      <c r="E2848" s="607">
        <v>27.92</v>
      </c>
      <c r="F2848" s="607">
        <v>460.05</v>
      </c>
      <c r="G2848" s="584">
        <v>15</v>
      </c>
    </row>
    <row r="2849" spans="1:7" ht="15" x14ac:dyDescent="0.25">
      <c r="A2849" s="583" t="s">
        <v>17716</v>
      </c>
      <c r="B2849" s="605" t="s">
        <v>17717</v>
      </c>
      <c r="C2849" s="606"/>
      <c r="D2849" s="607"/>
      <c r="E2849" s="607"/>
      <c r="F2849" s="607"/>
      <c r="G2849" s="582"/>
    </row>
    <row r="2850" spans="1:7" ht="15" x14ac:dyDescent="0.25">
      <c r="A2850" s="583" t="s">
        <v>17718</v>
      </c>
      <c r="B2850" s="605" t="s">
        <v>17719</v>
      </c>
      <c r="C2850" s="606"/>
      <c r="D2850" s="607"/>
      <c r="E2850" s="607"/>
      <c r="F2850" s="607"/>
      <c r="G2850" s="582"/>
    </row>
    <row r="2851" spans="1:7" ht="15" x14ac:dyDescent="0.2">
      <c r="A2851" s="583" t="s">
        <v>17720</v>
      </c>
      <c r="B2851" s="605" t="s">
        <v>17721</v>
      </c>
      <c r="C2851" s="606" t="s">
        <v>20385</v>
      </c>
      <c r="D2851" s="607">
        <v>833.11</v>
      </c>
      <c r="E2851" s="607">
        <v>67.19</v>
      </c>
      <c r="F2851" s="607">
        <v>900.3</v>
      </c>
      <c r="G2851" s="584">
        <v>15</v>
      </c>
    </row>
    <row r="2852" spans="1:7" ht="30" x14ac:dyDescent="0.2">
      <c r="A2852" s="583" t="s">
        <v>17722</v>
      </c>
      <c r="B2852" s="605" t="s">
        <v>17723</v>
      </c>
      <c r="C2852" s="606" t="s">
        <v>20385</v>
      </c>
      <c r="D2852" s="607">
        <v>1037.5</v>
      </c>
      <c r="E2852" s="607">
        <v>78.540000000000006</v>
      </c>
      <c r="F2852" s="607">
        <v>1116.04</v>
      </c>
      <c r="G2852" s="584">
        <v>15</v>
      </c>
    </row>
    <row r="2853" spans="1:7" ht="15" x14ac:dyDescent="0.2">
      <c r="A2853" s="583" t="s">
        <v>17724</v>
      </c>
      <c r="B2853" s="605" t="s">
        <v>17725</v>
      </c>
      <c r="C2853" s="606" t="s">
        <v>20385</v>
      </c>
      <c r="D2853" s="607">
        <v>259.05</v>
      </c>
      <c r="E2853" s="607">
        <v>67.19</v>
      </c>
      <c r="F2853" s="607">
        <v>326.24</v>
      </c>
      <c r="G2853" s="584">
        <v>15</v>
      </c>
    </row>
    <row r="2854" spans="1:7" ht="15" x14ac:dyDescent="0.2">
      <c r="A2854" s="583" t="s">
        <v>21435</v>
      </c>
      <c r="B2854" s="605" t="s">
        <v>21436</v>
      </c>
      <c r="C2854" s="606" t="s">
        <v>20385</v>
      </c>
      <c r="D2854" s="607">
        <v>297.77999999999997</v>
      </c>
      <c r="E2854" s="607">
        <v>70.59</v>
      </c>
      <c r="F2854" s="607">
        <v>368.37</v>
      </c>
      <c r="G2854" s="584">
        <v>15</v>
      </c>
    </row>
    <row r="2855" spans="1:7" ht="30" x14ac:dyDescent="0.2">
      <c r="A2855" s="583" t="s">
        <v>17726</v>
      </c>
      <c r="B2855" s="605" t="s">
        <v>21437</v>
      </c>
      <c r="C2855" s="606" t="s">
        <v>20385</v>
      </c>
      <c r="D2855" s="607">
        <v>452.77</v>
      </c>
      <c r="E2855" s="607">
        <v>67.19</v>
      </c>
      <c r="F2855" s="607">
        <v>519.96</v>
      </c>
      <c r="G2855" s="584">
        <v>15</v>
      </c>
    </row>
    <row r="2856" spans="1:7" ht="30" x14ac:dyDescent="0.2">
      <c r="A2856" s="583" t="s">
        <v>21438</v>
      </c>
      <c r="B2856" s="605" t="s">
        <v>21439</v>
      </c>
      <c r="C2856" s="606" t="s">
        <v>20385</v>
      </c>
      <c r="D2856" s="607">
        <v>491.5</v>
      </c>
      <c r="E2856" s="607">
        <v>70.59</v>
      </c>
      <c r="F2856" s="607">
        <v>562.09</v>
      </c>
      <c r="G2856" s="584">
        <v>15</v>
      </c>
    </row>
    <row r="2857" spans="1:7" ht="15" x14ac:dyDescent="0.2">
      <c r="A2857" s="583" t="s">
        <v>17727</v>
      </c>
      <c r="B2857" s="605" t="s">
        <v>17728</v>
      </c>
      <c r="C2857" s="606" t="s">
        <v>20385</v>
      </c>
      <c r="D2857" s="607">
        <v>99.92</v>
      </c>
      <c r="E2857" s="607">
        <v>78.540000000000006</v>
      </c>
      <c r="F2857" s="607">
        <v>178.46</v>
      </c>
      <c r="G2857" s="584">
        <v>15</v>
      </c>
    </row>
    <row r="2858" spans="1:7" ht="15" x14ac:dyDescent="0.2">
      <c r="A2858" s="583" t="s">
        <v>17729</v>
      </c>
      <c r="B2858" s="605" t="s">
        <v>17730</v>
      </c>
      <c r="C2858" s="606" t="s">
        <v>20385</v>
      </c>
      <c r="D2858" s="607">
        <v>492.72</v>
      </c>
      <c r="E2858" s="607">
        <v>78.540000000000006</v>
      </c>
      <c r="F2858" s="607">
        <v>571.26</v>
      </c>
      <c r="G2858" s="584">
        <v>15</v>
      </c>
    </row>
    <row r="2859" spans="1:7" ht="30" x14ac:dyDescent="0.2">
      <c r="A2859" s="583" t="s">
        <v>17731</v>
      </c>
      <c r="B2859" s="605" t="s">
        <v>17732</v>
      </c>
      <c r="C2859" s="606" t="s">
        <v>20385</v>
      </c>
      <c r="D2859" s="607">
        <v>971.96</v>
      </c>
      <c r="E2859" s="607">
        <v>78.540000000000006</v>
      </c>
      <c r="F2859" s="607">
        <v>1050.5</v>
      </c>
      <c r="G2859" s="584">
        <v>15</v>
      </c>
    </row>
    <row r="2860" spans="1:7" ht="15" x14ac:dyDescent="0.2">
      <c r="A2860" s="583" t="s">
        <v>17733</v>
      </c>
      <c r="B2860" s="605" t="s">
        <v>17734</v>
      </c>
      <c r="C2860" s="606" t="s">
        <v>20385</v>
      </c>
      <c r="D2860" s="607">
        <v>48.53</v>
      </c>
      <c r="E2860" s="607">
        <v>27.92</v>
      </c>
      <c r="F2860" s="607">
        <v>76.45</v>
      </c>
      <c r="G2860" s="584">
        <v>15</v>
      </c>
    </row>
    <row r="2861" spans="1:7" ht="15" x14ac:dyDescent="0.2">
      <c r="A2861" s="583" t="s">
        <v>17735</v>
      </c>
      <c r="B2861" s="605" t="s">
        <v>17736</v>
      </c>
      <c r="C2861" s="606" t="s">
        <v>20385</v>
      </c>
      <c r="D2861" s="607">
        <v>469.81</v>
      </c>
      <c r="E2861" s="607">
        <v>78.540000000000006</v>
      </c>
      <c r="F2861" s="607">
        <v>548.35</v>
      </c>
      <c r="G2861" s="584">
        <v>15</v>
      </c>
    </row>
    <row r="2862" spans="1:7" ht="15" x14ac:dyDescent="0.2">
      <c r="A2862" s="583" t="s">
        <v>17737</v>
      </c>
      <c r="B2862" s="605" t="s">
        <v>17738</v>
      </c>
      <c r="C2862" s="606" t="s">
        <v>20385</v>
      </c>
      <c r="D2862" s="607">
        <v>566.89</v>
      </c>
      <c r="E2862" s="607">
        <v>78.540000000000006</v>
      </c>
      <c r="F2862" s="607">
        <v>645.42999999999995</v>
      </c>
      <c r="G2862" s="584">
        <v>15</v>
      </c>
    </row>
    <row r="2863" spans="1:7" ht="15" x14ac:dyDescent="0.2">
      <c r="A2863" s="583" t="s">
        <v>17739</v>
      </c>
      <c r="B2863" s="605" t="s">
        <v>17740</v>
      </c>
      <c r="C2863" s="606" t="s">
        <v>20385</v>
      </c>
      <c r="D2863" s="607">
        <v>116.8</v>
      </c>
      <c r="E2863" s="607">
        <v>27.92</v>
      </c>
      <c r="F2863" s="607">
        <v>144.72</v>
      </c>
      <c r="G2863" s="584">
        <v>15</v>
      </c>
    </row>
    <row r="2864" spans="1:7" ht="15" x14ac:dyDescent="0.2">
      <c r="A2864" s="583" t="s">
        <v>17741</v>
      </c>
      <c r="B2864" s="605" t="s">
        <v>17742</v>
      </c>
      <c r="C2864" s="606" t="s">
        <v>20385</v>
      </c>
      <c r="D2864" s="607">
        <v>921.13</v>
      </c>
      <c r="E2864" s="607">
        <v>167.49</v>
      </c>
      <c r="F2864" s="607">
        <v>1088.6199999999999</v>
      </c>
      <c r="G2864" s="584">
        <v>15</v>
      </c>
    </row>
    <row r="2865" spans="1:7" ht="15" x14ac:dyDescent="0.2">
      <c r="A2865" s="583" t="s">
        <v>17743</v>
      </c>
      <c r="B2865" s="605" t="s">
        <v>17744</v>
      </c>
      <c r="C2865" s="606" t="s">
        <v>20385</v>
      </c>
      <c r="D2865" s="607">
        <v>603.84</v>
      </c>
      <c r="E2865" s="607">
        <v>167.49</v>
      </c>
      <c r="F2865" s="607">
        <v>771.33</v>
      </c>
      <c r="G2865" s="584">
        <v>15</v>
      </c>
    </row>
    <row r="2866" spans="1:7" ht="15" x14ac:dyDescent="0.2">
      <c r="A2866" s="583" t="s">
        <v>17745</v>
      </c>
      <c r="B2866" s="605" t="s">
        <v>17746</v>
      </c>
      <c r="C2866" s="606" t="s">
        <v>20385</v>
      </c>
      <c r="D2866" s="607">
        <v>206.14</v>
      </c>
      <c r="E2866" s="607">
        <v>55.83</v>
      </c>
      <c r="F2866" s="607">
        <v>261.97000000000003</v>
      </c>
      <c r="G2866" s="584">
        <v>15</v>
      </c>
    </row>
    <row r="2867" spans="1:7" ht="15" x14ac:dyDescent="0.2">
      <c r="A2867" s="583" t="s">
        <v>17747</v>
      </c>
      <c r="B2867" s="605" t="s">
        <v>17748</v>
      </c>
      <c r="C2867" s="606" t="s">
        <v>20385</v>
      </c>
      <c r="D2867" s="607">
        <v>245.34</v>
      </c>
      <c r="E2867" s="607">
        <v>27.92</v>
      </c>
      <c r="F2867" s="607">
        <v>273.26</v>
      </c>
      <c r="G2867" s="584">
        <v>15</v>
      </c>
    </row>
    <row r="2868" spans="1:7" ht="30" x14ac:dyDescent="0.2">
      <c r="A2868" s="583" t="s">
        <v>17749</v>
      </c>
      <c r="B2868" s="605" t="s">
        <v>17750</v>
      </c>
      <c r="C2868" s="606" t="s">
        <v>20385</v>
      </c>
      <c r="D2868" s="607">
        <v>81.83</v>
      </c>
      <c r="E2868" s="607">
        <v>18.420000000000002</v>
      </c>
      <c r="F2868" s="607">
        <v>100.25</v>
      </c>
      <c r="G2868" s="584">
        <v>15</v>
      </c>
    </row>
    <row r="2869" spans="1:7" ht="15" x14ac:dyDescent="0.2">
      <c r="A2869" s="583" t="s">
        <v>17751</v>
      </c>
      <c r="B2869" s="605" t="s">
        <v>17752</v>
      </c>
      <c r="C2869" s="606" t="s">
        <v>20385</v>
      </c>
      <c r="D2869" s="607">
        <v>763.73</v>
      </c>
      <c r="E2869" s="607">
        <v>167.49</v>
      </c>
      <c r="F2869" s="607">
        <v>931.22</v>
      </c>
      <c r="G2869" s="584">
        <v>15</v>
      </c>
    </row>
    <row r="2870" spans="1:7" ht="30" x14ac:dyDescent="0.2">
      <c r="A2870" s="583" t="s">
        <v>17753</v>
      </c>
      <c r="B2870" s="605" t="s">
        <v>17754</v>
      </c>
      <c r="C2870" s="606" t="s">
        <v>20385</v>
      </c>
      <c r="D2870" s="607">
        <v>1072.1400000000001</v>
      </c>
      <c r="E2870" s="607">
        <v>67.19</v>
      </c>
      <c r="F2870" s="607">
        <v>1139.33</v>
      </c>
      <c r="G2870" s="584">
        <v>15</v>
      </c>
    </row>
    <row r="2871" spans="1:7" ht="30" x14ac:dyDescent="0.2">
      <c r="A2871" s="583" t="s">
        <v>21440</v>
      </c>
      <c r="B2871" s="605" t="s">
        <v>21441</v>
      </c>
      <c r="C2871" s="606" t="s">
        <v>20385</v>
      </c>
      <c r="D2871" s="607">
        <v>1110.8699999999999</v>
      </c>
      <c r="E2871" s="607">
        <v>70.59</v>
      </c>
      <c r="F2871" s="607">
        <v>1181.46</v>
      </c>
      <c r="G2871" s="584">
        <v>15</v>
      </c>
    </row>
    <row r="2872" spans="1:7" ht="15" x14ac:dyDescent="0.2">
      <c r="A2872" s="583" t="s">
        <v>17755</v>
      </c>
      <c r="B2872" s="605" t="s">
        <v>17756</v>
      </c>
      <c r="C2872" s="606" t="s">
        <v>20385</v>
      </c>
      <c r="D2872" s="607">
        <v>106.87</v>
      </c>
      <c r="E2872" s="607">
        <v>27.92</v>
      </c>
      <c r="F2872" s="607">
        <v>134.79</v>
      </c>
      <c r="G2872" s="584">
        <v>15</v>
      </c>
    </row>
    <row r="2873" spans="1:7" ht="15" x14ac:dyDescent="0.25">
      <c r="A2873" s="583" t="s">
        <v>17757</v>
      </c>
      <c r="B2873" s="605" t="s">
        <v>17758</v>
      </c>
      <c r="C2873" s="606"/>
      <c r="D2873" s="607"/>
      <c r="E2873" s="607"/>
      <c r="F2873" s="607"/>
      <c r="G2873" s="582"/>
    </row>
    <row r="2874" spans="1:7" ht="30" x14ac:dyDescent="0.2">
      <c r="A2874" s="583" t="s">
        <v>17759</v>
      </c>
      <c r="B2874" s="605" t="s">
        <v>17760</v>
      </c>
      <c r="C2874" s="606" t="s">
        <v>2</v>
      </c>
      <c r="D2874" s="607">
        <v>948.1</v>
      </c>
      <c r="E2874" s="607">
        <v>92.27</v>
      </c>
      <c r="F2874" s="607">
        <v>1040.3699999999999</v>
      </c>
      <c r="G2874" s="584">
        <v>15</v>
      </c>
    </row>
    <row r="2875" spans="1:7" ht="15" x14ac:dyDescent="0.2">
      <c r="A2875" s="583" t="s">
        <v>17761</v>
      </c>
      <c r="B2875" s="605" t="s">
        <v>17762</v>
      </c>
      <c r="C2875" s="606" t="s">
        <v>2</v>
      </c>
      <c r="D2875" s="607">
        <v>1846.31</v>
      </c>
      <c r="E2875" s="607"/>
      <c r="F2875" s="607">
        <v>1846.31</v>
      </c>
      <c r="G2875" s="584">
        <v>15</v>
      </c>
    </row>
    <row r="2876" spans="1:7" ht="30" x14ac:dyDescent="0.2">
      <c r="A2876" s="583" t="s">
        <v>17763</v>
      </c>
      <c r="B2876" s="605" t="s">
        <v>17764</v>
      </c>
      <c r="C2876" s="606" t="s">
        <v>2</v>
      </c>
      <c r="D2876" s="607">
        <v>1546.23</v>
      </c>
      <c r="E2876" s="607">
        <v>203.97</v>
      </c>
      <c r="F2876" s="607">
        <v>1750.2</v>
      </c>
      <c r="G2876" s="584">
        <v>15</v>
      </c>
    </row>
    <row r="2877" spans="1:7" ht="30" x14ac:dyDescent="0.2">
      <c r="A2877" s="583" t="s">
        <v>17765</v>
      </c>
      <c r="B2877" s="605" t="s">
        <v>17766</v>
      </c>
      <c r="C2877" s="606" t="s">
        <v>2</v>
      </c>
      <c r="D2877" s="607">
        <v>2831.56</v>
      </c>
      <c r="E2877" s="607"/>
      <c r="F2877" s="607">
        <v>2831.56</v>
      </c>
      <c r="G2877" s="584">
        <v>15</v>
      </c>
    </row>
    <row r="2878" spans="1:7" ht="15" x14ac:dyDescent="0.25">
      <c r="A2878" s="583" t="s">
        <v>17767</v>
      </c>
      <c r="B2878" s="605" t="s">
        <v>17768</v>
      </c>
      <c r="C2878" s="606"/>
      <c r="D2878" s="607"/>
      <c r="E2878" s="607"/>
      <c r="F2878" s="607"/>
      <c r="G2878" s="582"/>
    </row>
    <row r="2879" spans="1:7" ht="30" x14ac:dyDescent="0.2">
      <c r="A2879" s="583" t="s">
        <v>17769</v>
      </c>
      <c r="B2879" s="605" t="s">
        <v>17770</v>
      </c>
      <c r="C2879" s="606" t="s">
        <v>20385</v>
      </c>
      <c r="D2879" s="607">
        <v>248.67</v>
      </c>
      <c r="E2879" s="607">
        <v>6.91</v>
      </c>
      <c r="F2879" s="607">
        <v>255.58</v>
      </c>
      <c r="G2879" s="584">
        <v>15</v>
      </c>
    </row>
    <row r="2880" spans="1:7" ht="15" x14ac:dyDescent="0.2">
      <c r="A2880" s="583" t="s">
        <v>17771</v>
      </c>
      <c r="B2880" s="605" t="s">
        <v>17772</v>
      </c>
      <c r="C2880" s="606" t="s">
        <v>20385</v>
      </c>
      <c r="D2880" s="607">
        <v>31.24</v>
      </c>
      <c r="E2880" s="607">
        <v>16.61</v>
      </c>
      <c r="F2880" s="607">
        <v>47.85</v>
      </c>
      <c r="G2880" s="584">
        <v>15</v>
      </c>
    </row>
    <row r="2881" spans="1:7" ht="30" x14ac:dyDescent="0.2">
      <c r="A2881" s="583" t="s">
        <v>17773</v>
      </c>
      <c r="B2881" s="605" t="s">
        <v>17774</v>
      </c>
      <c r="C2881" s="606" t="s">
        <v>20385</v>
      </c>
      <c r="D2881" s="607">
        <v>96.29</v>
      </c>
      <c r="E2881" s="607">
        <v>6.91</v>
      </c>
      <c r="F2881" s="607">
        <v>103.2</v>
      </c>
      <c r="G2881" s="584">
        <v>15</v>
      </c>
    </row>
    <row r="2882" spans="1:7" ht="15" x14ac:dyDescent="0.2">
      <c r="A2882" s="583" t="s">
        <v>17775</v>
      </c>
      <c r="B2882" s="605" t="s">
        <v>17776</v>
      </c>
      <c r="C2882" s="606" t="s">
        <v>20385</v>
      </c>
      <c r="D2882" s="607">
        <v>44.91</v>
      </c>
      <c r="E2882" s="607">
        <v>16.61</v>
      </c>
      <c r="F2882" s="607">
        <v>61.52</v>
      </c>
      <c r="G2882" s="584">
        <v>15</v>
      </c>
    </row>
    <row r="2883" spans="1:7" ht="30" x14ac:dyDescent="0.2">
      <c r="A2883" s="583" t="s">
        <v>17777</v>
      </c>
      <c r="B2883" s="605" t="s">
        <v>17778</v>
      </c>
      <c r="C2883" s="606" t="s">
        <v>20385</v>
      </c>
      <c r="D2883" s="607">
        <v>69.17</v>
      </c>
      <c r="E2883" s="607">
        <v>6.91</v>
      </c>
      <c r="F2883" s="607">
        <v>76.08</v>
      </c>
      <c r="G2883" s="584">
        <v>15</v>
      </c>
    </row>
    <row r="2884" spans="1:7" ht="15" x14ac:dyDescent="0.2">
      <c r="A2884" s="583" t="s">
        <v>17779</v>
      </c>
      <c r="B2884" s="605" t="s">
        <v>17780</v>
      </c>
      <c r="C2884" s="606" t="s">
        <v>20385</v>
      </c>
      <c r="D2884" s="607">
        <v>67.27</v>
      </c>
      <c r="E2884" s="607">
        <v>16.61</v>
      </c>
      <c r="F2884" s="607">
        <v>83.88</v>
      </c>
      <c r="G2884" s="584">
        <v>15</v>
      </c>
    </row>
    <row r="2885" spans="1:7" ht="15" x14ac:dyDescent="0.2">
      <c r="A2885" s="583" t="s">
        <v>17781</v>
      </c>
      <c r="B2885" s="605" t="s">
        <v>17782</v>
      </c>
      <c r="C2885" s="606" t="s">
        <v>20385</v>
      </c>
      <c r="D2885" s="607">
        <v>25.14</v>
      </c>
      <c r="E2885" s="607">
        <v>6.91</v>
      </c>
      <c r="F2885" s="607">
        <v>32.049999999999997</v>
      </c>
      <c r="G2885" s="584">
        <v>15</v>
      </c>
    </row>
    <row r="2886" spans="1:7" ht="15" x14ac:dyDescent="0.2">
      <c r="A2886" s="583" t="s">
        <v>17783</v>
      </c>
      <c r="B2886" s="605" t="s">
        <v>17784</v>
      </c>
      <c r="C2886" s="606" t="s">
        <v>20385</v>
      </c>
      <c r="D2886" s="607">
        <v>61.94</v>
      </c>
      <c r="E2886" s="607">
        <v>6.91</v>
      </c>
      <c r="F2886" s="607">
        <v>68.849999999999994</v>
      </c>
      <c r="G2886" s="584">
        <v>15</v>
      </c>
    </row>
    <row r="2887" spans="1:7" ht="15" x14ac:dyDescent="0.2">
      <c r="A2887" s="583" t="s">
        <v>17785</v>
      </c>
      <c r="B2887" s="605" t="s">
        <v>17786</v>
      </c>
      <c r="C2887" s="606" t="s">
        <v>20385</v>
      </c>
      <c r="D2887" s="607">
        <v>60.17</v>
      </c>
      <c r="E2887" s="607">
        <v>6.91</v>
      </c>
      <c r="F2887" s="607">
        <v>67.08</v>
      </c>
      <c r="G2887" s="584">
        <v>15</v>
      </c>
    </row>
    <row r="2888" spans="1:7" ht="15" x14ac:dyDescent="0.2">
      <c r="A2888" s="583" t="s">
        <v>17787</v>
      </c>
      <c r="B2888" s="605" t="s">
        <v>17788</v>
      </c>
      <c r="C2888" s="606" t="s">
        <v>20385</v>
      </c>
      <c r="D2888" s="607">
        <v>67.040000000000006</v>
      </c>
      <c r="E2888" s="607">
        <v>27.92</v>
      </c>
      <c r="F2888" s="607">
        <v>94.96</v>
      </c>
      <c r="G2888" s="584">
        <v>15</v>
      </c>
    </row>
    <row r="2889" spans="1:7" ht="15" x14ac:dyDescent="0.2">
      <c r="A2889" s="583" t="s">
        <v>17789</v>
      </c>
      <c r="B2889" s="605" t="s">
        <v>17790</v>
      </c>
      <c r="C2889" s="606" t="s">
        <v>20385</v>
      </c>
      <c r="D2889" s="607">
        <v>105.97</v>
      </c>
      <c r="E2889" s="607">
        <v>50.35</v>
      </c>
      <c r="F2889" s="607">
        <v>156.32</v>
      </c>
      <c r="G2889" s="584">
        <v>15</v>
      </c>
    </row>
    <row r="2890" spans="1:7" ht="15" x14ac:dyDescent="0.2">
      <c r="A2890" s="583" t="s">
        <v>17791</v>
      </c>
      <c r="B2890" s="605" t="s">
        <v>20304</v>
      </c>
      <c r="C2890" s="606" t="s">
        <v>20385</v>
      </c>
      <c r="D2890" s="607">
        <v>350.21</v>
      </c>
      <c r="E2890" s="607">
        <v>21.3</v>
      </c>
      <c r="F2890" s="607">
        <v>371.51</v>
      </c>
      <c r="G2890" s="584">
        <v>15</v>
      </c>
    </row>
    <row r="2891" spans="1:7" ht="15" x14ac:dyDescent="0.2">
      <c r="A2891" s="583" t="s">
        <v>17792</v>
      </c>
      <c r="B2891" s="605" t="s">
        <v>17793</v>
      </c>
      <c r="C2891" s="606" t="s">
        <v>20385</v>
      </c>
      <c r="D2891" s="607">
        <v>85.64</v>
      </c>
      <c r="E2891" s="607">
        <v>21.3</v>
      </c>
      <c r="F2891" s="607">
        <v>106.94</v>
      </c>
      <c r="G2891" s="584">
        <v>15</v>
      </c>
    </row>
    <row r="2892" spans="1:7" ht="30" x14ac:dyDescent="0.2">
      <c r="A2892" s="583" t="s">
        <v>17794</v>
      </c>
      <c r="B2892" s="605" t="s">
        <v>17795</v>
      </c>
      <c r="C2892" s="606" t="s">
        <v>20385</v>
      </c>
      <c r="D2892" s="607">
        <v>312.39</v>
      </c>
      <c r="E2892" s="607">
        <v>78.16</v>
      </c>
      <c r="F2892" s="607">
        <v>390.55</v>
      </c>
      <c r="G2892" s="584">
        <v>15</v>
      </c>
    </row>
    <row r="2893" spans="1:7" ht="15" x14ac:dyDescent="0.2">
      <c r="A2893" s="583" t="s">
        <v>17796</v>
      </c>
      <c r="B2893" s="605" t="s">
        <v>17797</v>
      </c>
      <c r="C2893" s="606" t="s">
        <v>20385</v>
      </c>
      <c r="D2893" s="607">
        <v>469</v>
      </c>
      <c r="E2893" s="607">
        <v>27.92</v>
      </c>
      <c r="F2893" s="607">
        <v>496.92</v>
      </c>
      <c r="G2893" s="584">
        <v>15</v>
      </c>
    </row>
    <row r="2894" spans="1:7" ht="30" x14ac:dyDescent="0.2">
      <c r="A2894" s="583" t="s">
        <v>17798</v>
      </c>
      <c r="B2894" s="605" t="s">
        <v>17799</v>
      </c>
      <c r="C2894" s="606" t="s">
        <v>20385</v>
      </c>
      <c r="D2894" s="607">
        <v>39.6</v>
      </c>
      <c r="E2894" s="607">
        <v>19.64</v>
      </c>
      <c r="F2894" s="607">
        <v>59.24</v>
      </c>
      <c r="G2894" s="584">
        <v>15</v>
      </c>
    </row>
    <row r="2895" spans="1:7" ht="30" x14ac:dyDescent="0.2">
      <c r="A2895" s="583" t="s">
        <v>17800</v>
      </c>
      <c r="B2895" s="605" t="s">
        <v>17801</v>
      </c>
      <c r="C2895" s="606" t="s">
        <v>20385</v>
      </c>
      <c r="D2895" s="607">
        <v>46.33</v>
      </c>
      <c r="E2895" s="607">
        <v>19.64</v>
      </c>
      <c r="F2895" s="607">
        <v>65.97</v>
      </c>
      <c r="G2895" s="584">
        <v>15</v>
      </c>
    </row>
    <row r="2896" spans="1:7" ht="30" x14ac:dyDescent="0.2">
      <c r="A2896" s="583" t="s">
        <v>17802</v>
      </c>
      <c r="B2896" s="605" t="s">
        <v>17803</v>
      </c>
      <c r="C2896" s="606" t="s">
        <v>20385</v>
      </c>
      <c r="D2896" s="607">
        <v>39.06</v>
      </c>
      <c r="E2896" s="607">
        <v>19.64</v>
      </c>
      <c r="F2896" s="607">
        <v>58.7</v>
      </c>
      <c r="G2896" s="584">
        <v>15</v>
      </c>
    </row>
    <row r="2897" spans="1:7" ht="30" x14ac:dyDescent="0.2">
      <c r="A2897" s="583" t="s">
        <v>17804</v>
      </c>
      <c r="B2897" s="605" t="s">
        <v>17805</v>
      </c>
      <c r="C2897" s="606" t="s">
        <v>20385</v>
      </c>
      <c r="D2897" s="607">
        <v>32.520000000000003</v>
      </c>
      <c r="E2897" s="607">
        <v>19.64</v>
      </c>
      <c r="F2897" s="607">
        <v>52.16</v>
      </c>
      <c r="G2897" s="584">
        <v>15</v>
      </c>
    </row>
    <row r="2898" spans="1:7" ht="30" x14ac:dyDescent="0.2">
      <c r="A2898" s="583" t="s">
        <v>17806</v>
      </c>
      <c r="B2898" s="605" t="s">
        <v>20305</v>
      </c>
      <c r="C2898" s="606" t="s">
        <v>20385</v>
      </c>
      <c r="D2898" s="607">
        <v>30.15</v>
      </c>
      <c r="E2898" s="607">
        <v>19.64</v>
      </c>
      <c r="F2898" s="607">
        <v>49.79</v>
      </c>
      <c r="G2898" s="584">
        <v>15</v>
      </c>
    </row>
    <row r="2899" spans="1:7" ht="30" x14ac:dyDescent="0.2">
      <c r="A2899" s="583" t="s">
        <v>17807</v>
      </c>
      <c r="B2899" s="605" t="s">
        <v>20306</v>
      </c>
      <c r="C2899" s="606" t="s">
        <v>20385</v>
      </c>
      <c r="D2899" s="607">
        <v>34.04</v>
      </c>
      <c r="E2899" s="607">
        <v>19.64</v>
      </c>
      <c r="F2899" s="607">
        <v>53.68</v>
      </c>
      <c r="G2899" s="584">
        <v>15</v>
      </c>
    </row>
    <row r="2900" spans="1:7" ht="30" x14ac:dyDescent="0.2">
      <c r="A2900" s="583" t="s">
        <v>17808</v>
      </c>
      <c r="B2900" s="605" t="s">
        <v>17809</v>
      </c>
      <c r="C2900" s="606" t="s">
        <v>20385</v>
      </c>
      <c r="D2900" s="607">
        <v>54.56</v>
      </c>
      <c r="E2900" s="607">
        <v>19.64</v>
      </c>
      <c r="F2900" s="607">
        <v>74.2</v>
      </c>
      <c r="G2900" s="584">
        <v>15</v>
      </c>
    </row>
    <row r="2901" spans="1:7" ht="30" x14ac:dyDescent="0.2">
      <c r="A2901" s="583" t="s">
        <v>17810</v>
      </c>
      <c r="B2901" s="605" t="s">
        <v>17811</v>
      </c>
      <c r="C2901" s="606" t="s">
        <v>20385</v>
      </c>
      <c r="D2901" s="607">
        <v>63.72</v>
      </c>
      <c r="E2901" s="607">
        <v>19.64</v>
      </c>
      <c r="F2901" s="607">
        <v>83.36</v>
      </c>
      <c r="G2901" s="584">
        <v>15</v>
      </c>
    </row>
    <row r="2902" spans="1:7" ht="30" x14ac:dyDescent="0.2">
      <c r="A2902" s="583" t="s">
        <v>17812</v>
      </c>
      <c r="B2902" s="605" t="s">
        <v>17813</v>
      </c>
      <c r="C2902" s="606" t="s">
        <v>20385</v>
      </c>
      <c r="D2902" s="607">
        <v>433.31</v>
      </c>
      <c r="E2902" s="607">
        <v>78.16</v>
      </c>
      <c r="F2902" s="607">
        <v>511.47</v>
      </c>
      <c r="G2902" s="584">
        <v>15</v>
      </c>
    </row>
    <row r="2903" spans="1:7" ht="15" x14ac:dyDescent="0.2">
      <c r="A2903" s="583" t="s">
        <v>17814</v>
      </c>
      <c r="B2903" s="605" t="s">
        <v>17815</v>
      </c>
      <c r="C2903" s="606" t="s">
        <v>20385</v>
      </c>
      <c r="D2903" s="607">
        <v>609.39</v>
      </c>
      <c r="E2903" s="607">
        <v>44.75</v>
      </c>
      <c r="F2903" s="607">
        <v>654.14</v>
      </c>
      <c r="G2903" s="584">
        <v>15</v>
      </c>
    </row>
    <row r="2904" spans="1:7" ht="30" x14ac:dyDescent="0.2">
      <c r="A2904" s="583" t="s">
        <v>17816</v>
      </c>
      <c r="B2904" s="605" t="s">
        <v>17817</v>
      </c>
      <c r="C2904" s="606" t="s">
        <v>20385</v>
      </c>
      <c r="D2904" s="607">
        <v>184.84</v>
      </c>
      <c r="E2904" s="607">
        <v>21.3</v>
      </c>
      <c r="F2904" s="607">
        <v>206.14</v>
      </c>
      <c r="G2904" s="584">
        <v>15</v>
      </c>
    </row>
    <row r="2905" spans="1:7" ht="30" x14ac:dyDescent="0.2">
      <c r="A2905" s="583" t="s">
        <v>17818</v>
      </c>
      <c r="B2905" s="605" t="s">
        <v>17819</v>
      </c>
      <c r="C2905" s="606" t="s">
        <v>20385</v>
      </c>
      <c r="D2905" s="607">
        <v>87.53</v>
      </c>
      <c r="E2905" s="607">
        <v>19.64</v>
      </c>
      <c r="F2905" s="607">
        <v>107.17</v>
      </c>
      <c r="G2905" s="584">
        <v>15</v>
      </c>
    </row>
    <row r="2906" spans="1:7" ht="30" x14ac:dyDescent="0.2">
      <c r="A2906" s="583" t="s">
        <v>17820</v>
      </c>
      <c r="B2906" s="605" t="s">
        <v>17821</v>
      </c>
      <c r="C2906" s="606" t="s">
        <v>20385</v>
      </c>
      <c r="D2906" s="607">
        <v>586.36</v>
      </c>
      <c r="E2906" s="607">
        <v>19.64</v>
      </c>
      <c r="F2906" s="607">
        <v>606</v>
      </c>
      <c r="G2906" s="584">
        <v>15</v>
      </c>
    </row>
    <row r="2907" spans="1:7" ht="30" x14ac:dyDescent="0.2">
      <c r="A2907" s="583" t="s">
        <v>20107</v>
      </c>
      <c r="B2907" s="605" t="s">
        <v>20230</v>
      </c>
      <c r="C2907" s="606" t="s">
        <v>20385</v>
      </c>
      <c r="D2907" s="607">
        <v>136.76</v>
      </c>
      <c r="E2907" s="607">
        <v>21.3</v>
      </c>
      <c r="F2907" s="607">
        <v>158.06</v>
      </c>
      <c r="G2907" s="584">
        <v>15</v>
      </c>
    </row>
    <row r="2908" spans="1:7" ht="15" x14ac:dyDescent="0.2">
      <c r="A2908" s="583" t="s">
        <v>17822</v>
      </c>
      <c r="B2908" s="605" t="s">
        <v>17823</v>
      </c>
      <c r="C2908" s="606" t="s">
        <v>21478</v>
      </c>
      <c r="D2908" s="607">
        <v>2153.64</v>
      </c>
      <c r="E2908" s="607">
        <v>78.27</v>
      </c>
      <c r="F2908" s="607">
        <v>2231.91</v>
      </c>
      <c r="G2908" s="584">
        <v>15</v>
      </c>
    </row>
    <row r="2909" spans="1:7" ht="15" x14ac:dyDescent="0.2">
      <c r="A2909" s="583" t="s">
        <v>17824</v>
      </c>
      <c r="B2909" s="605" t="s">
        <v>17825</v>
      </c>
      <c r="C2909" s="606" t="s">
        <v>20385</v>
      </c>
      <c r="D2909" s="607">
        <v>2.42</v>
      </c>
      <c r="E2909" s="607">
        <v>19.64</v>
      </c>
      <c r="F2909" s="607">
        <v>22.06</v>
      </c>
      <c r="G2909" s="584">
        <v>15</v>
      </c>
    </row>
    <row r="2910" spans="1:7" ht="15" x14ac:dyDescent="0.2">
      <c r="A2910" s="583" t="s">
        <v>17826</v>
      </c>
      <c r="B2910" s="605" t="s">
        <v>17827</v>
      </c>
      <c r="C2910" s="606" t="s">
        <v>20385</v>
      </c>
      <c r="D2910" s="607">
        <v>4.05</v>
      </c>
      <c r="E2910" s="607">
        <v>19.64</v>
      </c>
      <c r="F2910" s="607">
        <v>23.69</v>
      </c>
      <c r="G2910" s="584">
        <v>15</v>
      </c>
    </row>
    <row r="2911" spans="1:7" ht="45" x14ac:dyDescent="0.2">
      <c r="A2911" s="583" t="s">
        <v>17828</v>
      </c>
      <c r="B2911" s="605" t="s">
        <v>17829</v>
      </c>
      <c r="C2911" s="606" t="s">
        <v>20385</v>
      </c>
      <c r="D2911" s="607">
        <v>812.88</v>
      </c>
      <c r="E2911" s="607">
        <v>21.3</v>
      </c>
      <c r="F2911" s="607">
        <v>834.18</v>
      </c>
      <c r="G2911" s="584">
        <v>15</v>
      </c>
    </row>
    <row r="2912" spans="1:7" ht="30" x14ac:dyDescent="0.2">
      <c r="A2912" s="583" t="s">
        <v>17830</v>
      </c>
      <c r="B2912" s="605" t="s">
        <v>17831</v>
      </c>
      <c r="C2912" s="606" t="s">
        <v>20385</v>
      </c>
      <c r="D2912" s="607">
        <v>991.53</v>
      </c>
      <c r="E2912" s="607">
        <v>78.16</v>
      </c>
      <c r="F2912" s="607">
        <v>1069.69</v>
      </c>
      <c r="G2912" s="584">
        <v>15</v>
      </c>
    </row>
    <row r="2913" spans="1:7" ht="30" x14ac:dyDescent="0.2">
      <c r="A2913" s="583" t="s">
        <v>17832</v>
      </c>
      <c r="B2913" s="605" t="s">
        <v>17833</v>
      </c>
      <c r="C2913" s="606" t="s">
        <v>20385</v>
      </c>
      <c r="D2913" s="607">
        <v>3332.1</v>
      </c>
      <c r="E2913" s="607">
        <v>78.16</v>
      </c>
      <c r="F2913" s="607">
        <v>3410.26</v>
      </c>
      <c r="G2913" s="584">
        <v>15</v>
      </c>
    </row>
    <row r="2914" spans="1:7" ht="15" x14ac:dyDescent="0.2">
      <c r="A2914" s="583" t="s">
        <v>17834</v>
      </c>
      <c r="B2914" s="605" t="s">
        <v>17835</v>
      </c>
      <c r="C2914" s="606" t="s">
        <v>20385</v>
      </c>
      <c r="D2914" s="607">
        <v>1296.74</v>
      </c>
      <c r="E2914" s="607">
        <v>6.91</v>
      </c>
      <c r="F2914" s="607">
        <v>1303.6500000000001</v>
      </c>
      <c r="G2914" s="584">
        <v>15</v>
      </c>
    </row>
    <row r="2915" spans="1:7" ht="15" x14ac:dyDescent="0.2">
      <c r="A2915" s="583" t="s">
        <v>17836</v>
      </c>
      <c r="B2915" s="605" t="s">
        <v>17837</v>
      </c>
      <c r="C2915" s="606" t="s">
        <v>20385</v>
      </c>
      <c r="D2915" s="607">
        <v>231.58</v>
      </c>
      <c r="E2915" s="607">
        <v>27.92</v>
      </c>
      <c r="F2915" s="607">
        <v>259.5</v>
      </c>
      <c r="G2915" s="584">
        <v>15</v>
      </c>
    </row>
    <row r="2916" spans="1:7" ht="15" x14ac:dyDescent="0.2">
      <c r="A2916" s="583" t="s">
        <v>17838</v>
      </c>
      <c r="B2916" s="605" t="s">
        <v>17839</v>
      </c>
      <c r="C2916" s="606" t="s">
        <v>20385</v>
      </c>
      <c r="D2916" s="607">
        <v>47.95</v>
      </c>
      <c r="E2916" s="607">
        <v>33.119999999999997</v>
      </c>
      <c r="F2916" s="607">
        <v>81.069999999999993</v>
      </c>
      <c r="G2916" s="584">
        <v>15</v>
      </c>
    </row>
    <row r="2917" spans="1:7" ht="30" x14ac:dyDescent="0.2">
      <c r="A2917" s="583" t="s">
        <v>17840</v>
      </c>
      <c r="B2917" s="605" t="s">
        <v>17841</v>
      </c>
      <c r="C2917" s="606" t="s">
        <v>20385</v>
      </c>
      <c r="D2917" s="607">
        <v>307.33999999999997</v>
      </c>
      <c r="E2917" s="607">
        <v>27.92</v>
      </c>
      <c r="F2917" s="607">
        <v>335.26</v>
      </c>
      <c r="G2917" s="584">
        <v>15</v>
      </c>
    </row>
    <row r="2918" spans="1:7" ht="30" x14ac:dyDescent="0.2">
      <c r="A2918" s="583" t="s">
        <v>17842</v>
      </c>
      <c r="B2918" s="605" t="s">
        <v>17843</v>
      </c>
      <c r="C2918" s="606" t="s">
        <v>20385</v>
      </c>
      <c r="D2918" s="607">
        <v>491.07</v>
      </c>
      <c r="E2918" s="607">
        <v>27.92</v>
      </c>
      <c r="F2918" s="607">
        <v>518.99</v>
      </c>
      <c r="G2918" s="584">
        <v>15</v>
      </c>
    </row>
    <row r="2919" spans="1:7" ht="15" x14ac:dyDescent="0.25">
      <c r="A2919" s="583" t="s">
        <v>17844</v>
      </c>
      <c r="B2919" s="605" t="s">
        <v>17845</v>
      </c>
      <c r="C2919" s="606"/>
      <c r="D2919" s="607"/>
      <c r="E2919" s="607"/>
      <c r="F2919" s="607"/>
      <c r="G2919" s="582"/>
    </row>
    <row r="2920" spans="1:7" ht="15" x14ac:dyDescent="0.2">
      <c r="A2920" s="583" t="s">
        <v>17846</v>
      </c>
      <c r="B2920" s="605" t="s">
        <v>17847</v>
      </c>
      <c r="C2920" s="606" t="s">
        <v>2</v>
      </c>
      <c r="D2920" s="607">
        <v>589.04</v>
      </c>
      <c r="E2920" s="607">
        <v>32.729999999999997</v>
      </c>
      <c r="F2920" s="607">
        <v>621.77</v>
      </c>
      <c r="G2920" s="584">
        <v>15</v>
      </c>
    </row>
    <row r="2921" spans="1:7" ht="15" x14ac:dyDescent="0.2">
      <c r="A2921" s="583" t="s">
        <v>17848</v>
      </c>
      <c r="B2921" s="605" t="s">
        <v>17849</v>
      </c>
      <c r="C2921" s="606" t="s">
        <v>2</v>
      </c>
      <c r="D2921" s="607">
        <v>288.12</v>
      </c>
      <c r="E2921" s="607">
        <v>100.7</v>
      </c>
      <c r="F2921" s="607">
        <v>388.82</v>
      </c>
      <c r="G2921" s="584">
        <v>15</v>
      </c>
    </row>
    <row r="2922" spans="1:7" ht="15" x14ac:dyDescent="0.2">
      <c r="A2922" s="583" t="s">
        <v>17850</v>
      </c>
      <c r="B2922" s="605" t="s">
        <v>17851</v>
      </c>
      <c r="C2922" s="606" t="s">
        <v>2</v>
      </c>
      <c r="D2922" s="607">
        <v>906.41</v>
      </c>
      <c r="E2922" s="607">
        <v>32.729999999999997</v>
      </c>
      <c r="F2922" s="607">
        <v>939.14</v>
      </c>
      <c r="G2922" s="584">
        <v>15</v>
      </c>
    </row>
    <row r="2923" spans="1:7" ht="15" x14ac:dyDescent="0.25">
      <c r="A2923" s="583" t="s">
        <v>17852</v>
      </c>
      <c r="B2923" s="605" t="s">
        <v>17853</v>
      </c>
      <c r="C2923" s="606"/>
      <c r="D2923" s="607"/>
      <c r="E2923" s="607"/>
      <c r="F2923" s="607"/>
      <c r="G2923" s="582"/>
    </row>
    <row r="2924" spans="1:7" ht="15" x14ac:dyDescent="0.2">
      <c r="A2924" s="583" t="s">
        <v>17854</v>
      </c>
      <c r="B2924" s="605" t="s">
        <v>17855</v>
      </c>
      <c r="C2924" s="606" t="s">
        <v>20358</v>
      </c>
      <c r="D2924" s="607">
        <v>2302.1999999999998</v>
      </c>
      <c r="E2924" s="607">
        <v>78.540000000000006</v>
      </c>
      <c r="F2924" s="607">
        <v>2380.7399999999998</v>
      </c>
      <c r="G2924" s="584">
        <v>15</v>
      </c>
    </row>
    <row r="2925" spans="1:7" ht="15" x14ac:dyDescent="0.2">
      <c r="A2925" s="583" t="s">
        <v>17856</v>
      </c>
      <c r="B2925" s="605" t="s">
        <v>17857</v>
      </c>
      <c r="C2925" s="606" t="s">
        <v>20358</v>
      </c>
      <c r="D2925" s="607">
        <v>780.5</v>
      </c>
      <c r="E2925" s="607">
        <v>78.540000000000006</v>
      </c>
      <c r="F2925" s="607">
        <v>859.04</v>
      </c>
      <c r="G2925" s="584">
        <v>15</v>
      </c>
    </row>
    <row r="2926" spans="1:7" ht="15" x14ac:dyDescent="0.2">
      <c r="A2926" s="583" t="s">
        <v>17858</v>
      </c>
      <c r="B2926" s="605" t="s">
        <v>17859</v>
      </c>
      <c r="C2926" s="606" t="s">
        <v>20385</v>
      </c>
      <c r="D2926" s="607">
        <v>1190.18</v>
      </c>
      <c r="E2926" s="607">
        <v>167.49</v>
      </c>
      <c r="F2926" s="607">
        <v>1357.67</v>
      </c>
      <c r="G2926" s="584">
        <v>15</v>
      </c>
    </row>
    <row r="2927" spans="1:7" ht="15" x14ac:dyDescent="0.2">
      <c r="A2927" s="583" t="s">
        <v>17860</v>
      </c>
      <c r="B2927" s="605" t="s">
        <v>17861</v>
      </c>
      <c r="C2927" s="606" t="s">
        <v>20385</v>
      </c>
      <c r="D2927" s="607">
        <v>216.57</v>
      </c>
      <c r="E2927" s="607">
        <v>27.92</v>
      </c>
      <c r="F2927" s="607">
        <v>244.49</v>
      </c>
      <c r="G2927" s="584">
        <v>15</v>
      </c>
    </row>
    <row r="2928" spans="1:7" ht="15" x14ac:dyDescent="0.2">
      <c r="A2928" s="583" t="s">
        <v>17862</v>
      </c>
      <c r="B2928" s="605" t="s">
        <v>17863</v>
      </c>
      <c r="C2928" s="606" t="s">
        <v>20385</v>
      </c>
      <c r="D2928" s="607">
        <v>267.69</v>
      </c>
      <c r="E2928" s="607">
        <v>27.92</v>
      </c>
      <c r="F2928" s="607">
        <v>295.61</v>
      </c>
      <c r="G2928" s="584">
        <v>15</v>
      </c>
    </row>
    <row r="2929" spans="1:7" ht="15" x14ac:dyDescent="0.2">
      <c r="A2929" s="583" t="s">
        <v>17864</v>
      </c>
      <c r="B2929" s="605" t="s">
        <v>17865</v>
      </c>
      <c r="C2929" s="606" t="s">
        <v>20385</v>
      </c>
      <c r="D2929" s="607">
        <v>291.26</v>
      </c>
      <c r="E2929" s="607">
        <v>27.92</v>
      </c>
      <c r="F2929" s="607">
        <v>319.18</v>
      </c>
      <c r="G2929" s="584">
        <v>15</v>
      </c>
    </row>
    <row r="2930" spans="1:7" ht="15" x14ac:dyDescent="0.2">
      <c r="A2930" s="583" t="s">
        <v>17866</v>
      </c>
      <c r="B2930" s="605" t="s">
        <v>17867</v>
      </c>
      <c r="C2930" s="606" t="s">
        <v>20385</v>
      </c>
      <c r="D2930" s="607">
        <v>435.13</v>
      </c>
      <c r="E2930" s="607">
        <v>27.92</v>
      </c>
      <c r="F2930" s="607">
        <v>463.05</v>
      </c>
      <c r="G2930" s="584">
        <v>15</v>
      </c>
    </row>
    <row r="2931" spans="1:7" ht="15" x14ac:dyDescent="0.2">
      <c r="A2931" s="583" t="s">
        <v>17868</v>
      </c>
      <c r="B2931" s="605" t="s">
        <v>17869</v>
      </c>
      <c r="C2931" s="606" t="s">
        <v>20385</v>
      </c>
      <c r="D2931" s="607">
        <v>986.55</v>
      </c>
      <c r="E2931" s="607">
        <v>27.92</v>
      </c>
      <c r="F2931" s="607">
        <v>1014.47</v>
      </c>
      <c r="G2931" s="584">
        <v>15</v>
      </c>
    </row>
    <row r="2932" spans="1:7" ht="15" x14ac:dyDescent="0.2">
      <c r="A2932" s="583" t="s">
        <v>17870</v>
      </c>
      <c r="B2932" s="605" t="s">
        <v>17871</v>
      </c>
      <c r="C2932" s="606" t="s">
        <v>20385</v>
      </c>
      <c r="D2932" s="607">
        <v>369.69</v>
      </c>
      <c r="E2932" s="607">
        <v>27.92</v>
      </c>
      <c r="F2932" s="607">
        <v>397.61</v>
      </c>
      <c r="G2932" s="584">
        <v>15</v>
      </c>
    </row>
    <row r="2933" spans="1:7" ht="15" x14ac:dyDescent="0.2">
      <c r="A2933" s="583" t="s">
        <v>17872</v>
      </c>
      <c r="B2933" s="605" t="s">
        <v>17873</v>
      </c>
      <c r="C2933" s="606" t="s">
        <v>20385</v>
      </c>
      <c r="D2933" s="607">
        <v>431.42</v>
      </c>
      <c r="E2933" s="607">
        <v>27.92</v>
      </c>
      <c r="F2933" s="607">
        <v>459.34</v>
      </c>
      <c r="G2933" s="584">
        <v>15</v>
      </c>
    </row>
    <row r="2934" spans="1:7" ht="15" x14ac:dyDescent="0.2">
      <c r="A2934" s="583" t="s">
        <v>17874</v>
      </c>
      <c r="B2934" s="605" t="s">
        <v>17875</v>
      </c>
      <c r="C2934" s="606" t="s">
        <v>20385</v>
      </c>
      <c r="D2934" s="607">
        <v>682.76</v>
      </c>
      <c r="E2934" s="607">
        <v>27.92</v>
      </c>
      <c r="F2934" s="607">
        <v>710.68</v>
      </c>
      <c r="G2934" s="584">
        <v>15</v>
      </c>
    </row>
    <row r="2935" spans="1:7" ht="15" x14ac:dyDescent="0.2">
      <c r="A2935" s="583" t="s">
        <v>17876</v>
      </c>
      <c r="B2935" s="605" t="s">
        <v>17877</v>
      </c>
      <c r="C2935" s="606" t="s">
        <v>20385</v>
      </c>
      <c r="D2935" s="607">
        <v>780.51</v>
      </c>
      <c r="E2935" s="607">
        <v>27.92</v>
      </c>
      <c r="F2935" s="607">
        <v>808.43</v>
      </c>
      <c r="G2935" s="584">
        <v>15</v>
      </c>
    </row>
    <row r="2936" spans="1:7" ht="15" x14ac:dyDescent="0.2">
      <c r="A2936" s="583" t="s">
        <v>17878</v>
      </c>
      <c r="B2936" s="605" t="s">
        <v>17879</v>
      </c>
      <c r="C2936" s="606" t="s">
        <v>20385</v>
      </c>
      <c r="D2936" s="607">
        <v>1383.13</v>
      </c>
      <c r="E2936" s="607">
        <v>27.92</v>
      </c>
      <c r="F2936" s="607">
        <v>1411.05</v>
      </c>
      <c r="G2936" s="584">
        <v>15</v>
      </c>
    </row>
    <row r="2937" spans="1:7" ht="15" x14ac:dyDescent="0.2">
      <c r="A2937" s="583" t="s">
        <v>17880</v>
      </c>
      <c r="B2937" s="605" t="s">
        <v>17881</v>
      </c>
      <c r="C2937" s="606" t="s">
        <v>20385</v>
      </c>
      <c r="D2937" s="607">
        <v>1495.58</v>
      </c>
      <c r="E2937" s="607">
        <v>27.92</v>
      </c>
      <c r="F2937" s="607">
        <v>1523.5</v>
      </c>
      <c r="G2937" s="584">
        <v>15</v>
      </c>
    </row>
    <row r="2938" spans="1:7" ht="15" x14ac:dyDescent="0.2">
      <c r="A2938" s="583" t="s">
        <v>17882</v>
      </c>
      <c r="B2938" s="605" t="s">
        <v>17883</v>
      </c>
      <c r="C2938" s="606" t="s">
        <v>20385</v>
      </c>
      <c r="D2938" s="607">
        <v>1548.15</v>
      </c>
      <c r="E2938" s="607">
        <v>27.92</v>
      </c>
      <c r="F2938" s="607">
        <v>1576.07</v>
      </c>
      <c r="G2938" s="584">
        <v>15</v>
      </c>
    </row>
    <row r="2939" spans="1:7" ht="15" x14ac:dyDescent="0.2">
      <c r="A2939" s="583" t="s">
        <v>17884</v>
      </c>
      <c r="B2939" s="605" t="s">
        <v>17885</v>
      </c>
      <c r="C2939" s="606" t="s">
        <v>20385</v>
      </c>
      <c r="D2939" s="607">
        <v>4878.9399999999996</v>
      </c>
      <c r="E2939" s="607">
        <v>27.92</v>
      </c>
      <c r="F2939" s="607">
        <v>4906.8599999999997</v>
      </c>
      <c r="G2939" s="584">
        <v>15</v>
      </c>
    </row>
    <row r="2940" spans="1:7" ht="15" x14ac:dyDescent="0.2">
      <c r="A2940" s="583" t="s">
        <v>17886</v>
      </c>
      <c r="B2940" s="605" t="s">
        <v>17887</v>
      </c>
      <c r="C2940" s="606" t="s">
        <v>20385</v>
      </c>
      <c r="D2940" s="607">
        <v>2162.2199999999998</v>
      </c>
      <c r="E2940" s="607">
        <v>27.92</v>
      </c>
      <c r="F2940" s="607">
        <v>2190.14</v>
      </c>
      <c r="G2940" s="584">
        <v>15</v>
      </c>
    </row>
    <row r="2941" spans="1:7" ht="15" x14ac:dyDescent="0.2">
      <c r="A2941" s="583" t="s">
        <v>17888</v>
      </c>
      <c r="B2941" s="605" t="s">
        <v>17889</v>
      </c>
      <c r="C2941" s="606" t="s">
        <v>20385</v>
      </c>
      <c r="D2941" s="607">
        <v>784.74</v>
      </c>
      <c r="E2941" s="607">
        <v>27.92</v>
      </c>
      <c r="F2941" s="607">
        <v>812.66</v>
      </c>
      <c r="G2941" s="584">
        <v>15</v>
      </c>
    </row>
    <row r="2942" spans="1:7" ht="15" x14ac:dyDescent="0.2">
      <c r="A2942" s="583" t="s">
        <v>17890</v>
      </c>
      <c r="B2942" s="605" t="s">
        <v>17891</v>
      </c>
      <c r="C2942" s="606" t="s">
        <v>20385</v>
      </c>
      <c r="D2942" s="607">
        <v>780.32</v>
      </c>
      <c r="E2942" s="607">
        <v>27.92</v>
      </c>
      <c r="F2942" s="607">
        <v>808.24</v>
      </c>
      <c r="G2942" s="584">
        <v>15</v>
      </c>
    </row>
    <row r="2943" spans="1:7" ht="15" x14ac:dyDescent="0.2">
      <c r="A2943" s="583" t="s">
        <v>17892</v>
      </c>
      <c r="B2943" s="605" t="s">
        <v>17893</v>
      </c>
      <c r="C2943" s="606" t="s">
        <v>20385</v>
      </c>
      <c r="D2943" s="607">
        <v>955.33</v>
      </c>
      <c r="E2943" s="607">
        <v>27.92</v>
      </c>
      <c r="F2943" s="607">
        <v>983.25</v>
      </c>
      <c r="G2943" s="584">
        <v>15</v>
      </c>
    </row>
    <row r="2944" spans="1:7" ht="15" x14ac:dyDescent="0.25">
      <c r="A2944" s="583" t="s">
        <v>17894</v>
      </c>
      <c r="B2944" s="605" t="s">
        <v>17895</v>
      </c>
      <c r="C2944" s="606"/>
      <c r="D2944" s="607"/>
      <c r="E2944" s="607"/>
      <c r="F2944" s="607"/>
      <c r="G2944" s="582"/>
    </row>
    <row r="2945" spans="1:7" ht="15" x14ac:dyDescent="0.2">
      <c r="A2945" s="583" t="s">
        <v>17896</v>
      </c>
      <c r="B2945" s="605" t="s">
        <v>17897</v>
      </c>
      <c r="C2945" s="606" t="s">
        <v>20385</v>
      </c>
      <c r="D2945" s="607">
        <v>10.07</v>
      </c>
      <c r="E2945" s="607">
        <v>22.33</v>
      </c>
      <c r="F2945" s="607">
        <v>32.4</v>
      </c>
      <c r="G2945" s="584">
        <v>15</v>
      </c>
    </row>
    <row r="2946" spans="1:7" ht="15" x14ac:dyDescent="0.2">
      <c r="A2946" s="583" t="s">
        <v>17898</v>
      </c>
      <c r="B2946" s="605" t="s">
        <v>17899</v>
      </c>
      <c r="C2946" s="606" t="s">
        <v>20385</v>
      </c>
      <c r="D2946" s="607">
        <v>0.05</v>
      </c>
      <c r="E2946" s="607">
        <v>27.92</v>
      </c>
      <c r="F2946" s="607">
        <v>27.97</v>
      </c>
      <c r="G2946" s="584">
        <v>15</v>
      </c>
    </row>
    <row r="2947" spans="1:7" ht="15" x14ac:dyDescent="0.2">
      <c r="A2947" s="583" t="s">
        <v>17900</v>
      </c>
      <c r="B2947" s="605" t="s">
        <v>17901</v>
      </c>
      <c r="C2947" s="606" t="s">
        <v>20385</v>
      </c>
      <c r="D2947" s="607">
        <v>0.06</v>
      </c>
      <c r="E2947" s="607">
        <v>27.92</v>
      </c>
      <c r="F2947" s="607">
        <v>27.98</v>
      </c>
      <c r="G2947" s="584">
        <v>15</v>
      </c>
    </row>
    <row r="2948" spans="1:7" ht="15" x14ac:dyDescent="0.2">
      <c r="A2948" s="583" t="s">
        <v>17902</v>
      </c>
      <c r="B2948" s="605" t="s">
        <v>17903</v>
      </c>
      <c r="C2948" s="606" t="s">
        <v>20385</v>
      </c>
      <c r="D2948" s="607">
        <v>1.82</v>
      </c>
      <c r="E2948" s="607">
        <v>78.540000000000006</v>
      </c>
      <c r="F2948" s="607">
        <v>80.36</v>
      </c>
      <c r="G2948" s="584">
        <v>15</v>
      </c>
    </row>
    <row r="2949" spans="1:7" ht="15" x14ac:dyDescent="0.2">
      <c r="A2949" s="583" t="s">
        <v>17904</v>
      </c>
      <c r="B2949" s="605" t="s">
        <v>17905</v>
      </c>
      <c r="C2949" s="606" t="s">
        <v>20385</v>
      </c>
      <c r="D2949" s="607"/>
      <c r="E2949" s="607">
        <v>139.58000000000001</v>
      </c>
      <c r="F2949" s="607">
        <v>139.58000000000001</v>
      </c>
      <c r="G2949" s="584">
        <v>15</v>
      </c>
    </row>
    <row r="2950" spans="1:7" ht="15" x14ac:dyDescent="0.2">
      <c r="A2950" s="583" t="s">
        <v>17906</v>
      </c>
      <c r="B2950" s="605" t="s">
        <v>17907</v>
      </c>
      <c r="C2950" s="606" t="s">
        <v>20385</v>
      </c>
      <c r="D2950" s="607">
        <v>26.08</v>
      </c>
      <c r="E2950" s="607">
        <v>6.81</v>
      </c>
      <c r="F2950" s="607">
        <v>32.89</v>
      </c>
      <c r="G2950" s="584">
        <v>15</v>
      </c>
    </row>
    <row r="2951" spans="1:7" ht="15" x14ac:dyDescent="0.2">
      <c r="A2951" s="583" t="s">
        <v>17908</v>
      </c>
      <c r="B2951" s="605" t="s">
        <v>17909</v>
      </c>
      <c r="C2951" s="606" t="s">
        <v>20385</v>
      </c>
      <c r="D2951" s="607">
        <v>7.53</v>
      </c>
      <c r="E2951" s="607">
        <v>6.81</v>
      </c>
      <c r="F2951" s="607">
        <v>14.34</v>
      </c>
      <c r="G2951" s="584">
        <v>15</v>
      </c>
    </row>
    <row r="2952" spans="1:7" ht="15" x14ac:dyDescent="0.2">
      <c r="A2952" s="583" t="s">
        <v>17910</v>
      </c>
      <c r="B2952" s="605" t="s">
        <v>17911</v>
      </c>
      <c r="C2952" s="606" t="s">
        <v>20385</v>
      </c>
      <c r="D2952" s="607">
        <v>127.29</v>
      </c>
      <c r="E2952" s="607">
        <v>3.86</v>
      </c>
      <c r="F2952" s="607">
        <v>131.15</v>
      </c>
      <c r="G2952" s="584">
        <v>15</v>
      </c>
    </row>
    <row r="2953" spans="1:7" ht="30" x14ac:dyDescent="0.2">
      <c r="A2953" s="583" t="s">
        <v>17912</v>
      </c>
      <c r="B2953" s="605" t="s">
        <v>17913</v>
      </c>
      <c r="C2953" s="606" t="s">
        <v>20385</v>
      </c>
      <c r="D2953" s="607">
        <v>47.71</v>
      </c>
      <c r="E2953" s="607">
        <v>2.27</v>
      </c>
      <c r="F2953" s="607">
        <v>49.98</v>
      </c>
      <c r="G2953" s="584">
        <v>15</v>
      </c>
    </row>
    <row r="2954" spans="1:7" ht="15" x14ac:dyDescent="0.2">
      <c r="A2954" s="583" t="s">
        <v>17914</v>
      </c>
      <c r="B2954" s="605" t="s">
        <v>17915</v>
      </c>
      <c r="C2954" s="606" t="s">
        <v>20385</v>
      </c>
      <c r="D2954" s="607">
        <v>78.510000000000005</v>
      </c>
      <c r="E2954" s="607">
        <v>6.81</v>
      </c>
      <c r="F2954" s="607">
        <v>85.32</v>
      </c>
      <c r="G2954" s="584">
        <v>15</v>
      </c>
    </row>
    <row r="2955" spans="1:7" ht="15" x14ac:dyDescent="0.2">
      <c r="A2955" s="583" t="s">
        <v>17916</v>
      </c>
      <c r="B2955" s="605" t="s">
        <v>17917</v>
      </c>
      <c r="C2955" s="606" t="s">
        <v>20385</v>
      </c>
      <c r="D2955" s="607">
        <v>54.58</v>
      </c>
      <c r="E2955" s="607">
        <v>3.86</v>
      </c>
      <c r="F2955" s="607">
        <v>58.44</v>
      </c>
      <c r="G2955" s="584">
        <v>15</v>
      </c>
    </row>
    <row r="2956" spans="1:7" ht="15" x14ac:dyDescent="0.2">
      <c r="A2956" s="583" t="s">
        <v>17918</v>
      </c>
      <c r="B2956" s="605" t="s">
        <v>17919</v>
      </c>
      <c r="C2956" s="606" t="s">
        <v>20385</v>
      </c>
      <c r="D2956" s="607">
        <v>46.78</v>
      </c>
      <c r="E2956" s="607">
        <v>3.86</v>
      </c>
      <c r="F2956" s="607">
        <v>50.64</v>
      </c>
      <c r="G2956" s="584">
        <v>15</v>
      </c>
    </row>
    <row r="2957" spans="1:7" ht="15" x14ac:dyDescent="0.2">
      <c r="A2957" s="583" t="s">
        <v>17920</v>
      </c>
      <c r="B2957" s="605" t="s">
        <v>17921</v>
      </c>
      <c r="C2957" s="606" t="s">
        <v>20385</v>
      </c>
      <c r="D2957" s="607">
        <v>74.67</v>
      </c>
      <c r="E2957" s="607">
        <v>50.25</v>
      </c>
      <c r="F2957" s="607">
        <v>124.92</v>
      </c>
      <c r="G2957" s="584">
        <v>15</v>
      </c>
    </row>
    <row r="2958" spans="1:7" ht="15" x14ac:dyDescent="0.2">
      <c r="A2958" s="583" t="s">
        <v>17922</v>
      </c>
      <c r="B2958" s="605" t="s">
        <v>17923</v>
      </c>
      <c r="C2958" s="606" t="s">
        <v>20385</v>
      </c>
      <c r="D2958" s="607">
        <v>156.4</v>
      </c>
      <c r="E2958" s="607">
        <v>27.92</v>
      </c>
      <c r="F2958" s="607">
        <v>184.32</v>
      </c>
      <c r="G2958" s="584">
        <v>15</v>
      </c>
    </row>
    <row r="2959" spans="1:7" ht="15" x14ac:dyDescent="0.2">
      <c r="A2959" s="583" t="s">
        <v>17924</v>
      </c>
      <c r="B2959" s="605" t="s">
        <v>17925</v>
      </c>
      <c r="C2959" s="606" t="s">
        <v>20385</v>
      </c>
      <c r="D2959" s="607">
        <v>162.38999999999999</v>
      </c>
      <c r="E2959" s="607">
        <v>27.92</v>
      </c>
      <c r="F2959" s="607">
        <v>190.31</v>
      </c>
      <c r="G2959" s="584">
        <v>15</v>
      </c>
    </row>
    <row r="2960" spans="1:7" ht="15" x14ac:dyDescent="0.2">
      <c r="A2960" s="583" t="s">
        <v>17926</v>
      </c>
      <c r="B2960" s="605" t="s">
        <v>17927</v>
      </c>
      <c r="C2960" s="606" t="s">
        <v>20385</v>
      </c>
      <c r="D2960" s="607">
        <v>32.520000000000003</v>
      </c>
      <c r="E2960" s="607">
        <v>6.81</v>
      </c>
      <c r="F2960" s="607">
        <v>39.33</v>
      </c>
      <c r="G2960" s="584">
        <v>15</v>
      </c>
    </row>
    <row r="2961" spans="1:7" ht="15" x14ac:dyDescent="0.2">
      <c r="A2961" s="583" t="s">
        <v>17928</v>
      </c>
      <c r="B2961" s="605" t="s">
        <v>17929</v>
      </c>
      <c r="C2961" s="606" t="s">
        <v>20385</v>
      </c>
      <c r="D2961" s="607">
        <v>8.31</v>
      </c>
      <c r="E2961" s="607">
        <v>22.33</v>
      </c>
      <c r="F2961" s="607">
        <v>30.64</v>
      </c>
      <c r="G2961" s="584">
        <v>15</v>
      </c>
    </row>
    <row r="2962" spans="1:7" ht="15" x14ac:dyDescent="0.2">
      <c r="A2962" s="583" t="s">
        <v>17930</v>
      </c>
      <c r="B2962" s="605" t="s">
        <v>17931</v>
      </c>
      <c r="C2962" s="606" t="s">
        <v>20385</v>
      </c>
      <c r="D2962" s="607">
        <v>14.46</v>
      </c>
      <c r="E2962" s="607">
        <v>22.33</v>
      </c>
      <c r="F2962" s="607">
        <v>36.79</v>
      </c>
      <c r="G2962" s="584">
        <v>15</v>
      </c>
    </row>
    <row r="2963" spans="1:7" ht="15" x14ac:dyDescent="0.2">
      <c r="A2963" s="583" t="s">
        <v>17932</v>
      </c>
      <c r="B2963" s="605" t="s">
        <v>17933</v>
      </c>
      <c r="C2963" s="606" t="s">
        <v>20385</v>
      </c>
      <c r="D2963" s="607">
        <v>38.729999999999997</v>
      </c>
      <c r="E2963" s="607">
        <v>3.41</v>
      </c>
      <c r="F2963" s="607">
        <v>42.14</v>
      </c>
      <c r="G2963" s="584">
        <v>15</v>
      </c>
    </row>
    <row r="2964" spans="1:7" ht="15" x14ac:dyDescent="0.2">
      <c r="A2964" s="583" t="s">
        <v>17934</v>
      </c>
      <c r="B2964" s="605" t="s">
        <v>17935</v>
      </c>
      <c r="C2964" s="606" t="s">
        <v>20385</v>
      </c>
      <c r="D2964" s="607">
        <v>9.26</v>
      </c>
      <c r="E2964" s="607">
        <v>9.49</v>
      </c>
      <c r="F2964" s="607">
        <v>18.75</v>
      </c>
      <c r="G2964" s="584">
        <v>15</v>
      </c>
    </row>
    <row r="2965" spans="1:7" ht="15" x14ac:dyDescent="0.2">
      <c r="A2965" s="583" t="s">
        <v>17936</v>
      </c>
      <c r="B2965" s="605" t="s">
        <v>17937</v>
      </c>
      <c r="C2965" s="606" t="s">
        <v>20385</v>
      </c>
      <c r="D2965" s="607">
        <v>430.24</v>
      </c>
      <c r="E2965" s="607">
        <v>39.270000000000003</v>
      </c>
      <c r="F2965" s="607">
        <v>469.51</v>
      </c>
      <c r="G2965" s="584">
        <v>15</v>
      </c>
    </row>
    <row r="2966" spans="1:7" ht="15" x14ac:dyDescent="0.2">
      <c r="A2966" s="583" t="s">
        <v>17938</v>
      </c>
      <c r="B2966" s="605" t="s">
        <v>17939</v>
      </c>
      <c r="C2966" s="606" t="s">
        <v>20385</v>
      </c>
      <c r="D2966" s="607">
        <v>7.81</v>
      </c>
      <c r="E2966" s="607">
        <v>2.27</v>
      </c>
      <c r="F2966" s="607">
        <v>10.08</v>
      </c>
      <c r="G2966" s="584">
        <v>15</v>
      </c>
    </row>
    <row r="2967" spans="1:7" ht="15" x14ac:dyDescent="0.2">
      <c r="A2967" s="583" t="s">
        <v>17940</v>
      </c>
      <c r="B2967" s="605" t="s">
        <v>17941</v>
      </c>
      <c r="C2967" s="606" t="s">
        <v>20385</v>
      </c>
      <c r="D2967" s="607">
        <v>62.76</v>
      </c>
      <c r="E2967" s="607">
        <v>2.27</v>
      </c>
      <c r="F2967" s="607">
        <v>65.03</v>
      </c>
      <c r="G2967" s="584">
        <v>15</v>
      </c>
    </row>
    <row r="2968" spans="1:7" ht="15" x14ac:dyDescent="0.2">
      <c r="A2968" s="583" t="s">
        <v>17942</v>
      </c>
      <c r="B2968" s="605" t="s">
        <v>17943</v>
      </c>
      <c r="C2968" s="606" t="s">
        <v>20385</v>
      </c>
      <c r="D2968" s="607">
        <v>86.09</v>
      </c>
      <c r="E2968" s="607">
        <v>11.16</v>
      </c>
      <c r="F2968" s="607">
        <v>97.25</v>
      </c>
      <c r="G2968" s="584">
        <v>15</v>
      </c>
    </row>
    <row r="2969" spans="1:7" ht="15" x14ac:dyDescent="0.2">
      <c r="A2969" s="583" t="s">
        <v>17944</v>
      </c>
      <c r="B2969" s="605" t="s">
        <v>17945</v>
      </c>
      <c r="C2969" s="606" t="s">
        <v>20385</v>
      </c>
      <c r="D2969" s="607">
        <v>31.34</v>
      </c>
      <c r="E2969" s="607">
        <v>11.16</v>
      </c>
      <c r="F2969" s="607">
        <v>42.5</v>
      </c>
      <c r="G2969" s="584">
        <v>15</v>
      </c>
    </row>
    <row r="2970" spans="1:7" ht="15" x14ac:dyDescent="0.25">
      <c r="A2970" s="583" t="s">
        <v>17946</v>
      </c>
      <c r="B2970" s="605" t="s">
        <v>17947</v>
      </c>
      <c r="C2970" s="606"/>
      <c r="D2970" s="607"/>
      <c r="E2970" s="607"/>
      <c r="F2970" s="607"/>
      <c r="G2970" s="582"/>
    </row>
    <row r="2971" spans="1:7" ht="15" x14ac:dyDescent="0.25">
      <c r="A2971" s="583" t="s">
        <v>17948</v>
      </c>
      <c r="B2971" s="605" t="s">
        <v>17949</v>
      </c>
      <c r="C2971" s="606"/>
      <c r="D2971" s="607"/>
      <c r="E2971" s="607"/>
      <c r="F2971" s="607"/>
      <c r="G2971" s="582"/>
    </row>
    <row r="2972" spans="1:7" ht="30" x14ac:dyDescent="0.2">
      <c r="A2972" s="583" t="s">
        <v>17950</v>
      </c>
      <c r="B2972" s="605" t="s">
        <v>17951</v>
      </c>
      <c r="C2972" s="606" t="s">
        <v>20385</v>
      </c>
      <c r="D2972" s="607">
        <v>851.03</v>
      </c>
      <c r="E2972" s="607">
        <v>686.98</v>
      </c>
      <c r="F2972" s="607">
        <v>1538.01</v>
      </c>
      <c r="G2972" s="584">
        <v>15</v>
      </c>
    </row>
    <row r="2973" spans="1:7" ht="30" x14ac:dyDescent="0.2">
      <c r="A2973" s="583" t="s">
        <v>17952</v>
      </c>
      <c r="B2973" s="605" t="s">
        <v>17953</v>
      </c>
      <c r="C2973" s="606" t="s">
        <v>20385</v>
      </c>
      <c r="D2973" s="607">
        <v>886.95</v>
      </c>
      <c r="E2973" s="607">
        <v>686.98</v>
      </c>
      <c r="F2973" s="607">
        <v>1573.93</v>
      </c>
      <c r="G2973" s="584">
        <v>15</v>
      </c>
    </row>
    <row r="2974" spans="1:7" ht="30" x14ac:dyDescent="0.2">
      <c r="A2974" s="583" t="s">
        <v>17954</v>
      </c>
      <c r="B2974" s="605" t="s">
        <v>17955</v>
      </c>
      <c r="C2974" s="606" t="s">
        <v>20385</v>
      </c>
      <c r="D2974" s="607">
        <v>2527.88</v>
      </c>
      <c r="E2974" s="607">
        <v>1211.45</v>
      </c>
      <c r="F2974" s="607">
        <v>3739.33</v>
      </c>
      <c r="G2974" s="584">
        <v>15</v>
      </c>
    </row>
    <row r="2975" spans="1:7" ht="30" x14ac:dyDescent="0.2">
      <c r="A2975" s="583" t="s">
        <v>17956</v>
      </c>
      <c r="B2975" s="605" t="s">
        <v>17957</v>
      </c>
      <c r="C2975" s="606" t="s">
        <v>20385</v>
      </c>
      <c r="D2975" s="607">
        <v>2675.62</v>
      </c>
      <c r="E2975" s="607">
        <v>1211.45</v>
      </c>
      <c r="F2975" s="607">
        <v>3887.07</v>
      </c>
      <c r="G2975" s="584">
        <v>15</v>
      </c>
    </row>
    <row r="2976" spans="1:7" ht="30" x14ac:dyDescent="0.2">
      <c r="A2976" s="583" t="s">
        <v>17958</v>
      </c>
      <c r="B2976" s="605" t="s">
        <v>17959</v>
      </c>
      <c r="C2976" s="606" t="s">
        <v>20385</v>
      </c>
      <c r="D2976" s="607">
        <v>2963.15</v>
      </c>
      <c r="E2976" s="607">
        <v>1211.45</v>
      </c>
      <c r="F2976" s="607">
        <v>4174.6000000000004</v>
      </c>
      <c r="G2976" s="584">
        <v>15</v>
      </c>
    </row>
    <row r="2977" spans="1:7" ht="30" x14ac:dyDescent="0.2">
      <c r="A2977" s="583" t="s">
        <v>17960</v>
      </c>
      <c r="B2977" s="605" t="s">
        <v>17961</v>
      </c>
      <c r="C2977" s="606" t="s">
        <v>20385</v>
      </c>
      <c r="D2977" s="607">
        <v>3300.56</v>
      </c>
      <c r="E2977" s="607">
        <v>1211.45</v>
      </c>
      <c r="F2977" s="607">
        <v>4512.01</v>
      </c>
      <c r="G2977" s="584">
        <v>15</v>
      </c>
    </row>
    <row r="2978" spans="1:7" ht="15" x14ac:dyDescent="0.25">
      <c r="A2978" s="583" t="s">
        <v>17962</v>
      </c>
      <c r="B2978" s="605" t="s">
        <v>17963</v>
      </c>
      <c r="C2978" s="606"/>
      <c r="D2978" s="607"/>
      <c r="E2978" s="607"/>
      <c r="F2978" s="607"/>
      <c r="G2978" s="582"/>
    </row>
    <row r="2979" spans="1:7" ht="15" x14ac:dyDescent="0.2">
      <c r="A2979" s="583" t="s">
        <v>17964</v>
      </c>
      <c r="B2979" s="605" t="s">
        <v>21442</v>
      </c>
      <c r="C2979" s="606" t="s">
        <v>20385</v>
      </c>
      <c r="D2979" s="607">
        <v>2450.67</v>
      </c>
      <c r="E2979" s="607">
        <v>875.72</v>
      </c>
      <c r="F2979" s="607">
        <v>3326.39</v>
      </c>
      <c r="G2979" s="584">
        <v>15</v>
      </c>
    </row>
    <row r="2980" spans="1:7" ht="15" x14ac:dyDescent="0.2">
      <c r="A2980" s="583" t="s">
        <v>17965</v>
      </c>
      <c r="B2980" s="605" t="s">
        <v>17966</v>
      </c>
      <c r="C2980" s="606" t="s">
        <v>20385</v>
      </c>
      <c r="D2980" s="607">
        <v>5840.91</v>
      </c>
      <c r="E2980" s="607">
        <v>1870.68</v>
      </c>
      <c r="F2980" s="607">
        <v>7711.59</v>
      </c>
      <c r="G2980" s="584">
        <v>15</v>
      </c>
    </row>
    <row r="2981" spans="1:7" ht="15" x14ac:dyDescent="0.2">
      <c r="A2981" s="583" t="s">
        <v>17967</v>
      </c>
      <c r="B2981" s="605" t="s">
        <v>17968</v>
      </c>
      <c r="C2981" s="606" t="s">
        <v>20385</v>
      </c>
      <c r="D2981" s="607">
        <v>9688.76</v>
      </c>
      <c r="E2981" s="607">
        <v>2465.84</v>
      </c>
      <c r="F2981" s="607">
        <v>12154.6</v>
      </c>
      <c r="G2981" s="584">
        <v>15</v>
      </c>
    </row>
    <row r="2982" spans="1:7" ht="15" x14ac:dyDescent="0.2">
      <c r="A2982" s="583" t="s">
        <v>17969</v>
      </c>
      <c r="B2982" s="605" t="s">
        <v>17970</v>
      </c>
      <c r="C2982" s="606" t="s">
        <v>20385</v>
      </c>
      <c r="D2982" s="607">
        <v>13518.33</v>
      </c>
      <c r="E2982" s="607">
        <v>2989.58</v>
      </c>
      <c r="F2982" s="607">
        <v>16507.91</v>
      </c>
      <c r="G2982" s="584">
        <v>15</v>
      </c>
    </row>
    <row r="2983" spans="1:7" ht="15" x14ac:dyDescent="0.2">
      <c r="A2983" s="583" t="s">
        <v>17971</v>
      </c>
      <c r="B2983" s="605" t="s">
        <v>17972</v>
      </c>
      <c r="C2983" s="606" t="s">
        <v>20385</v>
      </c>
      <c r="D2983" s="607">
        <v>593.95000000000005</v>
      </c>
      <c r="E2983" s="607">
        <v>595.04999999999995</v>
      </c>
      <c r="F2983" s="607">
        <v>1189</v>
      </c>
      <c r="G2983" s="584">
        <v>15</v>
      </c>
    </row>
    <row r="2984" spans="1:7" ht="15" x14ac:dyDescent="0.25">
      <c r="A2984" s="583" t="s">
        <v>17973</v>
      </c>
      <c r="B2984" s="605" t="s">
        <v>17974</v>
      </c>
      <c r="C2984" s="606"/>
      <c r="D2984" s="607"/>
      <c r="E2984" s="607"/>
      <c r="F2984" s="607"/>
      <c r="G2984" s="582"/>
    </row>
    <row r="2985" spans="1:7" ht="15" x14ac:dyDescent="0.2">
      <c r="A2985" s="583" t="s">
        <v>17975</v>
      </c>
      <c r="B2985" s="605" t="s">
        <v>17976</v>
      </c>
      <c r="C2985" s="606" t="s">
        <v>20385</v>
      </c>
      <c r="D2985" s="607">
        <v>1879.86</v>
      </c>
      <c r="E2985" s="607">
        <v>41.87</v>
      </c>
      <c r="F2985" s="607">
        <v>1921.73</v>
      </c>
      <c r="G2985" s="584">
        <v>15</v>
      </c>
    </row>
    <row r="2986" spans="1:7" ht="15" x14ac:dyDescent="0.2">
      <c r="A2986" s="583" t="s">
        <v>17977</v>
      </c>
      <c r="B2986" s="605" t="s">
        <v>17978</v>
      </c>
      <c r="C2986" s="606" t="s">
        <v>20385</v>
      </c>
      <c r="D2986" s="607">
        <v>3339.59</v>
      </c>
      <c r="E2986" s="607">
        <v>41.87</v>
      </c>
      <c r="F2986" s="607">
        <v>3381.46</v>
      </c>
      <c r="G2986" s="584">
        <v>15</v>
      </c>
    </row>
    <row r="2987" spans="1:7" ht="15" x14ac:dyDescent="0.2">
      <c r="A2987" s="583" t="s">
        <v>17979</v>
      </c>
      <c r="B2987" s="605" t="s">
        <v>17980</v>
      </c>
      <c r="C2987" s="606" t="s">
        <v>20385</v>
      </c>
      <c r="D2987" s="607">
        <v>558.54999999999995</v>
      </c>
      <c r="E2987" s="607">
        <v>66.989999999999995</v>
      </c>
      <c r="F2987" s="607">
        <v>625.54</v>
      </c>
      <c r="G2987" s="584">
        <v>15</v>
      </c>
    </row>
    <row r="2988" spans="1:7" ht="15" x14ac:dyDescent="0.2">
      <c r="A2988" s="583" t="s">
        <v>17981</v>
      </c>
      <c r="B2988" s="605" t="s">
        <v>17982</v>
      </c>
      <c r="C2988" s="606" t="s">
        <v>20385</v>
      </c>
      <c r="D2988" s="607">
        <v>931.22</v>
      </c>
      <c r="E2988" s="607">
        <v>66.989999999999995</v>
      </c>
      <c r="F2988" s="607">
        <v>998.21</v>
      </c>
      <c r="G2988" s="584">
        <v>15</v>
      </c>
    </row>
    <row r="2989" spans="1:7" ht="15" x14ac:dyDescent="0.2">
      <c r="A2989" s="583" t="s">
        <v>17983</v>
      </c>
      <c r="B2989" s="605" t="s">
        <v>17984</v>
      </c>
      <c r="C2989" s="606" t="s">
        <v>20385</v>
      </c>
      <c r="D2989" s="607">
        <v>2471.08</v>
      </c>
      <c r="E2989" s="607">
        <v>41.87</v>
      </c>
      <c r="F2989" s="607">
        <v>2512.9499999999998</v>
      </c>
      <c r="G2989" s="584">
        <v>15</v>
      </c>
    </row>
    <row r="2990" spans="1:7" ht="15" x14ac:dyDescent="0.25">
      <c r="A2990" s="583" t="s">
        <v>17985</v>
      </c>
      <c r="B2990" s="605" t="s">
        <v>17986</v>
      </c>
      <c r="C2990" s="606"/>
      <c r="D2990" s="607"/>
      <c r="E2990" s="607"/>
      <c r="F2990" s="607"/>
      <c r="G2990" s="582"/>
    </row>
    <row r="2991" spans="1:7" ht="15" x14ac:dyDescent="0.2">
      <c r="A2991" s="583" t="s">
        <v>17987</v>
      </c>
      <c r="B2991" s="605" t="s">
        <v>17988</v>
      </c>
      <c r="C2991" s="606" t="s">
        <v>20385</v>
      </c>
      <c r="D2991" s="607">
        <v>1076.3800000000001</v>
      </c>
      <c r="E2991" s="607"/>
      <c r="F2991" s="607">
        <v>1076.3800000000001</v>
      </c>
      <c r="G2991" s="584">
        <v>15</v>
      </c>
    </row>
    <row r="2992" spans="1:7" ht="15" x14ac:dyDescent="0.25">
      <c r="A2992" s="583" t="s">
        <v>17989</v>
      </c>
      <c r="B2992" s="605" t="s">
        <v>17990</v>
      </c>
      <c r="C2992" s="606"/>
      <c r="D2992" s="607"/>
      <c r="E2992" s="607"/>
      <c r="F2992" s="607"/>
      <c r="G2992" s="582"/>
    </row>
    <row r="2993" spans="1:7" ht="30" x14ac:dyDescent="0.25">
      <c r="A2993" s="583" t="s">
        <v>17991</v>
      </c>
      <c r="B2993" s="605" t="s">
        <v>17992</v>
      </c>
      <c r="C2993" s="606"/>
      <c r="D2993" s="607"/>
      <c r="E2993" s="607"/>
      <c r="F2993" s="607"/>
      <c r="G2993" s="582"/>
    </row>
    <row r="2994" spans="1:7" ht="30" x14ac:dyDescent="0.2">
      <c r="A2994" s="583" t="s">
        <v>17993</v>
      </c>
      <c r="B2994" s="605" t="s">
        <v>17994</v>
      </c>
      <c r="C2994" s="606" t="s">
        <v>20358</v>
      </c>
      <c r="D2994" s="607">
        <v>6.06</v>
      </c>
      <c r="E2994" s="607">
        <v>27.92</v>
      </c>
      <c r="F2994" s="607">
        <v>33.979999999999997</v>
      </c>
      <c r="G2994" s="584">
        <v>15</v>
      </c>
    </row>
    <row r="2995" spans="1:7" ht="30" x14ac:dyDescent="0.2">
      <c r="A2995" s="583" t="s">
        <v>17995</v>
      </c>
      <c r="B2995" s="605" t="s">
        <v>17996</v>
      </c>
      <c r="C2995" s="606" t="s">
        <v>20358</v>
      </c>
      <c r="D2995" s="607">
        <v>5.99</v>
      </c>
      <c r="E2995" s="607">
        <v>27.92</v>
      </c>
      <c r="F2995" s="607">
        <v>33.909999999999997</v>
      </c>
      <c r="G2995" s="584">
        <v>15</v>
      </c>
    </row>
    <row r="2996" spans="1:7" ht="30" x14ac:dyDescent="0.2">
      <c r="A2996" s="583" t="s">
        <v>17997</v>
      </c>
      <c r="B2996" s="605" t="s">
        <v>17998</v>
      </c>
      <c r="C2996" s="606" t="s">
        <v>20358</v>
      </c>
      <c r="D2996" s="607">
        <v>13.78</v>
      </c>
      <c r="E2996" s="607">
        <v>27.92</v>
      </c>
      <c r="F2996" s="607">
        <v>41.7</v>
      </c>
      <c r="G2996" s="584">
        <v>15</v>
      </c>
    </row>
    <row r="2997" spans="1:7" ht="30" x14ac:dyDescent="0.2">
      <c r="A2997" s="583" t="s">
        <v>17999</v>
      </c>
      <c r="B2997" s="605" t="s">
        <v>18000</v>
      </c>
      <c r="C2997" s="606" t="s">
        <v>20358</v>
      </c>
      <c r="D2997" s="607">
        <v>23.78</v>
      </c>
      <c r="E2997" s="607">
        <v>27.92</v>
      </c>
      <c r="F2997" s="607">
        <v>51.7</v>
      </c>
      <c r="G2997" s="584">
        <v>15</v>
      </c>
    </row>
    <row r="2998" spans="1:7" ht="30" x14ac:dyDescent="0.2">
      <c r="A2998" s="583" t="s">
        <v>18001</v>
      </c>
      <c r="B2998" s="605" t="s">
        <v>18002</v>
      </c>
      <c r="C2998" s="606" t="s">
        <v>20358</v>
      </c>
      <c r="D2998" s="607">
        <v>20.88</v>
      </c>
      <c r="E2998" s="607">
        <v>33.5</v>
      </c>
      <c r="F2998" s="607">
        <v>54.38</v>
      </c>
      <c r="G2998" s="584">
        <v>15</v>
      </c>
    </row>
    <row r="2999" spans="1:7" ht="30" x14ac:dyDescent="0.2">
      <c r="A2999" s="583" t="s">
        <v>18003</v>
      </c>
      <c r="B2999" s="605" t="s">
        <v>18004</v>
      </c>
      <c r="C2999" s="606" t="s">
        <v>20358</v>
      </c>
      <c r="D2999" s="607">
        <v>44.49</v>
      </c>
      <c r="E2999" s="607">
        <v>39.08</v>
      </c>
      <c r="F2999" s="607">
        <v>83.57</v>
      </c>
      <c r="G2999" s="584">
        <v>15</v>
      </c>
    </row>
    <row r="3000" spans="1:7" ht="30" x14ac:dyDescent="0.2">
      <c r="A3000" s="583" t="s">
        <v>18005</v>
      </c>
      <c r="B3000" s="605" t="s">
        <v>18006</v>
      </c>
      <c r="C3000" s="606" t="s">
        <v>20358</v>
      </c>
      <c r="D3000" s="607">
        <v>68.930000000000007</v>
      </c>
      <c r="E3000" s="607">
        <v>50.25</v>
      </c>
      <c r="F3000" s="607">
        <v>119.18</v>
      </c>
      <c r="G3000" s="584">
        <v>15</v>
      </c>
    </row>
    <row r="3001" spans="1:7" ht="30" x14ac:dyDescent="0.2">
      <c r="A3001" s="583" t="s">
        <v>18007</v>
      </c>
      <c r="B3001" s="605" t="s">
        <v>18008</v>
      </c>
      <c r="C3001" s="606" t="s">
        <v>20358</v>
      </c>
      <c r="D3001" s="607">
        <v>84.03</v>
      </c>
      <c r="E3001" s="607">
        <v>55.83</v>
      </c>
      <c r="F3001" s="607">
        <v>139.86000000000001</v>
      </c>
      <c r="G3001" s="584">
        <v>15</v>
      </c>
    </row>
    <row r="3002" spans="1:7" ht="30" x14ac:dyDescent="0.2">
      <c r="A3002" s="583" t="s">
        <v>18009</v>
      </c>
      <c r="B3002" s="605" t="s">
        <v>18010</v>
      </c>
      <c r="C3002" s="606" t="s">
        <v>20358</v>
      </c>
      <c r="D3002" s="607">
        <v>154.61000000000001</v>
      </c>
      <c r="E3002" s="607">
        <v>61.41</v>
      </c>
      <c r="F3002" s="607">
        <v>216.02</v>
      </c>
      <c r="G3002" s="584">
        <v>15</v>
      </c>
    </row>
    <row r="3003" spans="1:7" ht="15" x14ac:dyDescent="0.25">
      <c r="A3003" s="583" t="s">
        <v>18011</v>
      </c>
      <c r="B3003" s="605" t="s">
        <v>18012</v>
      </c>
      <c r="C3003" s="606"/>
      <c r="D3003" s="607"/>
      <c r="E3003" s="607"/>
      <c r="F3003" s="607"/>
      <c r="G3003" s="582"/>
    </row>
    <row r="3004" spans="1:7" ht="30" x14ac:dyDescent="0.2">
      <c r="A3004" s="583" t="s">
        <v>18013</v>
      </c>
      <c r="B3004" s="605" t="s">
        <v>18014</v>
      </c>
      <c r="C3004" s="606" t="s">
        <v>20358</v>
      </c>
      <c r="D3004" s="607">
        <v>12.6</v>
      </c>
      <c r="E3004" s="607">
        <v>27.92</v>
      </c>
      <c r="F3004" s="607">
        <v>40.520000000000003</v>
      </c>
      <c r="G3004" s="584">
        <v>15</v>
      </c>
    </row>
    <row r="3005" spans="1:7" ht="30" x14ac:dyDescent="0.2">
      <c r="A3005" s="583" t="s">
        <v>18015</v>
      </c>
      <c r="B3005" s="605" t="s">
        <v>18016</v>
      </c>
      <c r="C3005" s="606" t="s">
        <v>20358</v>
      </c>
      <c r="D3005" s="607">
        <v>16.39</v>
      </c>
      <c r="E3005" s="607">
        <v>33.5</v>
      </c>
      <c r="F3005" s="607">
        <v>49.89</v>
      </c>
      <c r="G3005" s="584">
        <v>15</v>
      </c>
    </row>
    <row r="3006" spans="1:7" ht="30" x14ac:dyDescent="0.2">
      <c r="A3006" s="583" t="s">
        <v>18017</v>
      </c>
      <c r="B3006" s="605" t="s">
        <v>18018</v>
      </c>
      <c r="C3006" s="606" t="s">
        <v>20358</v>
      </c>
      <c r="D3006" s="607">
        <v>28.27</v>
      </c>
      <c r="E3006" s="607">
        <v>50.25</v>
      </c>
      <c r="F3006" s="607">
        <v>78.52</v>
      </c>
      <c r="G3006" s="584">
        <v>15</v>
      </c>
    </row>
    <row r="3007" spans="1:7" ht="30" x14ac:dyDescent="0.2">
      <c r="A3007" s="583" t="s">
        <v>18019</v>
      </c>
      <c r="B3007" s="605" t="s">
        <v>18020</v>
      </c>
      <c r="C3007" s="606" t="s">
        <v>20358</v>
      </c>
      <c r="D3007" s="607">
        <v>24.51</v>
      </c>
      <c r="E3007" s="607">
        <v>61.41</v>
      </c>
      <c r="F3007" s="607">
        <v>85.92</v>
      </c>
      <c r="G3007" s="584">
        <v>15</v>
      </c>
    </row>
    <row r="3008" spans="1:7" ht="30" x14ac:dyDescent="0.25">
      <c r="A3008" s="583" t="s">
        <v>18021</v>
      </c>
      <c r="B3008" s="605" t="s">
        <v>18022</v>
      </c>
      <c r="C3008" s="606"/>
      <c r="D3008" s="607"/>
      <c r="E3008" s="607"/>
      <c r="F3008" s="607"/>
      <c r="G3008" s="582"/>
    </row>
    <row r="3009" spans="1:7" ht="30" x14ac:dyDescent="0.2">
      <c r="A3009" s="583" t="s">
        <v>18023</v>
      </c>
      <c r="B3009" s="605" t="s">
        <v>18024</v>
      </c>
      <c r="C3009" s="606" t="s">
        <v>20358</v>
      </c>
      <c r="D3009" s="607">
        <v>24.89</v>
      </c>
      <c r="E3009" s="607">
        <v>33.5</v>
      </c>
      <c r="F3009" s="607">
        <v>58.39</v>
      </c>
      <c r="G3009" s="584">
        <v>15</v>
      </c>
    </row>
    <row r="3010" spans="1:7" ht="30" x14ac:dyDescent="0.2">
      <c r="A3010" s="583" t="s">
        <v>18025</v>
      </c>
      <c r="B3010" s="605" t="s">
        <v>18026</v>
      </c>
      <c r="C3010" s="606" t="s">
        <v>20358</v>
      </c>
      <c r="D3010" s="607">
        <v>45.14</v>
      </c>
      <c r="E3010" s="607">
        <v>50.25</v>
      </c>
      <c r="F3010" s="607">
        <v>95.39</v>
      </c>
      <c r="G3010" s="584">
        <v>15</v>
      </c>
    </row>
    <row r="3011" spans="1:7" ht="30" x14ac:dyDescent="0.2">
      <c r="A3011" s="583" t="s">
        <v>18027</v>
      </c>
      <c r="B3011" s="605" t="s">
        <v>18028</v>
      </c>
      <c r="C3011" s="606" t="s">
        <v>20358</v>
      </c>
      <c r="D3011" s="607">
        <v>59.17</v>
      </c>
      <c r="E3011" s="607">
        <v>61.41</v>
      </c>
      <c r="F3011" s="607">
        <v>120.58</v>
      </c>
      <c r="G3011" s="584">
        <v>15</v>
      </c>
    </row>
    <row r="3012" spans="1:7" ht="30" x14ac:dyDescent="0.2">
      <c r="A3012" s="583" t="s">
        <v>18029</v>
      </c>
      <c r="B3012" s="605" t="s">
        <v>18030</v>
      </c>
      <c r="C3012" s="606" t="s">
        <v>20358</v>
      </c>
      <c r="D3012" s="607">
        <v>121.5</v>
      </c>
      <c r="E3012" s="607">
        <v>61.41</v>
      </c>
      <c r="F3012" s="607">
        <v>182.91</v>
      </c>
      <c r="G3012" s="584">
        <v>15</v>
      </c>
    </row>
    <row r="3013" spans="1:7" ht="30" x14ac:dyDescent="0.2">
      <c r="A3013" s="583" t="s">
        <v>18031</v>
      </c>
      <c r="B3013" s="605" t="s">
        <v>18032</v>
      </c>
      <c r="C3013" s="606" t="s">
        <v>20358</v>
      </c>
      <c r="D3013" s="607">
        <v>21.58</v>
      </c>
      <c r="E3013" s="607">
        <v>27.92</v>
      </c>
      <c r="F3013" s="607">
        <v>49.5</v>
      </c>
      <c r="G3013" s="584">
        <v>15</v>
      </c>
    </row>
    <row r="3014" spans="1:7" ht="30" x14ac:dyDescent="0.25">
      <c r="A3014" s="583" t="s">
        <v>18033</v>
      </c>
      <c r="B3014" s="605" t="s">
        <v>18034</v>
      </c>
      <c r="C3014" s="606"/>
      <c r="D3014" s="607"/>
      <c r="E3014" s="607"/>
      <c r="F3014" s="607"/>
      <c r="G3014" s="582"/>
    </row>
    <row r="3015" spans="1:7" ht="30" x14ac:dyDescent="0.2">
      <c r="A3015" s="583" t="s">
        <v>18035</v>
      </c>
      <c r="B3015" s="605" t="s">
        <v>18036</v>
      </c>
      <c r="C3015" s="606" t="s">
        <v>20358</v>
      </c>
      <c r="D3015" s="607">
        <v>27.41</v>
      </c>
      <c r="E3015" s="607">
        <v>19.64</v>
      </c>
      <c r="F3015" s="607">
        <v>47.05</v>
      </c>
      <c r="G3015" s="584">
        <v>15</v>
      </c>
    </row>
    <row r="3016" spans="1:7" ht="30" x14ac:dyDescent="0.2">
      <c r="A3016" s="583" t="s">
        <v>18037</v>
      </c>
      <c r="B3016" s="605" t="s">
        <v>18038</v>
      </c>
      <c r="C3016" s="606" t="s">
        <v>20358</v>
      </c>
      <c r="D3016" s="607">
        <v>52.69</v>
      </c>
      <c r="E3016" s="607">
        <v>19.64</v>
      </c>
      <c r="F3016" s="607">
        <v>72.33</v>
      </c>
      <c r="G3016" s="584">
        <v>15</v>
      </c>
    </row>
    <row r="3017" spans="1:7" ht="30" x14ac:dyDescent="0.2">
      <c r="A3017" s="583" t="s">
        <v>18039</v>
      </c>
      <c r="B3017" s="605" t="s">
        <v>18040</v>
      </c>
      <c r="C3017" s="606" t="s">
        <v>20358</v>
      </c>
      <c r="D3017" s="607">
        <v>99.66</v>
      </c>
      <c r="E3017" s="607">
        <v>19.64</v>
      </c>
      <c r="F3017" s="607">
        <v>119.3</v>
      </c>
      <c r="G3017" s="584">
        <v>15</v>
      </c>
    </row>
    <row r="3018" spans="1:7" ht="30" x14ac:dyDescent="0.2">
      <c r="A3018" s="583" t="s">
        <v>18041</v>
      </c>
      <c r="B3018" s="605" t="s">
        <v>18042</v>
      </c>
      <c r="C3018" s="606" t="s">
        <v>20358</v>
      </c>
      <c r="D3018" s="607">
        <v>81.55</v>
      </c>
      <c r="E3018" s="607">
        <v>19.64</v>
      </c>
      <c r="F3018" s="607">
        <v>101.19</v>
      </c>
      <c r="G3018" s="584">
        <v>15</v>
      </c>
    </row>
    <row r="3019" spans="1:7" ht="30" x14ac:dyDescent="0.2">
      <c r="A3019" s="583" t="s">
        <v>18043</v>
      </c>
      <c r="B3019" s="605" t="s">
        <v>18044</v>
      </c>
      <c r="C3019" s="606" t="s">
        <v>20358</v>
      </c>
      <c r="D3019" s="607">
        <v>149.71</v>
      </c>
      <c r="E3019" s="607">
        <v>19.64</v>
      </c>
      <c r="F3019" s="607">
        <v>169.35</v>
      </c>
      <c r="G3019" s="584">
        <v>15</v>
      </c>
    </row>
    <row r="3020" spans="1:7" ht="30" x14ac:dyDescent="0.2">
      <c r="A3020" s="583" t="s">
        <v>18045</v>
      </c>
      <c r="B3020" s="605" t="s">
        <v>18046</v>
      </c>
      <c r="C3020" s="606" t="s">
        <v>20358</v>
      </c>
      <c r="D3020" s="607">
        <v>246.27</v>
      </c>
      <c r="E3020" s="607">
        <v>39.270000000000003</v>
      </c>
      <c r="F3020" s="607">
        <v>285.54000000000002</v>
      </c>
      <c r="G3020" s="584">
        <v>15</v>
      </c>
    </row>
    <row r="3021" spans="1:7" ht="30" x14ac:dyDescent="0.2">
      <c r="A3021" s="583" t="s">
        <v>18047</v>
      </c>
      <c r="B3021" s="605" t="s">
        <v>18048</v>
      </c>
      <c r="C3021" s="606" t="s">
        <v>20358</v>
      </c>
      <c r="D3021" s="607">
        <v>394.56</v>
      </c>
      <c r="E3021" s="607">
        <v>39.270000000000003</v>
      </c>
      <c r="F3021" s="607">
        <v>433.83</v>
      </c>
      <c r="G3021" s="584">
        <v>15</v>
      </c>
    </row>
    <row r="3022" spans="1:7" ht="30" x14ac:dyDescent="0.2">
      <c r="A3022" s="583" t="s">
        <v>18049</v>
      </c>
      <c r="B3022" s="605" t="s">
        <v>18050</v>
      </c>
      <c r="C3022" s="606" t="s">
        <v>20358</v>
      </c>
      <c r="D3022" s="607">
        <v>510.64</v>
      </c>
      <c r="E3022" s="607">
        <v>39.270000000000003</v>
      </c>
      <c r="F3022" s="607">
        <v>549.91</v>
      </c>
      <c r="G3022" s="584">
        <v>15</v>
      </c>
    </row>
    <row r="3023" spans="1:7" ht="15" x14ac:dyDescent="0.25">
      <c r="A3023" s="583" t="s">
        <v>18051</v>
      </c>
      <c r="B3023" s="605" t="s">
        <v>18052</v>
      </c>
      <c r="C3023" s="606"/>
      <c r="D3023" s="607"/>
      <c r="E3023" s="607"/>
      <c r="F3023" s="607"/>
      <c r="G3023" s="582"/>
    </row>
    <row r="3024" spans="1:7" ht="30" x14ac:dyDescent="0.2">
      <c r="A3024" s="583" t="s">
        <v>18053</v>
      </c>
      <c r="B3024" s="605" t="s">
        <v>18054</v>
      </c>
      <c r="C3024" s="606" t="s">
        <v>12483</v>
      </c>
      <c r="D3024" s="607">
        <v>27.95</v>
      </c>
      <c r="E3024" s="607">
        <v>19.64</v>
      </c>
      <c r="F3024" s="607">
        <v>47.59</v>
      </c>
      <c r="G3024" s="584">
        <v>15</v>
      </c>
    </row>
    <row r="3025" spans="1:7" ht="30" x14ac:dyDescent="0.2">
      <c r="A3025" s="583" t="s">
        <v>18055</v>
      </c>
      <c r="B3025" s="605" t="s">
        <v>18056</v>
      </c>
      <c r="C3025" s="606" t="s">
        <v>12483</v>
      </c>
      <c r="D3025" s="607">
        <v>56.46</v>
      </c>
      <c r="E3025" s="607">
        <v>19.64</v>
      </c>
      <c r="F3025" s="607">
        <v>76.099999999999994</v>
      </c>
      <c r="G3025" s="584">
        <v>15</v>
      </c>
    </row>
    <row r="3026" spans="1:7" ht="30" x14ac:dyDescent="0.2">
      <c r="A3026" s="583" t="s">
        <v>18057</v>
      </c>
      <c r="B3026" s="605" t="s">
        <v>18058</v>
      </c>
      <c r="C3026" s="606" t="s">
        <v>12483</v>
      </c>
      <c r="D3026" s="607">
        <v>89.7</v>
      </c>
      <c r="E3026" s="607">
        <v>39.270000000000003</v>
      </c>
      <c r="F3026" s="607">
        <v>128.97</v>
      </c>
      <c r="G3026" s="584">
        <v>15</v>
      </c>
    </row>
    <row r="3027" spans="1:7" ht="30" x14ac:dyDescent="0.2">
      <c r="A3027" s="583" t="s">
        <v>18059</v>
      </c>
      <c r="B3027" s="605" t="s">
        <v>18060</v>
      </c>
      <c r="C3027" s="606" t="s">
        <v>12483</v>
      </c>
      <c r="D3027" s="607">
        <v>156.96</v>
      </c>
      <c r="E3027" s="607">
        <v>39.270000000000003</v>
      </c>
      <c r="F3027" s="607">
        <v>196.23</v>
      </c>
      <c r="G3027" s="584">
        <v>15</v>
      </c>
    </row>
    <row r="3028" spans="1:7" ht="30" x14ac:dyDescent="0.2">
      <c r="A3028" s="583" t="s">
        <v>18061</v>
      </c>
      <c r="B3028" s="605" t="s">
        <v>18062</v>
      </c>
      <c r="C3028" s="606" t="s">
        <v>12483</v>
      </c>
      <c r="D3028" s="607">
        <v>235.75</v>
      </c>
      <c r="E3028" s="607">
        <v>39.270000000000003</v>
      </c>
      <c r="F3028" s="607">
        <v>275.02</v>
      </c>
      <c r="G3028" s="584">
        <v>15</v>
      </c>
    </row>
    <row r="3029" spans="1:7" ht="30" x14ac:dyDescent="0.2">
      <c r="A3029" s="583" t="s">
        <v>18063</v>
      </c>
      <c r="B3029" s="605" t="s">
        <v>18064</v>
      </c>
      <c r="C3029" s="606" t="s">
        <v>12483</v>
      </c>
      <c r="D3029" s="607">
        <v>416.67</v>
      </c>
      <c r="E3029" s="607">
        <v>39.270000000000003</v>
      </c>
      <c r="F3029" s="607">
        <v>455.94</v>
      </c>
      <c r="G3029" s="584">
        <v>15</v>
      </c>
    </row>
    <row r="3030" spans="1:7" ht="15" x14ac:dyDescent="0.25">
      <c r="A3030" s="583" t="s">
        <v>18065</v>
      </c>
      <c r="B3030" s="605" t="s">
        <v>18066</v>
      </c>
      <c r="C3030" s="606"/>
      <c r="D3030" s="607"/>
      <c r="E3030" s="607"/>
      <c r="F3030" s="607"/>
      <c r="G3030" s="582"/>
    </row>
    <row r="3031" spans="1:7" ht="15" x14ac:dyDescent="0.2">
      <c r="A3031" s="583" t="s">
        <v>18067</v>
      </c>
      <c r="B3031" s="605" t="s">
        <v>18068</v>
      </c>
      <c r="C3031" s="606" t="s">
        <v>12483</v>
      </c>
      <c r="D3031" s="607">
        <v>34.74</v>
      </c>
      <c r="E3031" s="607">
        <v>55.83</v>
      </c>
      <c r="F3031" s="607">
        <v>90.57</v>
      </c>
      <c r="G3031" s="584">
        <v>15</v>
      </c>
    </row>
    <row r="3032" spans="1:7" ht="15" x14ac:dyDescent="0.2">
      <c r="A3032" s="583" t="s">
        <v>18069</v>
      </c>
      <c r="B3032" s="605" t="s">
        <v>18070</v>
      </c>
      <c r="C3032" s="606" t="s">
        <v>12483</v>
      </c>
      <c r="D3032" s="607">
        <v>39.15</v>
      </c>
      <c r="E3032" s="607">
        <v>61.41</v>
      </c>
      <c r="F3032" s="607">
        <v>100.56</v>
      </c>
      <c r="G3032" s="584">
        <v>15</v>
      </c>
    </row>
    <row r="3033" spans="1:7" ht="15" x14ac:dyDescent="0.2">
      <c r="A3033" s="583" t="s">
        <v>18071</v>
      </c>
      <c r="B3033" s="605" t="s">
        <v>18072</v>
      </c>
      <c r="C3033" s="606" t="s">
        <v>12483</v>
      </c>
      <c r="D3033" s="607">
        <v>54.06</v>
      </c>
      <c r="E3033" s="607">
        <v>72.58</v>
      </c>
      <c r="F3033" s="607">
        <v>126.64</v>
      </c>
      <c r="G3033" s="584">
        <v>15</v>
      </c>
    </row>
    <row r="3034" spans="1:7" ht="15" x14ac:dyDescent="0.2">
      <c r="A3034" s="583" t="s">
        <v>18073</v>
      </c>
      <c r="B3034" s="605" t="s">
        <v>18074</v>
      </c>
      <c r="C3034" s="606" t="s">
        <v>12483</v>
      </c>
      <c r="D3034" s="607">
        <v>70</v>
      </c>
      <c r="E3034" s="607">
        <v>78.16</v>
      </c>
      <c r="F3034" s="607">
        <v>148.16</v>
      </c>
      <c r="G3034" s="584">
        <v>15</v>
      </c>
    </row>
    <row r="3035" spans="1:7" ht="15" x14ac:dyDescent="0.2">
      <c r="A3035" s="583" t="s">
        <v>18075</v>
      </c>
      <c r="B3035" s="605" t="s">
        <v>18076</v>
      </c>
      <c r="C3035" s="606" t="s">
        <v>12483</v>
      </c>
      <c r="D3035" s="607">
        <v>78.22</v>
      </c>
      <c r="E3035" s="607">
        <v>89.33</v>
      </c>
      <c r="F3035" s="607">
        <v>167.55</v>
      </c>
      <c r="G3035" s="584">
        <v>15</v>
      </c>
    </row>
    <row r="3036" spans="1:7" ht="15" x14ac:dyDescent="0.2">
      <c r="A3036" s="583" t="s">
        <v>18077</v>
      </c>
      <c r="B3036" s="605" t="s">
        <v>18078</v>
      </c>
      <c r="C3036" s="606" t="s">
        <v>12483</v>
      </c>
      <c r="D3036" s="607">
        <v>105.38</v>
      </c>
      <c r="E3036" s="607">
        <v>100.5</v>
      </c>
      <c r="F3036" s="607">
        <v>205.88</v>
      </c>
      <c r="G3036" s="584">
        <v>15</v>
      </c>
    </row>
    <row r="3037" spans="1:7" ht="15" x14ac:dyDescent="0.2">
      <c r="A3037" s="583" t="s">
        <v>18079</v>
      </c>
      <c r="B3037" s="605" t="s">
        <v>18080</v>
      </c>
      <c r="C3037" s="606" t="s">
        <v>12483</v>
      </c>
      <c r="D3037" s="607">
        <v>134.72</v>
      </c>
      <c r="E3037" s="607">
        <v>111.66</v>
      </c>
      <c r="F3037" s="607">
        <v>246.38</v>
      </c>
      <c r="G3037" s="584">
        <v>15</v>
      </c>
    </row>
    <row r="3038" spans="1:7" ht="15" x14ac:dyDescent="0.2">
      <c r="A3038" s="583" t="s">
        <v>18081</v>
      </c>
      <c r="B3038" s="605" t="s">
        <v>18082</v>
      </c>
      <c r="C3038" s="606" t="s">
        <v>12483</v>
      </c>
      <c r="D3038" s="607">
        <v>149.57</v>
      </c>
      <c r="E3038" s="607">
        <v>125.62</v>
      </c>
      <c r="F3038" s="607">
        <v>275.19</v>
      </c>
      <c r="G3038" s="584">
        <v>15</v>
      </c>
    </row>
    <row r="3039" spans="1:7" ht="15" x14ac:dyDescent="0.2">
      <c r="A3039" s="583" t="s">
        <v>18083</v>
      </c>
      <c r="B3039" s="605" t="s">
        <v>18084</v>
      </c>
      <c r="C3039" s="606" t="s">
        <v>12483</v>
      </c>
      <c r="D3039" s="607">
        <v>222.31</v>
      </c>
      <c r="E3039" s="607">
        <v>139.58000000000001</v>
      </c>
      <c r="F3039" s="607">
        <v>361.89</v>
      </c>
      <c r="G3039" s="584">
        <v>15</v>
      </c>
    </row>
    <row r="3040" spans="1:7" ht="15" x14ac:dyDescent="0.2">
      <c r="A3040" s="583" t="s">
        <v>18085</v>
      </c>
      <c r="B3040" s="605" t="s">
        <v>18086</v>
      </c>
      <c r="C3040" s="606" t="s">
        <v>12483</v>
      </c>
      <c r="D3040" s="607">
        <v>370.21</v>
      </c>
      <c r="E3040" s="607">
        <v>153.53</v>
      </c>
      <c r="F3040" s="607">
        <v>523.74</v>
      </c>
      <c r="G3040" s="584">
        <v>15</v>
      </c>
    </row>
    <row r="3041" spans="1:7" ht="15" x14ac:dyDescent="0.25">
      <c r="A3041" s="583" t="s">
        <v>18087</v>
      </c>
      <c r="B3041" s="605" t="s">
        <v>18088</v>
      </c>
      <c r="C3041" s="606"/>
      <c r="D3041" s="607"/>
      <c r="E3041" s="607"/>
      <c r="F3041" s="607"/>
      <c r="G3041" s="582"/>
    </row>
    <row r="3042" spans="1:7" ht="30" x14ac:dyDescent="0.2">
      <c r="A3042" s="583" t="s">
        <v>18089</v>
      </c>
      <c r="B3042" s="605" t="s">
        <v>18090</v>
      </c>
      <c r="C3042" s="606" t="s">
        <v>12483</v>
      </c>
      <c r="D3042" s="607">
        <v>68.5</v>
      </c>
      <c r="E3042" s="607">
        <v>55.83</v>
      </c>
      <c r="F3042" s="607">
        <v>124.33</v>
      </c>
      <c r="G3042" s="584">
        <v>15</v>
      </c>
    </row>
    <row r="3043" spans="1:7" ht="30" x14ac:dyDescent="0.2">
      <c r="A3043" s="583" t="s">
        <v>18091</v>
      </c>
      <c r="B3043" s="605" t="s">
        <v>18092</v>
      </c>
      <c r="C3043" s="606" t="s">
        <v>12483</v>
      </c>
      <c r="D3043" s="607">
        <v>88.43</v>
      </c>
      <c r="E3043" s="607">
        <v>61.41</v>
      </c>
      <c r="F3043" s="607">
        <v>149.84</v>
      </c>
      <c r="G3043" s="584">
        <v>15</v>
      </c>
    </row>
    <row r="3044" spans="1:7" ht="30" x14ac:dyDescent="0.2">
      <c r="A3044" s="583" t="s">
        <v>18093</v>
      </c>
      <c r="B3044" s="605" t="s">
        <v>18094</v>
      </c>
      <c r="C3044" s="606" t="s">
        <v>12483</v>
      </c>
      <c r="D3044" s="607">
        <v>92.28</v>
      </c>
      <c r="E3044" s="607">
        <v>72.58</v>
      </c>
      <c r="F3044" s="607">
        <v>164.86</v>
      </c>
      <c r="G3044" s="584">
        <v>15</v>
      </c>
    </row>
    <row r="3045" spans="1:7" ht="30" x14ac:dyDescent="0.2">
      <c r="A3045" s="583" t="s">
        <v>18095</v>
      </c>
      <c r="B3045" s="605" t="s">
        <v>18096</v>
      </c>
      <c r="C3045" s="606" t="s">
        <v>12483</v>
      </c>
      <c r="D3045" s="607">
        <v>129.66999999999999</v>
      </c>
      <c r="E3045" s="607">
        <v>78.16</v>
      </c>
      <c r="F3045" s="607">
        <v>207.83</v>
      </c>
      <c r="G3045" s="584">
        <v>15</v>
      </c>
    </row>
    <row r="3046" spans="1:7" ht="30" x14ac:dyDescent="0.2">
      <c r="A3046" s="583" t="s">
        <v>18097</v>
      </c>
      <c r="B3046" s="605" t="s">
        <v>18098</v>
      </c>
      <c r="C3046" s="606" t="s">
        <v>12483</v>
      </c>
      <c r="D3046" s="607">
        <v>130.68</v>
      </c>
      <c r="E3046" s="607">
        <v>89.33</v>
      </c>
      <c r="F3046" s="607">
        <v>220.01</v>
      </c>
      <c r="G3046" s="584">
        <v>15</v>
      </c>
    </row>
    <row r="3047" spans="1:7" ht="30" x14ac:dyDescent="0.2">
      <c r="A3047" s="583" t="s">
        <v>18099</v>
      </c>
      <c r="B3047" s="605" t="s">
        <v>18100</v>
      </c>
      <c r="C3047" s="606" t="s">
        <v>12483</v>
      </c>
      <c r="D3047" s="607">
        <v>154.12</v>
      </c>
      <c r="E3047" s="607">
        <v>100.5</v>
      </c>
      <c r="F3047" s="607">
        <v>254.62</v>
      </c>
      <c r="G3047" s="584">
        <v>15</v>
      </c>
    </row>
    <row r="3048" spans="1:7" ht="30" x14ac:dyDescent="0.2">
      <c r="A3048" s="583" t="s">
        <v>18101</v>
      </c>
      <c r="B3048" s="605" t="s">
        <v>18102</v>
      </c>
      <c r="C3048" s="606" t="s">
        <v>12483</v>
      </c>
      <c r="D3048" s="607">
        <v>245.06</v>
      </c>
      <c r="E3048" s="607">
        <v>111.66</v>
      </c>
      <c r="F3048" s="607">
        <v>356.72</v>
      </c>
      <c r="G3048" s="584">
        <v>15</v>
      </c>
    </row>
    <row r="3049" spans="1:7" ht="30" x14ac:dyDescent="0.2">
      <c r="A3049" s="583" t="s">
        <v>18103</v>
      </c>
      <c r="B3049" s="605" t="s">
        <v>18104</v>
      </c>
      <c r="C3049" s="606" t="s">
        <v>12483</v>
      </c>
      <c r="D3049" s="607">
        <v>287.98</v>
      </c>
      <c r="E3049" s="607">
        <v>125.62</v>
      </c>
      <c r="F3049" s="607">
        <v>413.6</v>
      </c>
      <c r="G3049" s="584">
        <v>15</v>
      </c>
    </row>
    <row r="3050" spans="1:7" ht="30" x14ac:dyDescent="0.2">
      <c r="A3050" s="583" t="s">
        <v>18105</v>
      </c>
      <c r="B3050" s="605" t="s">
        <v>18106</v>
      </c>
      <c r="C3050" s="606" t="s">
        <v>12483</v>
      </c>
      <c r="D3050" s="607">
        <v>398.74</v>
      </c>
      <c r="E3050" s="607">
        <v>139.58000000000001</v>
      </c>
      <c r="F3050" s="607">
        <v>538.32000000000005</v>
      </c>
      <c r="G3050" s="584">
        <v>15</v>
      </c>
    </row>
    <row r="3051" spans="1:7" ht="30" x14ac:dyDescent="0.2">
      <c r="A3051" s="583" t="s">
        <v>18107</v>
      </c>
      <c r="B3051" s="605" t="s">
        <v>18108</v>
      </c>
      <c r="C3051" s="606" t="s">
        <v>12483</v>
      </c>
      <c r="D3051" s="607">
        <v>682.79</v>
      </c>
      <c r="E3051" s="607">
        <v>153.53</v>
      </c>
      <c r="F3051" s="607">
        <v>836.32</v>
      </c>
      <c r="G3051" s="584">
        <v>15</v>
      </c>
    </row>
    <row r="3052" spans="1:7" ht="30" x14ac:dyDescent="0.25">
      <c r="A3052" s="583" t="s">
        <v>18109</v>
      </c>
      <c r="B3052" s="605" t="s">
        <v>18110</v>
      </c>
      <c r="C3052" s="606"/>
      <c r="D3052" s="607"/>
      <c r="E3052" s="607"/>
      <c r="F3052" s="607"/>
      <c r="G3052" s="582"/>
    </row>
    <row r="3053" spans="1:7" ht="30" x14ac:dyDescent="0.2">
      <c r="A3053" s="583" t="s">
        <v>18111</v>
      </c>
      <c r="B3053" s="605" t="s">
        <v>18112</v>
      </c>
      <c r="C3053" s="606" t="s">
        <v>12375</v>
      </c>
      <c r="D3053" s="607">
        <v>88.06</v>
      </c>
      <c r="E3053" s="607">
        <v>16.75</v>
      </c>
      <c r="F3053" s="607">
        <v>104.81</v>
      </c>
      <c r="G3053" s="584">
        <v>15</v>
      </c>
    </row>
    <row r="3054" spans="1:7" ht="30" x14ac:dyDescent="0.2">
      <c r="A3054" s="583" t="s">
        <v>18113</v>
      </c>
      <c r="B3054" s="605" t="s">
        <v>18114</v>
      </c>
      <c r="C3054" s="606" t="s">
        <v>12375</v>
      </c>
      <c r="D3054" s="607">
        <v>126.48</v>
      </c>
      <c r="E3054" s="607">
        <v>16.75</v>
      </c>
      <c r="F3054" s="607">
        <v>143.22999999999999</v>
      </c>
      <c r="G3054" s="584">
        <v>15</v>
      </c>
    </row>
    <row r="3055" spans="1:7" ht="30" x14ac:dyDescent="0.2">
      <c r="A3055" s="583" t="s">
        <v>18115</v>
      </c>
      <c r="B3055" s="605" t="s">
        <v>18116</v>
      </c>
      <c r="C3055" s="606" t="s">
        <v>12375</v>
      </c>
      <c r="D3055" s="607">
        <v>138.66</v>
      </c>
      <c r="E3055" s="607">
        <v>22.33</v>
      </c>
      <c r="F3055" s="607">
        <v>160.99</v>
      </c>
      <c r="G3055" s="584">
        <v>15</v>
      </c>
    </row>
    <row r="3056" spans="1:7" ht="30" x14ac:dyDescent="0.2">
      <c r="A3056" s="583" t="s">
        <v>18117</v>
      </c>
      <c r="B3056" s="605" t="s">
        <v>18118</v>
      </c>
      <c r="C3056" s="606" t="s">
        <v>12375</v>
      </c>
      <c r="D3056" s="607">
        <v>246.77</v>
      </c>
      <c r="E3056" s="607">
        <v>22.33</v>
      </c>
      <c r="F3056" s="607">
        <v>269.10000000000002</v>
      </c>
      <c r="G3056" s="584">
        <v>15</v>
      </c>
    </row>
    <row r="3057" spans="1:7" ht="30" x14ac:dyDescent="0.2">
      <c r="A3057" s="583" t="s">
        <v>18119</v>
      </c>
      <c r="B3057" s="605" t="s">
        <v>18120</v>
      </c>
      <c r="C3057" s="606" t="s">
        <v>12375</v>
      </c>
      <c r="D3057" s="607">
        <v>120.56</v>
      </c>
      <c r="E3057" s="607">
        <v>16.75</v>
      </c>
      <c r="F3057" s="607">
        <v>137.31</v>
      </c>
      <c r="G3057" s="584">
        <v>15</v>
      </c>
    </row>
    <row r="3058" spans="1:7" ht="30" x14ac:dyDescent="0.2">
      <c r="A3058" s="583" t="s">
        <v>18121</v>
      </c>
      <c r="B3058" s="605" t="s">
        <v>18122</v>
      </c>
      <c r="C3058" s="606" t="s">
        <v>12375</v>
      </c>
      <c r="D3058" s="607">
        <v>175.61</v>
      </c>
      <c r="E3058" s="607">
        <v>16.75</v>
      </c>
      <c r="F3058" s="607">
        <v>192.36</v>
      </c>
      <c r="G3058" s="584">
        <v>15</v>
      </c>
    </row>
    <row r="3059" spans="1:7" ht="30" x14ac:dyDescent="0.2">
      <c r="A3059" s="583" t="s">
        <v>18123</v>
      </c>
      <c r="B3059" s="605" t="s">
        <v>18124</v>
      </c>
      <c r="C3059" s="606" t="s">
        <v>12375</v>
      </c>
      <c r="D3059" s="607">
        <v>221.09</v>
      </c>
      <c r="E3059" s="607">
        <v>22.33</v>
      </c>
      <c r="F3059" s="607">
        <v>243.42</v>
      </c>
      <c r="G3059" s="584">
        <v>15</v>
      </c>
    </row>
    <row r="3060" spans="1:7" ht="30" x14ac:dyDescent="0.2">
      <c r="A3060" s="583" t="s">
        <v>18125</v>
      </c>
      <c r="B3060" s="605" t="s">
        <v>18126</v>
      </c>
      <c r="C3060" s="606" t="s">
        <v>12375</v>
      </c>
      <c r="D3060" s="607">
        <v>376.01</v>
      </c>
      <c r="E3060" s="607">
        <v>22.33</v>
      </c>
      <c r="F3060" s="607">
        <v>398.34</v>
      </c>
      <c r="G3060" s="584">
        <v>15</v>
      </c>
    </row>
    <row r="3061" spans="1:7" ht="30" x14ac:dyDescent="0.2">
      <c r="A3061" s="583" t="s">
        <v>18127</v>
      </c>
      <c r="B3061" s="605" t="s">
        <v>18128</v>
      </c>
      <c r="C3061" s="606" t="s">
        <v>12375</v>
      </c>
      <c r="D3061" s="607">
        <v>83.22</v>
      </c>
      <c r="E3061" s="607">
        <v>16.75</v>
      </c>
      <c r="F3061" s="607">
        <v>99.97</v>
      </c>
      <c r="G3061" s="584">
        <v>15</v>
      </c>
    </row>
    <row r="3062" spans="1:7" ht="30" x14ac:dyDescent="0.2">
      <c r="A3062" s="583" t="s">
        <v>18129</v>
      </c>
      <c r="B3062" s="605" t="s">
        <v>18130</v>
      </c>
      <c r="C3062" s="606" t="s">
        <v>12375</v>
      </c>
      <c r="D3062" s="607">
        <v>90.34</v>
      </c>
      <c r="E3062" s="607">
        <v>16.75</v>
      </c>
      <c r="F3062" s="607">
        <v>107.09</v>
      </c>
      <c r="G3062" s="584">
        <v>15</v>
      </c>
    </row>
    <row r="3063" spans="1:7" ht="30" x14ac:dyDescent="0.2">
      <c r="A3063" s="583" t="s">
        <v>18131</v>
      </c>
      <c r="B3063" s="605" t="s">
        <v>18132</v>
      </c>
      <c r="C3063" s="606" t="s">
        <v>12375</v>
      </c>
      <c r="D3063" s="607">
        <v>122.75</v>
      </c>
      <c r="E3063" s="607">
        <v>22.33</v>
      </c>
      <c r="F3063" s="607">
        <v>145.08000000000001</v>
      </c>
      <c r="G3063" s="584">
        <v>15</v>
      </c>
    </row>
    <row r="3064" spans="1:7" ht="30" x14ac:dyDescent="0.2">
      <c r="A3064" s="583" t="s">
        <v>18133</v>
      </c>
      <c r="B3064" s="605" t="s">
        <v>18134</v>
      </c>
      <c r="C3064" s="606" t="s">
        <v>12375</v>
      </c>
      <c r="D3064" s="607">
        <v>171.06</v>
      </c>
      <c r="E3064" s="607">
        <v>22.33</v>
      </c>
      <c r="F3064" s="607">
        <v>193.39</v>
      </c>
      <c r="G3064" s="584">
        <v>15</v>
      </c>
    </row>
    <row r="3065" spans="1:7" ht="30" x14ac:dyDescent="0.2">
      <c r="A3065" s="583" t="s">
        <v>18135</v>
      </c>
      <c r="B3065" s="605" t="s">
        <v>18136</v>
      </c>
      <c r="C3065" s="606" t="s">
        <v>12375</v>
      </c>
      <c r="D3065" s="607">
        <v>64.53</v>
      </c>
      <c r="E3065" s="607">
        <v>16.75</v>
      </c>
      <c r="F3065" s="607">
        <v>81.28</v>
      </c>
      <c r="G3065" s="584">
        <v>15</v>
      </c>
    </row>
    <row r="3066" spans="1:7" ht="30" x14ac:dyDescent="0.2">
      <c r="A3066" s="583" t="s">
        <v>18137</v>
      </c>
      <c r="B3066" s="605" t="s">
        <v>18138</v>
      </c>
      <c r="C3066" s="606" t="s">
        <v>12375</v>
      </c>
      <c r="D3066" s="607">
        <v>87.22</v>
      </c>
      <c r="E3066" s="607">
        <v>22.33</v>
      </c>
      <c r="F3066" s="607">
        <v>109.55</v>
      </c>
      <c r="G3066" s="584">
        <v>15</v>
      </c>
    </row>
    <row r="3067" spans="1:7" ht="30" x14ac:dyDescent="0.2">
      <c r="A3067" s="583" t="s">
        <v>18139</v>
      </c>
      <c r="B3067" s="605" t="s">
        <v>18140</v>
      </c>
      <c r="C3067" s="606" t="s">
        <v>12375</v>
      </c>
      <c r="D3067" s="607">
        <v>148.16</v>
      </c>
      <c r="E3067" s="607">
        <v>16.75</v>
      </c>
      <c r="F3067" s="607">
        <v>164.91</v>
      </c>
      <c r="G3067" s="584">
        <v>15</v>
      </c>
    </row>
    <row r="3068" spans="1:7" ht="30" x14ac:dyDescent="0.2">
      <c r="A3068" s="583" t="s">
        <v>18141</v>
      </c>
      <c r="B3068" s="605" t="s">
        <v>18142</v>
      </c>
      <c r="C3068" s="606" t="s">
        <v>12375</v>
      </c>
      <c r="D3068" s="607">
        <v>185.09</v>
      </c>
      <c r="E3068" s="607">
        <v>22.33</v>
      </c>
      <c r="F3068" s="607">
        <v>207.42</v>
      </c>
      <c r="G3068" s="584">
        <v>15</v>
      </c>
    </row>
    <row r="3069" spans="1:7" ht="30" x14ac:dyDescent="0.2">
      <c r="A3069" s="583" t="s">
        <v>18143</v>
      </c>
      <c r="B3069" s="605" t="s">
        <v>18144</v>
      </c>
      <c r="C3069" s="606" t="s">
        <v>12375</v>
      </c>
      <c r="D3069" s="607">
        <v>201.03</v>
      </c>
      <c r="E3069" s="607">
        <v>22.33</v>
      </c>
      <c r="F3069" s="607">
        <v>223.36</v>
      </c>
      <c r="G3069" s="584">
        <v>15</v>
      </c>
    </row>
    <row r="3070" spans="1:7" ht="30" x14ac:dyDescent="0.2">
      <c r="A3070" s="583" t="s">
        <v>18145</v>
      </c>
      <c r="B3070" s="605" t="s">
        <v>18146</v>
      </c>
      <c r="C3070" s="606" t="s">
        <v>12375</v>
      </c>
      <c r="D3070" s="607">
        <v>218.69</v>
      </c>
      <c r="E3070" s="607">
        <v>22.33</v>
      </c>
      <c r="F3070" s="607">
        <v>241.02</v>
      </c>
      <c r="G3070" s="584">
        <v>15</v>
      </c>
    </row>
    <row r="3071" spans="1:7" ht="30" x14ac:dyDescent="0.2">
      <c r="A3071" s="583" t="s">
        <v>18147</v>
      </c>
      <c r="B3071" s="605" t="s">
        <v>18148</v>
      </c>
      <c r="C3071" s="606" t="s">
        <v>12375</v>
      </c>
      <c r="D3071" s="607">
        <v>250.02</v>
      </c>
      <c r="E3071" s="607">
        <v>22.33</v>
      </c>
      <c r="F3071" s="607">
        <v>272.35000000000002</v>
      </c>
      <c r="G3071" s="584">
        <v>15</v>
      </c>
    </row>
    <row r="3072" spans="1:7" ht="30" x14ac:dyDescent="0.2">
      <c r="A3072" s="583" t="s">
        <v>18149</v>
      </c>
      <c r="B3072" s="605" t="s">
        <v>18150</v>
      </c>
      <c r="C3072" s="606" t="s">
        <v>12375</v>
      </c>
      <c r="D3072" s="607">
        <v>262.68</v>
      </c>
      <c r="E3072" s="607">
        <v>22.33</v>
      </c>
      <c r="F3072" s="607">
        <v>285.01</v>
      </c>
      <c r="G3072" s="584">
        <v>15</v>
      </c>
    </row>
    <row r="3073" spans="1:7" ht="30" x14ac:dyDescent="0.2">
      <c r="A3073" s="583" t="s">
        <v>18151</v>
      </c>
      <c r="B3073" s="605" t="s">
        <v>18152</v>
      </c>
      <c r="C3073" s="606" t="s">
        <v>12375</v>
      </c>
      <c r="D3073" s="607">
        <v>371.77</v>
      </c>
      <c r="E3073" s="607">
        <v>27.92</v>
      </c>
      <c r="F3073" s="607">
        <v>399.69</v>
      </c>
      <c r="G3073" s="584">
        <v>15</v>
      </c>
    </row>
    <row r="3074" spans="1:7" ht="30" x14ac:dyDescent="0.2">
      <c r="A3074" s="583" t="s">
        <v>18153</v>
      </c>
      <c r="B3074" s="605" t="s">
        <v>18154</v>
      </c>
      <c r="C3074" s="606" t="s">
        <v>12375</v>
      </c>
      <c r="D3074" s="607">
        <v>296.06</v>
      </c>
      <c r="E3074" s="607">
        <v>22.33</v>
      </c>
      <c r="F3074" s="607">
        <v>318.39</v>
      </c>
      <c r="G3074" s="584">
        <v>15</v>
      </c>
    </row>
    <row r="3075" spans="1:7" ht="30" x14ac:dyDescent="0.2">
      <c r="A3075" s="583" t="s">
        <v>18155</v>
      </c>
      <c r="B3075" s="605" t="s">
        <v>18156</v>
      </c>
      <c r="C3075" s="606" t="s">
        <v>12375</v>
      </c>
      <c r="D3075" s="607">
        <v>149.16</v>
      </c>
      <c r="E3075" s="607">
        <v>16.75</v>
      </c>
      <c r="F3075" s="607">
        <v>165.91</v>
      </c>
      <c r="G3075" s="584">
        <v>15</v>
      </c>
    </row>
    <row r="3076" spans="1:7" ht="30" x14ac:dyDescent="0.2">
      <c r="A3076" s="583" t="s">
        <v>18157</v>
      </c>
      <c r="B3076" s="605" t="s">
        <v>18158</v>
      </c>
      <c r="C3076" s="606" t="s">
        <v>12375</v>
      </c>
      <c r="D3076" s="607">
        <v>186.71</v>
      </c>
      <c r="E3076" s="607">
        <v>22.33</v>
      </c>
      <c r="F3076" s="607">
        <v>209.04</v>
      </c>
      <c r="G3076" s="584">
        <v>15</v>
      </c>
    </row>
    <row r="3077" spans="1:7" ht="30" x14ac:dyDescent="0.2">
      <c r="A3077" s="583" t="s">
        <v>18159</v>
      </c>
      <c r="B3077" s="605" t="s">
        <v>18160</v>
      </c>
      <c r="C3077" s="606" t="s">
        <v>12375</v>
      </c>
      <c r="D3077" s="607">
        <v>218.7</v>
      </c>
      <c r="E3077" s="607">
        <v>22.33</v>
      </c>
      <c r="F3077" s="607">
        <v>241.03</v>
      </c>
      <c r="G3077" s="584">
        <v>15</v>
      </c>
    </row>
    <row r="3078" spans="1:7" ht="30" x14ac:dyDescent="0.2">
      <c r="A3078" s="583" t="s">
        <v>18161</v>
      </c>
      <c r="B3078" s="605" t="s">
        <v>18162</v>
      </c>
      <c r="C3078" s="606" t="s">
        <v>12375</v>
      </c>
      <c r="D3078" s="607">
        <v>232.18</v>
      </c>
      <c r="E3078" s="607">
        <v>22.33</v>
      </c>
      <c r="F3078" s="607">
        <v>254.51</v>
      </c>
      <c r="G3078" s="584">
        <v>15</v>
      </c>
    </row>
    <row r="3079" spans="1:7" ht="30" x14ac:dyDescent="0.2">
      <c r="A3079" s="583" t="s">
        <v>18163</v>
      </c>
      <c r="B3079" s="605" t="s">
        <v>18164</v>
      </c>
      <c r="C3079" s="606" t="s">
        <v>12375</v>
      </c>
      <c r="D3079" s="607">
        <v>237.38</v>
      </c>
      <c r="E3079" s="607">
        <v>22.33</v>
      </c>
      <c r="F3079" s="607">
        <v>259.70999999999998</v>
      </c>
      <c r="G3079" s="584">
        <v>15</v>
      </c>
    </row>
    <row r="3080" spans="1:7" ht="30" x14ac:dyDescent="0.2">
      <c r="A3080" s="583" t="s">
        <v>18165</v>
      </c>
      <c r="B3080" s="605" t="s">
        <v>18166</v>
      </c>
      <c r="C3080" s="606" t="s">
        <v>12375</v>
      </c>
      <c r="D3080" s="607">
        <v>294.27999999999997</v>
      </c>
      <c r="E3080" s="607">
        <v>22.33</v>
      </c>
      <c r="F3080" s="607">
        <v>316.61</v>
      </c>
      <c r="G3080" s="584">
        <v>15</v>
      </c>
    </row>
    <row r="3081" spans="1:7" ht="30" x14ac:dyDescent="0.2">
      <c r="A3081" s="583" t="s">
        <v>18167</v>
      </c>
      <c r="B3081" s="605" t="s">
        <v>18168</v>
      </c>
      <c r="C3081" s="606" t="s">
        <v>12375</v>
      </c>
      <c r="D3081" s="607">
        <v>57.27</v>
      </c>
      <c r="E3081" s="607">
        <v>22.33</v>
      </c>
      <c r="F3081" s="607">
        <v>79.599999999999994</v>
      </c>
      <c r="G3081" s="584">
        <v>15</v>
      </c>
    </row>
    <row r="3082" spans="1:7" ht="30" x14ac:dyDescent="0.2">
      <c r="A3082" s="583" t="s">
        <v>18169</v>
      </c>
      <c r="B3082" s="605" t="s">
        <v>18170</v>
      </c>
      <c r="C3082" s="606" t="s">
        <v>12375</v>
      </c>
      <c r="D3082" s="607">
        <v>65.66</v>
      </c>
      <c r="E3082" s="607">
        <v>22.33</v>
      </c>
      <c r="F3082" s="607">
        <v>87.99</v>
      </c>
      <c r="G3082" s="584">
        <v>15</v>
      </c>
    </row>
    <row r="3083" spans="1:7" ht="30" x14ac:dyDescent="0.2">
      <c r="A3083" s="583" t="s">
        <v>18171</v>
      </c>
      <c r="B3083" s="605" t="s">
        <v>18172</v>
      </c>
      <c r="C3083" s="606" t="s">
        <v>12375</v>
      </c>
      <c r="D3083" s="607">
        <v>164.33</v>
      </c>
      <c r="E3083" s="607">
        <v>27.92</v>
      </c>
      <c r="F3083" s="607">
        <v>192.25</v>
      </c>
      <c r="G3083" s="584">
        <v>15</v>
      </c>
    </row>
    <row r="3084" spans="1:7" ht="15" x14ac:dyDescent="0.25">
      <c r="A3084" s="583" t="s">
        <v>18173</v>
      </c>
      <c r="B3084" s="605" t="s">
        <v>18174</v>
      </c>
      <c r="C3084" s="606"/>
      <c r="D3084" s="607"/>
      <c r="E3084" s="607"/>
      <c r="F3084" s="607"/>
      <c r="G3084" s="582"/>
    </row>
    <row r="3085" spans="1:7" ht="15" x14ac:dyDescent="0.2">
      <c r="A3085" s="583" t="s">
        <v>18175</v>
      </c>
      <c r="B3085" s="605" t="s">
        <v>18176</v>
      </c>
      <c r="C3085" s="606" t="s">
        <v>12483</v>
      </c>
      <c r="D3085" s="607">
        <v>80.150000000000006</v>
      </c>
      <c r="E3085" s="607">
        <v>18.420000000000002</v>
      </c>
      <c r="F3085" s="607">
        <v>98.57</v>
      </c>
      <c r="G3085" s="584">
        <v>15</v>
      </c>
    </row>
    <row r="3086" spans="1:7" ht="15" x14ac:dyDescent="0.2">
      <c r="A3086" s="583" t="s">
        <v>18177</v>
      </c>
      <c r="B3086" s="605" t="s">
        <v>18178</v>
      </c>
      <c r="C3086" s="606" t="s">
        <v>12483</v>
      </c>
      <c r="D3086" s="607">
        <v>119.52</v>
      </c>
      <c r="E3086" s="607">
        <v>20.100000000000001</v>
      </c>
      <c r="F3086" s="607">
        <v>139.62</v>
      </c>
      <c r="G3086" s="584">
        <v>15</v>
      </c>
    </row>
    <row r="3087" spans="1:7" ht="15" x14ac:dyDescent="0.2">
      <c r="A3087" s="583" t="s">
        <v>18179</v>
      </c>
      <c r="B3087" s="605" t="s">
        <v>18180</v>
      </c>
      <c r="C3087" s="606" t="s">
        <v>12483</v>
      </c>
      <c r="D3087" s="607">
        <v>147.13</v>
      </c>
      <c r="E3087" s="607">
        <v>25.12</v>
      </c>
      <c r="F3087" s="607">
        <v>172.25</v>
      </c>
      <c r="G3087" s="584">
        <v>15</v>
      </c>
    </row>
    <row r="3088" spans="1:7" ht="15" x14ac:dyDescent="0.2">
      <c r="A3088" s="583" t="s">
        <v>18181</v>
      </c>
      <c r="B3088" s="605" t="s">
        <v>18182</v>
      </c>
      <c r="C3088" s="606" t="s">
        <v>12483</v>
      </c>
      <c r="D3088" s="607">
        <v>245.61</v>
      </c>
      <c r="E3088" s="607">
        <v>28.47</v>
      </c>
      <c r="F3088" s="607">
        <v>274.08</v>
      </c>
      <c r="G3088" s="584">
        <v>15</v>
      </c>
    </row>
    <row r="3089" spans="1:7" ht="15" x14ac:dyDescent="0.2">
      <c r="A3089" s="583" t="s">
        <v>18183</v>
      </c>
      <c r="B3089" s="605" t="s">
        <v>18184</v>
      </c>
      <c r="C3089" s="606" t="s">
        <v>12483</v>
      </c>
      <c r="D3089" s="607">
        <v>280.41000000000003</v>
      </c>
      <c r="E3089" s="607">
        <v>28.47</v>
      </c>
      <c r="F3089" s="607">
        <v>308.88</v>
      </c>
      <c r="G3089" s="584">
        <v>15</v>
      </c>
    </row>
    <row r="3090" spans="1:7" ht="15" x14ac:dyDescent="0.2">
      <c r="A3090" s="583" t="s">
        <v>18185</v>
      </c>
      <c r="B3090" s="605" t="s">
        <v>18186</v>
      </c>
      <c r="C3090" s="606" t="s">
        <v>12483</v>
      </c>
      <c r="D3090" s="607">
        <v>380.23</v>
      </c>
      <c r="E3090" s="607">
        <v>38.520000000000003</v>
      </c>
      <c r="F3090" s="607">
        <v>418.75</v>
      </c>
      <c r="G3090" s="584">
        <v>15</v>
      </c>
    </row>
    <row r="3091" spans="1:7" ht="15" x14ac:dyDescent="0.2">
      <c r="A3091" s="583" t="s">
        <v>18187</v>
      </c>
      <c r="B3091" s="605" t="s">
        <v>18188</v>
      </c>
      <c r="C3091" s="606" t="s">
        <v>12483</v>
      </c>
      <c r="D3091" s="607">
        <v>501.89</v>
      </c>
      <c r="E3091" s="607">
        <v>45.23</v>
      </c>
      <c r="F3091" s="607">
        <v>547.12</v>
      </c>
      <c r="G3091" s="584">
        <v>15</v>
      </c>
    </row>
    <row r="3092" spans="1:7" ht="15" x14ac:dyDescent="0.2">
      <c r="A3092" s="583" t="s">
        <v>18189</v>
      </c>
      <c r="B3092" s="605" t="s">
        <v>18190</v>
      </c>
      <c r="C3092" s="606" t="s">
        <v>12483</v>
      </c>
      <c r="D3092" s="607">
        <v>666.08</v>
      </c>
      <c r="E3092" s="607">
        <v>48.57</v>
      </c>
      <c r="F3092" s="607">
        <v>714.65</v>
      </c>
      <c r="G3092" s="584">
        <v>15</v>
      </c>
    </row>
    <row r="3093" spans="1:7" ht="15" x14ac:dyDescent="0.2">
      <c r="A3093" s="583" t="s">
        <v>18191</v>
      </c>
      <c r="B3093" s="605" t="s">
        <v>18192</v>
      </c>
      <c r="C3093" s="606" t="s">
        <v>12483</v>
      </c>
      <c r="D3093" s="607">
        <v>842.07</v>
      </c>
      <c r="E3093" s="607">
        <v>55.27</v>
      </c>
      <c r="F3093" s="607">
        <v>897.34</v>
      </c>
      <c r="G3093" s="584">
        <v>15</v>
      </c>
    </row>
    <row r="3094" spans="1:7" ht="15" x14ac:dyDescent="0.2">
      <c r="A3094" s="583" t="s">
        <v>18193</v>
      </c>
      <c r="B3094" s="605" t="s">
        <v>18194</v>
      </c>
      <c r="C3094" s="606" t="s">
        <v>12483</v>
      </c>
      <c r="D3094" s="607">
        <v>85.56</v>
      </c>
      <c r="E3094" s="607">
        <v>20.100000000000001</v>
      </c>
      <c r="F3094" s="607">
        <v>105.66</v>
      </c>
      <c r="G3094" s="584">
        <v>15</v>
      </c>
    </row>
    <row r="3095" spans="1:7" ht="15" x14ac:dyDescent="0.2">
      <c r="A3095" s="583" t="s">
        <v>18195</v>
      </c>
      <c r="B3095" s="605" t="s">
        <v>18196</v>
      </c>
      <c r="C3095" s="606" t="s">
        <v>12483</v>
      </c>
      <c r="D3095" s="607">
        <v>101.72</v>
      </c>
      <c r="E3095" s="607">
        <v>25.12</v>
      </c>
      <c r="F3095" s="607">
        <v>126.84</v>
      </c>
      <c r="G3095" s="584">
        <v>15</v>
      </c>
    </row>
    <row r="3096" spans="1:7" ht="15" x14ac:dyDescent="0.2">
      <c r="A3096" s="583" t="s">
        <v>18197</v>
      </c>
      <c r="B3096" s="605" t="s">
        <v>18198</v>
      </c>
      <c r="C3096" s="606" t="s">
        <v>12483</v>
      </c>
      <c r="D3096" s="607">
        <v>189.91</v>
      </c>
      <c r="E3096" s="607">
        <v>28.47</v>
      </c>
      <c r="F3096" s="607">
        <v>218.38</v>
      </c>
      <c r="G3096" s="584">
        <v>15</v>
      </c>
    </row>
    <row r="3097" spans="1:7" ht="15" x14ac:dyDescent="0.2">
      <c r="A3097" s="583" t="s">
        <v>18199</v>
      </c>
      <c r="B3097" s="605" t="s">
        <v>18200</v>
      </c>
      <c r="C3097" s="606" t="s">
        <v>12483</v>
      </c>
      <c r="D3097" s="607">
        <v>244.22</v>
      </c>
      <c r="E3097" s="607">
        <v>28.47</v>
      </c>
      <c r="F3097" s="607">
        <v>272.69</v>
      </c>
      <c r="G3097" s="584">
        <v>15</v>
      </c>
    </row>
    <row r="3098" spans="1:7" ht="15" x14ac:dyDescent="0.2">
      <c r="A3098" s="583" t="s">
        <v>18201</v>
      </c>
      <c r="B3098" s="605" t="s">
        <v>18202</v>
      </c>
      <c r="C3098" s="606" t="s">
        <v>12483</v>
      </c>
      <c r="D3098" s="607">
        <v>261.52</v>
      </c>
      <c r="E3098" s="607">
        <v>38.520000000000003</v>
      </c>
      <c r="F3098" s="607">
        <v>300.04000000000002</v>
      </c>
      <c r="G3098" s="584">
        <v>15</v>
      </c>
    </row>
    <row r="3099" spans="1:7" ht="15" x14ac:dyDescent="0.2">
      <c r="A3099" s="583" t="s">
        <v>18203</v>
      </c>
      <c r="B3099" s="605" t="s">
        <v>18204</v>
      </c>
      <c r="C3099" s="606" t="s">
        <v>12483</v>
      </c>
      <c r="D3099" s="607">
        <v>426.81</v>
      </c>
      <c r="E3099" s="607">
        <v>45.23</v>
      </c>
      <c r="F3099" s="607">
        <v>472.04</v>
      </c>
      <c r="G3099" s="584">
        <v>15</v>
      </c>
    </row>
    <row r="3100" spans="1:7" ht="15" x14ac:dyDescent="0.25">
      <c r="A3100" s="583" t="s">
        <v>18205</v>
      </c>
      <c r="B3100" s="605" t="s">
        <v>18206</v>
      </c>
      <c r="C3100" s="606"/>
      <c r="D3100" s="607"/>
      <c r="E3100" s="607"/>
      <c r="F3100" s="607"/>
      <c r="G3100" s="582"/>
    </row>
    <row r="3101" spans="1:7" ht="15" x14ac:dyDescent="0.2">
      <c r="A3101" s="583" t="s">
        <v>18207</v>
      </c>
      <c r="B3101" s="605" t="s">
        <v>18208</v>
      </c>
      <c r="C3101" s="606" t="s">
        <v>12483</v>
      </c>
      <c r="D3101" s="607">
        <v>73.650000000000006</v>
      </c>
      <c r="E3101" s="607">
        <v>36.92</v>
      </c>
      <c r="F3101" s="607">
        <v>110.57</v>
      </c>
      <c r="G3101" s="584">
        <v>15</v>
      </c>
    </row>
    <row r="3102" spans="1:7" ht="15" x14ac:dyDescent="0.2">
      <c r="A3102" s="583" t="s">
        <v>18209</v>
      </c>
      <c r="B3102" s="605" t="s">
        <v>18210</v>
      </c>
      <c r="C3102" s="606" t="s">
        <v>12483</v>
      </c>
      <c r="D3102" s="607">
        <v>93.48</v>
      </c>
      <c r="E3102" s="607">
        <v>42.85</v>
      </c>
      <c r="F3102" s="607">
        <v>136.33000000000001</v>
      </c>
      <c r="G3102" s="584">
        <v>15</v>
      </c>
    </row>
    <row r="3103" spans="1:7" ht="15" x14ac:dyDescent="0.2">
      <c r="A3103" s="583" t="s">
        <v>18211</v>
      </c>
      <c r="B3103" s="605" t="s">
        <v>18212</v>
      </c>
      <c r="C3103" s="606" t="s">
        <v>12483</v>
      </c>
      <c r="D3103" s="607">
        <v>76.47</v>
      </c>
      <c r="E3103" s="607">
        <v>36.92</v>
      </c>
      <c r="F3103" s="607">
        <v>113.39</v>
      </c>
      <c r="G3103" s="584">
        <v>15</v>
      </c>
    </row>
    <row r="3104" spans="1:7" ht="15" x14ac:dyDescent="0.2">
      <c r="A3104" s="583" t="s">
        <v>18213</v>
      </c>
      <c r="B3104" s="605" t="s">
        <v>18214</v>
      </c>
      <c r="C3104" s="606" t="s">
        <v>12483</v>
      </c>
      <c r="D3104" s="607">
        <v>94.28</v>
      </c>
      <c r="E3104" s="607">
        <v>42.85</v>
      </c>
      <c r="F3104" s="607">
        <v>137.13</v>
      </c>
      <c r="G3104" s="584">
        <v>15</v>
      </c>
    </row>
    <row r="3105" spans="1:7" ht="15" x14ac:dyDescent="0.2">
      <c r="A3105" s="583" t="s">
        <v>18215</v>
      </c>
      <c r="B3105" s="605" t="s">
        <v>18216</v>
      </c>
      <c r="C3105" s="606" t="s">
        <v>12483</v>
      </c>
      <c r="D3105" s="607">
        <v>130.87</v>
      </c>
      <c r="E3105" s="607">
        <v>52.92</v>
      </c>
      <c r="F3105" s="607">
        <v>183.79</v>
      </c>
      <c r="G3105" s="584">
        <v>15</v>
      </c>
    </row>
    <row r="3106" spans="1:7" ht="15" x14ac:dyDescent="0.2">
      <c r="A3106" s="583" t="s">
        <v>18217</v>
      </c>
      <c r="B3106" s="605" t="s">
        <v>18218</v>
      </c>
      <c r="C3106" s="606" t="s">
        <v>12483</v>
      </c>
      <c r="D3106" s="607">
        <v>264.87</v>
      </c>
      <c r="E3106" s="607">
        <v>60.23</v>
      </c>
      <c r="F3106" s="607">
        <v>325.10000000000002</v>
      </c>
      <c r="G3106" s="584">
        <v>15</v>
      </c>
    </row>
    <row r="3107" spans="1:7" ht="15" x14ac:dyDescent="0.2">
      <c r="A3107" s="583" t="s">
        <v>18219</v>
      </c>
      <c r="B3107" s="605" t="s">
        <v>18220</v>
      </c>
      <c r="C3107" s="606" t="s">
        <v>12483</v>
      </c>
      <c r="D3107" s="607">
        <v>402.2</v>
      </c>
      <c r="E3107" s="607">
        <v>77.599999999999994</v>
      </c>
      <c r="F3107" s="607">
        <v>479.8</v>
      </c>
      <c r="G3107" s="584">
        <v>15</v>
      </c>
    </row>
    <row r="3108" spans="1:7" ht="15" x14ac:dyDescent="0.2">
      <c r="A3108" s="583" t="s">
        <v>18221</v>
      </c>
      <c r="B3108" s="605" t="s">
        <v>18222</v>
      </c>
      <c r="C3108" s="606" t="s">
        <v>12483</v>
      </c>
      <c r="D3108" s="607">
        <v>550.64</v>
      </c>
      <c r="E3108" s="607">
        <v>97.75</v>
      </c>
      <c r="F3108" s="607">
        <v>648.39</v>
      </c>
      <c r="G3108" s="584">
        <v>15</v>
      </c>
    </row>
    <row r="3109" spans="1:7" ht="15" x14ac:dyDescent="0.2">
      <c r="A3109" s="583" t="s">
        <v>18223</v>
      </c>
      <c r="B3109" s="605" t="s">
        <v>18224</v>
      </c>
      <c r="C3109" s="606" t="s">
        <v>12483</v>
      </c>
      <c r="D3109" s="607">
        <v>829.92</v>
      </c>
      <c r="E3109" s="607">
        <v>146.12</v>
      </c>
      <c r="F3109" s="607">
        <v>976.04</v>
      </c>
      <c r="G3109" s="584">
        <v>15</v>
      </c>
    </row>
    <row r="3110" spans="1:7" ht="15" x14ac:dyDescent="0.2">
      <c r="A3110" s="583" t="s">
        <v>18225</v>
      </c>
      <c r="B3110" s="605" t="s">
        <v>18226</v>
      </c>
      <c r="C3110" s="606" t="s">
        <v>12483</v>
      </c>
      <c r="D3110" s="607">
        <v>199.66</v>
      </c>
      <c r="E3110" s="607">
        <v>60.23</v>
      </c>
      <c r="F3110" s="607">
        <v>259.89</v>
      </c>
      <c r="G3110" s="584">
        <v>15</v>
      </c>
    </row>
    <row r="3111" spans="1:7" ht="15" x14ac:dyDescent="0.2">
      <c r="A3111" s="583" t="s">
        <v>18227</v>
      </c>
      <c r="B3111" s="605" t="s">
        <v>18228</v>
      </c>
      <c r="C3111" s="606" t="s">
        <v>12483</v>
      </c>
      <c r="D3111" s="607">
        <v>395.22</v>
      </c>
      <c r="E3111" s="607">
        <v>77.599999999999994</v>
      </c>
      <c r="F3111" s="607">
        <v>472.82</v>
      </c>
      <c r="G3111" s="584">
        <v>15</v>
      </c>
    </row>
    <row r="3112" spans="1:7" ht="15" x14ac:dyDescent="0.2">
      <c r="A3112" s="583" t="s">
        <v>18229</v>
      </c>
      <c r="B3112" s="605" t="s">
        <v>18230</v>
      </c>
      <c r="C3112" s="606" t="s">
        <v>12483</v>
      </c>
      <c r="D3112" s="607">
        <v>551.19000000000005</v>
      </c>
      <c r="E3112" s="607">
        <v>97.75</v>
      </c>
      <c r="F3112" s="607">
        <v>648.94000000000005</v>
      </c>
      <c r="G3112" s="584">
        <v>15</v>
      </c>
    </row>
    <row r="3113" spans="1:7" ht="15" x14ac:dyDescent="0.2">
      <c r="A3113" s="583" t="s">
        <v>18231</v>
      </c>
      <c r="B3113" s="605" t="s">
        <v>18232</v>
      </c>
      <c r="C3113" s="606" t="s">
        <v>12483</v>
      </c>
      <c r="D3113" s="607">
        <v>307.11</v>
      </c>
      <c r="E3113" s="607">
        <v>60.23</v>
      </c>
      <c r="F3113" s="607">
        <v>367.34</v>
      </c>
      <c r="G3113" s="584">
        <v>15</v>
      </c>
    </row>
    <row r="3114" spans="1:7" ht="15" x14ac:dyDescent="0.2">
      <c r="A3114" s="583" t="s">
        <v>18233</v>
      </c>
      <c r="B3114" s="605" t="s">
        <v>18234</v>
      </c>
      <c r="C3114" s="606" t="s">
        <v>12483</v>
      </c>
      <c r="D3114" s="607">
        <v>489.48</v>
      </c>
      <c r="E3114" s="607">
        <v>77.599999999999994</v>
      </c>
      <c r="F3114" s="607">
        <v>567.08000000000004</v>
      </c>
      <c r="G3114" s="584">
        <v>15</v>
      </c>
    </row>
    <row r="3115" spans="1:7" ht="15" x14ac:dyDescent="0.2">
      <c r="A3115" s="583" t="s">
        <v>18235</v>
      </c>
      <c r="B3115" s="605" t="s">
        <v>18236</v>
      </c>
      <c r="C3115" s="606" t="s">
        <v>12483</v>
      </c>
      <c r="D3115" s="607">
        <v>714.82</v>
      </c>
      <c r="E3115" s="607">
        <v>97.75</v>
      </c>
      <c r="F3115" s="607">
        <v>812.57</v>
      </c>
      <c r="G3115" s="584">
        <v>15</v>
      </c>
    </row>
    <row r="3116" spans="1:7" ht="15" x14ac:dyDescent="0.2">
      <c r="A3116" s="583" t="s">
        <v>18237</v>
      </c>
      <c r="B3116" s="605" t="s">
        <v>18238</v>
      </c>
      <c r="C3116" s="606" t="s">
        <v>12483</v>
      </c>
      <c r="D3116" s="607">
        <v>36.42</v>
      </c>
      <c r="E3116" s="607">
        <v>35.770000000000003</v>
      </c>
      <c r="F3116" s="607">
        <v>72.19</v>
      </c>
      <c r="G3116" s="584">
        <v>15</v>
      </c>
    </row>
    <row r="3117" spans="1:7" ht="15" x14ac:dyDescent="0.2">
      <c r="A3117" s="583" t="s">
        <v>18239</v>
      </c>
      <c r="B3117" s="605" t="s">
        <v>18240</v>
      </c>
      <c r="C3117" s="606" t="s">
        <v>12483</v>
      </c>
      <c r="D3117" s="607">
        <v>49.37</v>
      </c>
      <c r="E3117" s="607">
        <v>45.58</v>
      </c>
      <c r="F3117" s="607">
        <v>94.95</v>
      </c>
      <c r="G3117" s="584">
        <v>15</v>
      </c>
    </row>
    <row r="3118" spans="1:7" ht="15" x14ac:dyDescent="0.2">
      <c r="A3118" s="583" t="s">
        <v>18241</v>
      </c>
      <c r="B3118" s="605" t="s">
        <v>18242</v>
      </c>
      <c r="C3118" s="606" t="s">
        <v>12483</v>
      </c>
      <c r="D3118" s="607">
        <v>87.7</v>
      </c>
      <c r="E3118" s="607">
        <v>77.03</v>
      </c>
      <c r="F3118" s="607">
        <v>164.73</v>
      </c>
      <c r="G3118" s="584">
        <v>15</v>
      </c>
    </row>
    <row r="3119" spans="1:7" ht="15" x14ac:dyDescent="0.2">
      <c r="A3119" s="583" t="s">
        <v>18243</v>
      </c>
      <c r="B3119" s="605" t="s">
        <v>18244</v>
      </c>
      <c r="C3119" s="606" t="s">
        <v>12483</v>
      </c>
      <c r="D3119" s="607">
        <v>1188.01</v>
      </c>
      <c r="E3119" s="607">
        <v>219.18</v>
      </c>
      <c r="F3119" s="607">
        <v>1407.19</v>
      </c>
      <c r="G3119" s="584">
        <v>15</v>
      </c>
    </row>
    <row r="3120" spans="1:7" ht="15" x14ac:dyDescent="0.2">
      <c r="A3120" s="583" t="s">
        <v>18245</v>
      </c>
      <c r="B3120" s="605" t="s">
        <v>18246</v>
      </c>
      <c r="C3120" s="606" t="s">
        <v>12483</v>
      </c>
      <c r="D3120" s="607">
        <v>145.1</v>
      </c>
      <c r="E3120" s="607">
        <v>42.85</v>
      </c>
      <c r="F3120" s="607">
        <v>187.95</v>
      </c>
      <c r="G3120" s="584">
        <v>15</v>
      </c>
    </row>
    <row r="3121" spans="1:7" ht="15" x14ac:dyDescent="0.2">
      <c r="A3121" s="583" t="s">
        <v>18247</v>
      </c>
      <c r="B3121" s="605" t="s">
        <v>18248</v>
      </c>
      <c r="C3121" s="606" t="s">
        <v>12483</v>
      </c>
      <c r="D3121" s="607">
        <v>116.67</v>
      </c>
      <c r="E3121" s="607">
        <v>42.85</v>
      </c>
      <c r="F3121" s="607">
        <v>159.52000000000001</v>
      </c>
      <c r="G3121" s="584">
        <v>15</v>
      </c>
    </row>
    <row r="3122" spans="1:7" ht="15" x14ac:dyDescent="0.2">
      <c r="A3122" s="583" t="s">
        <v>18249</v>
      </c>
      <c r="B3122" s="605" t="s">
        <v>18250</v>
      </c>
      <c r="C3122" s="606" t="s">
        <v>12483</v>
      </c>
      <c r="D3122" s="607">
        <v>154.82</v>
      </c>
      <c r="E3122" s="607">
        <v>42.85</v>
      </c>
      <c r="F3122" s="607">
        <v>197.67</v>
      </c>
      <c r="G3122" s="584">
        <v>15</v>
      </c>
    </row>
    <row r="3123" spans="1:7" ht="15" x14ac:dyDescent="0.2">
      <c r="A3123" s="583" t="s">
        <v>18251</v>
      </c>
      <c r="B3123" s="605" t="s">
        <v>18252</v>
      </c>
      <c r="C3123" s="606" t="s">
        <v>12483</v>
      </c>
      <c r="D3123" s="607">
        <v>258.95</v>
      </c>
      <c r="E3123" s="607">
        <v>67.53</v>
      </c>
      <c r="F3123" s="607">
        <v>326.48</v>
      </c>
      <c r="G3123" s="584">
        <v>15</v>
      </c>
    </row>
    <row r="3124" spans="1:7" ht="15" x14ac:dyDescent="0.2">
      <c r="A3124" s="583" t="s">
        <v>18253</v>
      </c>
      <c r="B3124" s="605" t="s">
        <v>18254</v>
      </c>
      <c r="C3124" s="606" t="s">
        <v>12483</v>
      </c>
      <c r="D3124" s="607">
        <v>157.96</v>
      </c>
      <c r="E3124" s="607">
        <v>52.92</v>
      </c>
      <c r="F3124" s="607">
        <v>210.88</v>
      </c>
      <c r="G3124" s="584">
        <v>15</v>
      </c>
    </row>
    <row r="3125" spans="1:7" ht="15" x14ac:dyDescent="0.2">
      <c r="A3125" s="583" t="s">
        <v>18255</v>
      </c>
      <c r="B3125" s="605" t="s">
        <v>18256</v>
      </c>
      <c r="C3125" s="606" t="s">
        <v>12483</v>
      </c>
      <c r="D3125" s="607">
        <v>470.66</v>
      </c>
      <c r="E3125" s="607">
        <v>87.67</v>
      </c>
      <c r="F3125" s="607">
        <v>558.33000000000004</v>
      </c>
      <c r="G3125" s="584">
        <v>15</v>
      </c>
    </row>
    <row r="3126" spans="1:7" ht="15" x14ac:dyDescent="0.2">
      <c r="A3126" s="583" t="s">
        <v>18257</v>
      </c>
      <c r="B3126" s="605" t="s">
        <v>18258</v>
      </c>
      <c r="C3126" s="606" t="s">
        <v>12483</v>
      </c>
      <c r="D3126" s="607">
        <v>116.16</v>
      </c>
      <c r="E3126" s="607">
        <v>36.92</v>
      </c>
      <c r="F3126" s="607">
        <v>153.08000000000001</v>
      </c>
      <c r="G3126" s="584">
        <v>15</v>
      </c>
    </row>
    <row r="3127" spans="1:7" ht="15" x14ac:dyDescent="0.2">
      <c r="A3127" s="583" t="s">
        <v>18259</v>
      </c>
      <c r="B3127" s="605" t="s">
        <v>18260</v>
      </c>
      <c r="C3127" s="606" t="s">
        <v>12483</v>
      </c>
      <c r="D3127" s="607">
        <v>104.97</v>
      </c>
      <c r="E3127" s="607">
        <v>36.92</v>
      </c>
      <c r="F3127" s="607">
        <v>141.88999999999999</v>
      </c>
      <c r="G3127" s="584">
        <v>15</v>
      </c>
    </row>
    <row r="3128" spans="1:7" ht="15" x14ac:dyDescent="0.2">
      <c r="A3128" s="583" t="s">
        <v>18261</v>
      </c>
      <c r="B3128" s="605" t="s">
        <v>18262</v>
      </c>
      <c r="C3128" s="606" t="s">
        <v>12483</v>
      </c>
      <c r="D3128" s="607">
        <v>25.28</v>
      </c>
      <c r="E3128" s="607">
        <v>13.02</v>
      </c>
      <c r="F3128" s="607">
        <v>38.299999999999997</v>
      </c>
      <c r="G3128" s="584">
        <v>15</v>
      </c>
    </row>
    <row r="3129" spans="1:7" ht="15" x14ac:dyDescent="0.25">
      <c r="A3129" s="583" t="s">
        <v>18263</v>
      </c>
      <c r="B3129" s="605" t="s">
        <v>18264</v>
      </c>
      <c r="C3129" s="606"/>
      <c r="D3129" s="607"/>
      <c r="E3129" s="607"/>
      <c r="F3129" s="607"/>
      <c r="G3129" s="582"/>
    </row>
    <row r="3130" spans="1:7" ht="30" x14ac:dyDescent="0.2">
      <c r="A3130" s="583" t="s">
        <v>18265</v>
      </c>
      <c r="B3130" s="605" t="s">
        <v>18266</v>
      </c>
      <c r="C3130" s="606" t="s">
        <v>12483</v>
      </c>
      <c r="D3130" s="607">
        <v>7.81</v>
      </c>
      <c r="E3130" s="607">
        <v>1.87</v>
      </c>
      <c r="F3130" s="607">
        <v>9.68</v>
      </c>
      <c r="G3130" s="584">
        <v>15</v>
      </c>
    </row>
    <row r="3131" spans="1:7" ht="30" x14ac:dyDescent="0.2">
      <c r="A3131" s="583" t="s">
        <v>18267</v>
      </c>
      <c r="B3131" s="605" t="s">
        <v>18268</v>
      </c>
      <c r="C3131" s="606" t="s">
        <v>12483</v>
      </c>
      <c r="D3131" s="607">
        <v>8.86</v>
      </c>
      <c r="E3131" s="607">
        <v>1.87</v>
      </c>
      <c r="F3131" s="607">
        <v>10.73</v>
      </c>
      <c r="G3131" s="584">
        <v>15</v>
      </c>
    </row>
    <row r="3132" spans="1:7" ht="30" x14ac:dyDescent="0.2">
      <c r="A3132" s="583" t="s">
        <v>18269</v>
      </c>
      <c r="B3132" s="605" t="s">
        <v>18270</v>
      </c>
      <c r="C3132" s="606" t="s">
        <v>12483</v>
      </c>
      <c r="D3132" s="607">
        <v>12.25</v>
      </c>
      <c r="E3132" s="607">
        <v>1.87</v>
      </c>
      <c r="F3132" s="607">
        <v>14.12</v>
      </c>
      <c r="G3132" s="584">
        <v>15</v>
      </c>
    </row>
    <row r="3133" spans="1:7" ht="30" x14ac:dyDescent="0.2">
      <c r="A3133" s="583" t="s">
        <v>18271</v>
      </c>
      <c r="B3133" s="605" t="s">
        <v>18272</v>
      </c>
      <c r="C3133" s="606" t="s">
        <v>12483</v>
      </c>
      <c r="D3133" s="607">
        <v>23.95</v>
      </c>
      <c r="E3133" s="607">
        <v>1.87</v>
      </c>
      <c r="F3133" s="607">
        <v>25.82</v>
      </c>
      <c r="G3133" s="584">
        <v>15</v>
      </c>
    </row>
    <row r="3134" spans="1:7" ht="30" x14ac:dyDescent="0.2">
      <c r="A3134" s="583" t="s">
        <v>18273</v>
      </c>
      <c r="B3134" s="605" t="s">
        <v>18274</v>
      </c>
      <c r="C3134" s="606" t="s">
        <v>12483</v>
      </c>
      <c r="D3134" s="607">
        <v>35.85</v>
      </c>
      <c r="E3134" s="607">
        <v>1.87</v>
      </c>
      <c r="F3134" s="607">
        <v>37.72</v>
      </c>
      <c r="G3134" s="584">
        <v>15</v>
      </c>
    </row>
    <row r="3135" spans="1:7" ht="30" x14ac:dyDescent="0.2">
      <c r="A3135" s="583" t="s">
        <v>18275</v>
      </c>
      <c r="B3135" s="605" t="s">
        <v>18276</v>
      </c>
      <c r="C3135" s="606" t="s">
        <v>12483</v>
      </c>
      <c r="D3135" s="607">
        <v>82.98</v>
      </c>
      <c r="E3135" s="607">
        <v>2.8</v>
      </c>
      <c r="F3135" s="607">
        <v>85.78</v>
      </c>
      <c r="G3135" s="584">
        <v>15</v>
      </c>
    </row>
    <row r="3136" spans="1:7" ht="30" x14ac:dyDescent="0.2">
      <c r="A3136" s="583" t="s">
        <v>18277</v>
      </c>
      <c r="B3136" s="605" t="s">
        <v>18278</v>
      </c>
      <c r="C3136" s="606" t="s">
        <v>12483</v>
      </c>
      <c r="D3136" s="607">
        <v>112.87</v>
      </c>
      <c r="E3136" s="607">
        <v>2.8</v>
      </c>
      <c r="F3136" s="607">
        <v>115.67</v>
      </c>
      <c r="G3136" s="584">
        <v>15</v>
      </c>
    </row>
    <row r="3137" spans="1:7" ht="30" x14ac:dyDescent="0.2">
      <c r="A3137" s="583" t="s">
        <v>18279</v>
      </c>
      <c r="B3137" s="605" t="s">
        <v>18280</v>
      </c>
      <c r="C3137" s="606" t="s">
        <v>12483</v>
      </c>
      <c r="D3137" s="607">
        <v>194.3</v>
      </c>
      <c r="E3137" s="607">
        <v>2.8</v>
      </c>
      <c r="F3137" s="607">
        <v>197.1</v>
      </c>
      <c r="G3137" s="584">
        <v>15</v>
      </c>
    </row>
    <row r="3138" spans="1:7" ht="30" x14ac:dyDescent="0.2">
      <c r="A3138" s="583" t="s">
        <v>18281</v>
      </c>
      <c r="B3138" s="605" t="s">
        <v>18282</v>
      </c>
      <c r="C3138" s="606" t="s">
        <v>12483</v>
      </c>
      <c r="D3138" s="607">
        <v>325.39</v>
      </c>
      <c r="E3138" s="607">
        <v>2.8</v>
      </c>
      <c r="F3138" s="607">
        <v>328.19</v>
      </c>
      <c r="G3138" s="584">
        <v>15</v>
      </c>
    </row>
    <row r="3139" spans="1:7" ht="30" x14ac:dyDescent="0.2">
      <c r="A3139" s="583" t="s">
        <v>18283</v>
      </c>
      <c r="B3139" s="605" t="s">
        <v>18284</v>
      </c>
      <c r="C3139" s="606" t="s">
        <v>12483</v>
      </c>
      <c r="D3139" s="607">
        <v>426.64</v>
      </c>
      <c r="E3139" s="607">
        <v>2.8</v>
      </c>
      <c r="F3139" s="607">
        <v>429.44</v>
      </c>
      <c r="G3139" s="584">
        <v>15</v>
      </c>
    </row>
    <row r="3140" spans="1:7" ht="30" x14ac:dyDescent="0.2">
      <c r="A3140" s="583" t="s">
        <v>18285</v>
      </c>
      <c r="B3140" s="605" t="s">
        <v>18286</v>
      </c>
      <c r="C3140" s="606" t="s">
        <v>12483</v>
      </c>
      <c r="D3140" s="607">
        <v>688.07</v>
      </c>
      <c r="E3140" s="607">
        <v>2.8</v>
      </c>
      <c r="F3140" s="607">
        <v>690.87</v>
      </c>
      <c r="G3140" s="584">
        <v>15</v>
      </c>
    </row>
    <row r="3141" spans="1:7" ht="30" x14ac:dyDescent="0.2">
      <c r="A3141" s="583" t="s">
        <v>18287</v>
      </c>
      <c r="B3141" s="605" t="s">
        <v>18288</v>
      </c>
      <c r="C3141" s="606" t="s">
        <v>12483</v>
      </c>
      <c r="D3141" s="607">
        <v>983.34</v>
      </c>
      <c r="E3141" s="607">
        <v>2.8</v>
      </c>
      <c r="F3141" s="607">
        <v>986.14</v>
      </c>
      <c r="G3141" s="584">
        <v>15</v>
      </c>
    </row>
    <row r="3142" spans="1:7" ht="30" x14ac:dyDescent="0.2">
      <c r="A3142" s="583" t="s">
        <v>18289</v>
      </c>
      <c r="B3142" s="605" t="s">
        <v>18290</v>
      </c>
      <c r="C3142" s="606" t="s">
        <v>12483</v>
      </c>
      <c r="D3142" s="607">
        <v>1359.49</v>
      </c>
      <c r="E3142" s="607">
        <v>2.8</v>
      </c>
      <c r="F3142" s="607">
        <v>1362.29</v>
      </c>
      <c r="G3142" s="584">
        <v>15</v>
      </c>
    </row>
    <row r="3143" spans="1:7" ht="15" x14ac:dyDescent="0.25">
      <c r="A3143" s="583" t="s">
        <v>18291</v>
      </c>
      <c r="B3143" s="605" t="s">
        <v>18292</v>
      </c>
      <c r="C3143" s="606"/>
      <c r="D3143" s="607"/>
      <c r="E3143" s="607"/>
      <c r="F3143" s="607"/>
      <c r="G3143" s="582"/>
    </row>
    <row r="3144" spans="1:7" ht="30" x14ac:dyDescent="0.2">
      <c r="A3144" s="583" t="s">
        <v>18293</v>
      </c>
      <c r="B3144" s="605" t="s">
        <v>18294</v>
      </c>
      <c r="C3144" s="606" t="s">
        <v>12483</v>
      </c>
      <c r="D3144" s="607">
        <v>593.66999999999996</v>
      </c>
      <c r="E3144" s="607">
        <v>39.270000000000003</v>
      </c>
      <c r="F3144" s="607">
        <v>632.94000000000005</v>
      </c>
      <c r="G3144" s="584">
        <v>15</v>
      </c>
    </row>
    <row r="3145" spans="1:7" ht="30" x14ac:dyDescent="0.2">
      <c r="A3145" s="583" t="s">
        <v>18295</v>
      </c>
      <c r="B3145" s="605" t="s">
        <v>18296</v>
      </c>
      <c r="C3145" s="606" t="s">
        <v>12483</v>
      </c>
      <c r="D3145" s="607">
        <v>689.17</v>
      </c>
      <c r="E3145" s="607">
        <v>39.270000000000003</v>
      </c>
      <c r="F3145" s="607">
        <v>728.44</v>
      </c>
      <c r="G3145" s="584">
        <v>15</v>
      </c>
    </row>
    <row r="3146" spans="1:7" ht="30" x14ac:dyDescent="0.2">
      <c r="A3146" s="583" t="s">
        <v>18297</v>
      </c>
      <c r="B3146" s="605" t="s">
        <v>18298</v>
      </c>
      <c r="C3146" s="606" t="s">
        <v>12483</v>
      </c>
      <c r="D3146" s="607">
        <v>880.53</v>
      </c>
      <c r="E3146" s="607">
        <v>39.270000000000003</v>
      </c>
      <c r="F3146" s="607">
        <v>919.8</v>
      </c>
      <c r="G3146" s="584">
        <v>15</v>
      </c>
    </row>
    <row r="3147" spans="1:7" ht="30" x14ac:dyDescent="0.2">
      <c r="A3147" s="583" t="s">
        <v>18299</v>
      </c>
      <c r="B3147" s="605" t="s">
        <v>18300</v>
      </c>
      <c r="C3147" s="606" t="s">
        <v>12483</v>
      </c>
      <c r="D3147" s="607">
        <v>1309.67</v>
      </c>
      <c r="E3147" s="607">
        <v>39.270000000000003</v>
      </c>
      <c r="F3147" s="607">
        <v>1348.94</v>
      </c>
      <c r="G3147" s="584">
        <v>15</v>
      </c>
    </row>
    <row r="3148" spans="1:7" ht="30" x14ac:dyDescent="0.2">
      <c r="A3148" s="583" t="s">
        <v>18301</v>
      </c>
      <c r="B3148" s="605" t="s">
        <v>18302</v>
      </c>
      <c r="C3148" s="606" t="s">
        <v>12483</v>
      </c>
      <c r="D3148" s="607">
        <v>1054.75</v>
      </c>
      <c r="E3148" s="607">
        <v>39.270000000000003</v>
      </c>
      <c r="F3148" s="607">
        <v>1094.02</v>
      </c>
      <c r="G3148" s="584">
        <v>15</v>
      </c>
    </row>
    <row r="3149" spans="1:7" ht="30" x14ac:dyDescent="0.2">
      <c r="A3149" s="583" t="s">
        <v>18303</v>
      </c>
      <c r="B3149" s="605" t="s">
        <v>18304</v>
      </c>
      <c r="C3149" s="606" t="s">
        <v>12483</v>
      </c>
      <c r="D3149" s="607">
        <v>530.42999999999995</v>
      </c>
      <c r="E3149" s="607">
        <v>39.270000000000003</v>
      </c>
      <c r="F3149" s="607">
        <v>569.70000000000005</v>
      </c>
      <c r="G3149" s="584">
        <v>15</v>
      </c>
    </row>
    <row r="3150" spans="1:7" ht="30" x14ac:dyDescent="0.2">
      <c r="A3150" s="583" t="s">
        <v>18305</v>
      </c>
      <c r="B3150" s="605" t="s">
        <v>18306</v>
      </c>
      <c r="C3150" s="606" t="s">
        <v>12483</v>
      </c>
      <c r="D3150" s="607">
        <v>544.29</v>
      </c>
      <c r="E3150" s="607">
        <v>39.270000000000003</v>
      </c>
      <c r="F3150" s="607">
        <v>583.55999999999995</v>
      </c>
      <c r="G3150" s="584">
        <v>15</v>
      </c>
    </row>
    <row r="3151" spans="1:7" ht="30" x14ac:dyDescent="0.2">
      <c r="A3151" s="583" t="s">
        <v>18307</v>
      </c>
      <c r="B3151" s="605" t="s">
        <v>18308</v>
      </c>
      <c r="C3151" s="606" t="s">
        <v>12483</v>
      </c>
      <c r="D3151" s="607">
        <v>638.39</v>
      </c>
      <c r="E3151" s="607">
        <v>39.270000000000003</v>
      </c>
      <c r="F3151" s="607">
        <v>677.66</v>
      </c>
      <c r="G3151" s="584">
        <v>15</v>
      </c>
    </row>
    <row r="3152" spans="1:7" ht="30" x14ac:dyDescent="0.2">
      <c r="A3152" s="583" t="s">
        <v>18309</v>
      </c>
      <c r="B3152" s="605" t="s">
        <v>18310</v>
      </c>
      <c r="C3152" s="606" t="s">
        <v>12483</v>
      </c>
      <c r="D3152" s="607">
        <v>774.13</v>
      </c>
      <c r="E3152" s="607">
        <v>39.270000000000003</v>
      </c>
      <c r="F3152" s="607">
        <v>813.4</v>
      </c>
      <c r="G3152" s="584">
        <v>15</v>
      </c>
    </row>
    <row r="3153" spans="1:7" ht="30" x14ac:dyDescent="0.2">
      <c r="A3153" s="583" t="s">
        <v>18311</v>
      </c>
      <c r="B3153" s="605" t="s">
        <v>18312</v>
      </c>
      <c r="C3153" s="606" t="s">
        <v>12483</v>
      </c>
      <c r="D3153" s="607">
        <v>968.8</v>
      </c>
      <c r="E3153" s="607">
        <v>39.270000000000003</v>
      </c>
      <c r="F3153" s="607">
        <v>1008.07</v>
      </c>
      <c r="G3153" s="584">
        <v>15</v>
      </c>
    </row>
    <row r="3154" spans="1:7" ht="30" x14ac:dyDescent="0.2">
      <c r="A3154" s="583" t="s">
        <v>18313</v>
      </c>
      <c r="B3154" s="605" t="s">
        <v>18314</v>
      </c>
      <c r="C3154" s="606" t="s">
        <v>12483</v>
      </c>
      <c r="D3154" s="607">
        <v>1160.08</v>
      </c>
      <c r="E3154" s="607">
        <v>39.270000000000003</v>
      </c>
      <c r="F3154" s="607">
        <v>1199.3499999999999</v>
      </c>
      <c r="G3154" s="584">
        <v>15</v>
      </c>
    </row>
    <row r="3155" spans="1:7" ht="30" x14ac:dyDescent="0.2">
      <c r="A3155" s="583" t="s">
        <v>18315</v>
      </c>
      <c r="B3155" s="605" t="s">
        <v>18316</v>
      </c>
      <c r="C3155" s="606" t="s">
        <v>12483</v>
      </c>
      <c r="D3155" s="607">
        <v>1500.05</v>
      </c>
      <c r="E3155" s="607">
        <v>39.270000000000003</v>
      </c>
      <c r="F3155" s="607">
        <v>1539.32</v>
      </c>
      <c r="G3155" s="584">
        <v>15</v>
      </c>
    </row>
    <row r="3156" spans="1:7" ht="15" x14ac:dyDescent="0.25">
      <c r="A3156" s="583" t="s">
        <v>18317</v>
      </c>
      <c r="B3156" s="605" t="s">
        <v>18318</v>
      </c>
      <c r="C3156" s="606"/>
      <c r="D3156" s="607"/>
      <c r="E3156" s="607"/>
      <c r="F3156" s="607"/>
      <c r="G3156" s="582"/>
    </row>
    <row r="3157" spans="1:7" ht="30" x14ac:dyDescent="0.2">
      <c r="A3157" s="583" t="s">
        <v>18319</v>
      </c>
      <c r="B3157" s="605" t="s">
        <v>18320</v>
      </c>
      <c r="C3157" s="606" t="s">
        <v>12483</v>
      </c>
      <c r="D3157" s="607">
        <v>125.1</v>
      </c>
      <c r="E3157" s="607">
        <v>23.57</v>
      </c>
      <c r="F3157" s="607">
        <v>148.66999999999999</v>
      </c>
      <c r="G3157" s="584">
        <v>15</v>
      </c>
    </row>
    <row r="3158" spans="1:7" ht="30" x14ac:dyDescent="0.2">
      <c r="A3158" s="583" t="s">
        <v>18321</v>
      </c>
      <c r="B3158" s="605" t="s">
        <v>18322</v>
      </c>
      <c r="C3158" s="606" t="s">
        <v>12483</v>
      </c>
      <c r="D3158" s="607">
        <v>193.35</v>
      </c>
      <c r="E3158" s="607">
        <v>31.42</v>
      </c>
      <c r="F3158" s="607">
        <v>224.77</v>
      </c>
      <c r="G3158" s="584">
        <v>15</v>
      </c>
    </row>
    <row r="3159" spans="1:7" ht="30" x14ac:dyDescent="0.2">
      <c r="A3159" s="583" t="s">
        <v>18323</v>
      </c>
      <c r="B3159" s="605" t="s">
        <v>18324</v>
      </c>
      <c r="C3159" s="606" t="s">
        <v>12483</v>
      </c>
      <c r="D3159" s="607">
        <v>221.98</v>
      </c>
      <c r="E3159" s="607">
        <v>31.42</v>
      </c>
      <c r="F3159" s="607">
        <v>253.4</v>
      </c>
      <c r="G3159" s="584">
        <v>15</v>
      </c>
    </row>
    <row r="3160" spans="1:7" ht="30" x14ac:dyDescent="0.25">
      <c r="A3160" s="583" t="s">
        <v>18325</v>
      </c>
      <c r="B3160" s="605" t="s">
        <v>18326</v>
      </c>
      <c r="C3160" s="606"/>
      <c r="D3160" s="607"/>
      <c r="E3160" s="607"/>
      <c r="F3160" s="607"/>
      <c r="G3160" s="582"/>
    </row>
    <row r="3161" spans="1:7" ht="30" x14ac:dyDescent="0.2">
      <c r="A3161" s="583" t="s">
        <v>18327</v>
      </c>
      <c r="B3161" s="605" t="s">
        <v>18328</v>
      </c>
      <c r="C3161" s="606" t="s">
        <v>12483</v>
      </c>
      <c r="D3161" s="607">
        <v>712.99</v>
      </c>
      <c r="E3161" s="607">
        <v>44.85</v>
      </c>
      <c r="F3161" s="607">
        <v>757.84</v>
      </c>
      <c r="G3161" s="584">
        <v>15</v>
      </c>
    </row>
    <row r="3162" spans="1:7" ht="30" x14ac:dyDescent="0.2">
      <c r="A3162" s="583" t="s">
        <v>18329</v>
      </c>
      <c r="B3162" s="605" t="s">
        <v>18330</v>
      </c>
      <c r="C3162" s="606" t="s">
        <v>12483</v>
      </c>
      <c r="D3162" s="607">
        <v>639.48</v>
      </c>
      <c r="E3162" s="607">
        <v>44.85</v>
      </c>
      <c r="F3162" s="607">
        <v>684.33</v>
      </c>
      <c r="G3162" s="584">
        <v>15</v>
      </c>
    </row>
    <row r="3163" spans="1:7" ht="30" x14ac:dyDescent="0.2">
      <c r="A3163" s="583" t="s">
        <v>18331</v>
      </c>
      <c r="B3163" s="605" t="s">
        <v>18332</v>
      </c>
      <c r="C3163" s="606" t="s">
        <v>12483</v>
      </c>
      <c r="D3163" s="607">
        <v>687.6</v>
      </c>
      <c r="E3163" s="607">
        <v>44.85</v>
      </c>
      <c r="F3163" s="607">
        <v>732.45</v>
      </c>
      <c r="G3163" s="584">
        <v>15</v>
      </c>
    </row>
    <row r="3164" spans="1:7" ht="30" x14ac:dyDescent="0.2">
      <c r="A3164" s="583" t="s">
        <v>18333</v>
      </c>
      <c r="B3164" s="605" t="s">
        <v>18334</v>
      </c>
      <c r="C3164" s="606" t="s">
        <v>12483</v>
      </c>
      <c r="D3164" s="607">
        <v>818.87</v>
      </c>
      <c r="E3164" s="607">
        <v>44.85</v>
      </c>
      <c r="F3164" s="607">
        <v>863.72</v>
      </c>
      <c r="G3164" s="584">
        <v>15</v>
      </c>
    </row>
    <row r="3165" spans="1:7" ht="30" x14ac:dyDescent="0.2">
      <c r="A3165" s="583" t="s">
        <v>18335</v>
      </c>
      <c r="B3165" s="605" t="s">
        <v>18336</v>
      </c>
      <c r="C3165" s="606" t="s">
        <v>12483</v>
      </c>
      <c r="D3165" s="607">
        <v>1095.6199999999999</v>
      </c>
      <c r="E3165" s="607">
        <v>48.2</v>
      </c>
      <c r="F3165" s="607">
        <v>1143.82</v>
      </c>
      <c r="G3165" s="584">
        <v>15</v>
      </c>
    </row>
    <row r="3166" spans="1:7" ht="30" x14ac:dyDescent="0.2">
      <c r="A3166" s="583" t="s">
        <v>18337</v>
      </c>
      <c r="B3166" s="605" t="s">
        <v>18338</v>
      </c>
      <c r="C3166" s="606" t="s">
        <v>12483</v>
      </c>
      <c r="D3166" s="607">
        <v>1250.51</v>
      </c>
      <c r="E3166" s="607">
        <v>48.2</v>
      </c>
      <c r="F3166" s="607">
        <v>1298.71</v>
      </c>
      <c r="G3166" s="584">
        <v>15</v>
      </c>
    </row>
    <row r="3167" spans="1:7" ht="15" x14ac:dyDescent="0.2">
      <c r="A3167" s="583" t="s">
        <v>18339</v>
      </c>
      <c r="B3167" s="605" t="s">
        <v>18340</v>
      </c>
      <c r="C3167" s="606" t="s">
        <v>12375</v>
      </c>
      <c r="D3167" s="607">
        <v>143.81</v>
      </c>
      <c r="E3167" s="607">
        <v>24.56</v>
      </c>
      <c r="F3167" s="607">
        <v>168.37</v>
      </c>
      <c r="G3167" s="584">
        <v>15</v>
      </c>
    </row>
    <row r="3168" spans="1:7" ht="15" x14ac:dyDescent="0.2">
      <c r="A3168" s="583" t="s">
        <v>18341</v>
      </c>
      <c r="B3168" s="605" t="s">
        <v>18342</v>
      </c>
      <c r="C3168" s="606" t="s">
        <v>12375</v>
      </c>
      <c r="D3168" s="607">
        <v>174.42</v>
      </c>
      <c r="E3168" s="607">
        <v>24.56</v>
      </c>
      <c r="F3168" s="607">
        <v>198.98</v>
      </c>
      <c r="G3168" s="584">
        <v>15</v>
      </c>
    </row>
    <row r="3169" spans="1:7" ht="15" x14ac:dyDescent="0.2">
      <c r="A3169" s="583" t="s">
        <v>18343</v>
      </c>
      <c r="B3169" s="605" t="s">
        <v>18344</v>
      </c>
      <c r="C3169" s="606" t="s">
        <v>12375</v>
      </c>
      <c r="D3169" s="607">
        <v>220.78</v>
      </c>
      <c r="E3169" s="607">
        <v>26.8</v>
      </c>
      <c r="F3169" s="607">
        <v>247.58</v>
      </c>
      <c r="G3169" s="584">
        <v>15</v>
      </c>
    </row>
    <row r="3170" spans="1:7" ht="15" x14ac:dyDescent="0.2">
      <c r="A3170" s="583" t="s">
        <v>18345</v>
      </c>
      <c r="B3170" s="605" t="s">
        <v>18346</v>
      </c>
      <c r="C3170" s="606" t="s">
        <v>12375</v>
      </c>
      <c r="D3170" s="607">
        <v>326.47000000000003</v>
      </c>
      <c r="E3170" s="607">
        <v>29.03</v>
      </c>
      <c r="F3170" s="607">
        <v>355.5</v>
      </c>
      <c r="G3170" s="584">
        <v>15</v>
      </c>
    </row>
    <row r="3171" spans="1:7" ht="15" x14ac:dyDescent="0.2">
      <c r="A3171" s="583" t="s">
        <v>18347</v>
      </c>
      <c r="B3171" s="605" t="s">
        <v>18348</v>
      </c>
      <c r="C3171" s="606" t="s">
        <v>12375</v>
      </c>
      <c r="D3171" s="607">
        <v>407.58</v>
      </c>
      <c r="E3171" s="607">
        <v>31.27</v>
      </c>
      <c r="F3171" s="607">
        <v>438.85</v>
      </c>
      <c r="G3171" s="584">
        <v>15</v>
      </c>
    </row>
    <row r="3172" spans="1:7" ht="15" x14ac:dyDescent="0.2">
      <c r="A3172" s="583" t="s">
        <v>18349</v>
      </c>
      <c r="B3172" s="605" t="s">
        <v>18350</v>
      </c>
      <c r="C3172" s="606" t="s">
        <v>12375</v>
      </c>
      <c r="D3172" s="607">
        <v>586.47</v>
      </c>
      <c r="E3172" s="607">
        <v>33.5</v>
      </c>
      <c r="F3172" s="607">
        <v>619.97</v>
      </c>
      <c r="G3172" s="584">
        <v>15</v>
      </c>
    </row>
    <row r="3173" spans="1:7" ht="15" x14ac:dyDescent="0.2">
      <c r="A3173" s="583" t="s">
        <v>18351</v>
      </c>
      <c r="B3173" s="605" t="s">
        <v>18352</v>
      </c>
      <c r="C3173" s="606" t="s">
        <v>12375</v>
      </c>
      <c r="D3173" s="607">
        <v>753.31</v>
      </c>
      <c r="E3173" s="607">
        <v>35.729999999999997</v>
      </c>
      <c r="F3173" s="607">
        <v>789.04</v>
      </c>
      <c r="G3173" s="584">
        <v>15</v>
      </c>
    </row>
    <row r="3174" spans="1:7" ht="30" x14ac:dyDescent="0.2">
      <c r="A3174" s="583" t="s">
        <v>18353</v>
      </c>
      <c r="B3174" s="605" t="s">
        <v>18354</v>
      </c>
      <c r="C3174" s="606" t="s">
        <v>12375</v>
      </c>
      <c r="D3174" s="607">
        <v>294.62</v>
      </c>
      <c r="E3174" s="607">
        <v>31.27</v>
      </c>
      <c r="F3174" s="607">
        <v>325.89</v>
      </c>
      <c r="G3174" s="584">
        <v>15</v>
      </c>
    </row>
    <row r="3175" spans="1:7" ht="30" x14ac:dyDescent="0.2">
      <c r="A3175" s="583" t="s">
        <v>18355</v>
      </c>
      <c r="B3175" s="605" t="s">
        <v>18356</v>
      </c>
      <c r="C3175" s="606" t="s">
        <v>12375</v>
      </c>
      <c r="D3175" s="607">
        <v>324.63</v>
      </c>
      <c r="E3175" s="607">
        <v>24.56</v>
      </c>
      <c r="F3175" s="607">
        <v>349.19</v>
      </c>
      <c r="G3175" s="584">
        <v>15</v>
      </c>
    </row>
    <row r="3176" spans="1:7" ht="30" x14ac:dyDescent="0.2">
      <c r="A3176" s="583" t="s">
        <v>18357</v>
      </c>
      <c r="B3176" s="605" t="s">
        <v>18358</v>
      </c>
      <c r="C3176" s="606" t="s">
        <v>12375</v>
      </c>
      <c r="D3176" s="607">
        <v>424.8</v>
      </c>
      <c r="E3176" s="607">
        <v>31.27</v>
      </c>
      <c r="F3176" s="607">
        <v>456.07</v>
      </c>
      <c r="G3176" s="584">
        <v>15</v>
      </c>
    </row>
    <row r="3177" spans="1:7" ht="30" x14ac:dyDescent="0.2">
      <c r="A3177" s="583" t="s">
        <v>18359</v>
      </c>
      <c r="B3177" s="605" t="s">
        <v>18360</v>
      </c>
      <c r="C3177" s="606" t="s">
        <v>12375</v>
      </c>
      <c r="D3177" s="607">
        <v>752.44</v>
      </c>
      <c r="E3177" s="607">
        <v>35.729999999999997</v>
      </c>
      <c r="F3177" s="607">
        <v>788.17</v>
      </c>
      <c r="G3177" s="584">
        <v>15</v>
      </c>
    </row>
    <row r="3178" spans="1:7" ht="30" x14ac:dyDescent="0.2">
      <c r="A3178" s="583" t="s">
        <v>18361</v>
      </c>
      <c r="B3178" s="605" t="s">
        <v>18362</v>
      </c>
      <c r="C3178" s="606" t="s">
        <v>12375</v>
      </c>
      <c r="D3178" s="607">
        <v>573.91</v>
      </c>
      <c r="E3178" s="607">
        <v>26.8</v>
      </c>
      <c r="F3178" s="607">
        <v>600.71</v>
      </c>
      <c r="G3178" s="584">
        <v>15</v>
      </c>
    </row>
    <row r="3179" spans="1:7" ht="30" x14ac:dyDescent="0.2">
      <c r="A3179" s="583" t="s">
        <v>18363</v>
      </c>
      <c r="B3179" s="605" t="s">
        <v>18364</v>
      </c>
      <c r="C3179" s="606" t="s">
        <v>12375</v>
      </c>
      <c r="D3179" s="607">
        <v>664.63</v>
      </c>
      <c r="E3179" s="607">
        <v>31.27</v>
      </c>
      <c r="F3179" s="607">
        <v>695.9</v>
      </c>
      <c r="G3179" s="584">
        <v>15</v>
      </c>
    </row>
    <row r="3180" spans="1:7" ht="30" x14ac:dyDescent="0.2">
      <c r="A3180" s="583" t="s">
        <v>18365</v>
      </c>
      <c r="B3180" s="605" t="s">
        <v>18366</v>
      </c>
      <c r="C3180" s="606" t="s">
        <v>12375</v>
      </c>
      <c r="D3180" s="607">
        <v>1118.3499999999999</v>
      </c>
      <c r="E3180" s="607">
        <v>35.729999999999997</v>
      </c>
      <c r="F3180" s="607">
        <v>1154.08</v>
      </c>
      <c r="G3180" s="584">
        <v>15</v>
      </c>
    </row>
    <row r="3181" spans="1:7" ht="15" x14ac:dyDescent="0.2">
      <c r="A3181" s="583" t="s">
        <v>18367</v>
      </c>
      <c r="B3181" s="605" t="s">
        <v>18368</v>
      </c>
      <c r="C3181" s="606" t="s">
        <v>12375</v>
      </c>
      <c r="D3181" s="607">
        <v>494.22</v>
      </c>
      <c r="E3181" s="607">
        <v>24.56</v>
      </c>
      <c r="F3181" s="607">
        <v>518.78</v>
      </c>
      <c r="G3181" s="584">
        <v>15</v>
      </c>
    </row>
    <row r="3182" spans="1:7" ht="15" x14ac:dyDescent="0.2">
      <c r="A3182" s="583" t="s">
        <v>18369</v>
      </c>
      <c r="B3182" s="605" t="s">
        <v>18370</v>
      </c>
      <c r="C3182" s="606" t="s">
        <v>12375</v>
      </c>
      <c r="D3182" s="607">
        <v>508.47</v>
      </c>
      <c r="E3182" s="607">
        <v>26.8</v>
      </c>
      <c r="F3182" s="607">
        <v>535.27</v>
      </c>
      <c r="G3182" s="584">
        <v>15</v>
      </c>
    </row>
    <row r="3183" spans="1:7" ht="30" x14ac:dyDescent="0.25">
      <c r="A3183" s="583" t="s">
        <v>18371</v>
      </c>
      <c r="B3183" s="605" t="s">
        <v>18372</v>
      </c>
      <c r="C3183" s="606"/>
      <c r="D3183" s="607"/>
      <c r="E3183" s="607"/>
      <c r="F3183" s="607"/>
      <c r="G3183" s="582"/>
    </row>
    <row r="3184" spans="1:7" ht="30" x14ac:dyDescent="0.2">
      <c r="A3184" s="583" t="s">
        <v>18373</v>
      </c>
      <c r="B3184" s="605" t="s">
        <v>18374</v>
      </c>
      <c r="C3184" s="606" t="s">
        <v>12375</v>
      </c>
      <c r="D3184" s="607">
        <v>443.12</v>
      </c>
      <c r="E3184" s="607">
        <v>31.27</v>
      </c>
      <c r="F3184" s="607">
        <v>474.39</v>
      </c>
      <c r="G3184" s="584">
        <v>15</v>
      </c>
    </row>
    <row r="3185" spans="1:7" ht="30" x14ac:dyDescent="0.2">
      <c r="A3185" s="583" t="s">
        <v>18375</v>
      </c>
      <c r="B3185" s="605" t="s">
        <v>18376</v>
      </c>
      <c r="C3185" s="606" t="s">
        <v>12375</v>
      </c>
      <c r="D3185" s="607">
        <v>651.41</v>
      </c>
      <c r="E3185" s="607">
        <v>35.729999999999997</v>
      </c>
      <c r="F3185" s="607">
        <v>687.14</v>
      </c>
      <c r="G3185" s="584">
        <v>15</v>
      </c>
    </row>
    <row r="3186" spans="1:7" ht="30" x14ac:dyDescent="0.2">
      <c r="A3186" s="583" t="s">
        <v>18377</v>
      </c>
      <c r="B3186" s="605" t="s">
        <v>18378</v>
      </c>
      <c r="C3186" s="606" t="s">
        <v>12375</v>
      </c>
      <c r="D3186" s="607">
        <v>965.21</v>
      </c>
      <c r="E3186" s="607">
        <v>40.200000000000003</v>
      </c>
      <c r="F3186" s="607">
        <v>1005.41</v>
      </c>
      <c r="G3186" s="584">
        <v>15</v>
      </c>
    </row>
    <row r="3187" spans="1:7" ht="30" x14ac:dyDescent="0.2">
      <c r="A3187" s="583" t="s">
        <v>18379</v>
      </c>
      <c r="B3187" s="605" t="s">
        <v>18380</v>
      </c>
      <c r="C3187" s="606" t="s">
        <v>12375</v>
      </c>
      <c r="D3187" s="607">
        <v>1539.69</v>
      </c>
      <c r="E3187" s="607">
        <v>44.67</v>
      </c>
      <c r="F3187" s="607">
        <v>1584.36</v>
      </c>
      <c r="G3187" s="584">
        <v>15</v>
      </c>
    </row>
    <row r="3188" spans="1:7" ht="30" x14ac:dyDescent="0.2">
      <c r="A3188" s="583" t="s">
        <v>18381</v>
      </c>
      <c r="B3188" s="605" t="s">
        <v>18382</v>
      </c>
      <c r="C3188" s="606" t="s">
        <v>12375</v>
      </c>
      <c r="D3188" s="607">
        <v>348.72</v>
      </c>
      <c r="E3188" s="607">
        <v>31.27</v>
      </c>
      <c r="F3188" s="607">
        <v>379.99</v>
      </c>
      <c r="G3188" s="584">
        <v>15</v>
      </c>
    </row>
    <row r="3189" spans="1:7" ht="30" x14ac:dyDescent="0.2">
      <c r="A3189" s="583" t="s">
        <v>18383</v>
      </c>
      <c r="B3189" s="605" t="s">
        <v>18384</v>
      </c>
      <c r="C3189" s="606" t="s">
        <v>12375</v>
      </c>
      <c r="D3189" s="607">
        <v>409.33</v>
      </c>
      <c r="E3189" s="607">
        <v>31.27</v>
      </c>
      <c r="F3189" s="607">
        <v>440.6</v>
      </c>
      <c r="G3189" s="584">
        <v>15</v>
      </c>
    </row>
    <row r="3190" spans="1:7" ht="30" x14ac:dyDescent="0.2">
      <c r="A3190" s="583" t="s">
        <v>18385</v>
      </c>
      <c r="B3190" s="605" t="s">
        <v>18386</v>
      </c>
      <c r="C3190" s="606" t="s">
        <v>12375</v>
      </c>
      <c r="D3190" s="607">
        <v>765.44</v>
      </c>
      <c r="E3190" s="607">
        <v>35.729999999999997</v>
      </c>
      <c r="F3190" s="607">
        <v>801.17</v>
      </c>
      <c r="G3190" s="584">
        <v>15</v>
      </c>
    </row>
    <row r="3191" spans="1:7" ht="30" x14ac:dyDescent="0.2">
      <c r="A3191" s="583" t="s">
        <v>18387</v>
      </c>
      <c r="B3191" s="605" t="s">
        <v>18388</v>
      </c>
      <c r="C3191" s="606" t="s">
        <v>12375</v>
      </c>
      <c r="D3191" s="607">
        <v>876.09</v>
      </c>
      <c r="E3191" s="607">
        <v>40.200000000000003</v>
      </c>
      <c r="F3191" s="607">
        <v>916.29</v>
      </c>
      <c r="G3191" s="584">
        <v>15</v>
      </c>
    </row>
    <row r="3192" spans="1:7" ht="30" x14ac:dyDescent="0.2">
      <c r="A3192" s="583" t="s">
        <v>18389</v>
      </c>
      <c r="B3192" s="605" t="s">
        <v>18390</v>
      </c>
      <c r="C3192" s="606" t="s">
        <v>12375</v>
      </c>
      <c r="D3192" s="607">
        <v>1376.65</v>
      </c>
      <c r="E3192" s="607">
        <v>44.67</v>
      </c>
      <c r="F3192" s="607">
        <v>1421.32</v>
      </c>
      <c r="G3192" s="584">
        <v>15</v>
      </c>
    </row>
    <row r="3193" spans="1:7" ht="15" x14ac:dyDescent="0.25">
      <c r="A3193" s="583" t="s">
        <v>18391</v>
      </c>
      <c r="B3193" s="605" t="s">
        <v>18392</v>
      </c>
      <c r="C3193" s="606"/>
      <c r="D3193" s="607"/>
      <c r="E3193" s="607"/>
      <c r="F3193" s="607"/>
      <c r="G3193" s="582"/>
    </row>
    <row r="3194" spans="1:7" ht="15" x14ac:dyDescent="0.2">
      <c r="A3194" s="583" t="s">
        <v>18393</v>
      </c>
      <c r="B3194" s="605" t="s">
        <v>18394</v>
      </c>
      <c r="C3194" s="606" t="s">
        <v>12483</v>
      </c>
      <c r="D3194" s="607">
        <v>1.89</v>
      </c>
      <c r="E3194" s="607">
        <v>77.03</v>
      </c>
      <c r="F3194" s="607">
        <v>78.92</v>
      </c>
      <c r="G3194" s="584">
        <v>15</v>
      </c>
    </row>
    <row r="3195" spans="1:7" ht="30" x14ac:dyDescent="0.2">
      <c r="A3195" s="583" t="s">
        <v>18395</v>
      </c>
      <c r="B3195" s="605" t="s">
        <v>18396</v>
      </c>
      <c r="C3195" s="606" t="s">
        <v>12483</v>
      </c>
      <c r="D3195" s="607">
        <v>71.11</v>
      </c>
      <c r="E3195" s="607">
        <v>44.82</v>
      </c>
      <c r="F3195" s="607">
        <v>115.93</v>
      </c>
      <c r="G3195" s="584">
        <v>15</v>
      </c>
    </row>
    <row r="3196" spans="1:7" ht="15" x14ac:dyDescent="0.25">
      <c r="A3196" s="583" t="s">
        <v>18397</v>
      </c>
      <c r="B3196" s="605" t="s">
        <v>18398</v>
      </c>
      <c r="C3196" s="606"/>
      <c r="D3196" s="607"/>
      <c r="E3196" s="607"/>
      <c r="F3196" s="607"/>
      <c r="G3196" s="582"/>
    </row>
    <row r="3197" spans="1:7" ht="30" x14ac:dyDescent="0.2">
      <c r="A3197" s="583" t="s">
        <v>18399</v>
      </c>
      <c r="B3197" s="605" t="s">
        <v>18400</v>
      </c>
      <c r="C3197" s="606" t="s">
        <v>12483</v>
      </c>
      <c r="D3197" s="607">
        <v>80.84</v>
      </c>
      <c r="E3197" s="607">
        <v>78.16</v>
      </c>
      <c r="F3197" s="607">
        <v>159</v>
      </c>
      <c r="G3197" s="584">
        <v>15</v>
      </c>
    </row>
    <row r="3198" spans="1:7" ht="30" x14ac:dyDescent="0.2">
      <c r="A3198" s="583" t="s">
        <v>18401</v>
      </c>
      <c r="B3198" s="605" t="s">
        <v>18402</v>
      </c>
      <c r="C3198" s="606" t="s">
        <v>12483</v>
      </c>
      <c r="D3198" s="607">
        <v>99.97</v>
      </c>
      <c r="E3198" s="607">
        <v>89.33</v>
      </c>
      <c r="F3198" s="607">
        <v>189.3</v>
      </c>
      <c r="G3198" s="584">
        <v>15</v>
      </c>
    </row>
    <row r="3199" spans="1:7" ht="30" x14ac:dyDescent="0.2">
      <c r="A3199" s="583" t="s">
        <v>18403</v>
      </c>
      <c r="B3199" s="605" t="s">
        <v>18404</v>
      </c>
      <c r="C3199" s="606" t="s">
        <v>12483</v>
      </c>
      <c r="D3199" s="607">
        <v>103.33</v>
      </c>
      <c r="E3199" s="607">
        <v>89.33</v>
      </c>
      <c r="F3199" s="607">
        <v>192.66</v>
      </c>
      <c r="G3199" s="584">
        <v>15</v>
      </c>
    </row>
    <row r="3200" spans="1:7" ht="30" x14ac:dyDescent="0.2">
      <c r="A3200" s="583" t="s">
        <v>18405</v>
      </c>
      <c r="B3200" s="605" t="s">
        <v>18406</v>
      </c>
      <c r="C3200" s="606" t="s">
        <v>12483</v>
      </c>
      <c r="D3200" s="607">
        <v>130.11000000000001</v>
      </c>
      <c r="E3200" s="607">
        <v>100.5</v>
      </c>
      <c r="F3200" s="607">
        <v>230.61</v>
      </c>
      <c r="G3200" s="584">
        <v>15</v>
      </c>
    </row>
    <row r="3201" spans="1:7" ht="30" x14ac:dyDescent="0.2">
      <c r="A3201" s="583" t="s">
        <v>18407</v>
      </c>
      <c r="B3201" s="605" t="s">
        <v>18408</v>
      </c>
      <c r="C3201" s="606" t="s">
        <v>12483</v>
      </c>
      <c r="D3201" s="607">
        <v>206.8</v>
      </c>
      <c r="E3201" s="607">
        <v>111.66</v>
      </c>
      <c r="F3201" s="607">
        <v>318.45999999999998</v>
      </c>
      <c r="G3201" s="584">
        <v>15</v>
      </c>
    </row>
    <row r="3202" spans="1:7" ht="30" x14ac:dyDescent="0.2">
      <c r="A3202" s="583" t="s">
        <v>18409</v>
      </c>
      <c r="B3202" s="605" t="s">
        <v>18410</v>
      </c>
      <c r="C3202" s="606" t="s">
        <v>12483</v>
      </c>
      <c r="D3202" s="607">
        <v>235.22</v>
      </c>
      <c r="E3202" s="607">
        <v>125.62</v>
      </c>
      <c r="F3202" s="607">
        <v>360.84</v>
      </c>
      <c r="G3202" s="584">
        <v>15</v>
      </c>
    </row>
    <row r="3203" spans="1:7" ht="30" x14ac:dyDescent="0.2">
      <c r="A3203" s="583" t="s">
        <v>18411</v>
      </c>
      <c r="B3203" s="605" t="s">
        <v>18412</v>
      </c>
      <c r="C3203" s="606" t="s">
        <v>12483</v>
      </c>
      <c r="D3203" s="607">
        <v>280.56</v>
      </c>
      <c r="E3203" s="607">
        <v>133.99</v>
      </c>
      <c r="F3203" s="607">
        <v>414.55</v>
      </c>
      <c r="G3203" s="584">
        <v>15</v>
      </c>
    </row>
    <row r="3204" spans="1:7" ht="30" x14ac:dyDescent="0.2">
      <c r="A3204" s="583" t="s">
        <v>18413</v>
      </c>
      <c r="B3204" s="605" t="s">
        <v>18414</v>
      </c>
      <c r="C3204" s="606" t="s">
        <v>12483</v>
      </c>
      <c r="D3204" s="607">
        <v>331.04</v>
      </c>
      <c r="E3204" s="607">
        <v>139.58000000000001</v>
      </c>
      <c r="F3204" s="607">
        <v>470.62</v>
      </c>
      <c r="G3204" s="584">
        <v>15</v>
      </c>
    </row>
    <row r="3205" spans="1:7" ht="30" x14ac:dyDescent="0.2">
      <c r="A3205" s="583" t="s">
        <v>18415</v>
      </c>
      <c r="B3205" s="605" t="s">
        <v>18416</v>
      </c>
      <c r="C3205" s="606" t="s">
        <v>12483</v>
      </c>
      <c r="D3205" s="607">
        <v>446.83</v>
      </c>
      <c r="E3205" s="607">
        <v>147.94999999999999</v>
      </c>
      <c r="F3205" s="607">
        <v>594.78</v>
      </c>
      <c r="G3205" s="584">
        <v>15</v>
      </c>
    </row>
    <row r="3206" spans="1:7" ht="30" x14ac:dyDescent="0.2">
      <c r="A3206" s="583" t="s">
        <v>18417</v>
      </c>
      <c r="B3206" s="605" t="s">
        <v>18418</v>
      </c>
      <c r="C3206" s="606" t="s">
        <v>12483</v>
      </c>
      <c r="D3206" s="607">
        <v>570.37</v>
      </c>
      <c r="E3206" s="607">
        <v>153.53</v>
      </c>
      <c r="F3206" s="607">
        <v>723.9</v>
      </c>
      <c r="G3206" s="584">
        <v>15</v>
      </c>
    </row>
    <row r="3207" spans="1:7" ht="30" x14ac:dyDescent="0.2">
      <c r="A3207" s="583" t="s">
        <v>18419</v>
      </c>
      <c r="B3207" s="605" t="s">
        <v>18420</v>
      </c>
      <c r="C3207" s="606" t="s">
        <v>12483</v>
      </c>
      <c r="D3207" s="607">
        <v>872.15</v>
      </c>
      <c r="E3207" s="607">
        <v>167.49</v>
      </c>
      <c r="F3207" s="607">
        <v>1039.6400000000001</v>
      </c>
      <c r="G3207" s="584">
        <v>15</v>
      </c>
    </row>
    <row r="3208" spans="1:7" ht="30" x14ac:dyDescent="0.2">
      <c r="A3208" s="583" t="s">
        <v>18421</v>
      </c>
      <c r="B3208" s="605" t="s">
        <v>18422</v>
      </c>
      <c r="C3208" s="606" t="s">
        <v>12483</v>
      </c>
      <c r="D3208" s="607">
        <v>742.03</v>
      </c>
      <c r="E3208" s="607">
        <v>184.24</v>
      </c>
      <c r="F3208" s="607">
        <v>926.27</v>
      </c>
      <c r="G3208" s="584">
        <v>15</v>
      </c>
    </row>
    <row r="3209" spans="1:7" ht="30" x14ac:dyDescent="0.2">
      <c r="A3209" s="583" t="s">
        <v>18423</v>
      </c>
      <c r="B3209" s="605" t="s">
        <v>18424</v>
      </c>
      <c r="C3209" s="606" t="s">
        <v>12483</v>
      </c>
      <c r="D3209" s="607">
        <v>993.95</v>
      </c>
      <c r="E3209" s="607">
        <v>195.41</v>
      </c>
      <c r="F3209" s="607">
        <v>1189.3599999999999</v>
      </c>
      <c r="G3209" s="584">
        <v>15</v>
      </c>
    </row>
    <row r="3210" spans="1:7" ht="15" x14ac:dyDescent="0.25">
      <c r="A3210" s="583" t="s">
        <v>18425</v>
      </c>
      <c r="B3210" s="605" t="s">
        <v>18426</v>
      </c>
      <c r="C3210" s="606"/>
      <c r="D3210" s="607"/>
      <c r="E3210" s="607"/>
      <c r="F3210" s="607"/>
      <c r="G3210" s="582"/>
    </row>
    <row r="3211" spans="1:7" ht="15" x14ac:dyDescent="0.2">
      <c r="A3211" s="583" t="s">
        <v>18427</v>
      </c>
      <c r="B3211" s="605" t="s">
        <v>18428</v>
      </c>
      <c r="C3211" s="606" t="s">
        <v>12483</v>
      </c>
      <c r="D3211" s="607">
        <v>145.63</v>
      </c>
      <c r="E3211" s="607">
        <v>18.170000000000002</v>
      </c>
      <c r="F3211" s="607">
        <v>163.80000000000001</v>
      </c>
      <c r="G3211" s="584">
        <v>15</v>
      </c>
    </row>
    <row r="3212" spans="1:7" ht="15" x14ac:dyDescent="0.2">
      <c r="A3212" s="583" t="s">
        <v>18429</v>
      </c>
      <c r="B3212" s="605" t="s">
        <v>18430</v>
      </c>
      <c r="C3212" s="606" t="s">
        <v>12483</v>
      </c>
      <c r="D3212" s="607">
        <v>201.9</v>
      </c>
      <c r="E3212" s="607">
        <v>27.25</v>
      </c>
      <c r="F3212" s="607">
        <v>229.15</v>
      </c>
      <c r="G3212" s="584">
        <v>15</v>
      </c>
    </row>
    <row r="3213" spans="1:7" ht="15" x14ac:dyDescent="0.2">
      <c r="A3213" s="583" t="s">
        <v>18431</v>
      </c>
      <c r="B3213" s="605" t="s">
        <v>18432</v>
      </c>
      <c r="C3213" s="606" t="s">
        <v>12483</v>
      </c>
      <c r="D3213" s="607">
        <v>318.25</v>
      </c>
      <c r="E3213" s="607">
        <v>31.79</v>
      </c>
      <c r="F3213" s="607">
        <v>350.04</v>
      </c>
      <c r="G3213" s="584">
        <v>15</v>
      </c>
    </row>
    <row r="3214" spans="1:7" ht="15" x14ac:dyDescent="0.2">
      <c r="A3214" s="583" t="s">
        <v>18433</v>
      </c>
      <c r="B3214" s="605" t="s">
        <v>18434</v>
      </c>
      <c r="C3214" s="606" t="s">
        <v>12483</v>
      </c>
      <c r="D3214" s="607">
        <v>440.71</v>
      </c>
      <c r="E3214" s="607">
        <v>36.340000000000003</v>
      </c>
      <c r="F3214" s="607">
        <v>477.05</v>
      </c>
      <c r="G3214" s="584">
        <v>15</v>
      </c>
    </row>
    <row r="3215" spans="1:7" ht="15" x14ac:dyDescent="0.2">
      <c r="A3215" s="583" t="s">
        <v>18435</v>
      </c>
      <c r="B3215" s="605" t="s">
        <v>18436</v>
      </c>
      <c r="C3215" s="606" t="s">
        <v>12483</v>
      </c>
      <c r="D3215" s="607">
        <v>536.13</v>
      </c>
      <c r="E3215" s="607">
        <v>45.42</v>
      </c>
      <c r="F3215" s="607">
        <v>581.54999999999995</v>
      </c>
      <c r="G3215" s="584">
        <v>15</v>
      </c>
    </row>
    <row r="3216" spans="1:7" ht="15" x14ac:dyDescent="0.2">
      <c r="A3216" s="583" t="s">
        <v>18437</v>
      </c>
      <c r="B3216" s="605" t="s">
        <v>18438</v>
      </c>
      <c r="C3216" s="606" t="s">
        <v>12483</v>
      </c>
      <c r="D3216" s="607">
        <v>839.24</v>
      </c>
      <c r="E3216" s="607">
        <v>54.5</v>
      </c>
      <c r="F3216" s="607">
        <v>893.74</v>
      </c>
      <c r="G3216" s="584">
        <v>15</v>
      </c>
    </row>
    <row r="3217" spans="1:7" ht="15" x14ac:dyDescent="0.2">
      <c r="A3217" s="583" t="s">
        <v>18439</v>
      </c>
      <c r="B3217" s="605" t="s">
        <v>18440</v>
      </c>
      <c r="C3217" s="606" t="s">
        <v>12483</v>
      </c>
      <c r="D3217" s="607">
        <v>799.94</v>
      </c>
      <c r="E3217" s="607">
        <v>68.13</v>
      </c>
      <c r="F3217" s="607">
        <v>868.07</v>
      </c>
      <c r="G3217" s="584">
        <v>15</v>
      </c>
    </row>
    <row r="3218" spans="1:7" ht="15" x14ac:dyDescent="0.2">
      <c r="A3218" s="583" t="s">
        <v>18441</v>
      </c>
      <c r="B3218" s="605" t="s">
        <v>18442</v>
      </c>
      <c r="C3218" s="606" t="s">
        <v>12483</v>
      </c>
      <c r="D3218" s="607">
        <v>1191.9000000000001</v>
      </c>
      <c r="E3218" s="607">
        <v>136.26</v>
      </c>
      <c r="F3218" s="607">
        <v>1328.16</v>
      </c>
      <c r="G3218" s="584">
        <v>15</v>
      </c>
    </row>
    <row r="3219" spans="1:7" ht="15" x14ac:dyDescent="0.25">
      <c r="A3219" s="583" t="s">
        <v>20108</v>
      </c>
      <c r="B3219" s="605" t="s">
        <v>20109</v>
      </c>
      <c r="C3219" s="606"/>
      <c r="D3219" s="607"/>
      <c r="E3219" s="607"/>
      <c r="F3219" s="607"/>
      <c r="G3219" s="582"/>
    </row>
    <row r="3220" spans="1:7" ht="15" x14ac:dyDescent="0.2">
      <c r="A3220" s="583" t="s">
        <v>20110</v>
      </c>
      <c r="B3220" s="605" t="s">
        <v>20111</v>
      </c>
      <c r="C3220" s="606" t="s">
        <v>12483</v>
      </c>
      <c r="D3220" s="607">
        <v>72.739999999999995</v>
      </c>
      <c r="E3220" s="607">
        <v>46.34</v>
      </c>
      <c r="F3220" s="607">
        <v>119.08</v>
      </c>
      <c r="G3220" s="584">
        <v>15</v>
      </c>
    </row>
    <row r="3221" spans="1:7" ht="15" x14ac:dyDescent="0.25">
      <c r="A3221" s="583" t="s">
        <v>18443</v>
      </c>
      <c r="B3221" s="605" t="s">
        <v>18444</v>
      </c>
      <c r="C3221" s="606"/>
      <c r="D3221" s="607"/>
      <c r="E3221" s="607"/>
      <c r="F3221" s="607"/>
      <c r="G3221" s="582"/>
    </row>
    <row r="3222" spans="1:7" ht="30" x14ac:dyDescent="0.2">
      <c r="A3222" s="583" t="s">
        <v>18445</v>
      </c>
      <c r="B3222" s="605" t="s">
        <v>18446</v>
      </c>
      <c r="C3222" s="606" t="s">
        <v>12483</v>
      </c>
      <c r="D3222" s="607">
        <v>172.03</v>
      </c>
      <c r="E3222" s="607">
        <v>27.92</v>
      </c>
      <c r="F3222" s="607">
        <v>199.95</v>
      </c>
      <c r="G3222" s="584">
        <v>15</v>
      </c>
    </row>
    <row r="3223" spans="1:7" ht="30" x14ac:dyDescent="0.2">
      <c r="A3223" s="583" t="s">
        <v>18447</v>
      </c>
      <c r="B3223" s="605" t="s">
        <v>18448</v>
      </c>
      <c r="C3223" s="606" t="s">
        <v>12483</v>
      </c>
      <c r="D3223" s="607">
        <v>254.53</v>
      </c>
      <c r="E3223" s="607">
        <v>27.92</v>
      </c>
      <c r="F3223" s="607">
        <v>282.45</v>
      </c>
      <c r="G3223" s="584">
        <v>15</v>
      </c>
    </row>
    <row r="3224" spans="1:7" ht="30" x14ac:dyDescent="0.2">
      <c r="A3224" s="583" t="s">
        <v>18449</v>
      </c>
      <c r="B3224" s="605" t="s">
        <v>18450</v>
      </c>
      <c r="C3224" s="606" t="s">
        <v>12483</v>
      </c>
      <c r="D3224" s="607">
        <v>268.86</v>
      </c>
      <c r="E3224" s="607">
        <v>39.270000000000003</v>
      </c>
      <c r="F3224" s="607">
        <v>308.13</v>
      </c>
      <c r="G3224" s="584">
        <v>15</v>
      </c>
    </row>
    <row r="3225" spans="1:7" ht="30" x14ac:dyDescent="0.2">
      <c r="A3225" s="583" t="s">
        <v>18451</v>
      </c>
      <c r="B3225" s="605" t="s">
        <v>18452</v>
      </c>
      <c r="C3225" s="606" t="s">
        <v>12483</v>
      </c>
      <c r="D3225" s="607">
        <v>365.7</v>
      </c>
      <c r="E3225" s="607">
        <v>39.270000000000003</v>
      </c>
      <c r="F3225" s="607">
        <v>404.97</v>
      </c>
      <c r="G3225" s="584">
        <v>15</v>
      </c>
    </row>
    <row r="3226" spans="1:7" ht="30" x14ac:dyDescent="0.2">
      <c r="A3226" s="583" t="s">
        <v>18453</v>
      </c>
      <c r="B3226" s="605" t="s">
        <v>18454</v>
      </c>
      <c r="C3226" s="606" t="s">
        <v>12483</v>
      </c>
      <c r="D3226" s="607">
        <v>632.36</v>
      </c>
      <c r="E3226" s="607">
        <v>39.270000000000003</v>
      </c>
      <c r="F3226" s="607">
        <v>671.63</v>
      </c>
      <c r="G3226" s="584">
        <v>15</v>
      </c>
    </row>
    <row r="3227" spans="1:7" ht="30" x14ac:dyDescent="0.2">
      <c r="A3227" s="583" t="s">
        <v>18455</v>
      </c>
      <c r="B3227" s="605" t="s">
        <v>18456</v>
      </c>
      <c r="C3227" s="606" t="s">
        <v>12375</v>
      </c>
      <c r="D3227" s="607">
        <v>64.55</v>
      </c>
      <c r="E3227" s="607">
        <v>22.33</v>
      </c>
      <c r="F3227" s="607">
        <v>86.88</v>
      </c>
      <c r="G3227" s="584">
        <v>15</v>
      </c>
    </row>
    <row r="3228" spans="1:7" ht="30" x14ac:dyDescent="0.2">
      <c r="A3228" s="583" t="s">
        <v>18457</v>
      </c>
      <c r="B3228" s="605" t="s">
        <v>18458</v>
      </c>
      <c r="C3228" s="606" t="s">
        <v>12375</v>
      </c>
      <c r="D3228" s="607">
        <v>74.22</v>
      </c>
      <c r="E3228" s="607">
        <v>22.33</v>
      </c>
      <c r="F3228" s="607">
        <v>96.55</v>
      </c>
      <c r="G3228" s="584">
        <v>15</v>
      </c>
    </row>
    <row r="3229" spans="1:7" ht="30" x14ac:dyDescent="0.2">
      <c r="A3229" s="583" t="s">
        <v>18459</v>
      </c>
      <c r="B3229" s="605" t="s">
        <v>18460</v>
      </c>
      <c r="C3229" s="606" t="s">
        <v>12375</v>
      </c>
      <c r="D3229" s="607">
        <v>94.74</v>
      </c>
      <c r="E3229" s="607">
        <v>27.92</v>
      </c>
      <c r="F3229" s="607">
        <v>122.66</v>
      </c>
      <c r="G3229" s="584">
        <v>15</v>
      </c>
    </row>
    <row r="3230" spans="1:7" ht="30" x14ac:dyDescent="0.2">
      <c r="A3230" s="583" t="s">
        <v>18461</v>
      </c>
      <c r="B3230" s="605" t="s">
        <v>18462</v>
      </c>
      <c r="C3230" s="606" t="s">
        <v>12375</v>
      </c>
      <c r="D3230" s="607">
        <v>150.31</v>
      </c>
      <c r="E3230" s="607">
        <v>27.92</v>
      </c>
      <c r="F3230" s="607">
        <v>178.23</v>
      </c>
      <c r="G3230" s="584">
        <v>15</v>
      </c>
    </row>
    <row r="3231" spans="1:7" ht="30" x14ac:dyDescent="0.2">
      <c r="A3231" s="583" t="s">
        <v>18463</v>
      </c>
      <c r="B3231" s="605" t="s">
        <v>18464</v>
      </c>
      <c r="C3231" s="606" t="s">
        <v>12375</v>
      </c>
      <c r="D3231" s="607">
        <v>213.03</v>
      </c>
      <c r="E3231" s="607">
        <v>27.92</v>
      </c>
      <c r="F3231" s="607">
        <v>240.95</v>
      </c>
      <c r="G3231" s="584">
        <v>15</v>
      </c>
    </row>
    <row r="3232" spans="1:7" ht="30" x14ac:dyDescent="0.2">
      <c r="A3232" s="583" t="s">
        <v>18465</v>
      </c>
      <c r="B3232" s="605" t="s">
        <v>18466</v>
      </c>
      <c r="C3232" s="606" t="s">
        <v>12676</v>
      </c>
      <c r="D3232" s="607">
        <v>980.82</v>
      </c>
      <c r="E3232" s="607">
        <v>22.33</v>
      </c>
      <c r="F3232" s="607">
        <v>1003.15</v>
      </c>
      <c r="G3232" s="584">
        <v>15</v>
      </c>
    </row>
    <row r="3233" spans="1:7" ht="30" x14ac:dyDescent="0.2">
      <c r="A3233" s="583" t="s">
        <v>18467</v>
      </c>
      <c r="B3233" s="605" t="s">
        <v>18468</v>
      </c>
      <c r="C3233" s="606" t="s">
        <v>12676</v>
      </c>
      <c r="D3233" s="607">
        <v>1030.51</v>
      </c>
      <c r="E3233" s="607">
        <v>22.33</v>
      </c>
      <c r="F3233" s="607">
        <v>1052.8399999999999</v>
      </c>
      <c r="G3233" s="584">
        <v>15</v>
      </c>
    </row>
    <row r="3234" spans="1:7" ht="30" x14ac:dyDescent="0.2">
      <c r="A3234" s="583" t="s">
        <v>18469</v>
      </c>
      <c r="B3234" s="605" t="s">
        <v>18470</v>
      </c>
      <c r="C3234" s="606" t="s">
        <v>12676</v>
      </c>
      <c r="D3234" s="607">
        <v>952.05</v>
      </c>
      <c r="E3234" s="607">
        <v>27.92</v>
      </c>
      <c r="F3234" s="607">
        <v>979.97</v>
      </c>
      <c r="G3234" s="584">
        <v>15</v>
      </c>
    </row>
    <row r="3235" spans="1:7" ht="30" x14ac:dyDescent="0.2">
      <c r="A3235" s="583" t="s">
        <v>18471</v>
      </c>
      <c r="B3235" s="605" t="s">
        <v>18472</v>
      </c>
      <c r="C3235" s="606" t="s">
        <v>12676</v>
      </c>
      <c r="D3235" s="607">
        <v>990.43</v>
      </c>
      <c r="E3235" s="607">
        <v>27.92</v>
      </c>
      <c r="F3235" s="607">
        <v>1018.35</v>
      </c>
      <c r="G3235" s="584">
        <v>15</v>
      </c>
    </row>
    <row r="3236" spans="1:7" ht="30" x14ac:dyDescent="0.2">
      <c r="A3236" s="583" t="s">
        <v>18473</v>
      </c>
      <c r="B3236" s="605" t="s">
        <v>18474</v>
      </c>
      <c r="C3236" s="606" t="s">
        <v>12676</v>
      </c>
      <c r="D3236" s="607">
        <v>1228.1099999999999</v>
      </c>
      <c r="E3236" s="607">
        <v>27.92</v>
      </c>
      <c r="F3236" s="607">
        <v>1256.03</v>
      </c>
      <c r="G3236" s="584">
        <v>15</v>
      </c>
    </row>
    <row r="3237" spans="1:7" ht="30" x14ac:dyDescent="0.2">
      <c r="A3237" s="583" t="s">
        <v>18475</v>
      </c>
      <c r="B3237" s="605" t="s">
        <v>18476</v>
      </c>
      <c r="C3237" s="606" t="s">
        <v>12676</v>
      </c>
      <c r="D3237" s="607">
        <v>1919.88</v>
      </c>
      <c r="E3237" s="607">
        <v>27.92</v>
      </c>
      <c r="F3237" s="607">
        <v>1947.8</v>
      </c>
      <c r="G3237" s="584">
        <v>15</v>
      </c>
    </row>
    <row r="3238" spans="1:7" ht="30" x14ac:dyDescent="0.2">
      <c r="A3238" s="583" t="s">
        <v>18477</v>
      </c>
      <c r="B3238" s="605" t="s">
        <v>18478</v>
      </c>
      <c r="C3238" s="606" t="s">
        <v>12483</v>
      </c>
      <c r="D3238" s="607">
        <v>356.83</v>
      </c>
      <c r="E3238" s="607">
        <v>39.270000000000003</v>
      </c>
      <c r="F3238" s="607">
        <v>396.1</v>
      </c>
      <c r="G3238" s="584">
        <v>15</v>
      </c>
    </row>
    <row r="3239" spans="1:7" ht="30" x14ac:dyDescent="0.2">
      <c r="A3239" s="583" t="s">
        <v>18479</v>
      </c>
      <c r="B3239" s="605" t="s">
        <v>18480</v>
      </c>
      <c r="C3239" s="606" t="s">
        <v>12483</v>
      </c>
      <c r="D3239" s="607">
        <v>1025.31</v>
      </c>
      <c r="E3239" s="607">
        <v>39.270000000000003</v>
      </c>
      <c r="F3239" s="607">
        <v>1064.58</v>
      </c>
      <c r="G3239" s="584">
        <v>15</v>
      </c>
    </row>
    <row r="3240" spans="1:7" ht="15" x14ac:dyDescent="0.2">
      <c r="A3240" s="583" t="s">
        <v>18481</v>
      </c>
      <c r="B3240" s="605" t="s">
        <v>18482</v>
      </c>
      <c r="C3240" s="606" t="s">
        <v>12375</v>
      </c>
      <c r="D3240" s="607">
        <v>104.63</v>
      </c>
      <c r="E3240" s="607">
        <v>22.33</v>
      </c>
      <c r="F3240" s="607">
        <v>126.96</v>
      </c>
      <c r="G3240" s="584">
        <v>15</v>
      </c>
    </row>
    <row r="3241" spans="1:7" ht="15" x14ac:dyDescent="0.2">
      <c r="A3241" s="583" t="s">
        <v>18483</v>
      </c>
      <c r="B3241" s="605" t="s">
        <v>18484</v>
      </c>
      <c r="C3241" s="606" t="s">
        <v>12375</v>
      </c>
      <c r="D3241" s="607">
        <v>146.04</v>
      </c>
      <c r="E3241" s="607">
        <v>22.33</v>
      </c>
      <c r="F3241" s="607">
        <v>168.37</v>
      </c>
      <c r="G3241" s="584">
        <v>15</v>
      </c>
    </row>
    <row r="3242" spans="1:7" ht="15" x14ac:dyDescent="0.2">
      <c r="A3242" s="583" t="s">
        <v>18485</v>
      </c>
      <c r="B3242" s="605" t="s">
        <v>18486</v>
      </c>
      <c r="C3242" s="606" t="s">
        <v>12375</v>
      </c>
      <c r="D3242" s="607">
        <v>156.44999999999999</v>
      </c>
      <c r="E3242" s="607">
        <v>27.92</v>
      </c>
      <c r="F3242" s="607">
        <v>184.37</v>
      </c>
      <c r="G3242" s="584">
        <v>15</v>
      </c>
    </row>
    <row r="3243" spans="1:7" ht="15" x14ac:dyDescent="0.2">
      <c r="A3243" s="583" t="s">
        <v>18487</v>
      </c>
      <c r="B3243" s="605" t="s">
        <v>18488</v>
      </c>
      <c r="C3243" s="606" t="s">
        <v>12375</v>
      </c>
      <c r="D3243" s="607">
        <v>271.54000000000002</v>
      </c>
      <c r="E3243" s="607">
        <v>27.92</v>
      </c>
      <c r="F3243" s="607">
        <v>299.45999999999998</v>
      </c>
      <c r="G3243" s="584">
        <v>15</v>
      </c>
    </row>
    <row r="3244" spans="1:7" ht="15" x14ac:dyDescent="0.2">
      <c r="A3244" s="583" t="s">
        <v>18489</v>
      </c>
      <c r="B3244" s="605" t="s">
        <v>18490</v>
      </c>
      <c r="C3244" s="606" t="s">
        <v>12375</v>
      </c>
      <c r="D3244" s="607">
        <v>289.25</v>
      </c>
      <c r="E3244" s="607">
        <v>27.92</v>
      </c>
      <c r="F3244" s="607">
        <v>317.17</v>
      </c>
      <c r="G3244" s="584">
        <v>15</v>
      </c>
    </row>
    <row r="3245" spans="1:7" ht="15" x14ac:dyDescent="0.2">
      <c r="A3245" s="583" t="s">
        <v>18491</v>
      </c>
      <c r="B3245" s="605" t="s">
        <v>18492</v>
      </c>
      <c r="C3245" s="606" t="s">
        <v>12375</v>
      </c>
      <c r="D3245" s="607">
        <v>601.13</v>
      </c>
      <c r="E3245" s="607">
        <v>27.92</v>
      </c>
      <c r="F3245" s="607">
        <v>629.04999999999995</v>
      </c>
      <c r="G3245" s="584">
        <v>15</v>
      </c>
    </row>
    <row r="3246" spans="1:7" ht="15" x14ac:dyDescent="0.2">
      <c r="A3246" s="583" t="s">
        <v>18493</v>
      </c>
      <c r="B3246" s="605" t="s">
        <v>18494</v>
      </c>
      <c r="C3246" s="606" t="s">
        <v>12375</v>
      </c>
      <c r="D3246" s="607">
        <v>175.32</v>
      </c>
      <c r="E3246" s="607">
        <v>22.33</v>
      </c>
      <c r="F3246" s="607">
        <v>197.65</v>
      </c>
      <c r="G3246" s="584">
        <v>15</v>
      </c>
    </row>
    <row r="3247" spans="1:7" ht="15" x14ac:dyDescent="0.2">
      <c r="A3247" s="583" t="s">
        <v>18495</v>
      </c>
      <c r="B3247" s="605" t="s">
        <v>18496</v>
      </c>
      <c r="C3247" s="606" t="s">
        <v>12375</v>
      </c>
      <c r="D3247" s="607">
        <v>177.06</v>
      </c>
      <c r="E3247" s="607">
        <v>22.33</v>
      </c>
      <c r="F3247" s="607">
        <v>199.39</v>
      </c>
      <c r="G3247" s="584">
        <v>15</v>
      </c>
    </row>
    <row r="3248" spans="1:7" ht="15" x14ac:dyDescent="0.2">
      <c r="A3248" s="583" t="s">
        <v>18497</v>
      </c>
      <c r="B3248" s="605" t="s">
        <v>18498</v>
      </c>
      <c r="C3248" s="606" t="s">
        <v>12375</v>
      </c>
      <c r="D3248" s="607">
        <v>183.27</v>
      </c>
      <c r="E3248" s="607">
        <v>27.92</v>
      </c>
      <c r="F3248" s="607">
        <v>211.19</v>
      </c>
      <c r="G3248" s="584">
        <v>15</v>
      </c>
    </row>
    <row r="3249" spans="1:7" ht="15" x14ac:dyDescent="0.2">
      <c r="A3249" s="583" t="s">
        <v>18499</v>
      </c>
      <c r="B3249" s="605" t="s">
        <v>18500</v>
      </c>
      <c r="C3249" s="606" t="s">
        <v>12375</v>
      </c>
      <c r="D3249" s="607">
        <v>240.65</v>
      </c>
      <c r="E3249" s="607">
        <v>27.92</v>
      </c>
      <c r="F3249" s="607">
        <v>268.57</v>
      </c>
      <c r="G3249" s="584">
        <v>15</v>
      </c>
    </row>
    <row r="3250" spans="1:7" ht="15" x14ac:dyDescent="0.2">
      <c r="A3250" s="583" t="s">
        <v>18501</v>
      </c>
      <c r="B3250" s="605" t="s">
        <v>18502</v>
      </c>
      <c r="C3250" s="606" t="s">
        <v>12375</v>
      </c>
      <c r="D3250" s="607">
        <v>399.27</v>
      </c>
      <c r="E3250" s="607">
        <v>27.92</v>
      </c>
      <c r="F3250" s="607">
        <v>427.19</v>
      </c>
      <c r="G3250" s="584">
        <v>15</v>
      </c>
    </row>
    <row r="3251" spans="1:7" ht="15" x14ac:dyDescent="0.2">
      <c r="A3251" s="583" t="s">
        <v>18503</v>
      </c>
      <c r="B3251" s="605" t="s">
        <v>18504</v>
      </c>
      <c r="C3251" s="606" t="s">
        <v>12375</v>
      </c>
      <c r="D3251" s="607">
        <v>134.25</v>
      </c>
      <c r="E3251" s="607">
        <v>22.33</v>
      </c>
      <c r="F3251" s="607">
        <v>156.58000000000001</v>
      </c>
      <c r="G3251" s="584">
        <v>15</v>
      </c>
    </row>
    <row r="3252" spans="1:7" ht="15" x14ac:dyDescent="0.2">
      <c r="A3252" s="583" t="s">
        <v>18505</v>
      </c>
      <c r="B3252" s="605" t="s">
        <v>18506</v>
      </c>
      <c r="C3252" s="606" t="s">
        <v>12375</v>
      </c>
      <c r="D3252" s="607">
        <v>205.57</v>
      </c>
      <c r="E3252" s="607">
        <v>22.33</v>
      </c>
      <c r="F3252" s="607">
        <v>227.9</v>
      </c>
      <c r="G3252" s="584">
        <v>15</v>
      </c>
    </row>
    <row r="3253" spans="1:7" ht="15" x14ac:dyDescent="0.2">
      <c r="A3253" s="583" t="s">
        <v>18507</v>
      </c>
      <c r="B3253" s="605" t="s">
        <v>18508</v>
      </c>
      <c r="C3253" s="606" t="s">
        <v>12375</v>
      </c>
      <c r="D3253" s="607">
        <v>246.15</v>
      </c>
      <c r="E3253" s="607">
        <v>22.33</v>
      </c>
      <c r="F3253" s="607">
        <v>268.48</v>
      </c>
      <c r="G3253" s="584">
        <v>15</v>
      </c>
    </row>
    <row r="3254" spans="1:7" ht="15" x14ac:dyDescent="0.2">
      <c r="A3254" s="583" t="s">
        <v>18509</v>
      </c>
      <c r="B3254" s="605" t="s">
        <v>18510</v>
      </c>
      <c r="C3254" s="606" t="s">
        <v>12375</v>
      </c>
      <c r="D3254" s="607">
        <v>295.2</v>
      </c>
      <c r="E3254" s="607">
        <v>27.92</v>
      </c>
      <c r="F3254" s="607">
        <v>323.12</v>
      </c>
      <c r="G3254" s="584">
        <v>15</v>
      </c>
    </row>
    <row r="3255" spans="1:7" ht="15" x14ac:dyDescent="0.2">
      <c r="A3255" s="583" t="s">
        <v>18511</v>
      </c>
      <c r="B3255" s="605" t="s">
        <v>18512</v>
      </c>
      <c r="C3255" s="606" t="s">
        <v>12375</v>
      </c>
      <c r="D3255" s="607">
        <v>339.96</v>
      </c>
      <c r="E3255" s="607">
        <v>27.92</v>
      </c>
      <c r="F3255" s="607">
        <v>367.88</v>
      </c>
      <c r="G3255" s="584">
        <v>15</v>
      </c>
    </row>
    <row r="3256" spans="1:7" ht="15" x14ac:dyDescent="0.2">
      <c r="A3256" s="583" t="s">
        <v>18513</v>
      </c>
      <c r="B3256" s="605" t="s">
        <v>18514</v>
      </c>
      <c r="C3256" s="606" t="s">
        <v>12375</v>
      </c>
      <c r="D3256" s="607">
        <v>943.39</v>
      </c>
      <c r="E3256" s="607">
        <v>27.92</v>
      </c>
      <c r="F3256" s="607">
        <v>971.31</v>
      </c>
      <c r="G3256" s="584">
        <v>15</v>
      </c>
    </row>
    <row r="3257" spans="1:7" ht="30" x14ac:dyDescent="0.2">
      <c r="A3257" s="583" t="s">
        <v>18515</v>
      </c>
      <c r="B3257" s="605" t="s">
        <v>18516</v>
      </c>
      <c r="C3257" s="606" t="s">
        <v>12375</v>
      </c>
      <c r="D3257" s="607">
        <v>121.93</v>
      </c>
      <c r="E3257" s="607">
        <v>27.92</v>
      </c>
      <c r="F3257" s="607">
        <v>149.85</v>
      </c>
      <c r="G3257" s="584">
        <v>15</v>
      </c>
    </row>
    <row r="3258" spans="1:7" ht="30" x14ac:dyDescent="0.2">
      <c r="A3258" s="583" t="s">
        <v>18517</v>
      </c>
      <c r="B3258" s="605" t="s">
        <v>18518</v>
      </c>
      <c r="C3258" s="606" t="s">
        <v>12375</v>
      </c>
      <c r="D3258" s="607">
        <v>623.34</v>
      </c>
      <c r="E3258" s="607">
        <v>27.92</v>
      </c>
      <c r="F3258" s="607">
        <v>651.26</v>
      </c>
      <c r="G3258" s="584">
        <v>15</v>
      </c>
    </row>
    <row r="3259" spans="1:7" ht="30" x14ac:dyDescent="0.2">
      <c r="A3259" s="583" t="s">
        <v>18519</v>
      </c>
      <c r="B3259" s="605" t="s">
        <v>18520</v>
      </c>
      <c r="C3259" s="606" t="s">
        <v>12375</v>
      </c>
      <c r="D3259" s="607">
        <v>137.87</v>
      </c>
      <c r="E3259" s="607">
        <v>22.33</v>
      </c>
      <c r="F3259" s="607">
        <v>160.19999999999999</v>
      </c>
      <c r="G3259" s="584">
        <v>15</v>
      </c>
    </row>
    <row r="3260" spans="1:7" ht="30" x14ac:dyDescent="0.2">
      <c r="A3260" s="583" t="s">
        <v>18521</v>
      </c>
      <c r="B3260" s="605" t="s">
        <v>18522</v>
      </c>
      <c r="C3260" s="606" t="s">
        <v>12375</v>
      </c>
      <c r="D3260" s="607">
        <v>208.72</v>
      </c>
      <c r="E3260" s="607">
        <v>27.92</v>
      </c>
      <c r="F3260" s="607">
        <v>236.64</v>
      </c>
      <c r="G3260" s="584">
        <v>15</v>
      </c>
    </row>
    <row r="3261" spans="1:7" ht="30" x14ac:dyDescent="0.2">
      <c r="A3261" s="583" t="s">
        <v>18523</v>
      </c>
      <c r="B3261" s="605" t="s">
        <v>18524</v>
      </c>
      <c r="C3261" s="606" t="s">
        <v>12375</v>
      </c>
      <c r="D3261" s="607">
        <v>238.87</v>
      </c>
      <c r="E3261" s="607">
        <v>27.92</v>
      </c>
      <c r="F3261" s="607">
        <v>266.79000000000002</v>
      </c>
      <c r="G3261" s="584">
        <v>15</v>
      </c>
    </row>
    <row r="3262" spans="1:7" ht="30" x14ac:dyDescent="0.2">
      <c r="A3262" s="583" t="s">
        <v>18525</v>
      </c>
      <c r="B3262" s="605" t="s">
        <v>18526</v>
      </c>
      <c r="C3262" s="606" t="s">
        <v>12375</v>
      </c>
      <c r="D3262" s="607">
        <v>236.6</v>
      </c>
      <c r="E3262" s="607">
        <v>27.92</v>
      </c>
      <c r="F3262" s="607">
        <v>264.52</v>
      </c>
      <c r="G3262" s="584">
        <v>15</v>
      </c>
    </row>
    <row r="3263" spans="1:7" ht="30" x14ac:dyDescent="0.2">
      <c r="A3263" s="583" t="s">
        <v>18527</v>
      </c>
      <c r="B3263" s="605" t="s">
        <v>18528</v>
      </c>
      <c r="C3263" s="606" t="s">
        <v>12375</v>
      </c>
      <c r="D3263" s="607">
        <v>501.55</v>
      </c>
      <c r="E3263" s="607">
        <v>27.92</v>
      </c>
      <c r="F3263" s="607">
        <v>529.47</v>
      </c>
      <c r="G3263" s="584">
        <v>15</v>
      </c>
    </row>
    <row r="3264" spans="1:7" ht="30" x14ac:dyDescent="0.2">
      <c r="A3264" s="583" t="s">
        <v>18529</v>
      </c>
      <c r="B3264" s="605" t="s">
        <v>18530</v>
      </c>
      <c r="C3264" s="606" t="s">
        <v>12375</v>
      </c>
      <c r="D3264" s="607">
        <v>516.82000000000005</v>
      </c>
      <c r="E3264" s="607">
        <v>27.92</v>
      </c>
      <c r="F3264" s="607">
        <v>544.74</v>
      </c>
      <c r="G3264" s="584">
        <v>15</v>
      </c>
    </row>
    <row r="3265" spans="1:7" ht="30" x14ac:dyDescent="0.2">
      <c r="A3265" s="583" t="s">
        <v>20112</v>
      </c>
      <c r="B3265" s="605" t="s">
        <v>20113</v>
      </c>
      <c r="C3265" s="606" t="s">
        <v>12375</v>
      </c>
      <c r="D3265" s="607">
        <v>549.35</v>
      </c>
      <c r="E3265" s="607">
        <v>27.92</v>
      </c>
      <c r="F3265" s="607">
        <v>577.27</v>
      </c>
      <c r="G3265" s="584">
        <v>15</v>
      </c>
    </row>
    <row r="3266" spans="1:7" ht="30" x14ac:dyDescent="0.2">
      <c r="A3266" s="583" t="s">
        <v>18531</v>
      </c>
      <c r="B3266" s="605" t="s">
        <v>18532</v>
      </c>
      <c r="C3266" s="606" t="s">
        <v>12375</v>
      </c>
      <c r="D3266" s="607">
        <v>569.09</v>
      </c>
      <c r="E3266" s="607">
        <v>27.92</v>
      </c>
      <c r="F3266" s="607">
        <v>597.01</v>
      </c>
      <c r="G3266" s="584">
        <v>15</v>
      </c>
    </row>
    <row r="3267" spans="1:7" ht="30" x14ac:dyDescent="0.2">
      <c r="A3267" s="583" t="s">
        <v>18533</v>
      </c>
      <c r="B3267" s="605" t="s">
        <v>18534</v>
      </c>
      <c r="C3267" s="606" t="s">
        <v>12375</v>
      </c>
      <c r="D3267" s="607">
        <v>611.58000000000004</v>
      </c>
      <c r="E3267" s="607">
        <v>27.92</v>
      </c>
      <c r="F3267" s="607">
        <v>639.5</v>
      </c>
      <c r="G3267" s="584">
        <v>15</v>
      </c>
    </row>
    <row r="3268" spans="1:7" ht="30" x14ac:dyDescent="0.2">
      <c r="A3268" s="583" t="s">
        <v>18535</v>
      </c>
      <c r="B3268" s="605" t="s">
        <v>18536</v>
      </c>
      <c r="C3268" s="606" t="s">
        <v>12375</v>
      </c>
      <c r="D3268" s="607">
        <v>1418.81</v>
      </c>
      <c r="E3268" s="607">
        <v>27.92</v>
      </c>
      <c r="F3268" s="607">
        <v>1446.73</v>
      </c>
      <c r="G3268" s="584">
        <v>15</v>
      </c>
    </row>
    <row r="3269" spans="1:7" ht="15" x14ac:dyDescent="0.2">
      <c r="A3269" s="583" t="s">
        <v>18537</v>
      </c>
      <c r="B3269" s="605" t="s">
        <v>18538</v>
      </c>
      <c r="C3269" s="606" t="s">
        <v>12375</v>
      </c>
      <c r="D3269" s="607">
        <v>471.88</v>
      </c>
      <c r="E3269" s="607">
        <v>22.33</v>
      </c>
      <c r="F3269" s="607">
        <v>494.21</v>
      </c>
      <c r="G3269" s="584">
        <v>15</v>
      </c>
    </row>
    <row r="3270" spans="1:7" ht="15" x14ac:dyDescent="0.2">
      <c r="A3270" s="583" t="s">
        <v>18539</v>
      </c>
      <c r="B3270" s="605" t="s">
        <v>18540</v>
      </c>
      <c r="C3270" s="606" t="s">
        <v>12375</v>
      </c>
      <c r="D3270" s="607">
        <v>880.6</v>
      </c>
      <c r="E3270" s="607">
        <v>27.92</v>
      </c>
      <c r="F3270" s="607">
        <v>908.52</v>
      </c>
      <c r="G3270" s="584">
        <v>15</v>
      </c>
    </row>
    <row r="3271" spans="1:7" ht="15" x14ac:dyDescent="0.2">
      <c r="A3271" s="583" t="s">
        <v>18541</v>
      </c>
      <c r="B3271" s="605" t="s">
        <v>18542</v>
      </c>
      <c r="C3271" s="606" t="s">
        <v>12375</v>
      </c>
      <c r="D3271" s="607">
        <v>1172.53</v>
      </c>
      <c r="E3271" s="607">
        <v>27.92</v>
      </c>
      <c r="F3271" s="607">
        <v>1200.45</v>
      </c>
      <c r="G3271" s="584">
        <v>15</v>
      </c>
    </row>
    <row r="3272" spans="1:7" ht="15" x14ac:dyDescent="0.2">
      <c r="A3272" s="583" t="s">
        <v>18543</v>
      </c>
      <c r="B3272" s="605" t="s">
        <v>18544</v>
      </c>
      <c r="C3272" s="606" t="s">
        <v>12375</v>
      </c>
      <c r="D3272" s="607">
        <v>1482.67</v>
      </c>
      <c r="E3272" s="607">
        <v>27.92</v>
      </c>
      <c r="F3272" s="607">
        <v>1510.59</v>
      </c>
      <c r="G3272" s="584">
        <v>15</v>
      </c>
    </row>
    <row r="3273" spans="1:7" ht="15" x14ac:dyDescent="0.2">
      <c r="A3273" s="583" t="s">
        <v>18545</v>
      </c>
      <c r="B3273" s="605" t="s">
        <v>18546</v>
      </c>
      <c r="C3273" s="606" t="s">
        <v>12375</v>
      </c>
      <c r="D3273" s="607">
        <v>3104.63</v>
      </c>
      <c r="E3273" s="607">
        <v>27.92</v>
      </c>
      <c r="F3273" s="607">
        <v>3132.55</v>
      </c>
      <c r="G3273" s="584">
        <v>15</v>
      </c>
    </row>
    <row r="3274" spans="1:7" ht="45" x14ac:dyDescent="0.2">
      <c r="A3274" s="583" t="s">
        <v>18547</v>
      </c>
      <c r="B3274" s="605" t="s">
        <v>18548</v>
      </c>
      <c r="C3274" s="606" t="s">
        <v>12375</v>
      </c>
      <c r="D3274" s="607">
        <v>211.82</v>
      </c>
      <c r="E3274" s="607">
        <v>22.33</v>
      </c>
      <c r="F3274" s="607">
        <v>234.15</v>
      </c>
      <c r="G3274" s="584">
        <v>15</v>
      </c>
    </row>
    <row r="3275" spans="1:7" ht="45" x14ac:dyDescent="0.2">
      <c r="A3275" s="583" t="s">
        <v>18549</v>
      </c>
      <c r="B3275" s="605" t="s">
        <v>18550</v>
      </c>
      <c r="C3275" s="606" t="s">
        <v>12375</v>
      </c>
      <c r="D3275" s="607">
        <v>239.97</v>
      </c>
      <c r="E3275" s="607">
        <v>22.33</v>
      </c>
      <c r="F3275" s="607">
        <v>262.3</v>
      </c>
      <c r="G3275" s="584">
        <v>15</v>
      </c>
    </row>
    <row r="3276" spans="1:7" ht="45" x14ac:dyDescent="0.2">
      <c r="A3276" s="583" t="s">
        <v>18551</v>
      </c>
      <c r="B3276" s="605" t="s">
        <v>18552</v>
      </c>
      <c r="C3276" s="606" t="s">
        <v>12375</v>
      </c>
      <c r="D3276" s="607">
        <v>504.29</v>
      </c>
      <c r="E3276" s="607">
        <v>27.92</v>
      </c>
      <c r="F3276" s="607">
        <v>532.21</v>
      </c>
      <c r="G3276" s="584">
        <v>15</v>
      </c>
    </row>
    <row r="3277" spans="1:7" ht="45" x14ac:dyDescent="0.2">
      <c r="A3277" s="583" t="s">
        <v>20114</v>
      </c>
      <c r="B3277" s="605" t="s">
        <v>20115</v>
      </c>
      <c r="C3277" s="606" t="s">
        <v>12375</v>
      </c>
      <c r="D3277" s="607">
        <v>606.9</v>
      </c>
      <c r="E3277" s="607">
        <v>27.92</v>
      </c>
      <c r="F3277" s="607">
        <v>634.82000000000005</v>
      </c>
      <c r="G3277" s="584">
        <v>15</v>
      </c>
    </row>
    <row r="3278" spans="1:7" ht="45" x14ac:dyDescent="0.2">
      <c r="A3278" s="583" t="s">
        <v>18553</v>
      </c>
      <c r="B3278" s="605" t="s">
        <v>18554</v>
      </c>
      <c r="C3278" s="606" t="s">
        <v>12375</v>
      </c>
      <c r="D3278" s="607">
        <v>828.65</v>
      </c>
      <c r="E3278" s="607">
        <v>27.92</v>
      </c>
      <c r="F3278" s="607">
        <v>856.57</v>
      </c>
      <c r="G3278" s="584">
        <v>15</v>
      </c>
    </row>
    <row r="3279" spans="1:7" ht="15" x14ac:dyDescent="0.2">
      <c r="A3279" s="583" t="s">
        <v>18555</v>
      </c>
      <c r="B3279" s="605" t="s">
        <v>18556</v>
      </c>
      <c r="C3279" s="606" t="s">
        <v>12375</v>
      </c>
      <c r="D3279" s="607">
        <v>259.56</v>
      </c>
      <c r="E3279" s="607">
        <v>27.92</v>
      </c>
      <c r="F3279" s="607">
        <v>287.48</v>
      </c>
      <c r="G3279" s="584">
        <v>15</v>
      </c>
    </row>
    <row r="3280" spans="1:7" ht="15" x14ac:dyDescent="0.2">
      <c r="A3280" s="583" t="s">
        <v>18557</v>
      </c>
      <c r="B3280" s="605" t="s">
        <v>18558</v>
      </c>
      <c r="C3280" s="606" t="s">
        <v>12375</v>
      </c>
      <c r="D3280" s="607">
        <v>549.41999999999996</v>
      </c>
      <c r="E3280" s="607">
        <v>27.92</v>
      </c>
      <c r="F3280" s="607">
        <v>577.34</v>
      </c>
      <c r="G3280" s="584">
        <v>15</v>
      </c>
    </row>
    <row r="3281" spans="1:7" ht="15" x14ac:dyDescent="0.2">
      <c r="A3281" s="583" t="s">
        <v>18559</v>
      </c>
      <c r="B3281" s="605" t="s">
        <v>18560</v>
      </c>
      <c r="C3281" s="606" t="s">
        <v>12375</v>
      </c>
      <c r="D3281" s="607">
        <v>560.92999999999995</v>
      </c>
      <c r="E3281" s="607">
        <v>27.92</v>
      </c>
      <c r="F3281" s="607">
        <v>588.85</v>
      </c>
      <c r="G3281" s="584">
        <v>15</v>
      </c>
    </row>
    <row r="3282" spans="1:7" ht="15" x14ac:dyDescent="0.2">
      <c r="A3282" s="583" t="s">
        <v>18561</v>
      </c>
      <c r="B3282" s="605" t="s">
        <v>18562</v>
      </c>
      <c r="C3282" s="606" t="s">
        <v>12375</v>
      </c>
      <c r="D3282" s="607">
        <v>789.22</v>
      </c>
      <c r="E3282" s="607">
        <v>27.92</v>
      </c>
      <c r="F3282" s="607">
        <v>817.14</v>
      </c>
      <c r="G3282" s="584">
        <v>15</v>
      </c>
    </row>
    <row r="3283" spans="1:7" ht="15" x14ac:dyDescent="0.2">
      <c r="A3283" s="583" t="s">
        <v>18563</v>
      </c>
      <c r="B3283" s="605" t="s">
        <v>18564</v>
      </c>
      <c r="C3283" s="606" t="s">
        <v>12375</v>
      </c>
      <c r="D3283" s="607">
        <v>1113.55</v>
      </c>
      <c r="E3283" s="607">
        <v>27.92</v>
      </c>
      <c r="F3283" s="607">
        <v>1141.47</v>
      </c>
      <c r="G3283" s="584">
        <v>15</v>
      </c>
    </row>
    <row r="3284" spans="1:7" ht="15" x14ac:dyDescent="0.2">
      <c r="A3284" s="583" t="s">
        <v>18565</v>
      </c>
      <c r="B3284" s="605" t="s">
        <v>18566</v>
      </c>
      <c r="C3284" s="606" t="s">
        <v>12375</v>
      </c>
      <c r="D3284" s="607">
        <v>3354.55</v>
      </c>
      <c r="E3284" s="607">
        <v>27.92</v>
      </c>
      <c r="F3284" s="607">
        <v>3382.47</v>
      </c>
      <c r="G3284" s="584">
        <v>15</v>
      </c>
    </row>
    <row r="3285" spans="1:7" ht="15" x14ac:dyDescent="0.25">
      <c r="A3285" s="583" t="s">
        <v>18567</v>
      </c>
      <c r="B3285" s="605" t="s">
        <v>18568</v>
      </c>
      <c r="C3285" s="606"/>
      <c r="D3285" s="607"/>
      <c r="E3285" s="607"/>
      <c r="F3285" s="607"/>
      <c r="G3285" s="582"/>
    </row>
    <row r="3286" spans="1:7" ht="30" x14ac:dyDescent="0.2">
      <c r="A3286" s="583" t="s">
        <v>18569</v>
      </c>
      <c r="B3286" s="605" t="s">
        <v>18570</v>
      </c>
      <c r="C3286" s="606" t="s">
        <v>12483</v>
      </c>
      <c r="D3286" s="607">
        <v>9.34</v>
      </c>
      <c r="E3286" s="607">
        <v>9.2100000000000009</v>
      </c>
      <c r="F3286" s="607">
        <v>18.55</v>
      </c>
      <c r="G3286" s="584">
        <v>15</v>
      </c>
    </row>
    <row r="3287" spans="1:7" ht="30" x14ac:dyDescent="0.2">
      <c r="A3287" s="583" t="s">
        <v>18571</v>
      </c>
      <c r="B3287" s="605" t="s">
        <v>18572</v>
      </c>
      <c r="C3287" s="606" t="s">
        <v>12483</v>
      </c>
      <c r="D3287" s="607">
        <v>13.63</v>
      </c>
      <c r="E3287" s="607">
        <v>9.2100000000000009</v>
      </c>
      <c r="F3287" s="607">
        <v>22.84</v>
      </c>
      <c r="G3287" s="584">
        <v>15</v>
      </c>
    </row>
    <row r="3288" spans="1:7" ht="30" x14ac:dyDescent="0.2">
      <c r="A3288" s="583" t="s">
        <v>18573</v>
      </c>
      <c r="B3288" s="605" t="s">
        <v>18574</v>
      </c>
      <c r="C3288" s="606" t="s">
        <v>12483</v>
      </c>
      <c r="D3288" s="607">
        <v>17.21</v>
      </c>
      <c r="E3288" s="607">
        <v>9.2100000000000009</v>
      </c>
      <c r="F3288" s="607">
        <v>26.42</v>
      </c>
      <c r="G3288" s="584">
        <v>15</v>
      </c>
    </row>
    <row r="3289" spans="1:7" ht="30" x14ac:dyDescent="0.2">
      <c r="A3289" s="583" t="s">
        <v>18575</v>
      </c>
      <c r="B3289" s="605" t="s">
        <v>18576</v>
      </c>
      <c r="C3289" s="606" t="s">
        <v>12483</v>
      </c>
      <c r="D3289" s="607">
        <v>21.47</v>
      </c>
      <c r="E3289" s="607">
        <v>13.96</v>
      </c>
      <c r="F3289" s="607">
        <v>35.43</v>
      </c>
      <c r="G3289" s="584">
        <v>15</v>
      </c>
    </row>
    <row r="3290" spans="1:7" ht="30" x14ac:dyDescent="0.2">
      <c r="A3290" s="583" t="s">
        <v>18577</v>
      </c>
      <c r="B3290" s="605" t="s">
        <v>18578</v>
      </c>
      <c r="C3290" s="606" t="s">
        <v>12483</v>
      </c>
      <c r="D3290" s="607">
        <v>28.59</v>
      </c>
      <c r="E3290" s="607">
        <v>13.96</v>
      </c>
      <c r="F3290" s="607">
        <v>42.55</v>
      </c>
      <c r="G3290" s="584">
        <v>15</v>
      </c>
    </row>
    <row r="3291" spans="1:7" ht="30" x14ac:dyDescent="0.2">
      <c r="A3291" s="583" t="s">
        <v>18579</v>
      </c>
      <c r="B3291" s="605" t="s">
        <v>18580</v>
      </c>
      <c r="C3291" s="606" t="s">
        <v>12483</v>
      </c>
      <c r="D3291" s="607">
        <v>37.14</v>
      </c>
      <c r="E3291" s="607">
        <v>13.96</v>
      </c>
      <c r="F3291" s="607">
        <v>51.1</v>
      </c>
      <c r="G3291" s="584">
        <v>15</v>
      </c>
    </row>
    <row r="3292" spans="1:7" ht="30" x14ac:dyDescent="0.2">
      <c r="A3292" s="583" t="s">
        <v>18581</v>
      </c>
      <c r="B3292" s="605" t="s">
        <v>18582</v>
      </c>
      <c r="C3292" s="606" t="s">
        <v>12483</v>
      </c>
      <c r="D3292" s="607">
        <v>44.98</v>
      </c>
      <c r="E3292" s="607">
        <v>13.96</v>
      </c>
      <c r="F3292" s="607">
        <v>58.94</v>
      </c>
      <c r="G3292" s="584">
        <v>15</v>
      </c>
    </row>
    <row r="3293" spans="1:7" ht="30" x14ac:dyDescent="0.25">
      <c r="A3293" s="583" t="s">
        <v>18583</v>
      </c>
      <c r="B3293" s="605" t="s">
        <v>18584</v>
      </c>
      <c r="C3293" s="606"/>
      <c r="D3293" s="607"/>
      <c r="E3293" s="607"/>
      <c r="F3293" s="607"/>
      <c r="G3293" s="582"/>
    </row>
    <row r="3294" spans="1:7" ht="30" x14ac:dyDescent="0.2">
      <c r="A3294" s="583" t="s">
        <v>18585</v>
      </c>
      <c r="B3294" s="605" t="s">
        <v>18586</v>
      </c>
      <c r="C3294" s="606" t="s">
        <v>12483</v>
      </c>
      <c r="D3294" s="607">
        <v>53.41</v>
      </c>
      <c r="E3294" s="607">
        <v>20.100000000000001</v>
      </c>
      <c r="F3294" s="607">
        <v>73.510000000000005</v>
      </c>
      <c r="G3294" s="584">
        <v>15</v>
      </c>
    </row>
    <row r="3295" spans="1:7" ht="30" x14ac:dyDescent="0.2">
      <c r="A3295" s="583" t="s">
        <v>18587</v>
      </c>
      <c r="B3295" s="605" t="s">
        <v>18588</v>
      </c>
      <c r="C3295" s="606" t="s">
        <v>12483</v>
      </c>
      <c r="D3295" s="607">
        <v>76.010000000000005</v>
      </c>
      <c r="E3295" s="607">
        <v>20.100000000000001</v>
      </c>
      <c r="F3295" s="607">
        <v>96.11</v>
      </c>
      <c r="G3295" s="584">
        <v>15</v>
      </c>
    </row>
    <row r="3296" spans="1:7" ht="30" x14ac:dyDescent="0.2">
      <c r="A3296" s="583" t="s">
        <v>18589</v>
      </c>
      <c r="B3296" s="605" t="s">
        <v>18590</v>
      </c>
      <c r="C3296" s="606" t="s">
        <v>12483</v>
      </c>
      <c r="D3296" s="607">
        <v>93.08</v>
      </c>
      <c r="E3296" s="607">
        <v>20.100000000000001</v>
      </c>
      <c r="F3296" s="607">
        <v>113.18</v>
      </c>
      <c r="G3296" s="584">
        <v>15</v>
      </c>
    </row>
    <row r="3297" spans="1:7" ht="30" x14ac:dyDescent="0.2">
      <c r="A3297" s="583" t="s">
        <v>18591</v>
      </c>
      <c r="B3297" s="605" t="s">
        <v>18592</v>
      </c>
      <c r="C3297" s="606" t="s">
        <v>12483</v>
      </c>
      <c r="D3297" s="607">
        <v>112.91</v>
      </c>
      <c r="E3297" s="607">
        <v>20.100000000000001</v>
      </c>
      <c r="F3297" s="607">
        <v>133.01</v>
      </c>
      <c r="G3297" s="584">
        <v>15</v>
      </c>
    </row>
    <row r="3298" spans="1:7" ht="30" x14ac:dyDescent="0.2">
      <c r="A3298" s="583" t="s">
        <v>18593</v>
      </c>
      <c r="B3298" s="605" t="s">
        <v>18594</v>
      </c>
      <c r="C3298" s="606" t="s">
        <v>12483</v>
      </c>
      <c r="D3298" s="607">
        <v>138.91</v>
      </c>
      <c r="E3298" s="607">
        <v>20.100000000000001</v>
      </c>
      <c r="F3298" s="607">
        <v>159.01</v>
      </c>
      <c r="G3298" s="584">
        <v>15</v>
      </c>
    </row>
    <row r="3299" spans="1:7" ht="30" x14ac:dyDescent="0.2">
      <c r="A3299" s="583" t="s">
        <v>18595</v>
      </c>
      <c r="B3299" s="605" t="s">
        <v>18596</v>
      </c>
      <c r="C3299" s="606" t="s">
        <v>12483</v>
      </c>
      <c r="D3299" s="607">
        <v>154.34</v>
      </c>
      <c r="E3299" s="607">
        <v>20.100000000000001</v>
      </c>
      <c r="F3299" s="607">
        <v>174.44</v>
      </c>
      <c r="G3299" s="584">
        <v>15</v>
      </c>
    </row>
    <row r="3300" spans="1:7" ht="30" x14ac:dyDescent="0.2">
      <c r="A3300" s="583" t="s">
        <v>18597</v>
      </c>
      <c r="B3300" s="605" t="s">
        <v>18598</v>
      </c>
      <c r="C3300" s="606" t="s">
        <v>12483</v>
      </c>
      <c r="D3300" s="607">
        <v>180.52</v>
      </c>
      <c r="E3300" s="607">
        <v>20.100000000000001</v>
      </c>
      <c r="F3300" s="607">
        <v>200.62</v>
      </c>
      <c r="G3300" s="584">
        <v>15</v>
      </c>
    </row>
    <row r="3301" spans="1:7" ht="30" x14ac:dyDescent="0.2">
      <c r="A3301" s="583" t="s">
        <v>18599</v>
      </c>
      <c r="B3301" s="605" t="s">
        <v>18600</v>
      </c>
      <c r="C3301" s="606" t="s">
        <v>12483</v>
      </c>
      <c r="D3301" s="607">
        <v>205.36</v>
      </c>
      <c r="E3301" s="607">
        <v>20.100000000000001</v>
      </c>
      <c r="F3301" s="607">
        <v>225.46</v>
      </c>
      <c r="G3301" s="584">
        <v>15</v>
      </c>
    </row>
    <row r="3302" spans="1:7" ht="30" x14ac:dyDescent="0.2">
      <c r="A3302" s="583" t="s">
        <v>18601</v>
      </c>
      <c r="B3302" s="605" t="s">
        <v>18602</v>
      </c>
      <c r="C3302" s="606" t="s">
        <v>12483</v>
      </c>
      <c r="D3302" s="607">
        <v>217.24</v>
      </c>
      <c r="E3302" s="607">
        <v>20.100000000000001</v>
      </c>
      <c r="F3302" s="607">
        <v>237.34</v>
      </c>
      <c r="G3302" s="584">
        <v>15</v>
      </c>
    </row>
    <row r="3303" spans="1:7" ht="30" x14ac:dyDescent="0.2">
      <c r="A3303" s="583" t="s">
        <v>18603</v>
      </c>
      <c r="B3303" s="605" t="s">
        <v>18604</v>
      </c>
      <c r="C3303" s="606" t="s">
        <v>12483</v>
      </c>
      <c r="D3303" s="607">
        <v>250.88</v>
      </c>
      <c r="E3303" s="607">
        <v>20.100000000000001</v>
      </c>
      <c r="F3303" s="607">
        <v>270.98</v>
      </c>
      <c r="G3303" s="584">
        <v>15</v>
      </c>
    </row>
    <row r="3304" spans="1:7" ht="30" x14ac:dyDescent="0.2">
      <c r="A3304" s="583" t="s">
        <v>18605</v>
      </c>
      <c r="B3304" s="605" t="s">
        <v>18606</v>
      </c>
      <c r="C3304" s="606" t="s">
        <v>12483</v>
      </c>
      <c r="D3304" s="607">
        <v>278.97000000000003</v>
      </c>
      <c r="E3304" s="607">
        <v>20.100000000000001</v>
      </c>
      <c r="F3304" s="607">
        <v>299.07</v>
      </c>
      <c r="G3304" s="584">
        <v>15</v>
      </c>
    </row>
    <row r="3305" spans="1:7" ht="15" x14ac:dyDescent="0.25">
      <c r="A3305" s="583" t="s">
        <v>18607</v>
      </c>
      <c r="B3305" s="605" t="s">
        <v>18608</v>
      </c>
      <c r="C3305" s="606"/>
      <c r="D3305" s="607"/>
      <c r="E3305" s="607"/>
      <c r="F3305" s="607"/>
      <c r="G3305" s="582"/>
    </row>
    <row r="3306" spans="1:7" ht="45" x14ac:dyDescent="0.2">
      <c r="A3306" s="583" t="s">
        <v>18609</v>
      </c>
      <c r="B3306" s="605" t="s">
        <v>18610</v>
      </c>
      <c r="C3306" s="606" t="s">
        <v>12483</v>
      </c>
      <c r="D3306" s="607">
        <v>38.01</v>
      </c>
      <c r="E3306" s="607">
        <v>19.64</v>
      </c>
      <c r="F3306" s="607">
        <v>57.65</v>
      </c>
      <c r="G3306" s="584">
        <v>15</v>
      </c>
    </row>
    <row r="3307" spans="1:7" ht="45" x14ac:dyDescent="0.2">
      <c r="A3307" s="583" t="s">
        <v>18611</v>
      </c>
      <c r="B3307" s="605" t="s">
        <v>18612</v>
      </c>
      <c r="C3307" s="606" t="s">
        <v>12483</v>
      </c>
      <c r="D3307" s="607">
        <v>46.04</v>
      </c>
      <c r="E3307" s="607">
        <v>19.64</v>
      </c>
      <c r="F3307" s="607">
        <v>65.680000000000007</v>
      </c>
      <c r="G3307" s="584">
        <v>15</v>
      </c>
    </row>
    <row r="3308" spans="1:7" ht="45" x14ac:dyDescent="0.2">
      <c r="A3308" s="583" t="s">
        <v>18613</v>
      </c>
      <c r="B3308" s="605" t="s">
        <v>18614</v>
      </c>
      <c r="C3308" s="606" t="s">
        <v>12483</v>
      </c>
      <c r="D3308" s="607">
        <v>52.29</v>
      </c>
      <c r="E3308" s="607">
        <v>19.64</v>
      </c>
      <c r="F3308" s="607">
        <v>71.930000000000007</v>
      </c>
      <c r="G3308" s="584">
        <v>15</v>
      </c>
    </row>
    <row r="3309" spans="1:7" ht="45" x14ac:dyDescent="0.2">
      <c r="A3309" s="583" t="s">
        <v>18615</v>
      </c>
      <c r="B3309" s="605" t="s">
        <v>18616</v>
      </c>
      <c r="C3309" s="606" t="s">
        <v>12483</v>
      </c>
      <c r="D3309" s="607">
        <v>123.99</v>
      </c>
      <c r="E3309" s="607">
        <v>29.45</v>
      </c>
      <c r="F3309" s="607">
        <v>153.44</v>
      </c>
      <c r="G3309" s="584">
        <v>15</v>
      </c>
    </row>
    <row r="3310" spans="1:7" ht="30" x14ac:dyDescent="0.2">
      <c r="A3310" s="583" t="s">
        <v>18617</v>
      </c>
      <c r="B3310" s="605" t="s">
        <v>18618</v>
      </c>
      <c r="C3310" s="606" t="s">
        <v>12375</v>
      </c>
      <c r="D3310" s="607">
        <v>13.42</v>
      </c>
      <c r="E3310" s="607">
        <v>12.84</v>
      </c>
      <c r="F3310" s="607">
        <v>26.26</v>
      </c>
      <c r="G3310" s="584">
        <v>15</v>
      </c>
    </row>
    <row r="3311" spans="1:7" ht="30" x14ac:dyDescent="0.2">
      <c r="A3311" s="583" t="s">
        <v>18619</v>
      </c>
      <c r="B3311" s="605" t="s">
        <v>18620</v>
      </c>
      <c r="C3311" s="606" t="s">
        <v>12375</v>
      </c>
      <c r="D3311" s="607">
        <v>20.27</v>
      </c>
      <c r="E3311" s="607">
        <v>12.84</v>
      </c>
      <c r="F3311" s="607">
        <v>33.11</v>
      </c>
      <c r="G3311" s="584">
        <v>15</v>
      </c>
    </row>
    <row r="3312" spans="1:7" ht="30" x14ac:dyDescent="0.2">
      <c r="A3312" s="583" t="s">
        <v>18621</v>
      </c>
      <c r="B3312" s="605" t="s">
        <v>18622</v>
      </c>
      <c r="C3312" s="606" t="s">
        <v>12375</v>
      </c>
      <c r="D3312" s="607">
        <v>21.54</v>
      </c>
      <c r="E3312" s="607">
        <v>19.54</v>
      </c>
      <c r="F3312" s="607">
        <v>41.08</v>
      </c>
      <c r="G3312" s="584">
        <v>15</v>
      </c>
    </row>
    <row r="3313" spans="1:7" ht="30" x14ac:dyDescent="0.2">
      <c r="A3313" s="583" t="s">
        <v>18623</v>
      </c>
      <c r="B3313" s="605" t="s">
        <v>18624</v>
      </c>
      <c r="C3313" s="606" t="s">
        <v>12375</v>
      </c>
      <c r="D3313" s="607">
        <v>31.37</v>
      </c>
      <c r="E3313" s="607">
        <v>22.33</v>
      </c>
      <c r="F3313" s="607">
        <v>53.7</v>
      </c>
      <c r="G3313" s="584">
        <v>15</v>
      </c>
    </row>
    <row r="3314" spans="1:7" ht="30" x14ac:dyDescent="0.2">
      <c r="A3314" s="583" t="s">
        <v>18625</v>
      </c>
      <c r="B3314" s="605" t="s">
        <v>18626</v>
      </c>
      <c r="C3314" s="606" t="s">
        <v>12375</v>
      </c>
      <c r="D3314" s="607">
        <v>13.26</v>
      </c>
      <c r="E3314" s="607">
        <v>12.84</v>
      </c>
      <c r="F3314" s="607">
        <v>26.1</v>
      </c>
      <c r="G3314" s="584">
        <v>15</v>
      </c>
    </row>
    <row r="3315" spans="1:7" ht="30" x14ac:dyDescent="0.2">
      <c r="A3315" s="583" t="s">
        <v>18627</v>
      </c>
      <c r="B3315" s="605" t="s">
        <v>18628</v>
      </c>
      <c r="C3315" s="606" t="s">
        <v>12375</v>
      </c>
      <c r="D3315" s="607">
        <v>18.87</v>
      </c>
      <c r="E3315" s="607">
        <v>12.84</v>
      </c>
      <c r="F3315" s="607">
        <v>31.71</v>
      </c>
      <c r="G3315" s="584">
        <v>15</v>
      </c>
    </row>
    <row r="3316" spans="1:7" ht="30" x14ac:dyDescent="0.2">
      <c r="A3316" s="583" t="s">
        <v>18629</v>
      </c>
      <c r="B3316" s="605" t="s">
        <v>18630</v>
      </c>
      <c r="C3316" s="606" t="s">
        <v>12375</v>
      </c>
      <c r="D3316" s="607">
        <v>26.13</v>
      </c>
      <c r="E3316" s="607">
        <v>19.54</v>
      </c>
      <c r="F3316" s="607">
        <v>45.67</v>
      </c>
      <c r="G3316" s="584">
        <v>15</v>
      </c>
    </row>
    <row r="3317" spans="1:7" ht="30" x14ac:dyDescent="0.2">
      <c r="A3317" s="583" t="s">
        <v>18631</v>
      </c>
      <c r="B3317" s="605" t="s">
        <v>18632</v>
      </c>
      <c r="C3317" s="606" t="s">
        <v>12375</v>
      </c>
      <c r="D3317" s="607">
        <v>42.95</v>
      </c>
      <c r="E3317" s="607">
        <v>22.33</v>
      </c>
      <c r="F3317" s="607">
        <v>65.28</v>
      </c>
      <c r="G3317" s="584">
        <v>15</v>
      </c>
    </row>
    <row r="3318" spans="1:7" ht="30" x14ac:dyDescent="0.2">
      <c r="A3318" s="583" t="s">
        <v>18633</v>
      </c>
      <c r="B3318" s="605" t="s">
        <v>18634</v>
      </c>
      <c r="C3318" s="606" t="s">
        <v>12375</v>
      </c>
      <c r="D3318" s="607">
        <v>17.37</v>
      </c>
      <c r="E3318" s="607">
        <v>12.84</v>
      </c>
      <c r="F3318" s="607">
        <v>30.21</v>
      </c>
      <c r="G3318" s="584">
        <v>15</v>
      </c>
    </row>
    <row r="3319" spans="1:7" ht="30" x14ac:dyDescent="0.2">
      <c r="A3319" s="583" t="s">
        <v>18635</v>
      </c>
      <c r="B3319" s="605" t="s">
        <v>18636</v>
      </c>
      <c r="C3319" s="606" t="s">
        <v>12375</v>
      </c>
      <c r="D3319" s="607">
        <v>21.18</v>
      </c>
      <c r="E3319" s="607">
        <v>12.84</v>
      </c>
      <c r="F3319" s="607">
        <v>34.020000000000003</v>
      </c>
      <c r="G3319" s="584">
        <v>15</v>
      </c>
    </row>
    <row r="3320" spans="1:7" ht="30" x14ac:dyDescent="0.2">
      <c r="A3320" s="583" t="s">
        <v>18637</v>
      </c>
      <c r="B3320" s="605" t="s">
        <v>18638</v>
      </c>
      <c r="C3320" s="606" t="s">
        <v>12375</v>
      </c>
      <c r="D3320" s="607">
        <v>24.85</v>
      </c>
      <c r="E3320" s="607">
        <v>19.54</v>
      </c>
      <c r="F3320" s="607">
        <v>44.39</v>
      </c>
      <c r="G3320" s="584">
        <v>15</v>
      </c>
    </row>
    <row r="3321" spans="1:7" ht="30" x14ac:dyDescent="0.2">
      <c r="A3321" s="583" t="s">
        <v>18639</v>
      </c>
      <c r="B3321" s="605" t="s">
        <v>18640</v>
      </c>
      <c r="C3321" s="606" t="s">
        <v>12375</v>
      </c>
      <c r="D3321" s="607">
        <v>40.479999999999997</v>
      </c>
      <c r="E3321" s="607">
        <v>22.33</v>
      </c>
      <c r="F3321" s="607">
        <v>62.81</v>
      </c>
      <c r="G3321" s="584">
        <v>15</v>
      </c>
    </row>
    <row r="3322" spans="1:7" ht="30" x14ac:dyDescent="0.2">
      <c r="A3322" s="583" t="s">
        <v>18641</v>
      </c>
      <c r="B3322" s="605" t="s">
        <v>18642</v>
      </c>
      <c r="C3322" s="606" t="s">
        <v>12375</v>
      </c>
      <c r="D3322" s="607">
        <v>13.4</v>
      </c>
      <c r="E3322" s="607">
        <v>12.84</v>
      </c>
      <c r="F3322" s="607">
        <v>26.24</v>
      </c>
      <c r="G3322" s="584">
        <v>15</v>
      </c>
    </row>
    <row r="3323" spans="1:7" ht="30" x14ac:dyDescent="0.2">
      <c r="A3323" s="583" t="s">
        <v>18643</v>
      </c>
      <c r="B3323" s="605" t="s">
        <v>18644</v>
      </c>
      <c r="C3323" s="606" t="s">
        <v>12375</v>
      </c>
      <c r="D3323" s="607">
        <v>19.23</v>
      </c>
      <c r="E3323" s="607">
        <v>19.54</v>
      </c>
      <c r="F3323" s="607">
        <v>38.770000000000003</v>
      </c>
      <c r="G3323" s="584">
        <v>15</v>
      </c>
    </row>
    <row r="3324" spans="1:7" ht="30" x14ac:dyDescent="0.2">
      <c r="A3324" s="583" t="s">
        <v>18645</v>
      </c>
      <c r="B3324" s="605" t="s">
        <v>18646</v>
      </c>
      <c r="C3324" s="606" t="s">
        <v>12375</v>
      </c>
      <c r="D3324" s="607">
        <v>32.659999999999997</v>
      </c>
      <c r="E3324" s="607">
        <v>22.33</v>
      </c>
      <c r="F3324" s="607">
        <v>54.99</v>
      </c>
      <c r="G3324" s="584">
        <v>15</v>
      </c>
    </row>
    <row r="3325" spans="1:7" ht="30" x14ac:dyDescent="0.2">
      <c r="A3325" s="583" t="s">
        <v>18647</v>
      </c>
      <c r="B3325" s="605" t="s">
        <v>18648</v>
      </c>
      <c r="C3325" s="606" t="s">
        <v>12375</v>
      </c>
      <c r="D3325" s="607">
        <v>39.78</v>
      </c>
      <c r="E3325" s="607">
        <v>12.84</v>
      </c>
      <c r="F3325" s="607">
        <v>52.62</v>
      </c>
      <c r="G3325" s="584">
        <v>15</v>
      </c>
    </row>
    <row r="3326" spans="1:7" ht="30" x14ac:dyDescent="0.2">
      <c r="A3326" s="583" t="s">
        <v>18649</v>
      </c>
      <c r="B3326" s="605" t="s">
        <v>18650</v>
      </c>
      <c r="C3326" s="606" t="s">
        <v>12375</v>
      </c>
      <c r="D3326" s="607">
        <v>51.07</v>
      </c>
      <c r="E3326" s="607">
        <v>19.54</v>
      </c>
      <c r="F3326" s="607">
        <v>70.61</v>
      </c>
      <c r="G3326" s="584">
        <v>15</v>
      </c>
    </row>
    <row r="3327" spans="1:7" ht="30" x14ac:dyDescent="0.2">
      <c r="A3327" s="583" t="s">
        <v>18651</v>
      </c>
      <c r="B3327" s="605" t="s">
        <v>18652</v>
      </c>
      <c r="C3327" s="606" t="s">
        <v>12375</v>
      </c>
      <c r="D3327" s="607">
        <v>90.54</v>
      </c>
      <c r="E3327" s="607">
        <v>22.33</v>
      </c>
      <c r="F3327" s="607">
        <v>112.87</v>
      </c>
      <c r="G3327" s="584">
        <v>15</v>
      </c>
    </row>
    <row r="3328" spans="1:7" ht="30" x14ac:dyDescent="0.2">
      <c r="A3328" s="583" t="s">
        <v>18653</v>
      </c>
      <c r="B3328" s="605" t="s">
        <v>18654</v>
      </c>
      <c r="C3328" s="606" t="s">
        <v>12375</v>
      </c>
      <c r="D3328" s="607">
        <v>73.38</v>
      </c>
      <c r="E3328" s="607">
        <v>22.33</v>
      </c>
      <c r="F3328" s="607">
        <v>95.71</v>
      </c>
      <c r="G3328" s="584">
        <v>15</v>
      </c>
    </row>
    <row r="3329" spans="1:7" ht="30" x14ac:dyDescent="0.2">
      <c r="A3329" s="583" t="s">
        <v>18655</v>
      </c>
      <c r="B3329" s="605" t="s">
        <v>18656</v>
      </c>
      <c r="C3329" s="606" t="s">
        <v>20385</v>
      </c>
      <c r="D3329" s="607">
        <v>215.96</v>
      </c>
      <c r="E3329" s="607">
        <v>19.54</v>
      </c>
      <c r="F3329" s="607">
        <v>235.5</v>
      </c>
      <c r="G3329" s="584">
        <v>15</v>
      </c>
    </row>
    <row r="3330" spans="1:7" ht="30" x14ac:dyDescent="0.2">
      <c r="A3330" s="583" t="s">
        <v>18657</v>
      </c>
      <c r="B3330" s="605" t="s">
        <v>18658</v>
      </c>
      <c r="C3330" s="606" t="s">
        <v>20385</v>
      </c>
      <c r="D3330" s="607">
        <v>37.32</v>
      </c>
      <c r="E3330" s="607">
        <v>12.84</v>
      </c>
      <c r="F3330" s="607">
        <v>50.16</v>
      </c>
      <c r="G3330" s="584">
        <v>15</v>
      </c>
    </row>
    <row r="3331" spans="1:7" ht="30" x14ac:dyDescent="0.2">
      <c r="A3331" s="583" t="s">
        <v>18659</v>
      </c>
      <c r="B3331" s="605" t="s">
        <v>18660</v>
      </c>
      <c r="C3331" s="606" t="s">
        <v>20385</v>
      </c>
      <c r="D3331" s="607">
        <v>44.17</v>
      </c>
      <c r="E3331" s="607">
        <v>19.54</v>
      </c>
      <c r="F3331" s="607">
        <v>63.71</v>
      </c>
      <c r="G3331" s="584">
        <v>15</v>
      </c>
    </row>
    <row r="3332" spans="1:7" ht="30" x14ac:dyDescent="0.2">
      <c r="A3332" s="583" t="s">
        <v>18661</v>
      </c>
      <c r="B3332" s="605" t="s">
        <v>18662</v>
      </c>
      <c r="C3332" s="606" t="s">
        <v>20385</v>
      </c>
      <c r="D3332" s="607">
        <v>83.97</v>
      </c>
      <c r="E3332" s="607">
        <v>22.33</v>
      </c>
      <c r="F3332" s="607">
        <v>106.3</v>
      </c>
      <c r="G3332" s="584">
        <v>15</v>
      </c>
    </row>
    <row r="3333" spans="1:7" ht="30" x14ac:dyDescent="0.2">
      <c r="A3333" s="583" t="s">
        <v>18663</v>
      </c>
      <c r="B3333" s="605" t="s">
        <v>18664</v>
      </c>
      <c r="C3333" s="606" t="s">
        <v>20385</v>
      </c>
      <c r="D3333" s="607">
        <v>38.03</v>
      </c>
      <c r="E3333" s="607">
        <v>19.54</v>
      </c>
      <c r="F3333" s="607">
        <v>57.57</v>
      </c>
      <c r="G3333" s="584">
        <v>15</v>
      </c>
    </row>
    <row r="3334" spans="1:7" ht="30" x14ac:dyDescent="0.2">
      <c r="A3334" s="583" t="s">
        <v>18665</v>
      </c>
      <c r="B3334" s="605" t="s">
        <v>18666</v>
      </c>
      <c r="C3334" s="606" t="s">
        <v>20385</v>
      </c>
      <c r="D3334" s="607">
        <v>68.56</v>
      </c>
      <c r="E3334" s="607">
        <v>22.33</v>
      </c>
      <c r="F3334" s="607">
        <v>90.89</v>
      </c>
      <c r="G3334" s="584">
        <v>15</v>
      </c>
    </row>
    <row r="3335" spans="1:7" ht="30" x14ac:dyDescent="0.2">
      <c r="A3335" s="583" t="s">
        <v>18667</v>
      </c>
      <c r="B3335" s="605" t="s">
        <v>18668</v>
      </c>
      <c r="C3335" s="606" t="s">
        <v>20385</v>
      </c>
      <c r="D3335" s="607">
        <v>54.57</v>
      </c>
      <c r="E3335" s="607">
        <v>22.33</v>
      </c>
      <c r="F3335" s="607">
        <v>76.900000000000006</v>
      </c>
      <c r="G3335" s="584">
        <v>15</v>
      </c>
    </row>
    <row r="3336" spans="1:7" ht="30" x14ac:dyDescent="0.2">
      <c r="A3336" s="583" t="s">
        <v>18669</v>
      </c>
      <c r="B3336" s="605" t="s">
        <v>18670</v>
      </c>
      <c r="C3336" s="606" t="s">
        <v>20385</v>
      </c>
      <c r="D3336" s="607">
        <v>70.599999999999994</v>
      </c>
      <c r="E3336" s="607">
        <v>22.33</v>
      </c>
      <c r="F3336" s="607">
        <v>92.93</v>
      </c>
      <c r="G3336" s="584">
        <v>15</v>
      </c>
    </row>
    <row r="3337" spans="1:7" ht="30" x14ac:dyDescent="0.2">
      <c r="A3337" s="583" t="s">
        <v>18671</v>
      </c>
      <c r="B3337" s="605" t="s">
        <v>18672</v>
      </c>
      <c r="C3337" s="606" t="s">
        <v>20385</v>
      </c>
      <c r="D3337" s="607">
        <v>118.81</v>
      </c>
      <c r="E3337" s="607">
        <v>19.54</v>
      </c>
      <c r="F3337" s="607">
        <v>138.35</v>
      </c>
      <c r="G3337" s="584">
        <v>15</v>
      </c>
    </row>
    <row r="3338" spans="1:7" ht="30" x14ac:dyDescent="0.2">
      <c r="A3338" s="583" t="s">
        <v>18673</v>
      </c>
      <c r="B3338" s="605" t="s">
        <v>18674</v>
      </c>
      <c r="C3338" s="606" t="s">
        <v>20385</v>
      </c>
      <c r="D3338" s="607">
        <v>81.3</v>
      </c>
      <c r="E3338" s="607">
        <v>22.33</v>
      </c>
      <c r="F3338" s="607">
        <v>103.63</v>
      </c>
      <c r="G3338" s="584">
        <v>15</v>
      </c>
    </row>
    <row r="3339" spans="1:7" ht="30" x14ac:dyDescent="0.2">
      <c r="A3339" s="583" t="s">
        <v>18675</v>
      </c>
      <c r="B3339" s="605" t="s">
        <v>18676</v>
      </c>
      <c r="C3339" s="606" t="s">
        <v>20385</v>
      </c>
      <c r="D3339" s="607">
        <v>75.209999999999994</v>
      </c>
      <c r="E3339" s="607">
        <v>12.84</v>
      </c>
      <c r="F3339" s="607">
        <v>88.05</v>
      </c>
      <c r="G3339" s="584">
        <v>15</v>
      </c>
    </row>
    <row r="3340" spans="1:7" ht="30" x14ac:dyDescent="0.2">
      <c r="A3340" s="583" t="s">
        <v>18677</v>
      </c>
      <c r="B3340" s="605" t="s">
        <v>18678</v>
      </c>
      <c r="C3340" s="606" t="s">
        <v>20385</v>
      </c>
      <c r="D3340" s="607">
        <v>12.91</v>
      </c>
      <c r="E3340" s="607">
        <v>12.84</v>
      </c>
      <c r="F3340" s="607">
        <v>25.75</v>
      </c>
      <c r="G3340" s="584">
        <v>15</v>
      </c>
    </row>
    <row r="3341" spans="1:7" ht="30" x14ac:dyDescent="0.2">
      <c r="A3341" s="583" t="s">
        <v>18679</v>
      </c>
      <c r="B3341" s="605" t="s">
        <v>18680</v>
      </c>
      <c r="C3341" s="606" t="s">
        <v>20385</v>
      </c>
      <c r="D3341" s="607">
        <v>32.840000000000003</v>
      </c>
      <c r="E3341" s="607">
        <v>12.84</v>
      </c>
      <c r="F3341" s="607">
        <v>45.68</v>
      </c>
      <c r="G3341" s="584">
        <v>15</v>
      </c>
    </row>
    <row r="3342" spans="1:7" ht="30" x14ac:dyDescent="0.2">
      <c r="A3342" s="583" t="s">
        <v>18681</v>
      </c>
      <c r="B3342" s="605" t="s">
        <v>18682</v>
      </c>
      <c r="C3342" s="606" t="s">
        <v>20385</v>
      </c>
      <c r="D3342" s="607">
        <v>46.09</v>
      </c>
      <c r="E3342" s="607">
        <v>19.54</v>
      </c>
      <c r="F3342" s="607">
        <v>65.63</v>
      </c>
      <c r="G3342" s="584">
        <v>15</v>
      </c>
    </row>
    <row r="3343" spans="1:7" ht="15" x14ac:dyDescent="0.2">
      <c r="A3343" s="583" t="s">
        <v>18683</v>
      </c>
      <c r="B3343" s="605" t="s">
        <v>18684</v>
      </c>
      <c r="C3343" s="606" t="s">
        <v>21478</v>
      </c>
      <c r="D3343" s="607">
        <v>75.41</v>
      </c>
      <c r="E3343" s="607">
        <v>5.58</v>
      </c>
      <c r="F3343" s="607">
        <v>80.989999999999995</v>
      </c>
      <c r="G3343" s="584">
        <v>15</v>
      </c>
    </row>
    <row r="3344" spans="1:7" ht="30" x14ac:dyDescent="0.25">
      <c r="A3344" s="583" t="s">
        <v>18685</v>
      </c>
      <c r="B3344" s="605" t="s">
        <v>18686</v>
      </c>
      <c r="C3344" s="606"/>
      <c r="D3344" s="607"/>
      <c r="E3344" s="607"/>
      <c r="F3344" s="607"/>
      <c r="G3344" s="582"/>
    </row>
    <row r="3345" spans="1:7" ht="15" x14ac:dyDescent="0.25">
      <c r="A3345" s="583" t="s">
        <v>18687</v>
      </c>
      <c r="B3345" s="605" t="s">
        <v>18688</v>
      </c>
      <c r="C3345" s="606"/>
      <c r="D3345" s="607"/>
      <c r="E3345" s="607"/>
      <c r="F3345" s="607"/>
      <c r="G3345" s="582"/>
    </row>
    <row r="3346" spans="1:7" ht="30" x14ac:dyDescent="0.2">
      <c r="A3346" s="583" t="s">
        <v>18689</v>
      </c>
      <c r="B3346" s="605" t="s">
        <v>18690</v>
      </c>
      <c r="C3346" s="606" t="s">
        <v>20385</v>
      </c>
      <c r="D3346" s="607">
        <v>42.78</v>
      </c>
      <c r="E3346" s="607">
        <v>25.12</v>
      </c>
      <c r="F3346" s="607">
        <v>67.900000000000006</v>
      </c>
      <c r="G3346" s="584">
        <v>15</v>
      </c>
    </row>
    <row r="3347" spans="1:7" ht="30" x14ac:dyDescent="0.2">
      <c r="A3347" s="583" t="s">
        <v>18691</v>
      </c>
      <c r="B3347" s="605" t="s">
        <v>18692</v>
      </c>
      <c r="C3347" s="606" t="s">
        <v>20385</v>
      </c>
      <c r="D3347" s="607">
        <v>56.95</v>
      </c>
      <c r="E3347" s="607">
        <v>33.5</v>
      </c>
      <c r="F3347" s="607">
        <v>90.45</v>
      </c>
      <c r="G3347" s="584">
        <v>15</v>
      </c>
    </row>
    <row r="3348" spans="1:7" ht="15" x14ac:dyDescent="0.2">
      <c r="A3348" s="583" t="s">
        <v>18693</v>
      </c>
      <c r="B3348" s="605" t="s">
        <v>18694</v>
      </c>
      <c r="C3348" s="606" t="s">
        <v>20385</v>
      </c>
      <c r="D3348" s="607">
        <v>66.86</v>
      </c>
      <c r="E3348" s="607">
        <v>41.87</v>
      </c>
      <c r="F3348" s="607">
        <v>108.73</v>
      </c>
      <c r="G3348" s="584">
        <v>15</v>
      </c>
    </row>
    <row r="3349" spans="1:7" ht="30" x14ac:dyDescent="0.2">
      <c r="A3349" s="583" t="s">
        <v>18695</v>
      </c>
      <c r="B3349" s="605" t="s">
        <v>18696</v>
      </c>
      <c r="C3349" s="606" t="s">
        <v>20385</v>
      </c>
      <c r="D3349" s="607">
        <v>92.16</v>
      </c>
      <c r="E3349" s="607">
        <v>50.25</v>
      </c>
      <c r="F3349" s="607">
        <v>142.41</v>
      </c>
      <c r="G3349" s="584">
        <v>15</v>
      </c>
    </row>
    <row r="3350" spans="1:7" ht="30" x14ac:dyDescent="0.2">
      <c r="A3350" s="583" t="s">
        <v>18697</v>
      </c>
      <c r="B3350" s="605" t="s">
        <v>18698</v>
      </c>
      <c r="C3350" s="606" t="s">
        <v>20385</v>
      </c>
      <c r="D3350" s="607">
        <v>110.87</v>
      </c>
      <c r="E3350" s="607">
        <v>55.83</v>
      </c>
      <c r="F3350" s="607">
        <v>166.7</v>
      </c>
      <c r="G3350" s="584">
        <v>15</v>
      </c>
    </row>
    <row r="3351" spans="1:7" ht="15" x14ac:dyDescent="0.2">
      <c r="A3351" s="583" t="s">
        <v>18699</v>
      </c>
      <c r="B3351" s="605" t="s">
        <v>18700</v>
      </c>
      <c r="C3351" s="606" t="s">
        <v>20385</v>
      </c>
      <c r="D3351" s="607">
        <v>181.25</v>
      </c>
      <c r="E3351" s="607">
        <v>69.790000000000006</v>
      </c>
      <c r="F3351" s="607">
        <v>251.04</v>
      </c>
      <c r="G3351" s="584">
        <v>15</v>
      </c>
    </row>
    <row r="3352" spans="1:7" ht="30" x14ac:dyDescent="0.2">
      <c r="A3352" s="583" t="s">
        <v>18701</v>
      </c>
      <c r="B3352" s="605" t="s">
        <v>18702</v>
      </c>
      <c r="C3352" s="606" t="s">
        <v>20385</v>
      </c>
      <c r="D3352" s="607">
        <v>385.23</v>
      </c>
      <c r="E3352" s="607">
        <v>83.75</v>
      </c>
      <c r="F3352" s="607">
        <v>468.98</v>
      </c>
      <c r="G3352" s="584">
        <v>15</v>
      </c>
    </row>
    <row r="3353" spans="1:7" ht="15" x14ac:dyDescent="0.2">
      <c r="A3353" s="583" t="s">
        <v>18703</v>
      </c>
      <c r="B3353" s="605" t="s">
        <v>18704</v>
      </c>
      <c r="C3353" s="606" t="s">
        <v>20385</v>
      </c>
      <c r="D3353" s="607">
        <v>647.67999999999995</v>
      </c>
      <c r="E3353" s="607">
        <v>111.66</v>
      </c>
      <c r="F3353" s="607">
        <v>759.34</v>
      </c>
      <c r="G3353" s="584">
        <v>15</v>
      </c>
    </row>
    <row r="3354" spans="1:7" ht="15" x14ac:dyDescent="0.2">
      <c r="A3354" s="583" t="s">
        <v>18705</v>
      </c>
      <c r="B3354" s="605" t="s">
        <v>18706</v>
      </c>
      <c r="C3354" s="606" t="s">
        <v>20385</v>
      </c>
      <c r="D3354" s="607">
        <v>1124.0999999999999</v>
      </c>
      <c r="E3354" s="607">
        <v>167.49</v>
      </c>
      <c r="F3354" s="607">
        <v>1291.5899999999999</v>
      </c>
      <c r="G3354" s="584">
        <v>15</v>
      </c>
    </row>
    <row r="3355" spans="1:7" ht="30" x14ac:dyDescent="0.2">
      <c r="A3355" s="583" t="s">
        <v>18707</v>
      </c>
      <c r="B3355" s="605" t="s">
        <v>18708</v>
      </c>
      <c r="C3355" s="606" t="s">
        <v>20385</v>
      </c>
      <c r="D3355" s="607">
        <v>68.11</v>
      </c>
      <c r="E3355" s="607">
        <v>33.5</v>
      </c>
      <c r="F3355" s="607">
        <v>101.61</v>
      </c>
      <c r="G3355" s="584">
        <v>15</v>
      </c>
    </row>
    <row r="3356" spans="1:7" ht="30" x14ac:dyDescent="0.2">
      <c r="A3356" s="583" t="s">
        <v>18709</v>
      </c>
      <c r="B3356" s="605" t="s">
        <v>18710</v>
      </c>
      <c r="C3356" s="606" t="s">
        <v>20385</v>
      </c>
      <c r="D3356" s="607">
        <v>35.15</v>
      </c>
      <c r="E3356" s="607">
        <v>25.12</v>
      </c>
      <c r="F3356" s="607">
        <v>60.27</v>
      </c>
      <c r="G3356" s="584">
        <v>15</v>
      </c>
    </row>
    <row r="3357" spans="1:7" ht="30" x14ac:dyDescent="0.2">
      <c r="A3357" s="583" t="s">
        <v>18711</v>
      </c>
      <c r="B3357" s="605" t="s">
        <v>18712</v>
      </c>
      <c r="C3357" s="606" t="s">
        <v>20385</v>
      </c>
      <c r="D3357" s="607">
        <v>71.92</v>
      </c>
      <c r="E3357" s="607">
        <v>25.12</v>
      </c>
      <c r="F3357" s="607">
        <v>97.04</v>
      </c>
      <c r="G3357" s="584">
        <v>15</v>
      </c>
    </row>
    <row r="3358" spans="1:7" ht="30" x14ac:dyDescent="0.2">
      <c r="A3358" s="583" t="s">
        <v>18713</v>
      </c>
      <c r="B3358" s="605" t="s">
        <v>18714</v>
      </c>
      <c r="C3358" s="606" t="s">
        <v>20385</v>
      </c>
      <c r="D3358" s="607">
        <v>70.23</v>
      </c>
      <c r="E3358" s="607">
        <v>25.12</v>
      </c>
      <c r="F3358" s="607">
        <v>95.35</v>
      </c>
      <c r="G3358" s="584">
        <v>15</v>
      </c>
    </row>
    <row r="3359" spans="1:7" ht="30" x14ac:dyDescent="0.2">
      <c r="A3359" s="583" t="s">
        <v>18715</v>
      </c>
      <c r="B3359" s="605" t="s">
        <v>18716</v>
      </c>
      <c r="C3359" s="606" t="s">
        <v>20385</v>
      </c>
      <c r="D3359" s="607">
        <v>99.97</v>
      </c>
      <c r="E3359" s="607">
        <v>27.92</v>
      </c>
      <c r="F3359" s="607">
        <v>127.89</v>
      </c>
      <c r="G3359" s="584">
        <v>15</v>
      </c>
    </row>
    <row r="3360" spans="1:7" ht="30" x14ac:dyDescent="0.2">
      <c r="A3360" s="583" t="s">
        <v>18717</v>
      </c>
      <c r="B3360" s="605" t="s">
        <v>18718</v>
      </c>
      <c r="C3360" s="606" t="s">
        <v>20385</v>
      </c>
      <c r="D3360" s="607">
        <v>244.8</v>
      </c>
      <c r="E3360" s="607">
        <v>25.12</v>
      </c>
      <c r="F3360" s="607">
        <v>269.92</v>
      </c>
      <c r="G3360" s="584">
        <v>15</v>
      </c>
    </row>
    <row r="3361" spans="1:7" ht="30" x14ac:dyDescent="0.2">
      <c r="A3361" s="583" t="s">
        <v>18719</v>
      </c>
      <c r="B3361" s="605" t="s">
        <v>18720</v>
      </c>
      <c r="C3361" s="606" t="s">
        <v>20385</v>
      </c>
      <c r="D3361" s="607">
        <v>1244.47</v>
      </c>
      <c r="E3361" s="607">
        <v>55.83</v>
      </c>
      <c r="F3361" s="607">
        <v>1300.3</v>
      </c>
      <c r="G3361" s="584">
        <v>15</v>
      </c>
    </row>
    <row r="3362" spans="1:7" ht="30" x14ac:dyDescent="0.25">
      <c r="A3362" s="583" t="s">
        <v>18721</v>
      </c>
      <c r="B3362" s="605" t="s">
        <v>18722</v>
      </c>
      <c r="C3362" s="606"/>
      <c r="D3362" s="607"/>
      <c r="E3362" s="607"/>
      <c r="F3362" s="607"/>
      <c r="G3362" s="582"/>
    </row>
    <row r="3363" spans="1:7" ht="30" x14ac:dyDescent="0.2">
      <c r="A3363" s="583" t="s">
        <v>18723</v>
      </c>
      <c r="B3363" s="605" t="s">
        <v>18724</v>
      </c>
      <c r="C3363" s="606" t="s">
        <v>20385</v>
      </c>
      <c r="D3363" s="607">
        <v>57.21</v>
      </c>
      <c r="E3363" s="607">
        <v>25.12</v>
      </c>
      <c r="F3363" s="607">
        <v>82.33</v>
      </c>
      <c r="G3363" s="584">
        <v>15</v>
      </c>
    </row>
    <row r="3364" spans="1:7" ht="30" x14ac:dyDescent="0.2">
      <c r="A3364" s="583" t="s">
        <v>18725</v>
      </c>
      <c r="B3364" s="605" t="s">
        <v>18726</v>
      </c>
      <c r="C3364" s="606" t="s">
        <v>20385</v>
      </c>
      <c r="D3364" s="607">
        <v>44.44</v>
      </c>
      <c r="E3364" s="607">
        <v>25.12</v>
      </c>
      <c r="F3364" s="607">
        <v>69.56</v>
      </c>
      <c r="G3364" s="584">
        <v>15</v>
      </c>
    </row>
    <row r="3365" spans="1:7" ht="30" x14ac:dyDescent="0.2">
      <c r="A3365" s="583" t="s">
        <v>18727</v>
      </c>
      <c r="B3365" s="605" t="s">
        <v>18728</v>
      </c>
      <c r="C3365" s="606" t="s">
        <v>20385</v>
      </c>
      <c r="D3365" s="607">
        <v>87.37</v>
      </c>
      <c r="E3365" s="607">
        <v>25.12</v>
      </c>
      <c r="F3365" s="607">
        <v>112.49</v>
      </c>
      <c r="G3365" s="584">
        <v>15</v>
      </c>
    </row>
    <row r="3366" spans="1:7" ht="30" x14ac:dyDescent="0.2">
      <c r="A3366" s="583" t="s">
        <v>18729</v>
      </c>
      <c r="B3366" s="605" t="s">
        <v>18730</v>
      </c>
      <c r="C3366" s="606" t="s">
        <v>20385</v>
      </c>
      <c r="D3366" s="607">
        <v>136.72999999999999</v>
      </c>
      <c r="E3366" s="607">
        <v>25.12</v>
      </c>
      <c r="F3366" s="607">
        <v>161.85</v>
      </c>
      <c r="G3366" s="584">
        <v>15</v>
      </c>
    </row>
    <row r="3367" spans="1:7" ht="30" x14ac:dyDescent="0.2">
      <c r="A3367" s="583" t="s">
        <v>18731</v>
      </c>
      <c r="B3367" s="605" t="s">
        <v>18732</v>
      </c>
      <c r="C3367" s="606" t="s">
        <v>20385</v>
      </c>
      <c r="D3367" s="607">
        <v>171.63</v>
      </c>
      <c r="E3367" s="607">
        <v>25.12</v>
      </c>
      <c r="F3367" s="607">
        <v>196.75</v>
      </c>
      <c r="G3367" s="584">
        <v>15</v>
      </c>
    </row>
    <row r="3368" spans="1:7" ht="30" x14ac:dyDescent="0.2">
      <c r="A3368" s="583" t="s">
        <v>18733</v>
      </c>
      <c r="B3368" s="605" t="s">
        <v>18734</v>
      </c>
      <c r="C3368" s="606" t="s">
        <v>20385</v>
      </c>
      <c r="D3368" s="607">
        <v>59.53</v>
      </c>
      <c r="E3368" s="607">
        <v>25.12</v>
      </c>
      <c r="F3368" s="607">
        <v>84.65</v>
      </c>
      <c r="G3368" s="584">
        <v>15</v>
      </c>
    </row>
    <row r="3369" spans="1:7" ht="30" x14ac:dyDescent="0.2">
      <c r="A3369" s="583" t="s">
        <v>18735</v>
      </c>
      <c r="B3369" s="605" t="s">
        <v>18736</v>
      </c>
      <c r="C3369" s="606" t="s">
        <v>20385</v>
      </c>
      <c r="D3369" s="607">
        <v>46.54</v>
      </c>
      <c r="E3369" s="607">
        <v>25.12</v>
      </c>
      <c r="F3369" s="607">
        <v>71.66</v>
      </c>
      <c r="G3369" s="584">
        <v>15</v>
      </c>
    </row>
    <row r="3370" spans="1:7" ht="30" x14ac:dyDescent="0.2">
      <c r="A3370" s="583" t="s">
        <v>18737</v>
      </c>
      <c r="B3370" s="605" t="s">
        <v>18738</v>
      </c>
      <c r="C3370" s="606" t="s">
        <v>20385</v>
      </c>
      <c r="D3370" s="607">
        <v>87.53</v>
      </c>
      <c r="E3370" s="607">
        <v>25.12</v>
      </c>
      <c r="F3370" s="607">
        <v>112.65</v>
      </c>
      <c r="G3370" s="584">
        <v>15</v>
      </c>
    </row>
    <row r="3371" spans="1:7" ht="30" x14ac:dyDescent="0.2">
      <c r="A3371" s="583" t="s">
        <v>18739</v>
      </c>
      <c r="B3371" s="605" t="s">
        <v>18740</v>
      </c>
      <c r="C3371" s="606" t="s">
        <v>20385</v>
      </c>
      <c r="D3371" s="607">
        <v>93.99</v>
      </c>
      <c r="E3371" s="607">
        <v>25.12</v>
      </c>
      <c r="F3371" s="607">
        <v>119.11</v>
      </c>
      <c r="G3371" s="584">
        <v>15</v>
      </c>
    </row>
    <row r="3372" spans="1:7" ht="15" x14ac:dyDescent="0.25">
      <c r="A3372" s="583" t="s">
        <v>18741</v>
      </c>
      <c r="B3372" s="605" t="s">
        <v>18742</v>
      </c>
      <c r="C3372" s="606"/>
      <c r="D3372" s="607"/>
      <c r="E3372" s="607"/>
      <c r="F3372" s="607"/>
      <c r="G3372" s="582"/>
    </row>
    <row r="3373" spans="1:7" ht="30" x14ac:dyDescent="0.2">
      <c r="A3373" s="583" t="s">
        <v>18743</v>
      </c>
      <c r="B3373" s="605" t="s">
        <v>18744</v>
      </c>
      <c r="C3373" s="606" t="s">
        <v>20385</v>
      </c>
      <c r="D3373" s="607">
        <v>344.4</v>
      </c>
      <c r="E3373" s="607">
        <v>83.75</v>
      </c>
      <c r="F3373" s="607">
        <v>428.15</v>
      </c>
      <c r="G3373" s="584">
        <v>15</v>
      </c>
    </row>
    <row r="3374" spans="1:7" ht="15" x14ac:dyDescent="0.2">
      <c r="A3374" s="583" t="s">
        <v>18745</v>
      </c>
      <c r="B3374" s="605" t="s">
        <v>18746</v>
      </c>
      <c r="C3374" s="606" t="s">
        <v>20385</v>
      </c>
      <c r="D3374" s="607">
        <v>244.07</v>
      </c>
      <c r="E3374" s="607">
        <v>83.75</v>
      </c>
      <c r="F3374" s="607">
        <v>327.82</v>
      </c>
      <c r="G3374" s="584">
        <v>15</v>
      </c>
    </row>
    <row r="3375" spans="1:7" ht="15" x14ac:dyDescent="0.2">
      <c r="A3375" s="583" t="s">
        <v>18747</v>
      </c>
      <c r="B3375" s="605" t="s">
        <v>18748</v>
      </c>
      <c r="C3375" s="606" t="s">
        <v>20385</v>
      </c>
      <c r="D3375" s="607">
        <v>294.88</v>
      </c>
      <c r="E3375" s="607">
        <v>83.75</v>
      </c>
      <c r="F3375" s="607">
        <v>378.63</v>
      </c>
      <c r="G3375" s="584">
        <v>15</v>
      </c>
    </row>
    <row r="3376" spans="1:7" ht="15" x14ac:dyDescent="0.2">
      <c r="A3376" s="583" t="s">
        <v>18749</v>
      </c>
      <c r="B3376" s="605" t="s">
        <v>18750</v>
      </c>
      <c r="C3376" s="606" t="s">
        <v>20385</v>
      </c>
      <c r="D3376" s="607">
        <v>463.98</v>
      </c>
      <c r="E3376" s="607">
        <v>83.75</v>
      </c>
      <c r="F3376" s="607">
        <v>547.73</v>
      </c>
      <c r="G3376" s="584">
        <v>15</v>
      </c>
    </row>
    <row r="3377" spans="1:7" ht="30" x14ac:dyDescent="0.2">
      <c r="A3377" s="583" t="s">
        <v>18751</v>
      </c>
      <c r="B3377" s="605" t="s">
        <v>18752</v>
      </c>
      <c r="C3377" s="606" t="s">
        <v>20385</v>
      </c>
      <c r="D3377" s="607">
        <v>1878.98</v>
      </c>
      <c r="E3377" s="607">
        <v>83.75</v>
      </c>
      <c r="F3377" s="607">
        <v>1962.73</v>
      </c>
      <c r="G3377" s="584">
        <v>15</v>
      </c>
    </row>
    <row r="3378" spans="1:7" ht="15" x14ac:dyDescent="0.2">
      <c r="A3378" s="583" t="s">
        <v>18753</v>
      </c>
      <c r="B3378" s="605" t="s">
        <v>18754</v>
      </c>
      <c r="C3378" s="606" t="s">
        <v>20385</v>
      </c>
      <c r="D3378" s="607">
        <v>562.78</v>
      </c>
      <c r="E3378" s="607">
        <v>33.5</v>
      </c>
      <c r="F3378" s="607">
        <v>596.28</v>
      </c>
      <c r="G3378" s="584">
        <v>15</v>
      </c>
    </row>
    <row r="3379" spans="1:7" ht="15" x14ac:dyDescent="0.2">
      <c r="A3379" s="583" t="s">
        <v>18755</v>
      </c>
      <c r="B3379" s="605" t="s">
        <v>18756</v>
      </c>
      <c r="C3379" s="606" t="s">
        <v>20385</v>
      </c>
      <c r="D3379" s="607">
        <v>466.74</v>
      </c>
      <c r="E3379" s="607">
        <v>33.5</v>
      </c>
      <c r="F3379" s="607">
        <v>500.24</v>
      </c>
      <c r="G3379" s="584">
        <v>15</v>
      </c>
    </row>
    <row r="3380" spans="1:7" ht="15" x14ac:dyDescent="0.2">
      <c r="A3380" s="583" t="s">
        <v>18757</v>
      </c>
      <c r="B3380" s="605" t="s">
        <v>18758</v>
      </c>
      <c r="C3380" s="606" t="s">
        <v>20385</v>
      </c>
      <c r="D3380" s="607">
        <v>1083.1500000000001</v>
      </c>
      <c r="E3380" s="607">
        <v>83.75</v>
      </c>
      <c r="F3380" s="607">
        <v>1166.9000000000001</v>
      </c>
      <c r="G3380" s="584">
        <v>15</v>
      </c>
    </row>
    <row r="3381" spans="1:7" ht="30" x14ac:dyDescent="0.2">
      <c r="A3381" s="583" t="s">
        <v>18759</v>
      </c>
      <c r="B3381" s="605" t="s">
        <v>18760</v>
      </c>
      <c r="C3381" s="606" t="s">
        <v>20385</v>
      </c>
      <c r="D3381" s="607">
        <v>654.75</v>
      </c>
      <c r="E3381" s="607">
        <v>25.12</v>
      </c>
      <c r="F3381" s="607">
        <v>679.87</v>
      </c>
      <c r="G3381" s="584">
        <v>15</v>
      </c>
    </row>
    <row r="3382" spans="1:7" ht="30" x14ac:dyDescent="0.2">
      <c r="A3382" s="583" t="s">
        <v>18761</v>
      </c>
      <c r="B3382" s="605" t="s">
        <v>18762</v>
      </c>
      <c r="C3382" s="606" t="s">
        <v>20385</v>
      </c>
      <c r="D3382" s="607">
        <v>386.82</v>
      </c>
      <c r="E3382" s="607">
        <v>83.75</v>
      </c>
      <c r="F3382" s="607">
        <v>470.57</v>
      </c>
      <c r="G3382" s="584">
        <v>15</v>
      </c>
    </row>
    <row r="3383" spans="1:7" ht="15" x14ac:dyDescent="0.25">
      <c r="A3383" s="583" t="s">
        <v>18763</v>
      </c>
      <c r="B3383" s="605" t="s">
        <v>18764</v>
      </c>
      <c r="C3383" s="606"/>
      <c r="D3383" s="607"/>
      <c r="E3383" s="607"/>
      <c r="F3383" s="607"/>
      <c r="G3383" s="582"/>
    </row>
    <row r="3384" spans="1:7" ht="15" x14ac:dyDescent="0.2">
      <c r="A3384" s="583" t="s">
        <v>18765</v>
      </c>
      <c r="B3384" s="605" t="s">
        <v>18766</v>
      </c>
      <c r="C3384" s="606" t="s">
        <v>12375</v>
      </c>
      <c r="D3384" s="607">
        <v>115</v>
      </c>
      <c r="E3384" s="607">
        <v>25.12</v>
      </c>
      <c r="F3384" s="607">
        <v>140.12</v>
      </c>
      <c r="G3384" s="584">
        <v>15</v>
      </c>
    </row>
    <row r="3385" spans="1:7" ht="15" x14ac:dyDescent="0.2">
      <c r="A3385" s="583" t="s">
        <v>18767</v>
      </c>
      <c r="B3385" s="605" t="s">
        <v>18768</v>
      </c>
      <c r="C3385" s="606" t="s">
        <v>12375</v>
      </c>
      <c r="D3385" s="607">
        <v>143.94999999999999</v>
      </c>
      <c r="E3385" s="607">
        <v>25.12</v>
      </c>
      <c r="F3385" s="607">
        <v>169.07</v>
      </c>
      <c r="G3385" s="584">
        <v>15</v>
      </c>
    </row>
    <row r="3386" spans="1:7" ht="15" x14ac:dyDescent="0.2">
      <c r="A3386" s="583" t="s">
        <v>18769</v>
      </c>
      <c r="B3386" s="605" t="s">
        <v>18770</v>
      </c>
      <c r="C3386" s="606" t="s">
        <v>12375</v>
      </c>
      <c r="D3386" s="607">
        <v>200.07</v>
      </c>
      <c r="E3386" s="607">
        <v>25.12</v>
      </c>
      <c r="F3386" s="607">
        <v>225.19</v>
      </c>
      <c r="G3386" s="584">
        <v>15</v>
      </c>
    </row>
    <row r="3387" spans="1:7" ht="15" x14ac:dyDescent="0.2">
      <c r="A3387" s="583" t="s">
        <v>18771</v>
      </c>
      <c r="B3387" s="605" t="s">
        <v>18772</v>
      </c>
      <c r="C3387" s="606" t="s">
        <v>12375</v>
      </c>
      <c r="D3387" s="607">
        <v>236.46</v>
      </c>
      <c r="E3387" s="607">
        <v>25.12</v>
      </c>
      <c r="F3387" s="607">
        <v>261.58</v>
      </c>
      <c r="G3387" s="584">
        <v>15</v>
      </c>
    </row>
    <row r="3388" spans="1:7" ht="15" x14ac:dyDescent="0.2">
      <c r="A3388" s="583" t="s">
        <v>18773</v>
      </c>
      <c r="B3388" s="605" t="s">
        <v>18774</v>
      </c>
      <c r="C3388" s="606" t="s">
        <v>12375</v>
      </c>
      <c r="D3388" s="607">
        <v>350.33</v>
      </c>
      <c r="E3388" s="607">
        <v>25.12</v>
      </c>
      <c r="F3388" s="607">
        <v>375.45</v>
      </c>
      <c r="G3388" s="584">
        <v>15</v>
      </c>
    </row>
    <row r="3389" spans="1:7" ht="15" x14ac:dyDescent="0.2">
      <c r="A3389" s="583" t="s">
        <v>18775</v>
      </c>
      <c r="B3389" s="605" t="s">
        <v>18776</v>
      </c>
      <c r="C3389" s="606" t="s">
        <v>12375</v>
      </c>
      <c r="D3389" s="607">
        <v>615.38</v>
      </c>
      <c r="E3389" s="607">
        <v>25.12</v>
      </c>
      <c r="F3389" s="607">
        <v>640.5</v>
      </c>
      <c r="G3389" s="584">
        <v>15</v>
      </c>
    </row>
    <row r="3390" spans="1:7" ht="15" x14ac:dyDescent="0.2">
      <c r="A3390" s="583" t="s">
        <v>18777</v>
      </c>
      <c r="B3390" s="605" t="s">
        <v>18778</v>
      </c>
      <c r="C3390" s="606" t="s">
        <v>12375</v>
      </c>
      <c r="D3390" s="607">
        <v>737.95</v>
      </c>
      <c r="E3390" s="607">
        <v>25.12</v>
      </c>
      <c r="F3390" s="607">
        <v>763.07</v>
      </c>
      <c r="G3390" s="584">
        <v>15</v>
      </c>
    </row>
    <row r="3391" spans="1:7" ht="15" x14ac:dyDescent="0.2">
      <c r="A3391" s="583" t="s">
        <v>18779</v>
      </c>
      <c r="B3391" s="605" t="s">
        <v>18780</v>
      </c>
      <c r="C3391" s="606" t="s">
        <v>12375</v>
      </c>
      <c r="D3391" s="607">
        <v>104.3</v>
      </c>
      <c r="E3391" s="607">
        <v>25.12</v>
      </c>
      <c r="F3391" s="607">
        <v>129.41999999999999</v>
      </c>
      <c r="G3391" s="584">
        <v>15</v>
      </c>
    </row>
    <row r="3392" spans="1:7" ht="15" x14ac:dyDescent="0.2">
      <c r="A3392" s="583" t="s">
        <v>18781</v>
      </c>
      <c r="B3392" s="605" t="s">
        <v>18782</v>
      </c>
      <c r="C3392" s="606" t="s">
        <v>12375</v>
      </c>
      <c r="D3392" s="607">
        <v>142.44999999999999</v>
      </c>
      <c r="E3392" s="607">
        <v>25.12</v>
      </c>
      <c r="F3392" s="607">
        <v>167.57</v>
      </c>
      <c r="G3392" s="584">
        <v>15</v>
      </c>
    </row>
    <row r="3393" spans="1:7" ht="15" x14ac:dyDescent="0.2">
      <c r="A3393" s="583" t="s">
        <v>18783</v>
      </c>
      <c r="B3393" s="605" t="s">
        <v>18784</v>
      </c>
      <c r="C3393" s="606" t="s">
        <v>12375</v>
      </c>
      <c r="D3393" s="607">
        <v>174.98</v>
      </c>
      <c r="E3393" s="607">
        <v>25.12</v>
      </c>
      <c r="F3393" s="607">
        <v>200.1</v>
      </c>
      <c r="G3393" s="584">
        <v>15</v>
      </c>
    </row>
    <row r="3394" spans="1:7" ht="15" x14ac:dyDescent="0.2">
      <c r="A3394" s="583" t="s">
        <v>18785</v>
      </c>
      <c r="B3394" s="605" t="s">
        <v>18786</v>
      </c>
      <c r="C3394" s="606" t="s">
        <v>12375</v>
      </c>
      <c r="D3394" s="607">
        <v>249</v>
      </c>
      <c r="E3394" s="607">
        <v>25.12</v>
      </c>
      <c r="F3394" s="607">
        <v>274.12</v>
      </c>
      <c r="G3394" s="584">
        <v>15</v>
      </c>
    </row>
    <row r="3395" spans="1:7" ht="15" x14ac:dyDescent="0.2">
      <c r="A3395" s="583" t="s">
        <v>18787</v>
      </c>
      <c r="B3395" s="605" t="s">
        <v>18788</v>
      </c>
      <c r="C3395" s="606" t="s">
        <v>12375</v>
      </c>
      <c r="D3395" s="607">
        <v>408.57</v>
      </c>
      <c r="E3395" s="607">
        <v>25.12</v>
      </c>
      <c r="F3395" s="607">
        <v>433.69</v>
      </c>
      <c r="G3395" s="584">
        <v>15</v>
      </c>
    </row>
    <row r="3396" spans="1:7" ht="15" x14ac:dyDescent="0.2">
      <c r="A3396" s="583" t="s">
        <v>18789</v>
      </c>
      <c r="B3396" s="605" t="s">
        <v>18790</v>
      </c>
      <c r="C3396" s="606" t="s">
        <v>12375</v>
      </c>
      <c r="D3396" s="607">
        <v>591.89</v>
      </c>
      <c r="E3396" s="607">
        <v>25.12</v>
      </c>
      <c r="F3396" s="607">
        <v>617.01</v>
      </c>
      <c r="G3396" s="584">
        <v>15</v>
      </c>
    </row>
    <row r="3397" spans="1:7" ht="15" x14ac:dyDescent="0.2">
      <c r="A3397" s="583" t="s">
        <v>18791</v>
      </c>
      <c r="B3397" s="605" t="s">
        <v>18792</v>
      </c>
      <c r="C3397" s="606" t="s">
        <v>12375</v>
      </c>
      <c r="D3397" s="607">
        <v>1012.76</v>
      </c>
      <c r="E3397" s="607">
        <v>33.5</v>
      </c>
      <c r="F3397" s="607">
        <v>1046.26</v>
      </c>
      <c r="G3397" s="584">
        <v>15</v>
      </c>
    </row>
    <row r="3398" spans="1:7" ht="15" x14ac:dyDescent="0.2">
      <c r="A3398" s="583" t="s">
        <v>18793</v>
      </c>
      <c r="B3398" s="605" t="s">
        <v>18794</v>
      </c>
      <c r="C3398" s="606" t="s">
        <v>12375</v>
      </c>
      <c r="D3398" s="607">
        <v>101.31</v>
      </c>
      <c r="E3398" s="607">
        <v>25.12</v>
      </c>
      <c r="F3398" s="607">
        <v>126.43</v>
      </c>
      <c r="G3398" s="584">
        <v>15</v>
      </c>
    </row>
    <row r="3399" spans="1:7" ht="15" x14ac:dyDescent="0.2">
      <c r="A3399" s="583" t="s">
        <v>18795</v>
      </c>
      <c r="B3399" s="605" t="s">
        <v>18796</v>
      </c>
      <c r="C3399" s="606" t="s">
        <v>12375</v>
      </c>
      <c r="D3399" s="607">
        <v>134.1</v>
      </c>
      <c r="E3399" s="607">
        <v>25.12</v>
      </c>
      <c r="F3399" s="607">
        <v>159.22</v>
      </c>
      <c r="G3399" s="584">
        <v>15</v>
      </c>
    </row>
    <row r="3400" spans="1:7" ht="15" x14ac:dyDescent="0.2">
      <c r="A3400" s="583" t="s">
        <v>18797</v>
      </c>
      <c r="B3400" s="605" t="s">
        <v>18798</v>
      </c>
      <c r="C3400" s="606" t="s">
        <v>12375</v>
      </c>
      <c r="D3400" s="607">
        <v>162.25</v>
      </c>
      <c r="E3400" s="607">
        <v>25.12</v>
      </c>
      <c r="F3400" s="607">
        <v>187.37</v>
      </c>
      <c r="G3400" s="584">
        <v>15</v>
      </c>
    </row>
    <row r="3401" spans="1:7" ht="15" x14ac:dyDescent="0.2">
      <c r="A3401" s="583" t="s">
        <v>18799</v>
      </c>
      <c r="B3401" s="605" t="s">
        <v>18800</v>
      </c>
      <c r="C3401" s="606" t="s">
        <v>12375</v>
      </c>
      <c r="D3401" s="607">
        <v>223</v>
      </c>
      <c r="E3401" s="607">
        <v>25.12</v>
      </c>
      <c r="F3401" s="607">
        <v>248.12</v>
      </c>
      <c r="G3401" s="584">
        <v>15</v>
      </c>
    </row>
    <row r="3402" spans="1:7" ht="15" x14ac:dyDescent="0.2">
      <c r="A3402" s="583" t="s">
        <v>18801</v>
      </c>
      <c r="B3402" s="605" t="s">
        <v>18802</v>
      </c>
      <c r="C3402" s="606" t="s">
        <v>12375</v>
      </c>
      <c r="D3402" s="607">
        <v>367.96</v>
      </c>
      <c r="E3402" s="607">
        <v>25.12</v>
      </c>
      <c r="F3402" s="607">
        <v>393.08</v>
      </c>
      <c r="G3402" s="584">
        <v>15</v>
      </c>
    </row>
    <row r="3403" spans="1:7" ht="45" x14ac:dyDescent="0.2">
      <c r="A3403" s="583" t="s">
        <v>18803</v>
      </c>
      <c r="B3403" s="605" t="s">
        <v>18804</v>
      </c>
      <c r="C3403" s="606" t="s">
        <v>12375</v>
      </c>
      <c r="D3403" s="607">
        <v>8716.66</v>
      </c>
      <c r="E3403" s="607">
        <v>41.87</v>
      </c>
      <c r="F3403" s="607">
        <v>8758.5300000000007</v>
      </c>
      <c r="G3403" s="584">
        <v>15</v>
      </c>
    </row>
    <row r="3404" spans="1:7" ht="45" x14ac:dyDescent="0.2">
      <c r="A3404" s="583" t="s">
        <v>18805</v>
      </c>
      <c r="B3404" s="605" t="s">
        <v>18806</v>
      </c>
      <c r="C3404" s="606" t="s">
        <v>12375</v>
      </c>
      <c r="D3404" s="607">
        <v>205.23</v>
      </c>
      <c r="E3404" s="607">
        <v>25.12</v>
      </c>
      <c r="F3404" s="607">
        <v>230.35</v>
      </c>
      <c r="G3404" s="584">
        <v>15</v>
      </c>
    </row>
    <row r="3405" spans="1:7" ht="30" x14ac:dyDescent="0.2">
      <c r="A3405" s="583" t="s">
        <v>18807</v>
      </c>
      <c r="B3405" s="605" t="s">
        <v>18808</v>
      </c>
      <c r="C3405" s="606" t="s">
        <v>12375</v>
      </c>
      <c r="D3405" s="607">
        <v>560.1</v>
      </c>
      <c r="E3405" s="607">
        <v>25.12</v>
      </c>
      <c r="F3405" s="607">
        <v>585.22</v>
      </c>
      <c r="G3405" s="584">
        <v>15</v>
      </c>
    </row>
    <row r="3406" spans="1:7" ht="15" x14ac:dyDescent="0.2">
      <c r="A3406" s="583" t="s">
        <v>18809</v>
      </c>
      <c r="B3406" s="605" t="s">
        <v>18810</v>
      </c>
      <c r="C3406" s="606" t="s">
        <v>12375</v>
      </c>
      <c r="D3406" s="607">
        <v>528.38</v>
      </c>
      <c r="E3406" s="607">
        <v>25.12</v>
      </c>
      <c r="F3406" s="607">
        <v>553.5</v>
      </c>
      <c r="G3406" s="584">
        <v>15</v>
      </c>
    </row>
    <row r="3407" spans="1:7" ht="15" x14ac:dyDescent="0.2">
      <c r="A3407" s="583" t="s">
        <v>18811</v>
      </c>
      <c r="B3407" s="605" t="s">
        <v>18812</v>
      </c>
      <c r="C3407" s="606" t="s">
        <v>12375</v>
      </c>
      <c r="D3407" s="607">
        <v>1030.77</v>
      </c>
      <c r="E3407" s="607">
        <v>33.5</v>
      </c>
      <c r="F3407" s="607">
        <v>1064.27</v>
      </c>
      <c r="G3407" s="584">
        <v>15</v>
      </c>
    </row>
    <row r="3408" spans="1:7" ht="15" x14ac:dyDescent="0.2">
      <c r="A3408" s="583" t="s">
        <v>18813</v>
      </c>
      <c r="B3408" s="605" t="s">
        <v>18814</v>
      </c>
      <c r="C3408" s="606" t="s">
        <v>12375</v>
      </c>
      <c r="D3408" s="607">
        <v>423</v>
      </c>
      <c r="E3408" s="607">
        <v>25.12</v>
      </c>
      <c r="F3408" s="607">
        <v>448.12</v>
      </c>
      <c r="G3408" s="584">
        <v>15</v>
      </c>
    </row>
    <row r="3409" spans="1:7" ht="45" x14ac:dyDescent="0.2">
      <c r="A3409" s="583" t="s">
        <v>18815</v>
      </c>
      <c r="B3409" s="605" t="s">
        <v>18816</v>
      </c>
      <c r="C3409" s="606" t="s">
        <v>12375</v>
      </c>
      <c r="D3409" s="607">
        <v>165.69</v>
      </c>
      <c r="E3409" s="607">
        <v>13.96</v>
      </c>
      <c r="F3409" s="607">
        <v>179.65</v>
      </c>
      <c r="G3409" s="584">
        <v>15</v>
      </c>
    </row>
    <row r="3410" spans="1:7" ht="45" x14ac:dyDescent="0.2">
      <c r="A3410" s="583" t="s">
        <v>18817</v>
      </c>
      <c r="B3410" s="605" t="s">
        <v>18818</v>
      </c>
      <c r="C3410" s="606" t="s">
        <v>12375</v>
      </c>
      <c r="D3410" s="607">
        <v>6260.71</v>
      </c>
      <c r="E3410" s="607">
        <v>33.5</v>
      </c>
      <c r="F3410" s="607">
        <v>6294.21</v>
      </c>
      <c r="G3410" s="584">
        <v>15</v>
      </c>
    </row>
    <row r="3411" spans="1:7" ht="45" x14ac:dyDescent="0.2">
      <c r="A3411" s="583" t="s">
        <v>18819</v>
      </c>
      <c r="B3411" s="605" t="s">
        <v>18820</v>
      </c>
      <c r="C3411" s="606" t="s">
        <v>12375</v>
      </c>
      <c r="D3411" s="607">
        <v>1648.31</v>
      </c>
      <c r="E3411" s="607">
        <v>33.5</v>
      </c>
      <c r="F3411" s="607">
        <v>1681.81</v>
      </c>
      <c r="G3411" s="584">
        <v>15</v>
      </c>
    </row>
    <row r="3412" spans="1:7" ht="45" x14ac:dyDescent="0.2">
      <c r="A3412" s="583" t="s">
        <v>18821</v>
      </c>
      <c r="B3412" s="605" t="s">
        <v>18822</v>
      </c>
      <c r="C3412" s="606" t="s">
        <v>12375</v>
      </c>
      <c r="D3412" s="607">
        <v>441.21</v>
      </c>
      <c r="E3412" s="607">
        <v>25.12</v>
      </c>
      <c r="F3412" s="607">
        <v>466.33</v>
      </c>
      <c r="G3412" s="584">
        <v>15</v>
      </c>
    </row>
    <row r="3413" spans="1:7" ht="30" x14ac:dyDescent="0.2">
      <c r="A3413" s="583" t="s">
        <v>18823</v>
      </c>
      <c r="B3413" s="605" t="s">
        <v>18824</v>
      </c>
      <c r="C3413" s="606" t="s">
        <v>12375</v>
      </c>
      <c r="D3413" s="607">
        <v>215.83</v>
      </c>
      <c r="E3413" s="607">
        <v>25.12</v>
      </c>
      <c r="F3413" s="607">
        <v>240.95</v>
      </c>
      <c r="G3413" s="584">
        <v>15</v>
      </c>
    </row>
    <row r="3414" spans="1:7" ht="30" x14ac:dyDescent="0.2">
      <c r="A3414" s="583" t="s">
        <v>18825</v>
      </c>
      <c r="B3414" s="605" t="s">
        <v>18826</v>
      </c>
      <c r="C3414" s="606" t="s">
        <v>12375</v>
      </c>
      <c r="D3414" s="607">
        <v>309.60000000000002</v>
      </c>
      <c r="E3414" s="607">
        <v>25.12</v>
      </c>
      <c r="F3414" s="607">
        <v>334.72</v>
      </c>
      <c r="G3414" s="584">
        <v>15</v>
      </c>
    </row>
    <row r="3415" spans="1:7" ht="30" x14ac:dyDescent="0.2">
      <c r="A3415" s="583" t="s">
        <v>18827</v>
      </c>
      <c r="B3415" s="605" t="s">
        <v>18828</v>
      </c>
      <c r="C3415" s="606" t="s">
        <v>12375</v>
      </c>
      <c r="D3415" s="607">
        <v>604.1</v>
      </c>
      <c r="E3415" s="607">
        <v>25.12</v>
      </c>
      <c r="F3415" s="607">
        <v>629.22</v>
      </c>
      <c r="G3415" s="584">
        <v>15</v>
      </c>
    </row>
    <row r="3416" spans="1:7" ht="30" x14ac:dyDescent="0.2">
      <c r="A3416" s="583" t="s">
        <v>18829</v>
      </c>
      <c r="B3416" s="605" t="s">
        <v>18830</v>
      </c>
      <c r="C3416" s="606" t="s">
        <v>12375</v>
      </c>
      <c r="D3416" s="607">
        <v>835.59</v>
      </c>
      <c r="E3416" s="607">
        <v>25.12</v>
      </c>
      <c r="F3416" s="607">
        <v>860.71</v>
      </c>
      <c r="G3416" s="584">
        <v>15</v>
      </c>
    </row>
    <row r="3417" spans="1:7" ht="30" x14ac:dyDescent="0.2">
      <c r="A3417" s="583" t="s">
        <v>18831</v>
      </c>
      <c r="B3417" s="605" t="s">
        <v>18832</v>
      </c>
      <c r="C3417" s="606" t="s">
        <v>12375</v>
      </c>
      <c r="D3417" s="607">
        <v>1317.64</v>
      </c>
      <c r="E3417" s="607">
        <v>25.12</v>
      </c>
      <c r="F3417" s="607">
        <v>1342.76</v>
      </c>
      <c r="G3417" s="584">
        <v>15</v>
      </c>
    </row>
    <row r="3418" spans="1:7" ht="30" x14ac:dyDescent="0.2">
      <c r="A3418" s="583" t="s">
        <v>18833</v>
      </c>
      <c r="B3418" s="605" t="s">
        <v>18834</v>
      </c>
      <c r="C3418" s="606" t="s">
        <v>12375</v>
      </c>
      <c r="D3418" s="607">
        <v>2403.41</v>
      </c>
      <c r="E3418" s="607">
        <v>33.5</v>
      </c>
      <c r="F3418" s="607">
        <v>2436.91</v>
      </c>
      <c r="G3418" s="584">
        <v>15</v>
      </c>
    </row>
    <row r="3419" spans="1:7" ht="30" x14ac:dyDescent="0.2">
      <c r="A3419" s="583" t="s">
        <v>18835</v>
      </c>
      <c r="B3419" s="605" t="s">
        <v>18836</v>
      </c>
      <c r="C3419" s="606" t="s">
        <v>12375</v>
      </c>
      <c r="D3419" s="607">
        <v>6922.47</v>
      </c>
      <c r="E3419" s="607">
        <v>33.5</v>
      </c>
      <c r="F3419" s="607">
        <v>6955.97</v>
      </c>
      <c r="G3419" s="584">
        <v>15</v>
      </c>
    </row>
    <row r="3420" spans="1:7" ht="45" x14ac:dyDescent="0.2">
      <c r="A3420" s="583" t="s">
        <v>18837</v>
      </c>
      <c r="B3420" s="605" t="s">
        <v>18838</v>
      </c>
      <c r="C3420" s="606" t="s">
        <v>12375</v>
      </c>
      <c r="D3420" s="607">
        <v>77.22</v>
      </c>
      <c r="E3420" s="607">
        <v>16.75</v>
      </c>
      <c r="F3420" s="607">
        <v>93.97</v>
      </c>
      <c r="G3420" s="584">
        <v>15</v>
      </c>
    </row>
    <row r="3421" spans="1:7" ht="45" x14ac:dyDescent="0.2">
      <c r="A3421" s="583" t="s">
        <v>18839</v>
      </c>
      <c r="B3421" s="605" t="s">
        <v>18840</v>
      </c>
      <c r="C3421" s="606" t="s">
        <v>12375</v>
      </c>
      <c r="D3421" s="607">
        <v>96.86</v>
      </c>
      <c r="E3421" s="607">
        <v>25.12</v>
      </c>
      <c r="F3421" s="607">
        <v>121.98</v>
      </c>
      <c r="G3421" s="584">
        <v>15</v>
      </c>
    </row>
    <row r="3422" spans="1:7" ht="45" x14ac:dyDescent="0.2">
      <c r="A3422" s="583" t="s">
        <v>18841</v>
      </c>
      <c r="B3422" s="605" t="s">
        <v>18842</v>
      </c>
      <c r="C3422" s="606" t="s">
        <v>12375</v>
      </c>
      <c r="D3422" s="607">
        <v>119.05</v>
      </c>
      <c r="E3422" s="607">
        <v>22.33</v>
      </c>
      <c r="F3422" s="607">
        <v>141.38</v>
      </c>
      <c r="G3422" s="584">
        <v>15</v>
      </c>
    </row>
    <row r="3423" spans="1:7" ht="45" x14ac:dyDescent="0.2">
      <c r="A3423" s="583" t="s">
        <v>18843</v>
      </c>
      <c r="B3423" s="605" t="s">
        <v>18844</v>
      </c>
      <c r="C3423" s="606" t="s">
        <v>12375</v>
      </c>
      <c r="D3423" s="607">
        <v>129.18</v>
      </c>
      <c r="E3423" s="607">
        <v>25.12</v>
      </c>
      <c r="F3423" s="607">
        <v>154.30000000000001</v>
      </c>
      <c r="G3423" s="584">
        <v>15</v>
      </c>
    </row>
    <row r="3424" spans="1:7" ht="45" x14ac:dyDescent="0.2">
      <c r="A3424" s="583" t="s">
        <v>18845</v>
      </c>
      <c r="B3424" s="605" t="s">
        <v>18846</v>
      </c>
      <c r="C3424" s="606" t="s">
        <v>12375</v>
      </c>
      <c r="D3424" s="607">
        <v>510.16</v>
      </c>
      <c r="E3424" s="607">
        <v>25.12</v>
      </c>
      <c r="F3424" s="607">
        <v>535.28</v>
      </c>
      <c r="G3424" s="584">
        <v>15</v>
      </c>
    </row>
    <row r="3425" spans="1:7" ht="45" x14ac:dyDescent="0.2">
      <c r="A3425" s="583" t="s">
        <v>18847</v>
      </c>
      <c r="B3425" s="605" t="s">
        <v>18848</v>
      </c>
      <c r="C3425" s="606" t="s">
        <v>12375</v>
      </c>
      <c r="D3425" s="607">
        <v>710.51</v>
      </c>
      <c r="E3425" s="607">
        <v>25.12</v>
      </c>
      <c r="F3425" s="607">
        <v>735.63</v>
      </c>
      <c r="G3425" s="584">
        <v>15</v>
      </c>
    </row>
    <row r="3426" spans="1:7" ht="45" x14ac:dyDescent="0.2">
      <c r="A3426" s="583" t="s">
        <v>18849</v>
      </c>
      <c r="B3426" s="605" t="s">
        <v>18850</v>
      </c>
      <c r="C3426" s="606" t="s">
        <v>12375</v>
      </c>
      <c r="D3426" s="607">
        <v>6144.46</v>
      </c>
      <c r="E3426" s="607">
        <v>111.66</v>
      </c>
      <c r="F3426" s="607">
        <v>6256.12</v>
      </c>
      <c r="G3426" s="584">
        <v>15</v>
      </c>
    </row>
    <row r="3427" spans="1:7" ht="45" x14ac:dyDescent="0.2">
      <c r="A3427" s="583" t="s">
        <v>18851</v>
      </c>
      <c r="B3427" s="605" t="s">
        <v>18852</v>
      </c>
      <c r="C3427" s="606" t="s">
        <v>12375</v>
      </c>
      <c r="D3427" s="607">
        <v>7314.04</v>
      </c>
      <c r="E3427" s="607">
        <v>111.66</v>
      </c>
      <c r="F3427" s="607">
        <v>7425.7</v>
      </c>
      <c r="G3427" s="584">
        <v>15</v>
      </c>
    </row>
    <row r="3428" spans="1:7" ht="15" x14ac:dyDescent="0.2">
      <c r="A3428" s="583" t="s">
        <v>18853</v>
      </c>
      <c r="B3428" s="605" t="s">
        <v>18854</v>
      </c>
      <c r="C3428" s="606" t="s">
        <v>12375</v>
      </c>
      <c r="D3428" s="607">
        <v>539.85</v>
      </c>
      <c r="E3428" s="607">
        <v>55.83</v>
      </c>
      <c r="F3428" s="607">
        <v>595.67999999999995</v>
      </c>
      <c r="G3428" s="584">
        <v>15</v>
      </c>
    </row>
    <row r="3429" spans="1:7" ht="15" x14ac:dyDescent="0.25">
      <c r="A3429" s="583" t="s">
        <v>18855</v>
      </c>
      <c r="B3429" s="605" t="s">
        <v>18856</v>
      </c>
      <c r="C3429" s="606"/>
      <c r="D3429" s="607"/>
      <c r="E3429" s="607"/>
      <c r="F3429" s="607"/>
      <c r="G3429" s="582"/>
    </row>
    <row r="3430" spans="1:7" ht="30" x14ac:dyDescent="0.2">
      <c r="A3430" s="583" t="s">
        <v>18857</v>
      </c>
      <c r="B3430" s="605" t="s">
        <v>18858</v>
      </c>
      <c r="C3430" s="606" t="s">
        <v>12375</v>
      </c>
      <c r="D3430" s="607">
        <v>1420.86</v>
      </c>
      <c r="E3430" s="607">
        <v>69.790000000000006</v>
      </c>
      <c r="F3430" s="607">
        <v>1490.65</v>
      </c>
      <c r="G3430" s="584">
        <v>15</v>
      </c>
    </row>
    <row r="3431" spans="1:7" ht="30" x14ac:dyDescent="0.2">
      <c r="A3431" s="583" t="s">
        <v>18859</v>
      </c>
      <c r="B3431" s="605" t="s">
        <v>18860</v>
      </c>
      <c r="C3431" s="606" t="s">
        <v>12375</v>
      </c>
      <c r="D3431" s="607">
        <v>2325.6799999999998</v>
      </c>
      <c r="E3431" s="607">
        <v>195.41</v>
      </c>
      <c r="F3431" s="607">
        <v>2521.09</v>
      </c>
      <c r="G3431" s="584">
        <v>15</v>
      </c>
    </row>
    <row r="3432" spans="1:7" ht="30" x14ac:dyDescent="0.2">
      <c r="A3432" s="583" t="s">
        <v>18861</v>
      </c>
      <c r="B3432" s="605" t="s">
        <v>18862</v>
      </c>
      <c r="C3432" s="606" t="s">
        <v>12375</v>
      </c>
      <c r="D3432" s="607">
        <v>1402.38</v>
      </c>
      <c r="E3432" s="607">
        <v>195.41</v>
      </c>
      <c r="F3432" s="607">
        <v>1597.79</v>
      </c>
      <c r="G3432" s="584">
        <v>15</v>
      </c>
    </row>
    <row r="3433" spans="1:7" ht="30" x14ac:dyDescent="0.2">
      <c r="A3433" s="583" t="s">
        <v>18863</v>
      </c>
      <c r="B3433" s="605" t="s">
        <v>18864</v>
      </c>
      <c r="C3433" s="606" t="s">
        <v>12375</v>
      </c>
      <c r="D3433" s="607">
        <v>3702.42</v>
      </c>
      <c r="E3433" s="607">
        <v>195.41</v>
      </c>
      <c r="F3433" s="607">
        <v>3897.83</v>
      </c>
      <c r="G3433" s="584">
        <v>15</v>
      </c>
    </row>
    <row r="3434" spans="1:7" ht="15" x14ac:dyDescent="0.2">
      <c r="A3434" s="583" t="s">
        <v>18865</v>
      </c>
      <c r="B3434" s="605" t="s">
        <v>18866</v>
      </c>
      <c r="C3434" s="606" t="s">
        <v>12375</v>
      </c>
      <c r="D3434" s="607">
        <v>1733.04</v>
      </c>
      <c r="E3434" s="607">
        <v>111.66</v>
      </c>
      <c r="F3434" s="607">
        <v>1844.7</v>
      </c>
      <c r="G3434" s="584">
        <v>15</v>
      </c>
    </row>
    <row r="3435" spans="1:7" ht="15" x14ac:dyDescent="0.2">
      <c r="A3435" s="583" t="s">
        <v>18867</v>
      </c>
      <c r="B3435" s="605" t="s">
        <v>18868</v>
      </c>
      <c r="C3435" s="606" t="s">
        <v>12375</v>
      </c>
      <c r="D3435" s="607">
        <v>2961.06</v>
      </c>
      <c r="E3435" s="607">
        <v>111.66</v>
      </c>
      <c r="F3435" s="607">
        <v>3072.72</v>
      </c>
      <c r="G3435" s="584">
        <v>15</v>
      </c>
    </row>
    <row r="3436" spans="1:7" ht="30" x14ac:dyDescent="0.2">
      <c r="A3436" s="583" t="s">
        <v>18869</v>
      </c>
      <c r="B3436" s="605" t="s">
        <v>18870</v>
      </c>
      <c r="C3436" s="606" t="s">
        <v>12375</v>
      </c>
      <c r="D3436" s="607">
        <v>990.96</v>
      </c>
      <c r="E3436" s="607">
        <v>111.66</v>
      </c>
      <c r="F3436" s="607">
        <v>1102.6199999999999</v>
      </c>
      <c r="G3436" s="584">
        <v>15</v>
      </c>
    </row>
    <row r="3437" spans="1:7" ht="30" x14ac:dyDescent="0.2">
      <c r="A3437" s="583" t="s">
        <v>18871</v>
      </c>
      <c r="B3437" s="605" t="s">
        <v>18872</v>
      </c>
      <c r="C3437" s="606" t="s">
        <v>12375</v>
      </c>
      <c r="D3437" s="607">
        <v>852.37</v>
      </c>
      <c r="E3437" s="607">
        <v>111.66</v>
      </c>
      <c r="F3437" s="607">
        <v>964.03</v>
      </c>
      <c r="G3437" s="584">
        <v>15</v>
      </c>
    </row>
    <row r="3438" spans="1:7" ht="30" x14ac:dyDescent="0.2">
      <c r="A3438" s="583" t="s">
        <v>18873</v>
      </c>
      <c r="B3438" s="605" t="s">
        <v>18874</v>
      </c>
      <c r="C3438" s="606" t="s">
        <v>12375</v>
      </c>
      <c r="D3438" s="607">
        <v>6721.72</v>
      </c>
      <c r="E3438" s="607">
        <v>69.790000000000006</v>
      </c>
      <c r="F3438" s="607">
        <v>6791.51</v>
      </c>
      <c r="G3438" s="584">
        <v>15</v>
      </c>
    </row>
    <row r="3439" spans="1:7" ht="30" x14ac:dyDescent="0.2">
      <c r="A3439" s="583" t="s">
        <v>18875</v>
      </c>
      <c r="B3439" s="605" t="s">
        <v>18876</v>
      </c>
      <c r="C3439" s="606" t="s">
        <v>12375</v>
      </c>
      <c r="D3439" s="607">
        <v>3367.7</v>
      </c>
      <c r="E3439" s="607">
        <v>33.5</v>
      </c>
      <c r="F3439" s="607">
        <v>3401.2</v>
      </c>
      <c r="G3439" s="584">
        <v>15</v>
      </c>
    </row>
    <row r="3440" spans="1:7" ht="15" x14ac:dyDescent="0.2">
      <c r="A3440" s="583" t="s">
        <v>18877</v>
      </c>
      <c r="B3440" s="605" t="s">
        <v>18878</v>
      </c>
      <c r="C3440" s="606" t="s">
        <v>12375</v>
      </c>
      <c r="D3440" s="607">
        <v>1053.46</v>
      </c>
      <c r="E3440" s="607">
        <v>111.66</v>
      </c>
      <c r="F3440" s="607">
        <v>1165.1199999999999</v>
      </c>
      <c r="G3440" s="584">
        <v>15</v>
      </c>
    </row>
    <row r="3441" spans="1:7" ht="30" x14ac:dyDescent="0.2">
      <c r="A3441" s="583" t="s">
        <v>18879</v>
      </c>
      <c r="B3441" s="605" t="s">
        <v>18880</v>
      </c>
      <c r="C3441" s="606" t="s">
        <v>12375</v>
      </c>
      <c r="D3441" s="607">
        <v>907.63</v>
      </c>
      <c r="E3441" s="607">
        <v>41.87</v>
      </c>
      <c r="F3441" s="607">
        <v>949.5</v>
      </c>
      <c r="G3441" s="584">
        <v>15</v>
      </c>
    </row>
    <row r="3442" spans="1:7" ht="30" x14ac:dyDescent="0.2">
      <c r="A3442" s="583" t="s">
        <v>18881</v>
      </c>
      <c r="B3442" s="605" t="s">
        <v>18882</v>
      </c>
      <c r="C3442" s="606" t="s">
        <v>12375</v>
      </c>
      <c r="D3442" s="607">
        <v>6587.74</v>
      </c>
      <c r="E3442" s="607">
        <v>167.49</v>
      </c>
      <c r="F3442" s="607">
        <v>6755.23</v>
      </c>
      <c r="G3442" s="584">
        <v>15</v>
      </c>
    </row>
    <row r="3443" spans="1:7" ht="30" x14ac:dyDescent="0.2">
      <c r="A3443" s="583" t="s">
        <v>18883</v>
      </c>
      <c r="B3443" s="605" t="s">
        <v>18884</v>
      </c>
      <c r="C3443" s="606" t="s">
        <v>12375</v>
      </c>
      <c r="D3443" s="607">
        <v>2226.7399999999998</v>
      </c>
      <c r="E3443" s="607">
        <v>111.66</v>
      </c>
      <c r="F3443" s="607">
        <v>2338.4</v>
      </c>
      <c r="G3443" s="584">
        <v>15</v>
      </c>
    </row>
    <row r="3444" spans="1:7" ht="30" x14ac:dyDescent="0.2">
      <c r="A3444" s="583" t="s">
        <v>18885</v>
      </c>
      <c r="B3444" s="605" t="s">
        <v>18886</v>
      </c>
      <c r="C3444" s="606" t="s">
        <v>12375</v>
      </c>
      <c r="D3444" s="607">
        <v>3457.16</v>
      </c>
      <c r="E3444" s="607">
        <v>111.66</v>
      </c>
      <c r="F3444" s="607">
        <v>3568.82</v>
      </c>
      <c r="G3444" s="584">
        <v>15</v>
      </c>
    </row>
    <row r="3445" spans="1:7" ht="30" x14ac:dyDescent="0.2">
      <c r="A3445" s="583" t="s">
        <v>18887</v>
      </c>
      <c r="B3445" s="605" t="s">
        <v>18888</v>
      </c>
      <c r="C3445" s="606" t="s">
        <v>12375</v>
      </c>
      <c r="D3445" s="607">
        <v>2325.27</v>
      </c>
      <c r="E3445" s="607">
        <v>111.66</v>
      </c>
      <c r="F3445" s="607">
        <v>2436.9299999999998</v>
      </c>
      <c r="G3445" s="584">
        <v>15</v>
      </c>
    </row>
    <row r="3446" spans="1:7" ht="15" x14ac:dyDescent="0.25">
      <c r="A3446" s="583" t="s">
        <v>18889</v>
      </c>
      <c r="B3446" s="605" t="s">
        <v>18890</v>
      </c>
      <c r="C3446" s="606"/>
      <c r="D3446" s="607"/>
      <c r="E3446" s="607"/>
      <c r="F3446" s="607"/>
      <c r="G3446" s="582"/>
    </row>
    <row r="3447" spans="1:7" ht="45" x14ac:dyDescent="0.2">
      <c r="A3447" s="583" t="s">
        <v>18891</v>
      </c>
      <c r="B3447" s="605" t="s">
        <v>20307</v>
      </c>
      <c r="C3447" s="606" t="s">
        <v>12375</v>
      </c>
      <c r="D3447" s="607">
        <v>94.66</v>
      </c>
      <c r="E3447" s="607">
        <v>25.12</v>
      </c>
      <c r="F3447" s="607">
        <v>119.78</v>
      </c>
      <c r="G3447" s="584">
        <v>15</v>
      </c>
    </row>
    <row r="3448" spans="1:7" ht="45" x14ac:dyDescent="0.2">
      <c r="A3448" s="583" t="s">
        <v>18892</v>
      </c>
      <c r="B3448" s="605" t="s">
        <v>20308</v>
      </c>
      <c r="C3448" s="606" t="s">
        <v>12375</v>
      </c>
      <c r="D3448" s="607">
        <v>128.84</v>
      </c>
      <c r="E3448" s="607">
        <v>33.5</v>
      </c>
      <c r="F3448" s="607">
        <v>162.34</v>
      </c>
      <c r="G3448" s="584">
        <v>15</v>
      </c>
    </row>
    <row r="3449" spans="1:7" ht="45" x14ac:dyDescent="0.2">
      <c r="A3449" s="583" t="s">
        <v>18893</v>
      </c>
      <c r="B3449" s="605" t="s">
        <v>20309</v>
      </c>
      <c r="C3449" s="606" t="s">
        <v>12375</v>
      </c>
      <c r="D3449" s="607">
        <v>190.14</v>
      </c>
      <c r="E3449" s="607">
        <v>41.87</v>
      </c>
      <c r="F3449" s="607">
        <v>232.01</v>
      </c>
      <c r="G3449" s="584">
        <v>15</v>
      </c>
    </row>
    <row r="3450" spans="1:7" ht="45" x14ac:dyDescent="0.2">
      <c r="A3450" s="583" t="s">
        <v>18894</v>
      </c>
      <c r="B3450" s="605" t="s">
        <v>20310</v>
      </c>
      <c r="C3450" s="606" t="s">
        <v>12375</v>
      </c>
      <c r="D3450" s="607">
        <v>260.56</v>
      </c>
      <c r="E3450" s="607">
        <v>44.67</v>
      </c>
      <c r="F3450" s="607">
        <v>305.23</v>
      </c>
      <c r="G3450" s="584">
        <v>15</v>
      </c>
    </row>
    <row r="3451" spans="1:7" ht="45" x14ac:dyDescent="0.2">
      <c r="A3451" s="583" t="s">
        <v>18895</v>
      </c>
      <c r="B3451" s="605" t="s">
        <v>20311</v>
      </c>
      <c r="C3451" s="606" t="s">
        <v>12375</v>
      </c>
      <c r="D3451" s="607">
        <v>546.83000000000004</v>
      </c>
      <c r="E3451" s="607">
        <v>69.790000000000006</v>
      </c>
      <c r="F3451" s="607">
        <v>616.62</v>
      </c>
      <c r="G3451" s="584">
        <v>15</v>
      </c>
    </row>
    <row r="3452" spans="1:7" ht="15" x14ac:dyDescent="0.25">
      <c r="A3452" s="583" t="s">
        <v>18896</v>
      </c>
      <c r="B3452" s="605" t="s">
        <v>18897</v>
      </c>
      <c r="C3452" s="606"/>
      <c r="D3452" s="607"/>
      <c r="E3452" s="607"/>
      <c r="F3452" s="607"/>
      <c r="G3452" s="582"/>
    </row>
    <row r="3453" spans="1:7" ht="30" x14ac:dyDescent="0.2">
      <c r="A3453" s="583" t="s">
        <v>18898</v>
      </c>
      <c r="B3453" s="605" t="s">
        <v>18899</v>
      </c>
      <c r="C3453" s="606" t="s">
        <v>12375</v>
      </c>
      <c r="D3453" s="607">
        <v>417.39</v>
      </c>
      <c r="E3453" s="607">
        <v>33.5</v>
      </c>
      <c r="F3453" s="607">
        <v>450.89</v>
      </c>
      <c r="G3453" s="584">
        <v>15</v>
      </c>
    </row>
    <row r="3454" spans="1:7" ht="30" x14ac:dyDescent="0.2">
      <c r="A3454" s="583" t="s">
        <v>18900</v>
      </c>
      <c r="B3454" s="605" t="s">
        <v>18901</v>
      </c>
      <c r="C3454" s="606" t="s">
        <v>12375</v>
      </c>
      <c r="D3454" s="607">
        <v>525.38</v>
      </c>
      <c r="E3454" s="607">
        <v>41.87</v>
      </c>
      <c r="F3454" s="607">
        <v>567.25</v>
      </c>
      <c r="G3454" s="584">
        <v>15</v>
      </c>
    </row>
    <row r="3455" spans="1:7" ht="30" x14ac:dyDescent="0.2">
      <c r="A3455" s="583" t="s">
        <v>18902</v>
      </c>
      <c r="B3455" s="605" t="s">
        <v>18903</v>
      </c>
      <c r="C3455" s="606" t="s">
        <v>12375</v>
      </c>
      <c r="D3455" s="607">
        <v>1039.3900000000001</v>
      </c>
      <c r="E3455" s="607">
        <v>55.83</v>
      </c>
      <c r="F3455" s="607">
        <v>1095.22</v>
      </c>
      <c r="G3455" s="584">
        <v>15</v>
      </c>
    </row>
    <row r="3456" spans="1:7" ht="30" x14ac:dyDescent="0.2">
      <c r="A3456" s="583" t="s">
        <v>18904</v>
      </c>
      <c r="B3456" s="605" t="s">
        <v>18905</v>
      </c>
      <c r="C3456" s="606" t="s">
        <v>12375</v>
      </c>
      <c r="D3456" s="607">
        <v>1343.31</v>
      </c>
      <c r="E3456" s="607">
        <v>69.790000000000006</v>
      </c>
      <c r="F3456" s="607">
        <v>1413.1</v>
      </c>
      <c r="G3456" s="584">
        <v>15</v>
      </c>
    </row>
    <row r="3457" spans="1:7" ht="15" x14ac:dyDescent="0.25">
      <c r="A3457" s="583" t="s">
        <v>18906</v>
      </c>
      <c r="B3457" s="605" t="s">
        <v>18907</v>
      </c>
      <c r="C3457" s="606"/>
      <c r="D3457" s="607"/>
      <c r="E3457" s="607"/>
      <c r="F3457" s="607"/>
      <c r="G3457" s="582"/>
    </row>
    <row r="3458" spans="1:7" ht="45" x14ac:dyDescent="0.2">
      <c r="A3458" s="583" t="s">
        <v>18908</v>
      </c>
      <c r="B3458" s="605" t="s">
        <v>18909</v>
      </c>
      <c r="C3458" s="606" t="s">
        <v>12375</v>
      </c>
      <c r="D3458" s="607">
        <v>596.30999999999995</v>
      </c>
      <c r="E3458" s="607">
        <v>25.12</v>
      </c>
      <c r="F3458" s="607">
        <v>621.42999999999995</v>
      </c>
      <c r="G3458" s="584">
        <v>15</v>
      </c>
    </row>
    <row r="3459" spans="1:7" ht="15" x14ac:dyDescent="0.25">
      <c r="A3459" s="583" t="s">
        <v>18910</v>
      </c>
      <c r="B3459" s="605" t="s">
        <v>18911</v>
      </c>
      <c r="C3459" s="606"/>
      <c r="D3459" s="607"/>
      <c r="E3459" s="607"/>
      <c r="F3459" s="607"/>
      <c r="G3459" s="582"/>
    </row>
    <row r="3460" spans="1:7" ht="30" x14ac:dyDescent="0.2">
      <c r="A3460" s="583" t="s">
        <v>18912</v>
      </c>
      <c r="B3460" s="605" t="s">
        <v>18913</v>
      </c>
      <c r="C3460" s="606" t="s">
        <v>12375</v>
      </c>
      <c r="D3460" s="607">
        <v>493.56</v>
      </c>
      <c r="E3460" s="607">
        <v>116.87</v>
      </c>
      <c r="F3460" s="607">
        <v>610.42999999999995</v>
      </c>
      <c r="G3460" s="584">
        <v>15</v>
      </c>
    </row>
    <row r="3461" spans="1:7" ht="30" x14ac:dyDescent="0.2">
      <c r="A3461" s="583" t="s">
        <v>18914</v>
      </c>
      <c r="B3461" s="605" t="s">
        <v>18915</v>
      </c>
      <c r="C3461" s="606" t="s">
        <v>12375</v>
      </c>
      <c r="D3461" s="607">
        <v>204.04</v>
      </c>
      <c r="E3461" s="607">
        <v>11.16</v>
      </c>
      <c r="F3461" s="607">
        <v>215.2</v>
      </c>
      <c r="G3461" s="584">
        <v>15</v>
      </c>
    </row>
    <row r="3462" spans="1:7" ht="30" x14ac:dyDescent="0.2">
      <c r="A3462" s="583" t="s">
        <v>18916</v>
      </c>
      <c r="B3462" s="605" t="s">
        <v>18917</v>
      </c>
      <c r="C3462" s="606" t="s">
        <v>12375</v>
      </c>
      <c r="D3462" s="607">
        <v>244.82</v>
      </c>
      <c r="E3462" s="607">
        <v>27.92</v>
      </c>
      <c r="F3462" s="607">
        <v>272.74</v>
      </c>
      <c r="G3462" s="584">
        <v>15</v>
      </c>
    </row>
    <row r="3463" spans="1:7" ht="45" x14ac:dyDescent="0.2">
      <c r="A3463" s="583" t="s">
        <v>18918</v>
      </c>
      <c r="B3463" s="605" t="s">
        <v>18919</v>
      </c>
      <c r="C3463" s="606" t="s">
        <v>12375</v>
      </c>
      <c r="D3463" s="607">
        <v>13308.16</v>
      </c>
      <c r="E3463" s="607">
        <v>116.87</v>
      </c>
      <c r="F3463" s="607">
        <v>13425.03</v>
      </c>
      <c r="G3463" s="584">
        <v>15</v>
      </c>
    </row>
    <row r="3464" spans="1:7" ht="15" x14ac:dyDescent="0.25">
      <c r="A3464" s="583" t="s">
        <v>18920</v>
      </c>
      <c r="B3464" s="605" t="s">
        <v>18921</v>
      </c>
      <c r="C3464" s="606"/>
      <c r="D3464" s="607"/>
      <c r="E3464" s="607"/>
      <c r="F3464" s="607"/>
      <c r="G3464" s="582"/>
    </row>
    <row r="3465" spans="1:7" ht="30" x14ac:dyDescent="0.2">
      <c r="A3465" s="583" t="s">
        <v>18922</v>
      </c>
      <c r="B3465" s="605" t="s">
        <v>18923</v>
      </c>
      <c r="C3465" s="606" t="s">
        <v>12375</v>
      </c>
      <c r="D3465" s="607">
        <v>3150.88</v>
      </c>
      <c r="E3465" s="607">
        <v>193.28</v>
      </c>
      <c r="F3465" s="607">
        <v>3344.16</v>
      </c>
      <c r="G3465" s="584">
        <v>15</v>
      </c>
    </row>
    <row r="3466" spans="1:7" ht="30" x14ac:dyDescent="0.2">
      <c r="A3466" s="583" t="s">
        <v>18924</v>
      </c>
      <c r="B3466" s="605" t="s">
        <v>18925</v>
      </c>
      <c r="C3466" s="606" t="s">
        <v>12375</v>
      </c>
      <c r="D3466" s="607">
        <v>1075.72</v>
      </c>
      <c r="E3466" s="607">
        <v>193.28</v>
      </c>
      <c r="F3466" s="607">
        <v>1269</v>
      </c>
      <c r="G3466" s="584">
        <v>15</v>
      </c>
    </row>
    <row r="3467" spans="1:7" ht="30" x14ac:dyDescent="0.2">
      <c r="A3467" s="583" t="s">
        <v>18926</v>
      </c>
      <c r="B3467" s="605" t="s">
        <v>18927</v>
      </c>
      <c r="C3467" s="606" t="s">
        <v>12375</v>
      </c>
      <c r="D3467" s="607">
        <v>1208.99</v>
      </c>
      <c r="E3467" s="607">
        <v>69.790000000000006</v>
      </c>
      <c r="F3467" s="607">
        <v>1278.78</v>
      </c>
      <c r="G3467" s="584">
        <v>15</v>
      </c>
    </row>
    <row r="3468" spans="1:7" ht="30" x14ac:dyDescent="0.2">
      <c r="A3468" s="583" t="s">
        <v>18928</v>
      </c>
      <c r="B3468" s="605" t="s">
        <v>18929</v>
      </c>
      <c r="C3468" s="606" t="s">
        <v>12375</v>
      </c>
      <c r="D3468" s="607">
        <v>1602.38</v>
      </c>
      <c r="E3468" s="607">
        <v>125.62</v>
      </c>
      <c r="F3468" s="607">
        <v>1728</v>
      </c>
      <c r="G3468" s="584">
        <v>15</v>
      </c>
    </row>
    <row r="3469" spans="1:7" ht="30" x14ac:dyDescent="0.2">
      <c r="A3469" s="583" t="s">
        <v>18930</v>
      </c>
      <c r="B3469" s="605" t="s">
        <v>18931</v>
      </c>
      <c r="C3469" s="606" t="s">
        <v>12375</v>
      </c>
      <c r="D3469" s="607">
        <v>2365.4</v>
      </c>
      <c r="E3469" s="607">
        <v>125.62</v>
      </c>
      <c r="F3469" s="607">
        <v>2491.02</v>
      </c>
      <c r="G3469" s="584">
        <v>15</v>
      </c>
    </row>
    <row r="3470" spans="1:7" ht="30" x14ac:dyDescent="0.2">
      <c r="A3470" s="583" t="s">
        <v>18932</v>
      </c>
      <c r="B3470" s="605" t="s">
        <v>18933</v>
      </c>
      <c r="C3470" s="606" t="s">
        <v>12375</v>
      </c>
      <c r="D3470" s="607">
        <v>7306.7</v>
      </c>
      <c r="E3470" s="607">
        <v>193.28</v>
      </c>
      <c r="F3470" s="607">
        <v>7499.98</v>
      </c>
      <c r="G3470" s="584">
        <v>15</v>
      </c>
    </row>
    <row r="3471" spans="1:7" ht="30" x14ac:dyDescent="0.2">
      <c r="A3471" s="583" t="s">
        <v>18934</v>
      </c>
      <c r="B3471" s="605" t="s">
        <v>18935</v>
      </c>
      <c r="C3471" s="606" t="s">
        <v>12375</v>
      </c>
      <c r="D3471" s="607">
        <v>1300.1099999999999</v>
      </c>
      <c r="E3471" s="607">
        <v>193.28</v>
      </c>
      <c r="F3471" s="607">
        <v>1493.39</v>
      </c>
      <c r="G3471" s="584">
        <v>15</v>
      </c>
    </row>
    <row r="3472" spans="1:7" ht="30" x14ac:dyDescent="0.2">
      <c r="A3472" s="583" t="s">
        <v>18936</v>
      </c>
      <c r="B3472" s="605" t="s">
        <v>18937</v>
      </c>
      <c r="C3472" s="606" t="s">
        <v>12375</v>
      </c>
      <c r="D3472" s="607">
        <v>1992.49</v>
      </c>
      <c r="E3472" s="607">
        <v>193.28</v>
      </c>
      <c r="F3472" s="607">
        <v>2185.77</v>
      </c>
      <c r="G3472" s="584">
        <v>15</v>
      </c>
    </row>
    <row r="3473" spans="1:7" ht="30" x14ac:dyDescent="0.2">
      <c r="A3473" s="583" t="s">
        <v>18938</v>
      </c>
      <c r="B3473" s="605" t="s">
        <v>18939</v>
      </c>
      <c r="C3473" s="606" t="s">
        <v>12375</v>
      </c>
      <c r="D3473" s="607">
        <v>1138.82</v>
      </c>
      <c r="E3473" s="607">
        <v>16.75</v>
      </c>
      <c r="F3473" s="607">
        <v>1155.57</v>
      </c>
      <c r="G3473" s="584">
        <v>15</v>
      </c>
    </row>
    <row r="3474" spans="1:7" ht="30" x14ac:dyDescent="0.2">
      <c r="A3474" s="583" t="s">
        <v>18940</v>
      </c>
      <c r="B3474" s="605" t="s">
        <v>18941</v>
      </c>
      <c r="C3474" s="606" t="s">
        <v>12375</v>
      </c>
      <c r="D3474" s="607">
        <v>2919.87</v>
      </c>
      <c r="E3474" s="607">
        <v>24.56</v>
      </c>
      <c r="F3474" s="607">
        <v>2944.43</v>
      </c>
      <c r="G3474" s="584">
        <v>15</v>
      </c>
    </row>
    <row r="3475" spans="1:7" ht="15" x14ac:dyDescent="0.25">
      <c r="A3475" s="583" t="s">
        <v>18942</v>
      </c>
      <c r="B3475" s="605" t="s">
        <v>18943</v>
      </c>
      <c r="C3475" s="606"/>
      <c r="D3475" s="607"/>
      <c r="E3475" s="607"/>
      <c r="F3475" s="607"/>
      <c r="G3475" s="582"/>
    </row>
    <row r="3476" spans="1:7" ht="15" x14ac:dyDescent="0.2">
      <c r="A3476" s="583" t="s">
        <v>18944</v>
      </c>
      <c r="B3476" s="605" t="s">
        <v>18945</v>
      </c>
      <c r="C3476" s="606" t="s">
        <v>12375</v>
      </c>
      <c r="D3476" s="607">
        <v>12.95</v>
      </c>
      <c r="E3476" s="607">
        <v>25.12</v>
      </c>
      <c r="F3476" s="607">
        <v>38.07</v>
      </c>
      <c r="G3476" s="584">
        <v>15</v>
      </c>
    </row>
    <row r="3477" spans="1:7" ht="30" x14ac:dyDescent="0.2">
      <c r="A3477" s="583" t="s">
        <v>18946</v>
      </c>
      <c r="B3477" s="605" t="s">
        <v>18947</v>
      </c>
      <c r="C3477" s="606" t="s">
        <v>12375</v>
      </c>
      <c r="D3477" s="607">
        <v>56.07</v>
      </c>
      <c r="E3477" s="607">
        <v>25.12</v>
      </c>
      <c r="F3477" s="607">
        <v>81.19</v>
      </c>
      <c r="G3477" s="584">
        <v>15</v>
      </c>
    </row>
    <row r="3478" spans="1:7" ht="15" x14ac:dyDescent="0.25">
      <c r="A3478" s="583" t="s">
        <v>18948</v>
      </c>
      <c r="B3478" s="605" t="s">
        <v>18949</v>
      </c>
      <c r="C3478" s="606"/>
      <c r="D3478" s="607"/>
      <c r="E3478" s="607"/>
      <c r="F3478" s="607"/>
      <c r="G3478" s="582"/>
    </row>
    <row r="3479" spans="1:7" ht="15" x14ac:dyDescent="0.2">
      <c r="A3479" s="583" t="s">
        <v>18950</v>
      </c>
      <c r="B3479" s="605" t="s">
        <v>18951</v>
      </c>
      <c r="C3479" s="606" t="s">
        <v>12375</v>
      </c>
      <c r="D3479" s="607">
        <v>130.41</v>
      </c>
      <c r="E3479" s="607">
        <v>8.3800000000000008</v>
      </c>
      <c r="F3479" s="607">
        <v>138.79</v>
      </c>
      <c r="G3479" s="584">
        <v>15</v>
      </c>
    </row>
    <row r="3480" spans="1:7" ht="15" x14ac:dyDescent="0.2">
      <c r="A3480" s="583" t="s">
        <v>18952</v>
      </c>
      <c r="B3480" s="605" t="s">
        <v>18953</v>
      </c>
      <c r="C3480" s="606" t="s">
        <v>12375</v>
      </c>
      <c r="D3480" s="607">
        <v>534.41999999999996</v>
      </c>
      <c r="E3480" s="607">
        <v>69.790000000000006</v>
      </c>
      <c r="F3480" s="607">
        <v>604.21</v>
      </c>
      <c r="G3480" s="584">
        <v>15</v>
      </c>
    </row>
    <row r="3481" spans="1:7" ht="30" x14ac:dyDescent="0.2">
      <c r="A3481" s="583" t="s">
        <v>18954</v>
      </c>
      <c r="B3481" s="605" t="s">
        <v>18955</v>
      </c>
      <c r="C3481" s="606" t="s">
        <v>12375</v>
      </c>
      <c r="D3481" s="607">
        <v>489.33</v>
      </c>
      <c r="E3481" s="607">
        <v>69.790000000000006</v>
      </c>
      <c r="F3481" s="607">
        <v>559.12</v>
      </c>
      <c r="G3481" s="584">
        <v>15</v>
      </c>
    </row>
    <row r="3482" spans="1:7" ht="30" x14ac:dyDescent="0.2">
      <c r="A3482" s="583" t="s">
        <v>18956</v>
      </c>
      <c r="B3482" s="605" t="s">
        <v>18957</v>
      </c>
      <c r="C3482" s="606" t="s">
        <v>12375</v>
      </c>
      <c r="D3482" s="607">
        <v>24.44</v>
      </c>
      <c r="E3482" s="607">
        <v>11.78</v>
      </c>
      <c r="F3482" s="607">
        <v>36.22</v>
      </c>
      <c r="G3482" s="584">
        <v>15</v>
      </c>
    </row>
    <row r="3483" spans="1:7" ht="30" x14ac:dyDescent="0.2">
      <c r="A3483" s="583" t="s">
        <v>18958</v>
      </c>
      <c r="B3483" s="605" t="s">
        <v>18959</v>
      </c>
      <c r="C3483" s="606" t="s">
        <v>12375</v>
      </c>
      <c r="D3483" s="607">
        <v>614.12</v>
      </c>
      <c r="E3483" s="607">
        <v>39.270000000000003</v>
      </c>
      <c r="F3483" s="607">
        <v>653.39</v>
      </c>
      <c r="G3483" s="584">
        <v>15</v>
      </c>
    </row>
    <row r="3484" spans="1:7" ht="30" x14ac:dyDescent="0.2">
      <c r="A3484" s="583" t="s">
        <v>18960</v>
      </c>
      <c r="B3484" s="605" t="s">
        <v>18961</v>
      </c>
      <c r="C3484" s="606" t="s">
        <v>12375</v>
      </c>
      <c r="D3484" s="607">
        <v>320.01</v>
      </c>
      <c r="E3484" s="607">
        <v>39.270000000000003</v>
      </c>
      <c r="F3484" s="607">
        <v>359.28</v>
      </c>
      <c r="G3484" s="584">
        <v>15</v>
      </c>
    </row>
    <row r="3485" spans="1:7" ht="30" x14ac:dyDescent="0.2">
      <c r="A3485" s="583" t="s">
        <v>18962</v>
      </c>
      <c r="B3485" s="605" t="s">
        <v>18963</v>
      </c>
      <c r="C3485" s="606" t="s">
        <v>12375</v>
      </c>
      <c r="D3485" s="607">
        <v>98.25</v>
      </c>
      <c r="E3485" s="607">
        <v>27.92</v>
      </c>
      <c r="F3485" s="607">
        <v>126.17</v>
      </c>
      <c r="G3485" s="584">
        <v>15</v>
      </c>
    </row>
    <row r="3486" spans="1:7" ht="30" x14ac:dyDescent="0.2">
      <c r="A3486" s="583" t="s">
        <v>18964</v>
      </c>
      <c r="B3486" s="605" t="s">
        <v>20231</v>
      </c>
      <c r="C3486" s="606" t="s">
        <v>12375</v>
      </c>
      <c r="D3486" s="607">
        <v>4184.22</v>
      </c>
      <c r="E3486" s="607">
        <v>167.49</v>
      </c>
      <c r="F3486" s="607">
        <v>4351.71</v>
      </c>
      <c r="G3486" s="584">
        <v>15</v>
      </c>
    </row>
    <row r="3487" spans="1:7" ht="15" x14ac:dyDescent="0.2">
      <c r="A3487" s="583" t="s">
        <v>18965</v>
      </c>
      <c r="B3487" s="605" t="s">
        <v>18966</v>
      </c>
      <c r="C3487" s="606" t="s">
        <v>12375</v>
      </c>
      <c r="D3487" s="607">
        <v>128.22999999999999</v>
      </c>
      <c r="E3487" s="607">
        <v>22.33</v>
      </c>
      <c r="F3487" s="607">
        <v>150.56</v>
      </c>
      <c r="G3487" s="584">
        <v>15</v>
      </c>
    </row>
    <row r="3488" spans="1:7" ht="30" x14ac:dyDescent="0.2">
      <c r="A3488" s="583" t="s">
        <v>18967</v>
      </c>
      <c r="B3488" s="605" t="s">
        <v>20232</v>
      </c>
      <c r="C3488" s="606" t="s">
        <v>12375</v>
      </c>
      <c r="D3488" s="607">
        <v>463.02</v>
      </c>
      <c r="E3488" s="607">
        <v>66.239999999999995</v>
      </c>
      <c r="F3488" s="607">
        <v>529.26</v>
      </c>
      <c r="G3488" s="584">
        <v>15</v>
      </c>
    </row>
    <row r="3489" spans="1:7" ht="30" x14ac:dyDescent="0.2">
      <c r="A3489" s="583" t="s">
        <v>18968</v>
      </c>
      <c r="B3489" s="605" t="s">
        <v>18969</v>
      </c>
      <c r="C3489" s="606" t="s">
        <v>12375</v>
      </c>
      <c r="D3489" s="607">
        <v>325.08999999999997</v>
      </c>
      <c r="E3489" s="607">
        <v>69.790000000000006</v>
      </c>
      <c r="F3489" s="607">
        <v>394.88</v>
      </c>
      <c r="G3489" s="584">
        <v>15</v>
      </c>
    </row>
    <row r="3490" spans="1:7" ht="30" x14ac:dyDescent="0.2">
      <c r="A3490" s="583" t="s">
        <v>18970</v>
      </c>
      <c r="B3490" s="605" t="s">
        <v>18971</v>
      </c>
      <c r="C3490" s="606" t="s">
        <v>12375</v>
      </c>
      <c r="D3490" s="607">
        <v>416.32</v>
      </c>
      <c r="E3490" s="607">
        <v>69.790000000000006</v>
      </c>
      <c r="F3490" s="607">
        <v>486.11</v>
      </c>
      <c r="G3490" s="584">
        <v>15</v>
      </c>
    </row>
    <row r="3491" spans="1:7" ht="15" x14ac:dyDescent="0.25">
      <c r="A3491" s="583" t="s">
        <v>18972</v>
      </c>
      <c r="B3491" s="605" t="s">
        <v>18973</v>
      </c>
      <c r="C3491" s="606"/>
      <c r="D3491" s="607"/>
      <c r="E3491" s="607"/>
      <c r="F3491" s="607"/>
      <c r="G3491" s="582"/>
    </row>
    <row r="3492" spans="1:7" ht="15" x14ac:dyDescent="0.25">
      <c r="A3492" s="583" t="s">
        <v>18974</v>
      </c>
      <c r="B3492" s="605" t="s">
        <v>18975</v>
      </c>
      <c r="C3492" s="606"/>
      <c r="D3492" s="607"/>
      <c r="E3492" s="607"/>
      <c r="F3492" s="607"/>
      <c r="G3492" s="582"/>
    </row>
    <row r="3493" spans="1:7" ht="15" x14ac:dyDescent="0.2">
      <c r="A3493" s="583" t="s">
        <v>18976</v>
      </c>
      <c r="B3493" s="605" t="s">
        <v>18977</v>
      </c>
      <c r="C3493" s="606" t="s">
        <v>20385</v>
      </c>
      <c r="D3493" s="607">
        <v>9073.5300000000007</v>
      </c>
      <c r="E3493" s="607">
        <v>123.96</v>
      </c>
      <c r="F3493" s="607">
        <v>9197.49</v>
      </c>
      <c r="G3493" s="584">
        <v>15</v>
      </c>
    </row>
    <row r="3494" spans="1:7" ht="15" x14ac:dyDescent="0.2">
      <c r="A3494" s="583" t="s">
        <v>18978</v>
      </c>
      <c r="B3494" s="605" t="s">
        <v>18979</v>
      </c>
      <c r="C3494" s="606" t="s">
        <v>20385</v>
      </c>
      <c r="D3494" s="607">
        <v>11426.72</v>
      </c>
      <c r="E3494" s="607">
        <v>169.38</v>
      </c>
      <c r="F3494" s="607">
        <v>11596.1</v>
      </c>
      <c r="G3494" s="584">
        <v>15</v>
      </c>
    </row>
    <row r="3495" spans="1:7" ht="30" x14ac:dyDescent="0.2">
      <c r="A3495" s="583" t="s">
        <v>18980</v>
      </c>
      <c r="B3495" s="605" t="s">
        <v>18981</v>
      </c>
      <c r="C3495" s="606" t="s">
        <v>20385</v>
      </c>
      <c r="D3495" s="607">
        <v>1067.5899999999999</v>
      </c>
      <c r="E3495" s="607">
        <v>67.19</v>
      </c>
      <c r="F3495" s="607">
        <v>1134.78</v>
      </c>
      <c r="G3495" s="584">
        <v>15</v>
      </c>
    </row>
    <row r="3496" spans="1:7" ht="30" x14ac:dyDescent="0.2">
      <c r="A3496" s="583" t="s">
        <v>18982</v>
      </c>
      <c r="B3496" s="605" t="s">
        <v>18983</v>
      </c>
      <c r="C3496" s="606" t="s">
        <v>20385</v>
      </c>
      <c r="D3496" s="607">
        <v>1961.14</v>
      </c>
      <c r="E3496" s="607">
        <v>67.19</v>
      </c>
      <c r="F3496" s="607">
        <v>2028.33</v>
      </c>
      <c r="G3496" s="584">
        <v>15</v>
      </c>
    </row>
    <row r="3497" spans="1:7" ht="30" x14ac:dyDescent="0.2">
      <c r="A3497" s="583" t="s">
        <v>18984</v>
      </c>
      <c r="B3497" s="605" t="s">
        <v>18985</v>
      </c>
      <c r="C3497" s="606" t="s">
        <v>20385</v>
      </c>
      <c r="D3497" s="607">
        <v>3095.4</v>
      </c>
      <c r="E3497" s="607">
        <v>78.540000000000006</v>
      </c>
      <c r="F3497" s="607">
        <v>3173.94</v>
      </c>
      <c r="G3497" s="584">
        <v>15</v>
      </c>
    </row>
    <row r="3498" spans="1:7" ht="30" x14ac:dyDescent="0.2">
      <c r="A3498" s="583" t="s">
        <v>18986</v>
      </c>
      <c r="B3498" s="605" t="s">
        <v>18987</v>
      </c>
      <c r="C3498" s="606" t="s">
        <v>20385</v>
      </c>
      <c r="D3498" s="607">
        <v>5583.41</v>
      </c>
      <c r="E3498" s="607">
        <v>101.25</v>
      </c>
      <c r="F3498" s="607">
        <v>5684.66</v>
      </c>
      <c r="G3498" s="584">
        <v>15</v>
      </c>
    </row>
    <row r="3499" spans="1:7" ht="45" x14ac:dyDescent="0.2">
      <c r="A3499" s="583" t="s">
        <v>18988</v>
      </c>
      <c r="B3499" s="605" t="s">
        <v>18989</v>
      </c>
      <c r="C3499" s="606" t="s">
        <v>20385</v>
      </c>
      <c r="D3499" s="607">
        <v>7000.71</v>
      </c>
      <c r="E3499" s="607">
        <v>89.9</v>
      </c>
      <c r="F3499" s="607">
        <v>7090.61</v>
      </c>
      <c r="G3499" s="584">
        <v>15</v>
      </c>
    </row>
    <row r="3500" spans="1:7" ht="45" x14ac:dyDescent="0.2">
      <c r="A3500" s="583" t="s">
        <v>18990</v>
      </c>
      <c r="B3500" s="605" t="s">
        <v>18991</v>
      </c>
      <c r="C3500" s="606" t="s">
        <v>20385</v>
      </c>
      <c r="D3500" s="607">
        <v>15031.75</v>
      </c>
      <c r="E3500" s="607">
        <v>123.96</v>
      </c>
      <c r="F3500" s="607">
        <v>15155.71</v>
      </c>
      <c r="G3500" s="584">
        <v>15</v>
      </c>
    </row>
    <row r="3501" spans="1:7" ht="30" x14ac:dyDescent="0.2">
      <c r="A3501" s="583" t="s">
        <v>18992</v>
      </c>
      <c r="B3501" s="605" t="s">
        <v>18993</v>
      </c>
      <c r="C3501" s="606" t="s">
        <v>20385</v>
      </c>
      <c r="D3501" s="607">
        <v>900.36</v>
      </c>
      <c r="E3501" s="607">
        <v>78.540000000000006</v>
      </c>
      <c r="F3501" s="607">
        <v>978.9</v>
      </c>
      <c r="G3501" s="584">
        <v>15</v>
      </c>
    </row>
    <row r="3502" spans="1:7" ht="30" x14ac:dyDescent="0.2">
      <c r="A3502" s="583" t="s">
        <v>18994</v>
      </c>
      <c r="B3502" s="605" t="s">
        <v>18995</v>
      </c>
      <c r="C3502" s="606" t="s">
        <v>20385</v>
      </c>
      <c r="D3502" s="607">
        <v>547.63</v>
      </c>
      <c r="E3502" s="607">
        <v>78.540000000000006</v>
      </c>
      <c r="F3502" s="607">
        <v>626.16999999999996</v>
      </c>
      <c r="G3502" s="584">
        <v>15</v>
      </c>
    </row>
    <row r="3503" spans="1:7" ht="15" x14ac:dyDescent="0.25">
      <c r="A3503" s="583" t="s">
        <v>18996</v>
      </c>
      <c r="B3503" s="605" t="s">
        <v>18997</v>
      </c>
      <c r="C3503" s="606"/>
      <c r="D3503" s="607"/>
      <c r="E3503" s="607"/>
      <c r="F3503" s="607"/>
      <c r="G3503" s="582"/>
    </row>
    <row r="3504" spans="1:7" ht="30" x14ac:dyDescent="0.2">
      <c r="A3504" s="583" t="s">
        <v>18998</v>
      </c>
      <c r="B3504" s="605" t="s">
        <v>18999</v>
      </c>
      <c r="C3504" s="606" t="s">
        <v>21478</v>
      </c>
      <c r="D3504" s="607">
        <v>5096.99</v>
      </c>
      <c r="E3504" s="607">
        <v>78.540000000000006</v>
      </c>
      <c r="F3504" s="607">
        <v>5175.53</v>
      </c>
      <c r="G3504" s="584">
        <v>15</v>
      </c>
    </row>
    <row r="3505" spans="1:7" ht="30" x14ac:dyDescent="0.2">
      <c r="A3505" s="583" t="s">
        <v>19000</v>
      </c>
      <c r="B3505" s="605" t="s">
        <v>19001</v>
      </c>
      <c r="C3505" s="606" t="s">
        <v>21478</v>
      </c>
      <c r="D3505" s="607">
        <v>7118.73</v>
      </c>
      <c r="E3505" s="607">
        <v>78.540000000000006</v>
      </c>
      <c r="F3505" s="607">
        <v>7197.27</v>
      </c>
      <c r="G3505" s="584">
        <v>15</v>
      </c>
    </row>
    <row r="3506" spans="1:7" ht="30" x14ac:dyDescent="0.2">
      <c r="A3506" s="583" t="s">
        <v>19002</v>
      </c>
      <c r="B3506" s="605" t="s">
        <v>19003</v>
      </c>
      <c r="C3506" s="606" t="s">
        <v>21478</v>
      </c>
      <c r="D3506" s="607">
        <v>13095.11</v>
      </c>
      <c r="E3506" s="607">
        <v>78.540000000000006</v>
      </c>
      <c r="F3506" s="607">
        <v>13173.65</v>
      </c>
      <c r="G3506" s="584">
        <v>15</v>
      </c>
    </row>
    <row r="3507" spans="1:7" ht="15" x14ac:dyDescent="0.25">
      <c r="A3507" s="583" t="s">
        <v>19004</v>
      </c>
      <c r="B3507" s="605" t="s">
        <v>19005</v>
      </c>
      <c r="C3507" s="606"/>
      <c r="D3507" s="607"/>
      <c r="E3507" s="607"/>
      <c r="F3507" s="607"/>
      <c r="G3507" s="582"/>
    </row>
    <row r="3508" spans="1:7" ht="45" x14ac:dyDescent="0.2">
      <c r="A3508" s="583" t="s">
        <v>19006</v>
      </c>
      <c r="B3508" s="605" t="s">
        <v>19007</v>
      </c>
      <c r="C3508" s="606" t="s">
        <v>20358</v>
      </c>
      <c r="D3508" s="607">
        <v>17933.580000000002</v>
      </c>
      <c r="E3508" s="607">
        <v>4187.79</v>
      </c>
      <c r="F3508" s="607">
        <v>22121.37</v>
      </c>
      <c r="G3508" s="584">
        <v>15</v>
      </c>
    </row>
    <row r="3509" spans="1:7" ht="45" x14ac:dyDescent="0.2">
      <c r="A3509" s="583" t="s">
        <v>19008</v>
      </c>
      <c r="B3509" s="605" t="s">
        <v>19009</v>
      </c>
      <c r="C3509" s="606" t="s">
        <v>20358</v>
      </c>
      <c r="D3509" s="607">
        <v>34138.92</v>
      </c>
      <c r="E3509" s="607">
        <v>8969.8700000000008</v>
      </c>
      <c r="F3509" s="607">
        <v>43108.79</v>
      </c>
      <c r="G3509" s="584">
        <v>15</v>
      </c>
    </row>
    <row r="3510" spans="1:7" ht="15" x14ac:dyDescent="0.25">
      <c r="A3510" s="583" t="s">
        <v>19010</v>
      </c>
      <c r="B3510" s="605" t="s">
        <v>19011</v>
      </c>
      <c r="C3510" s="606"/>
      <c r="D3510" s="607"/>
      <c r="E3510" s="607"/>
      <c r="F3510" s="607"/>
      <c r="G3510" s="582"/>
    </row>
    <row r="3511" spans="1:7" ht="15" x14ac:dyDescent="0.2">
      <c r="A3511" s="583" t="s">
        <v>19012</v>
      </c>
      <c r="B3511" s="605" t="s">
        <v>19013</v>
      </c>
      <c r="C3511" s="606" t="s">
        <v>20385</v>
      </c>
      <c r="D3511" s="607">
        <v>90.26</v>
      </c>
      <c r="E3511" s="607">
        <v>16.75</v>
      </c>
      <c r="F3511" s="607">
        <v>107.01</v>
      </c>
      <c r="G3511" s="584">
        <v>15</v>
      </c>
    </row>
    <row r="3512" spans="1:7" ht="15" x14ac:dyDescent="0.2">
      <c r="A3512" s="583" t="s">
        <v>19014</v>
      </c>
      <c r="B3512" s="605" t="s">
        <v>19015</v>
      </c>
      <c r="C3512" s="606" t="s">
        <v>20385</v>
      </c>
      <c r="D3512" s="607">
        <v>115.88</v>
      </c>
      <c r="E3512" s="607">
        <v>22.33</v>
      </c>
      <c r="F3512" s="607">
        <v>138.21</v>
      </c>
      <c r="G3512" s="584">
        <v>15</v>
      </c>
    </row>
    <row r="3513" spans="1:7" ht="15" x14ac:dyDescent="0.2">
      <c r="A3513" s="583" t="s">
        <v>19016</v>
      </c>
      <c r="B3513" s="605" t="s">
        <v>19017</v>
      </c>
      <c r="C3513" s="606" t="s">
        <v>20385</v>
      </c>
      <c r="D3513" s="607">
        <v>222.08</v>
      </c>
      <c r="E3513" s="607">
        <v>25.12</v>
      </c>
      <c r="F3513" s="607">
        <v>247.2</v>
      </c>
      <c r="G3513" s="584">
        <v>15</v>
      </c>
    </row>
    <row r="3514" spans="1:7" ht="15" x14ac:dyDescent="0.2">
      <c r="A3514" s="583" t="s">
        <v>19018</v>
      </c>
      <c r="B3514" s="605" t="s">
        <v>19019</v>
      </c>
      <c r="C3514" s="606" t="s">
        <v>20385</v>
      </c>
      <c r="D3514" s="607">
        <v>233.39</v>
      </c>
      <c r="E3514" s="607">
        <v>25.12</v>
      </c>
      <c r="F3514" s="607">
        <v>258.51</v>
      </c>
      <c r="G3514" s="584">
        <v>15</v>
      </c>
    </row>
    <row r="3515" spans="1:7" ht="15" x14ac:dyDescent="0.2">
      <c r="A3515" s="583" t="s">
        <v>19020</v>
      </c>
      <c r="B3515" s="605" t="s">
        <v>19021</v>
      </c>
      <c r="C3515" s="606" t="s">
        <v>20385</v>
      </c>
      <c r="D3515" s="607">
        <v>302.11</v>
      </c>
      <c r="E3515" s="607">
        <v>33.5</v>
      </c>
      <c r="F3515" s="607">
        <v>335.61</v>
      </c>
      <c r="G3515" s="584">
        <v>15</v>
      </c>
    </row>
    <row r="3516" spans="1:7" ht="15" x14ac:dyDescent="0.2">
      <c r="A3516" s="583" t="s">
        <v>19022</v>
      </c>
      <c r="B3516" s="605" t="s">
        <v>19023</v>
      </c>
      <c r="C3516" s="606" t="s">
        <v>20385</v>
      </c>
      <c r="D3516" s="607">
        <v>1456.21</v>
      </c>
      <c r="E3516" s="607">
        <v>25.12</v>
      </c>
      <c r="F3516" s="607">
        <v>1481.33</v>
      </c>
      <c r="G3516" s="584">
        <v>15</v>
      </c>
    </row>
    <row r="3517" spans="1:7" ht="15" x14ac:dyDescent="0.2">
      <c r="A3517" s="583" t="s">
        <v>19024</v>
      </c>
      <c r="B3517" s="605" t="s">
        <v>19025</v>
      </c>
      <c r="C3517" s="606" t="s">
        <v>20385</v>
      </c>
      <c r="D3517" s="607">
        <v>2217.87</v>
      </c>
      <c r="E3517" s="607">
        <v>111.66</v>
      </c>
      <c r="F3517" s="607">
        <v>2329.5300000000002</v>
      </c>
      <c r="G3517" s="584">
        <v>15</v>
      </c>
    </row>
    <row r="3518" spans="1:7" ht="15" x14ac:dyDescent="0.25">
      <c r="A3518" s="583" t="s">
        <v>19026</v>
      </c>
      <c r="B3518" s="605" t="s">
        <v>19027</v>
      </c>
      <c r="C3518" s="606"/>
      <c r="D3518" s="607"/>
      <c r="E3518" s="607"/>
      <c r="F3518" s="607"/>
      <c r="G3518" s="582"/>
    </row>
    <row r="3519" spans="1:7" ht="15" x14ac:dyDescent="0.2">
      <c r="A3519" s="583" t="s">
        <v>19028</v>
      </c>
      <c r="B3519" s="605" t="s">
        <v>19029</v>
      </c>
      <c r="C3519" s="606" t="s">
        <v>20385</v>
      </c>
      <c r="D3519" s="607"/>
      <c r="E3519" s="607">
        <v>68.13</v>
      </c>
      <c r="F3519" s="607">
        <v>68.13</v>
      </c>
      <c r="G3519" s="584">
        <v>15</v>
      </c>
    </row>
    <row r="3520" spans="1:7" ht="15" x14ac:dyDescent="0.2">
      <c r="A3520" s="583" t="s">
        <v>19030</v>
      </c>
      <c r="B3520" s="605" t="s">
        <v>19031</v>
      </c>
      <c r="C3520" s="606" t="s">
        <v>20385</v>
      </c>
      <c r="D3520" s="607"/>
      <c r="E3520" s="607">
        <v>181.68</v>
      </c>
      <c r="F3520" s="607">
        <v>181.68</v>
      </c>
      <c r="G3520" s="584">
        <v>15</v>
      </c>
    </row>
    <row r="3521" spans="1:7" ht="15" x14ac:dyDescent="0.2">
      <c r="A3521" s="583" t="s">
        <v>19032</v>
      </c>
      <c r="B3521" s="605" t="s">
        <v>19033</v>
      </c>
      <c r="C3521" s="606" t="s">
        <v>20385</v>
      </c>
      <c r="D3521" s="607"/>
      <c r="E3521" s="607">
        <v>408.78</v>
      </c>
      <c r="F3521" s="607">
        <v>408.78</v>
      </c>
      <c r="G3521" s="584">
        <v>15</v>
      </c>
    </row>
    <row r="3522" spans="1:7" ht="15" x14ac:dyDescent="0.25">
      <c r="A3522" s="583" t="s">
        <v>19034</v>
      </c>
      <c r="B3522" s="605" t="s">
        <v>19035</v>
      </c>
      <c r="C3522" s="606"/>
      <c r="D3522" s="607"/>
      <c r="E3522" s="607"/>
      <c r="F3522" s="607"/>
      <c r="G3522" s="582"/>
    </row>
    <row r="3523" spans="1:7" ht="15" x14ac:dyDescent="0.25">
      <c r="A3523" s="583" t="s">
        <v>19036</v>
      </c>
      <c r="B3523" s="605" t="s">
        <v>19037</v>
      </c>
      <c r="C3523" s="606"/>
      <c r="D3523" s="607"/>
      <c r="E3523" s="607"/>
      <c r="F3523" s="607"/>
      <c r="G3523" s="582"/>
    </row>
    <row r="3524" spans="1:7" ht="15" x14ac:dyDescent="0.2">
      <c r="A3524" s="583" t="s">
        <v>19038</v>
      </c>
      <c r="B3524" s="605" t="s">
        <v>19039</v>
      </c>
      <c r="C3524" s="606" t="s">
        <v>20385</v>
      </c>
      <c r="D3524" s="607">
        <v>39.08</v>
      </c>
      <c r="E3524" s="607">
        <v>55.83</v>
      </c>
      <c r="F3524" s="607">
        <v>94.91</v>
      </c>
      <c r="G3524" s="584">
        <v>15</v>
      </c>
    </row>
    <row r="3525" spans="1:7" ht="15" x14ac:dyDescent="0.2">
      <c r="A3525" s="583" t="s">
        <v>19040</v>
      </c>
      <c r="B3525" s="605" t="s">
        <v>19041</v>
      </c>
      <c r="C3525" s="606" t="s">
        <v>20385</v>
      </c>
      <c r="D3525" s="607">
        <v>53.9</v>
      </c>
      <c r="E3525" s="607">
        <v>55.83</v>
      </c>
      <c r="F3525" s="607">
        <v>109.73</v>
      </c>
      <c r="G3525" s="584">
        <v>15</v>
      </c>
    </row>
    <row r="3526" spans="1:7" ht="15" x14ac:dyDescent="0.2">
      <c r="A3526" s="583" t="s">
        <v>19042</v>
      </c>
      <c r="B3526" s="605" t="s">
        <v>19043</v>
      </c>
      <c r="C3526" s="606" t="s">
        <v>20385</v>
      </c>
      <c r="D3526" s="607">
        <v>67.569999999999993</v>
      </c>
      <c r="E3526" s="607">
        <v>55.83</v>
      </c>
      <c r="F3526" s="607">
        <v>123.4</v>
      </c>
      <c r="G3526" s="584">
        <v>15</v>
      </c>
    </row>
    <row r="3527" spans="1:7" ht="15" x14ac:dyDescent="0.2">
      <c r="A3527" s="583" t="s">
        <v>19044</v>
      </c>
      <c r="B3527" s="605" t="s">
        <v>19045</v>
      </c>
      <c r="C3527" s="606" t="s">
        <v>20385</v>
      </c>
      <c r="D3527" s="607">
        <v>75.290000000000006</v>
      </c>
      <c r="E3527" s="607">
        <v>55.83</v>
      </c>
      <c r="F3527" s="607">
        <v>131.12</v>
      </c>
      <c r="G3527" s="584">
        <v>15</v>
      </c>
    </row>
    <row r="3528" spans="1:7" ht="30" x14ac:dyDescent="0.2">
      <c r="A3528" s="583" t="s">
        <v>19046</v>
      </c>
      <c r="B3528" s="605" t="s">
        <v>19047</v>
      </c>
      <c r="C3528" s="606" t="s">
        <v>20385</v>
      </c>
      <c r="D3528" s="607">
        <v>83.63</v>
      </c>
      <c r="E3528" s="607">
        <v>55.83</v>
      </c>
      <c r="F3528" s="607">
        <v>139.46</v>
      </c>
      <c r="G3528" s="584">
        <v>15</v>
      </c>
    </row>
    <row r="3529" spans="1:7" ht="30" x14ac:dyDescent="0.2">
      <c r="A3529" s="583" t="s">
        <v>19048</v>
      </c>
      <c r="B3529" s="605" t="s">
        <v>19049</v>
      </c>
      <c r="C3529" s="606" t="s">
        <v>20385</v>
      </c>
      <c r="D3529" s="607">
        <v>116.16</v>
      </c>
      <c r="E3529" s="607">
        <v>55.83</v>
      </c>
      <c r="F3529" s="607">
        <v>171.99</v>
      </c>
      <c r="G3529" s="584">
        <v>15</v>
      </c>
    </row>
    <row r="3530" spans="1:7" ht="15" x14ac:dyDescent="0.25">
      <c r="A3530" s="583" t="s">
        <v>19050</v>
      </c>
      <c r="B3530" s="605" t="s">
        <v>19051</v>
      </c>
      <c r="C3530" s="606"/>
      <c r="D3530" s="607"/>
      <c r="E3530" s="607"/>
      <c r="F3530" s="607"/>
      <c r="G3530" s="582"/>
    </row>
    <row r="3531" spans="1:7" ht="15" x14ac:dyDescent="0.2">
      <c r="A3531" s="583" t="s">
        <v>19052</v>
      </c>
      <c r="B3531" s="605" t="s">
        <v>19053</v>
      </c>
      <c r="C3531" s="606" t="s">
        <v>20385</v>
      </c>
      <c r="D3531" s="607">
        <v>123.8</v>
      </c>
      <c r="E3531" s="607">
        <v>252.54</v>
      </c>
      <c r="F3531" s="607">
        <v>376.34</v>
      </c>
      <c r="G3531" s="584">
        <v>15</v>
      </c>
    </row>
    <row r="3532" spans="1:7" ht="15" x14ac:dyDescent="0.2">
      <c r="A3532" s="583" t="s">
        <v>19054</v>
      </c>
      <c r="B3532" s="605" t="s">
        <v>20116</v>
      </c>
      <c r="C3532" s="606" t="s">
        <v>20385</v>
      </c>
      <c r="D3532" s="607">
        <v>83.98</v>
      </c>
      <c r="E3532" s="607">
        <v>61.36</v>
      </c>
      <c r="F3532" s="607">
        <v>145.34</v>
      </c>
      <c r="G3532" s="584">
        <v>15</v>
      </c>
    </row>
    <row r="3533" spans="1:7" ht="30" x14ac:dyDescent="0.2">
      <c r="A3533" s="583" t="s">
        <v>19055</v>
      </c>
      <c r="B3533" s="605" t="s">
        <v>19056</v>
      </c>
      <c r="C3533" s="606" t="s">
        <v>20385</v>
      </c>
      <c r="D3533" s="607">
        <v>382.22</v>
      </c>
      <c r="E3533" s="607">
        <v>55.83</v>
      </c>
      <c r="F3533" s="607">
        <v>438.05</v>
      </c>
      <c r="G3533" s="584">
        <v>15</v>
      </c>
    </row>
    <row r="3534" spans="1:7" ht="15" x14ac:dyDescent="0.25">
      <c r="A3534" s="583" t="s">
        <v>19057</v>
      </c>
      <c r="B3534" s="605" t="s">
        <v>19058</v>
      </c>
      <c r="C3534" s="606"/>
      <c r="D3534" s="607"/>
      <c r="E3534" s="607"/>
      <c r="F3534" s="607"/>
      <c r="G3534" s="582"/>
    </row>
    <row r="3535" spans="1:7" ht="15" x14ac:dyDescent="0.2">
      <c r="A3535" s="583" t="s">
        <v>19059</v>
      </c>
      <c r="B3535" s="605" t="s">
        <v>19060</v>
      </c>
      <c r="C3535" s="606" t="s">
        <v>20385</v>
      </c>
      <c r="D3535" s="607">
        <v>34.630000000000003</v>
      </c>
      <c r="E3535" s="607">
        <v>55.83</v>
      </c>
      <c r="F3535" s="607">
        <v>90.46</v>
      </c>
      <c r="G3535" s="584">
        <v>15</v>
      </c>
    </row>
    <row r="3536" spans="1:7" ht="15" x14ac:dyDescent="0.25">
      <c r="A3536" s="583" t="s">
        <v>19061</v>
      </c>
      <c r="B3536" s="605" t="s">
        <v>19062</v>
      </c>
      <c r="C3536" s="606"/>
      <c r="D3536" s="607"/>
      <c r="E3536" s="607"/>
      <c r="F3536" s="607"/>
      <c r="G3536" s="582"/>
    </row>
    <row r="3537" spans="1:7" ht="30" x14ac:dyDescent="0.2">
      <c r="A3537" s="583" t="s">
        <v>19063</v>
      </c>
      <c r="B3537" s="605" t="s">
        <v>19064</v>
      </c>
      <c r="C3537" s="606" t="s">
        <v>20385</v>
      </c>
      <c r="D3537" s="607">
        <v>147.78</v>
      </c>
      <c r="E3537" s="607">
        <v>66.989999999999995</v>
      </c>
      <c r="F3537" s="607">
        <v>214.77</v>
      </c>
      <c r="G3537" s="584">
        <v>15</v>
      </c>
    </row>
    <row r="3538" spans="1:7" ht="30" x14ac:dyDescent="0.2">
      <c r="A3538" s="583" t="s">
        <v>19065</v>
      </c>
      <c r="B3538" s="605" t="s">
        <v>19066</v>
      </c>
      <c r="C3538" s="606" t="s">
        <v>20385</v>
      </c>
      <c r="D3538" s="607">
        <v>543.83000000000004</v>
      </c>
      <c r="E3538" s="607">
        <v>83.75</v>
      </c>
      <c r="F3538" s="607">
        <v>627.58000000000004</v>
      </c>
      <c r="G3538" s="584">
        <v>15</v>
      </c>
    </row>
    <row r="3539" spans="1:7" ht="15" x14ac:dyDescent="0.25">
      <c r="A3539" s="583" t="s">
        <v>19067</v>
      </c>
      <c r="B3539" s="605" t="s">
        <v>19068</v>
      </c>
      <c r="C3539" s="606"/>
      <c r="D3539" s="607"/>
      <c r="E3539" s="607"/>
      <c r="F3539" s="607"/>
      <c r="G3539" s="582"/>
    </row>
    <row r="3540" spans="1:7" ht="15" x14ac:dyDescent="0.2">
      <c r="A3540" s="583" t="s">
        <v>19069</v>
      </c>
      <c r="B3540" s="605" t="s">
        <v>20233</v>
      </c>
      <c r="C3540" s="606" t="s">
        <v>20385</v>
      </c>
      <c r="D3540" s="607">
        <v>14.49</v>
      </c>
      <c r="E3540" s="607">
        <v>3.35</v>
      </c>
      <c r="F3540" s="607">
        <v>17.84</v>
      </c>
      <c r="G3540" s="584">
        <v>15</v>
      </c>
    </row>
    <row r="3541" spans="1:7" ht="15" x14ac:dyDescent="0.2">
      <c r="A3541" s="583" t="s">
        <v>12346</v>
      </c>
      <c r="B3541" s="605" t="s">
        <v>19070</v>
      </c>
      <c r="C3541" s="606" t="s">
        <v>12427</v>
      </c>
      <c r="D3541" s="607">
        <v>1221.98</v>
      </c>
      <c r="E3541" s="607">
        <v>36.53</v>
      </c>
      <c r="F3541" s="607">
        <v>1258.51</v>
      </c>
      <c r="G3541" s="584">
        <v>15</v>
      </c>
    </row>
    <row r="3542" spans="1:7" ht="15" x14ac:dyDescent="0.2">
      <c r="A3542" s="583" t="s">
        <v>19071</v>
      </c>
      <c r="B3542" s="605" t="s">
        <v>20234</v>
      </c>
      <c r="C3542" s="606" t="s">
        <v>12375</v>
      </c>
      <c r="D3542" s="607">
        <v>10.88</v>
      </c>
      <c r="E3542" s="607">
        <v>3.35</v>
      </c>
      <c r="F3542" s="607">
        <v>14.23</v>
      </c>
      <c r="G3542" s="584">
        <v>15</v>
      </c>
    </row>
    <row r="3543" spans="1:7" ht="15" x14ac:dyDescent="0.2">
      <c r="A3543" s="583" t="s">
        <v>19072</v>
      </c>
      <c r="B3543" s="605" t="s">
        <v>19073</v>
      </c>
      <c r="C3543" s="606" t="s">
        <v>12375</v>
      </c>
      <c r="D3543" s="607">
        <v>344.52</v>
      </c>
      <c r="E3543" s="607">
        <v>29.23</v>
      </c>
      <c r="F3543" s="607">
        <v>373.75</v>
      </c>
      <c r="G3543" s="584">
        <v>15</v>
      </c>
    </row>
    <row r="3544" spans="1:7" ht="15" x14ac:dyDescent="0.2">
      <c r="A3544" s="583" t="s">
        <v>19074</v>
      </c>
      <c r="B3544" s="605" t="s">
        <v>20235</v>
      </c>
      <c r="C3544" s="606" t="s">
        <v>12375</v>
      </c>
      <c r="D3544" s="607">
        <v>31.9</v>
      </c>
      <c r="E3544" s="607">
        <v>3.35</v>
      </c>
      <c r="F3544" s="607">
        <v>35.25</v>
      </c>
      <c r="G3544" s="584">
        <v>15</v>
      </c>
    </row>
    <row r="3545" spans="1:7" ht="15" x14ac:dyDescent="0.2">
      <c r="A3545" s="583" t="s">
        <v>19075</v>
      </c>
      <c r="B3545" s="605" t="s">
        <v>20236</v>
      </c>
      <c r="C3545" s="606" t="s">
        <v>12375</v>
      </c>
      <c r="D3545" s="607">
        <v>7.24</v>
      </c>
      <c r="E3545" s="607">
        <v>3.35</v>
      </c>
      <c r="F3545" s="607">
        <v>10.59</v>
      </c>
      <c r="G3545" s="584">
        <v>15</v>
      </c>
    </row>
    <row r="3546" spans="1:7" ht="15" x14ac:dyDescent="0.2">
      <c r="A3546" s="583" t="s">
        <v>19076</v>
      </c>
      <c r="B3546" s="605" t="s">
        <v>19077</v>
      </c>
      <c r="C3546" s="606" t="s">
        <v>12427</v>
      </c>
      <c r="D3546" s="607">
        <v>1186.99</v>
      </c>
      <c r="E3546" s="607">
        <v>36.53</v>
      </c>
      <c r="F3546" s="607">
        <v>1223.52</v>
      </c>
      <c r="G3546" s="584">
        <v>15</v>
      </c>
    </row>
    <row r="3547" spans="1:7" ht="30" x14ac:dyDescent="0.2">
      <c r="A3547" s="583" t="s">
        <v>19078</v>
      </c>
      <c r="B3547" s="605" t="s">
        <v>19079</v>
      </c>
      <c r="C3547" s="606" t="s">
        <v>12427</v>
      </c>
      <c r="D3547" s="607">
        <v>1374.96</v>
      </c>
      <c r="E3547" s="607">
        <v>36.53</v>
      </c>
      <c r="F3547" s="607">
        <v>1411.49</v>
      </c>
      <c r="G3547" s="584">
        <v>15</v>
      </c>
    </row>
    <row r="3548" spans="1:7" ht="30" x14ac:dyDescent="0.2">
      <c r="A3548" s="583" t="s">
        <v>19080</v>
      </c>
      <c r="B3548" s="605" t="s">
        <v>19081</v>
      </c>
      <c r="C3548" s="606" t="s">
        <v>12375</v>
      </c>
      <c r="D3548" s="607">
        <v>83.34</v>
      </c>
      <c r="E3548" s="607">
        <v>18.27</v>
      </c>
      <c r="F3548" s="607">
        <v>101.61</v>
      </c>
      <c r="G3548" s="584">
        <v>15</v>
      </c>
    </row>
    <row r="3549" spans="1:7" ht="15" x14ac:dyDescent="0.2">
      <c r="A3549" s="583" t="s">
        <v>20596</v>
      </c>
      <c r="B3549" s="605" t="s">
        <v>20597</v>
      </c>
      <c r="C3549" s="606" t="s">
        <v>12375</v>
      </c>
      <c r="D3549" s="607">
        <v>10.16</v>
      </c>
      <c r="E3549" s="607">
        <v>3.35</v>
      </c>
      <c r="F3549" s="607">
        <v>13.51</v>
      </c>
      <c r="G3549" s="584">
        <v>15</v>
      </c>
    </row>
    <row r="3550" spans="1:7" ht="15" x14ac:dyDescent="0.2">
      <c r="A3550" s="583" t="s">
        <v>20598</v>
      </c>
      <c r="B3550" s="605" t="s">
        <v>20599</v>
      </c>
      <c r="C3550" s="606" t="s">
        <v>12375</v>
      </c>
      <c r="D3550" s="607">
        <v>22.52</v>
      </c>
      <c r="E3550" s="607">
        <v>3.35</v>
      </c>
      <c r="F3550" s="607">
        <v>25.87</v>
      </c>
      <c r="G3550" s="584">
        <v>15</v>
      </c>
    </row>
    <row r="3551" spans="1:7" ht="30" x14ac:dyDescent="0.2">
      <c r="A3551" s="583" t="s">
        <v>19082</v>
      </c>
      <c r="B3551" s="605" t="s">
        <v>19083</v>
      </c>
      <c r="C3551" s="606" t="s">
        <v>12375</v>
      </c>
      <c r="D3551" s="607">
        <v>4151.55</v>
      </c>
      <c r="E3551" s="607">
        <v>66.989999999999995</v>
      </c>
      <c r="F3551" s="607">
        <v>4218.54</v>
      </c>
      <c r="G3551" s="584">
        <v>15</v>
      </c>
    </row>
    <row r="3552" spans="1:7" ht="30" x14ac:dyDescent="0.2">
      <c r="A3552" s="583" t="s">
        <v>19084</v>
      </c>
      <c r="B3552" s="605" t="s">
        <v>19085</v>
      </c>
      <c r="C3552" s="606" t="s">
        <v>12375</v>
      </c>
      <c r="D3552" s="607">
        <v>5215.74</v>
      </c>
      <c r="E3552" s="607">
        <v>66.989999999999995</v>
      </c>
      <c r="F3552" s="607">
        <v>5282.73</v>
      </c>
      <c r="G3552" s="584">
        <v>15</v>
      </c>
    </row>
    <row r="3553" spans="1:7" ht="30" x14ac:dyDescent="0.2">
      <c r="A3553" s="583" t="s">
        <v>19086</v>
      </c>
      <c r="B3553" s="605" t="s">
        <v>19087</v>
      </c>
      <c r="C3553" s="606" t="s">
        <v>12375</v>
      </c>
      <c r="D3553" s="607">
        <v>407.08</v>
      </c>
      <c r="E3553" s="607">
        <v>75.53</v>
      </c>
      <c r="F3553" s="607">
        <v>482.61</v>
      </c>
      <c r="G3553" s="584">
        <v>15</v>
      </c>
    </row>
    <row r="3554" spans="1:7" ht="30" x14ac:dyDescent="0.2">
      <c r="A3554" s="583" t="s">
        <v>19088</v>
      </c>
      <c r="B3554" s="605" t="s">
        <v>20312</v>
      </c>
      <c r="C3554" s="606" t="s">
        <v>12375</v>
      </c>
      <c r="D3554" s="607">
        <v>460.79</v>
      </c>
      <c r="E3554" s="607">
        <v>75.53</v>
      </c>
      <c r="F3554" s="607">
        <v>536.32000000000005</v>
      </c>
      <c r="G3554" s="584">
        <v>15</v>
      </c>
    </row>
    <row r="3555" spans="1:7" ht="30" x14ac:dyDescent="0.2">
      <c r="A3555" s="583" t="s">
        <v>19089</v>
      </c>
      <c r="B3555" s="605" t="s">
        <v>19090</v>
      </c>
      <c r="C3555" s="606" t="s">
        <v>12375</v>
      </c>
      <c r="D3555" s="607">
        <v>592.66</v>
      </c>
      <c r="E3555" s="607">
        <v>75.53</v>
      </c>
      <c r="F3555" s="607">
        <v>668.19</v>
      </c>
      <c r="G3555" s="584">
        <v>15</v>
      </c>
    </row>
    <row r="3556" spans="1:7" ht="30" x14ac:dyDescent="0.2">
      <c r="A3556" s="583" t="s">
        <v>19091</v>
      </c>
      <c r="B3556" s="605" t="s">
        <v>19092</v>
      </c>
      <c r="C3556" s="606" t="s">
        <v>12375</v>
      </c>
      <c r="D3556" s="607">
        <v>121.09</v>
      </c>
      <c r="E3556" s="607">
        <v>75.53</v>
      </c>
      <c r="F3556" s="607">
        <v>196.62</v>
      </c>
      <c r="G3556" s="584">
        <v>15</v>
      </c>
    </row>
    <row r="3557" spans="1:7" ht="30" x14ac:dyDescent="0.2">
      <c r="A3557" s="583" t="s">
        <v>19093</v>
      </c>
      <c r="B3557" s="605" t="s">
        <v>19094</v>
      </c>
      <c r="C3557" s="606" t="s">
        <v>12375</v>
      </c>
      <c r="D3557" s="607">
        <v>197.62</v>
      </c>
      <c r="E3557" s="607">
        <v>75.53</v>
      </c>
      <c r="F3557" s="607">
        <v>273.14999999999998</v>
      </c>
      <c r="G3557" s="584">
        <v>15</v>
      </c>
    </row>
    <row r="3558" spans="1:7" ht="30" x14ac:dyDescent="0.2">
      <c r="A3558" s="583" t="s">
        <v>19095</v>
      </c>
      <c r="B3558" s="605" t="s">
        <v>19096</v>
      </c>
      <c r="C3558" s="606" t="s">
        <v>12375</v>
      </c>
      <c r="D3558" s="607">
        <v>333</v>
      </c>
      <c r="E3558" s="607">
        <v>75.53</v>
      </c>
      <c r="F3558" s="607">
        <v>408.53</v>
      </c>
      <c r="G3558" s="584">
        <v>15</v>
      </c>
    </row>
    <row r="3559" spans="1:7" ht="30" x14ac:dyDescent="0.2">
      <c r="A3559" s="583" t="s">
        <v>19097</v>
      </c>
      <c r="B3559" s="605" t="s">
        <v>19098</v>
      </c>
      <c r="C3559" s="606" t="s">
        <v>12375</v>
      </c>
      <c r="D3559" s="607">
        <v>415.68</v>
      </c>
      <c r="E3559" s="607">
        <v>75.53</v>
      </c>
      <c r="F3559" s="607">
        <v>491.21</v>
      </c>
      <c r="G3559" s="584">
        <v>15</v>
      </c>
    </row>
    <row r="3560" spans="1:7" ht="30" x14ac:dyDescent="0.2">
      <c r="A3560" s="583" t="s">
        <v>19099</v>
      </c>
      <c r="B3560" s="605" t="s">
        <v>19100</v>
      </c>
      <c r="C3560" s="606" t="s">
        <v>12375</v>
      </c>
      <c r="D3560" s="607">
        <v>356.62</v>
      </c>
      <c r="E3560" s="607">
        <v>75.53</v>
      </c>
      <c r="F3560" s="607">
        <v>432.15</v>
      </c>
      <c r="G3560" s="584">
        <v>15</v>
      </c>
    </row>
    <row r="3561" spans="1:7" ht="30" x14ac:dyDescent="0.2">
      <c r="A3561" s="583" t="s">
        <v>19101</v>
      </c>
      <c r="B3561" s="605" t="s">
        <v>19102</v>
      </c>
      <c r="C3561" s="606" t="s">
        <v>12375</v>
      </c>
      <c r="D3561" s="607">
        <v>1794.94</v>
      </c>
      <c r="E3561" s="607">
        <v>75.53</v>
      </c>
      <c r="F3561" s="607">
        <v>1870.47</v>
      </c>
      <c r="G3561" s="584">
        <v>15</v>
      </c>
    </row>
    <row r="3562" spans="1:7" ht="30" x14ac:dyDescent="0.2">
      <c r="A3562" s="583" t="s">
        <v>19103</v>
      </c>
      <c r="B3562" s="605" t="s">
        <v>19104</v>
      </c>
      <c r="C3562" s="606" t="s">
        <v>12483</v>
      </c>
      <c r="D3562" s="607">
        <v>1029.8900000000001</v>
      </c>
      <c r="E3562" s="607">
        <v>23.66</v>
      </c>
      <c r="F3562" s="607">
        <v>1053.55</v>
      </c>
      <c r="G3562" s="584">
        <v>15</v>
      </c>
    </row>
    <row r="3563" spans="1:7" ht="30" x14ac:dyDescent="0.2">
      <c r="A3563" s="583" t="s">
        <v>19105</v>
      </c>
      <c r="B3563" s="605" t="s">
        <v>19106</v>
      </c>
      <c r="C3563" s="606" t="s">
        <v>12483</v>
      </c>
      <c r="D3563" s="607">
        <v>1020.28</v>
      </c>
      <c r="E3563" s="607">
        <v>31.22</v>
      </c>
      <c r="F3563" s="607">
        <v>1051.5</v>
      </c>
      <c r="G3563" s="584">
        <v>15</v>
      </c>
    </row>
    <row r="3564" spans="1:7" ht="15" x14ac:dyDescent="0.25">
      <c r="A3564" s="583" t="s">
        <v>19107</v>
      </c>
      <c r="B3564" s="605" t="s">
        <v>19108</v>
      </c>
      <c r="C3564" s="606"/>
      <c r="D3564" s="607"/>
      <c r="E3564" s="607"/>
      <c r="F3564" s="607"/>
      <c r="G3564" s="582"/>
    </row>
    <row r="3565" spans="1:7" ht="15" x14ac:dyDescent="0.2">
      <c r="A3565" s="583" t="s">
        <v>19109</v>
      </c>
      <c r="B3565" s="605" t="s">
        <v>19110</v>
      </c>
      <c r="C3565" s="606" t="s">
        <v>12375</v>
      </c>
      <c r="D3565" s="607">
        <v>487.42</v>
      </c>
      <c r="E3565" s="607">
        <v>55.83</v>
      </c>
      <c r="F3565" s="607">
        <v>543.25</v>
      </c>
      <c r="G3565" s="584">
        <v>15</v>
      </c>
    </row>
    <row r="3566" spans="1:7" ht="15" x14ac:dyDescent="0.25">
      <c r="A3566" s="583" t="s">
        <v>19111</v>
      </c>
      <c r="B3566" s="605" t="s">
        <v>19112</v>
      </c>
      <c r="C3566" s="606"/>
      <c r="D3566" s="607"/>
      <c r="E3566" s="607"/>
      <c r="F3566" s="607"/>
      <c r="G3566" s="582"/>
    </row>
    <row r="3567" spans="1:7" ht="15" x14ac:dyDescent="0.2">
      <c r="A3567" s="583" t="s">
        <v>19113</v>
      </c>
      <c r="B3567" s="605" t="s">
        <v>19114</v>
      </c>
      <c r="C3567" s="606" t="s">
        <v>12483</v>
      </c>
      <c r="D3567" s="607">
        <v>445.72</v>
      </c>
      <c r="E3567" s="607">
        <v>12.59</v>
      </c>
      <c r="F3567" s="607">
        <v>458.31</v>
      </c>
      <c r="G3567" s="584">
        <v>15</v>
      </c>
    </row>
    <row r="3568" spans="1:7" ht="30" x14ac:dyDescent="0.2">
      <c r="A3568" s="583" t="s">
        <v>19115</v>
      </c>
      <c r="B3568" s="605" t="s">
        <v>19116</v>
      </c>
      <c r="C3568" s="606" t="s">
        <v>12483</v>
      </c>
      <c r="D3568" s="607">
        <v>235.47</v>
      </c>
      <c r="E3568" s="607">
        <v>12.59</v>
      </c>
      <c r="F3568" s="607">
        <v>248.06</v>
      </c>
      <c r="G3568" s="584">
        <v>15</v>
      </c>
    </row>
    <row r="3569" spans="1:7" ht="30" x14ac:dyDescent="0.2">
      <c r="A3569" s="583" t="s">
        <v>19117</v>
      </c>
      <c r="B3569" s="605" t="s">
        <v>19118</v>
      </c>
      <c r="C3569" s="606" t="s">
        <v>12483</v>
      </c>
      <c r="D3569" s="607">
        <v>352.52</v>
      </c>
      <c r="E3569" s="607">
        <v>12.59</v>
      </c>
      <c r="F3569" s="607">
        <v>365.11</v>
      </c>
      <c r="G3569" s="584">
        <v>15</v>
      </c>
    </row>
    <row r="3570" spans="1:7" ht="15" x14ac:dyDescent="0.25">
      <c r="A3570" s="583" t="s">
        <v>19119</v>
      </c>
      <c r="B3570" s="605" t="s">
        <v>19120</v>
      </c>
      <c r="C3570" s="606"/>
      <c r="D3570" s="607"/>
      <c r="E3570" s="607"/>
      <c r="F3570" s="607"/>
      <c r="G3570" s="582"/>
    </row>
    <row r="3571" spans="1:7" ht="15" x14ac:dyDescent="0.2">
      <c r="A3571" s="583" t="s">
        <v>19121</v>
      </c>
      <c r="B3571" s="605" t="s">
        <v>19122</v>
      </c>
      <c r="C3571" s="606" t="s">
        <v>12375</v>
      </c>
      <c r="D3571" s="607">
        <v>1909.53</v>
      </c>
      <c r="E3571" s="607">
        <v>1802.97</v>
      </c>
      <c r="F3571" s="607">
        <v>3712.5</v>
      </c>
      <c r="G3571" s="584">
        <v>15</v>
      </c>
    </row>
    <row r="3572" spans="1:7" ht="15" x14ac:dyDescent="0.2">
      <c r="A3572" s="583" t="s">
        <v>19123</v>
      </c>
      <c r="B3572" s="605" t="s">
        <v>19124</v>
      </c>
      <c r="C3572" s="606" t="s">
        <v>12375</v>
      </c>
      <c r="D3572" s="607">
        <v>3234.63</v>
      </c>
      <c r="E3572" s="607">
        <v>2802.2</v>
      </c>
      <c r="F3572" s="607">
        <v>6036.83</v>
      </c>
      <c r="G3572" s="584">
        <v>15</v>
      </c>
    </row>
    <row r="3573" spans="1:7" ht="15" x14ac:dyDescent="0.2">
      <c r="A3573" s="583" t="s">
        <v>19125</v>
      </c>
      <c r="B3573" s="605" t="s">
        <v>19126</v>
      </c>
      <c r="C3573" s="606" t="s">
        <v>12375</v>
      </c>
      <c r="D3573" s="607">
        <v>4501.34</v>
      </c>
      <c r="E3573" s="607">
        <v>3794.21</v>
      </c>
      <c r="F3573" s="607">
        <v>8295.5499999999993</v>
      </c>
      <c r="G3573" s="584">
        <v>15</v>
      </c>
    </row>
    <row r="3574" spans="1:7" ht="15" x14ac:dyDescent="0.2">
      <c r="A3574" s="583" t="s">
        <v>19127</v>
      </c>
      <c r="B3574" s="605" t="s">
        <v>19128</v>
      </c>
      <c r="C3574" s="606" t="s">
        <v>12375</v>
      </c>
      <c r="D3574" s="607">
        <v>1526.41</v>
      </c>
      <c r="E3574" s="607">
        <v>1292.98</v>
      </c>
      <c r="F3574" s="607">
        <v>2819.39</v>
      </c>
      <c r="G3574" s="584">
        <v>15</v>
      </c>
    </row>
    <row r="3575" spans="1:7" ht="15" x14ac:dyDescent="0.2">
      <c r="A3575" s="583" t="s">
        <v>21970</v>
      </c>
      <c r="B3575" s="605" t="s">
        <v>21971</v>
      </c>
      <c r="C3575" s="606" t="s">
        <v>12375</v>
      </c>
      <c r="D3575" s="607">
        <v>2563.87</v>
      </c>
      <c r="E3575" s="607">
        <v>2043.48</v>
      </c>
      <c r="F3575" s="607">
        <v>4607.3500000000004</v>
      </c>
      <c r="G3575" s="584">
        <v>15</v>
      </c>
    </row>
    <row r="3576" spans="1:7" ht="15" x14ac:dyDescent="0.2">
      <c r="A3576" s="583" t="s">
        <v>19129</v>
      </c>
      <c r="B3576" s="605" t="s">
        <v>19130</v>
      </c>
      <c r="C3576" s="606" t="s">
        <v>12375</v>
      </c>
      <c r="D3576" s="607">
        <v>3939.23</v>
      </c>
      <c r="E3576" s="607">
        <v>3050.8</v>
      </c>
      <c r="F3576" s="607">
        <v>6990.03</v>
      </c>
      <c r="G3576" s="584">
        <v>15</v>
      </c>
    </row>
    <row r="3577" spans="1:7" ht="30" x14ac:dyDescent="0.2">
      <c r="A3577" s="583" t="s">
        <v>19131</v>
      </c>
      <c r="B3577" s="605" t="s">
        <v>19132</v>
      </c>
      <c r="C3577" s="606" t="s">
        <v>12483</v>
      </c>
      <c r="D3577" s="607">
        <v>335.82</v>
      </c>
      <c r="E3577" s="607">
        <v>443.2</v>
      </c>
      <c r="F3577" s="607">
        <v>779.02</v>
      </c>
      <c r="G3577" s="584">
        <v>15</v>
      </c>
    </row>
    <row r="3578" spans="1:7" ht="15" x14ac:dyDescent="0.2">
      <c r="A3578" s="583" t="s">
        <v>19133</v>
      </c>
      <c r="B3578" s="605" t="s">
        <v>19134</v>
      </c>
      <c r="C3578" s="606" t="s">
        <v>12375</v>
      </c>
      <c r="D3578" s="607">
        <v>2432.35</v>
      </c>
      <c r="E3578" s="607">
        <v>2825.43</v>
      </c>
      <c r="F3578" s="607">
        <v>5257.78</v>
      </c>
      <c r="G3578" s="584">
        <v>15</v>
      </c>
    </row>
    <row r="3579" spans="1:7" ht="15" x14ac:dyDescent="0.25">
      <c r="A3579" s="583" t="s">
        <v>19135</v>
      </c>
      <c r="B3579" s="605" t="s">
        <v>19136</v>
      </c>
      <c r="C3579" s="606"/>
      <c r="D3579" s="607"/>
      <c r="E3579" s="607"/>
      <c r="F3579" s="607"/>
      <c r="G3579" s="582"/>
    </row>
    <row r="3580" spans="1:7" ht="30" x14ac:dyDescent="0.2">
      <c r="A3580" s="583" t="s">
        <v>19137</v>
      </c>
      <c r="B3580" s="605" t="s">
        <v>19138</v>
      </c>
      <c r="C3580" s="606" t="s">
        <v>12375</v>
      </c>
      <c r="D3580" s="607">
        <v>3652.32</v>
      </c>
      <c r="E3580" s="607">
        <v>3546.86</v>
      </c>
      <c r="F3580" s="607">
        <v>7199.18</v>
      </c>
      <c r="G3580" s="584">
        <v>15</v>
      </c>
    </row>
    <row r="3581" spans="1:7" ht="30" x14ac:dyDescent="0.2">
      <c r="A3581" s="583" t="s">
        <v>19139</v>
      </c>
      <c r="B3581" s="605" t="s">
        <v>19140</v>
      </c>
      <c r="C3581" s="606" t="s">
        <v>12375</v>
      </c>
      <c r="D3581" s="607">
        <v>6499.21</v>
      </c>
      <c r="E3581" s="607">
        <v>5765</v>
      </c>
      <c r="F3581" s="607">
        <v>12264.21</v>
      </c>
      <c r="G3581" s="584">
        <v>15</v>
      </c>
    </row>
    <row r="3582" spans="1:7" ht="30" x14ac:dyDescent="0.2">
      <c r="A3582" s="583" t="s">
        <v>19141</v>
      </c>
      <c r="B3582" s="605" t="s">
        <v>19142</v>
      </c>
      <c r="C3582" s="606" t="s">
        <v>12375</v>
      </c>
      <c r="D3582" s="607">
        <v>8419.33</v>
      </c>
      <c r="E3582" s="607">
        <v>7613.28</v>
      </c>
      <c r="F3582" s="607">
        <v>16032.61</v>
      </c>
      <c r="G3582" s="584">
        <v>15</v>
      </c>
    </row>
    <row r="3583" spans="1:7" ht="30" x14ac:dyDescent="0.2">
      <c r="A3583" s="583" t="s">
        <v>19143</v>
      </c>
      <c r="B3583" s="605" t="s">
        <v>19144</v>
      </c>
      <c r="C3583" s="606" t="s">
        <v>12375</v>
      </c>
      <c r="D3583" s="607">
        <v>12708.18</v>
      </c>
      <c r="E3583" s="607">
        <v>9489.73</v>
      </c>
      <c r="F3583" s="607">
        <v>22197.91</v>
      </c>
      <c r="G3583" s="584">
        <v>15</v>
      </c>
    </row>
    <row r="3584" spans="1:7" ht="15" x14ac:dyDescent="0.25">
      <c r="A3584" s="583" t="s">
        <v>19145</v>
      </c>
      <c r="B3584" s="605" t="s">
        <v>19146</v>
      </c>
      <c r="C3584" s="606"/>
      <c r="D3584" s="607"/>
      <c r="E3584" s="607"/>
      <c r="F3584" s="607"/>
      <c r="G3584" s="582"/>
    </row>
    <row r="3585" spans="1:7" ht="30" x14ac:dyDescent="0.2">
      <c r="A3585" s="583" t="s">
        <v>19147</v>
      </c>
      <c r="B3585" s="605" t="s">
        <v>19148</v>
      </c>
      <c r="C3585" s="606" t="s">
        <v>12375</v>
      </c>
      <c r="D3585" s="607">
        <v>2480.96</v>
      </c>
      <c r="E3585" s="607">
        <v>1774.75</v>
      </c>
      <c r="F3585" s="607">
        <v>4255.71</v>
      </c>
      <c r="G3585" s="584">
        <v>15</v>
      </c>
    </row>
    <row r="3586" spans="1:7" ht="30" x14ac:dyDescent="0.2">
      <c r="A3586" s="583" t="s">
        <v>19149</v>
      </c>
      <c r="B3586" s="605" t="s">
        <v>19150</v>
      </c>
      <c r="C3586" s="606" t="s">
        <v>12375</v>
      </c>
      <c r="D3586" s="607">
        <v>6790.26</v>
      </c>
      <c r="E3586" s="607">
        <v>2650.76</v>
      </c>
      <c r="F3586" s="607">
        <v>9441.02</v>
      </c>
      <c r="G3586" s="584">
        <v>15</v>
      </c>
    </row>
    <row r="3587" spans="1:7" ht="30" x14ac:dyDescent="0.2">
      <c r="A3587" s="583" t="s">
        <v>19151</v>
      </c>
      <c r="B3587" s="605" t="s">
        <v>19152</v>
      </c>
      <c r="C3587" s="606" t="s">
        <v>12375</v>
      </c>
      <c r="D3587" s="607">
        <v>10042.39</v>
      </c>
      <c r="E3587" s="607">
        <v>5301.51</v>
      </c>
      <c r="F3587" s="607">
        <v>15343.9</v>
      </c>
      <c r="G3587" s="584">
        <v>15</v>
      </c>
    </row>
    <row r="3588" spans="1:7" ht="15" x14ac:dyDescent="0.2">
      <c r="A3588" s="583" t="s">
        <v>19153</v>
      </c>
      <c r="B3588" s="605" t="s">
        <v>19154</v>
      </c>
      <c r="C3588" s="606" t="s">
        <v>12483</v>
      </c>
      <c r="D3588" s="607">
        <v>1597.45</v>
      </c>
      <c r="E3588" s="607">
        <v>882.32</v>
      </c>
      <c r="F3588" s="607">
        <v>2479.77</v>
      </c>
      <c r="G3588" s="584">
        <v>15</v>
      </c>
    </row>
    <row r="3589" spans="1:7" ht="30" x14ac:dyDescent="0.2">
      <c r="A3589" s="583" t="s">
        <v>19155</v>
      </c>
      <c r="B3589" s="605" t="s">
        <v>19156</v>
      </c>
      <c r="C3589" s="606" t="s">
        <v>12375</v>
      </c>
      <c r="D3589" s="607">
        <v>864.04</v>
      </c>
      <c r="E3589" s="607">
        <v>50.35</v>
      </c>
      <c r="F3589" s="607">
        <v>914.39</v>
      </c>
      <c r="G3589" s="584">
        <v>15</v>
      </c>
    </row>
    <row r="3590" spans="1:7" ht="15" x14ac:dyDescent="0.25">
      <c r="A3590" s="583" t="s">
        <v>19157</v>
      </c>
      <c r="B3590" s="605" t="s">
        <v>19158</v>
      </c>
      <c r="C3590" s="606"/>
      <c r="D3590" s="607"/>
      <c r="E3590" s="607"/>
      <c r="F3590" s="607"/>
      <c r="G3590" s="582"/>
    </row>
    <row r="3591" spans="1:7" ht="15" x14ac:dyDescent="0.2">
      <c r="A3591" s="583" t="s">
        <v>19159</v>
      </c>
      <c r="B3591" s="605" t="s">
        <v>19160</v>
      </c>
      <c r="C3591" s="606" t="s">
        <v>12483</v>
      </c>
      <c r="D3591" s="607">
        <v>376.28</v>
      </c>
      <c r="E3591" s="607">
        <v>36.53</v>
      </c>
      <c r="F3591" s="607">
        <v>412.81</v>
      </c>
      <c r="G3591" s="584">
        <v>15</v>
      </c>
    </row>
    <row r="3592" spans="1:7" ht="15" x14ac:dyDescent="0.2">
      <c r="A3592" s="583" t="s">
        <v>19161</v>
      </c>
      <c r="B3592" s="605" t="s">
        <v>19162</v>
      </c>
      <c r="C3592" s="606" t="s">
        <v>12483</v>
      </c>
      <c r="D3592" s="607">
        <v>576.79</v>
      </c>
      <c r="E3592" s="607">
        <v>54.8</v>
      </c>
      <c r="F3592" s="607">
        <v>631.59</v>
      </c>
      <c r="G3592" s="584">
        <v>15</v>
      </c>
    </row>
    <row r="3593" spans="1:7" ht="15" x14ac:dyDescent="0.2">
      <c r="A3593" s="583" t="s">
        <v>19163</v>
      </c>
      <c r="B3593" s="605" t="s">
        <v>19164</v>
      </c>
      <c r="C3593" s="606" t="s">
        <v>12483</v>
      </c>
      <c r="D3593" s="607">
        <v>627.74</v>
      </c>
      <c r="E3593" s="607">
        <v>73.06</v>
      </c>
      <c r="F3593" s="607">
        <v>700.8</v>
      </c>
      <c r="G3593" s="584">
        <v>15</v>
      </c>
    </row>
    <row r="3594" spans="1:7" ht="15" x14ac:dyDescent="0.2">
      <c r="A3594" s="583" t="s">
        <v>19165</v>
      </c>
      <c r="B3594" s="605" t="s">
        <v>19166</v>
      </c>
      <c r="C3594" s="606" t="s">
        <v>12483</v>
      </c>
      <c r="D3594" s="607">
        <v>859.84</v>
      </c>
      <c r="E3594" s="607">
        <v>91.33</v>
      </c>
      <c r="F3594" s="607">
        <v>951.17</v>
      </c>
      <c r="G3594" s="584">
        <v>15</v>
      </c>
    </row>
    <row r="3595" spans="1:7" ht="15" x14ac:dyDescent="0.2">
      <c r="A3595" s="583" t="s">
        <v>19167</v>
      </c>
      <c r="B3595" s="605" t="s">
        <v>19168</v>
      </c>
      <c r="C3595" s="606" t="s">
        <v>12483</v>
      </c>
      <c r="D3595" s="607">
        <v>1049.31</v>
      </c>
      <c r="E3595" s="607">
        <v>109.59</v>
      </c>
      <c r="F3595" s="607">
        <v>1158.9000000000001</v>
      </c>
      <c r="G3595" s="584">
        <v>15</v>
      </c>
    </row>
    <row r="3596" spans="1:7" ht="15" x14ac:dyDescent="0.2">
      <c r="A3596" s="583" t="s">
        <v>19169</v>
      </c>
      <c r="B3596" s="605" t="s">
        <v>19170</v>
      </c>
      <c r="C3596" s="606" t="s">
        <v>12483</v>
      </c>
      <c r="D3596" s="607">
        <v>2459.21</v>
      </c>
      <c r="E3596" s="607">
        <v>182.65</v>
      </c>
      <c r="F3596" s="607">
        <v>2641.86</v>
      </c>
      <c r="G3596" s="584">
        <v>15</v>
      </c>
    </row>
    <row r="3597" spans="1:7" ht="15" x14ac:dyDescent="0.25">
      <c r="A3597" s="583" t="s">
        <v>19171</v>
      </c>
      <c r="B3597" s="605" t="s">
        <v>19172</v>
      </c>
      <c r="C3597" s="606"/>
      <c r="D3597" s="607"/>
      <c r="E3597" s="607"/>
      <c r="F3597" s="607"/>
      <c r="G3597" s="582"/>
    </row>
    <row r="3598" spans="1:7" ht="15" x14ac:dyDescent="0.2">
      <c r="A3598" s="583" t="s">
        <v>19173</v>
      </c>
      <c r="B3598" s="605" t="s">
        <v>20237</v>
      </c>
      <c r="C3598" s="606" t="s">
        <v>12375</v>
      </c>
      <c r="D3598" s="607">
        <v>453.95</v>
      </c>
      <c r="E3598" s="607">
        <v>22.33</v>
      </c>
      <c r="F3598" s="607">
        <v>476.28</v>
      </c>
      <c r="G3598" s="584">
        <v>15</v>
      </c>
    </row>
    <row r="3599" spans="1:7" ht="30" x14ac:dyDescent="0.2">
      <c r="A3599" s="583" t="s">
        <v>19174</v>
      </c>
      <c r="B3599" s="605" t="s">
        <v>19175</v>
      </c>
      <c r="C3599" s="606" t="s">
        <v>12375</v>
      </c>
      <c r="D3599" s="607">
        <v>226.44</v>
      </c>
      <c r="E3599" s="607">
        <v>27.92</v>
      </c>
      <c r="F3599" s="607">
        <v>254.36</v>
      </c>
      <c r="G3599" s="584">
        <v>15</v>
      </c>
    </row>
    <row r="3600" spans="1:7" ht="15" x14ac:dyDescent="0.25">
      <c r="A3600" s="583" t="s">
        <v>19176</v>
      </c>
      <c r="B3600" s="605" t="s">
        <v>19177</v>
      </c>
      <c r="C3600" s="606"/>
      <c r="D3600" s="607"/>
      <c r="E3600" s="607"/>
      <c r="F3600" s="607"/>
      <c r="G3600" s="582"/>
    </row>
    <row r="3601" spans="1:7" ht="15" x14ac:dyDescent="0.25">
      <c r="A3601" s="583" t="s">
        <v>19178</v>
      </c>
      <c r="B3601" s="605" t="s">
        <v>19179</v>
      </c>
      <c r="C3601" s="606"/>
      <c r="D3601" s="607"/>
      <c r="E3601" s="607"/>
      <c r="F3601" s="607"/>
      <c r="G3601" s="582"/>
    </row>
    <row r="3602" spans="1:7" ht="30" x14ac:dyDescent="0.2">
      <c r="A3602" s="583" t="s">
        <v>19180</v>
      </c>
      <c r="B3602" s="605" t="s">
        <v>19181</v>
      </c>
      <c r="C3602" s="606" t="s">
        <v>12375</v>
      </c>
      <c r="D3602" s="607">
        <v>1014.1</v>
      </c>
      <c r="E3602" s="607">
        <v>195.41</v>
      </c>
      <c r="F3602" s="607">
        <v>1209.51</v>
      </c>
      <c r="G3602" s="584">
        <v>15</v>
      </c>
    </row>
    <row r="3603" spans="1:7" ht="15" x14ac:dyDescent="0.2">
      <c r="A3603" s="583" t="s">
        <v>19182</v>
      </c>
      <c r="B3603" s="605" t="s">
        <v>19183</v>
      </c>
      <c r="C3603" s="606" t="s">
        <v>12375</v>
      </c>
      <c r="D3603" s="607">
        <v>398.6</v>
      </c>
      <c r="E3603" s="607">
        <v>195.41</v>
      </c>
      <c r="F3603" s="607">
        <v>594.01</v>
      </c>
      <c r="G3603" s="584">
        <v>15</v>
      </c>
    </row>
    <row r="3604" spans="1:7" ht="15" x14ac:dyDescent="0.2">
      <c r="A3604" s="583" t="s">
        <v>21443</v>
      </c>
      <c r="B3604" s="605" t="s">
        <v>21444</v>
      </c>
      <c r="C3604" s="606" t="s">
        <v>12375</v>
      </c>
      <c r="D3604" s="607">
        <v>145.63999999999999</v>
      </c>
      <c r="E3604" s="607">
        <v>195.41</v>
      </c>
      <c r="F3604" s="607">
        <v>341.05</v>
      </c>
      <c r="G3604" s="584">
        <v>15</v>
      </c>
    </row>
    <row r="3605" spans="1:7" ht="15" x14ac:dyDescent="0.2">
      <c r="A3605" s="583" t="s">
        <v>19184</v>
      </c>
      <c r="B3605" s="605" t="s">
        <v>19185</v>
      </c>
      <c r="C3605" s="606" t="s">
        <v>12483</v>
      </c>
      <c r="D3605" s="607">
        <v>19.87</v>
      </c>
      <c r="E3605" s="607">
        <v>5.58</v>
      </c>
      <c r="F3605" s="607">
        <v>25.45</v>
      </c>
      <c r="G3605" s="584">
        <v>15</v>
      </c>
    </row>
    <row r="3606" spans="1:7" ht="30" x14ac:dyDescent="0.2">
      <c r="A3606" s="583" t="s">
        <v>19186</v>
      </c>
      <c r="B3606" s="605" t="s">
        <v>19187</v>
      </c>
      <c r="C3606" s="606" t="s">
        <v>12375</v>
      </c>
      <c r="D3606" s="607">
        <v>59.66</v>
      </c>
      <c r="E3606" s="607">
        <v>16.75</v>
      </c>
      <c r="F3606" s="607">
        <v>76.41</v>
      </c>
      <c r="G3606" s="584">
        <v>15</v>
      </c>
    </row>
    <row r="3607" spans="1:7" ht="15" x14ac:dyDescent="0.2">
      <c r="A3607" s="583" t="s">
        <v>19188</v>
      </c>
      <c r="B3607" s="605" t="s">
        <v>19189</v>
      </c>
      <c r="C3607" s="606" t="s">
        <v>12483</v>
      </c>
      <c r="D3607" s="607">
        <v>28.12</v>
      </c>
      <c r="E3607" s="607">
        <v>5.58</v>
      </c>
      <c r="F3607" s="607">
        <v>33.700000000000003</v>
      </c>
      <c r="G3607" s="584">
        <v>15</v>
      </c>
    </row>
    <row r="3608" spans="1:7" ht="30" x14ac:dyDescent="0.2">
      <c r="A3608" s="583" t="s">
        <v>19190</v>
      </c>
      <c r="B3608" s="605" t="s">
        <v>19191</v>
      </c>
      <c r="C3608" s="606" t="s">
        <v>12375</v>
      </c>
      <c r="D3608" s="607">
        <v>232.45</v>
      </c>
      <c r="E3608" s="607">
        <v>5.58</v>
      </c>
      <c r="F3608" s="607">
        <v>238.03</v>
      </c>
      <c r="G3608" s="584">
        <v>15</v>
      </c>
    </row>
    <row r="3609" spans="1:7" ht="45" x14ac:dyDescent="0.2">
      <c r="A3609" s="583" t="s">
        <v>19192</v>
      </c>
      <c r="B3609" s="605" t="s">
        <v>19193</v>
      </c>
      <c r="C3609" s="606" t="s">
        <v>12375</v>
      </c>
      <c r="D3609" s="607">
        <v>3777.36</v>
      </c>
      <c r="E3609" s="607">
        <v>307.06</v>
      </c>
      <c r="F3609" s="607">
        <v>4084.42</v>
      </c>
      <c r="G3609" s="584">
        <v>15</v>
      </c>
    </row>
    <row r="3610" spans="1:7" ht="15" x14ac:dyDescent="0.2">
      <c r="A3610" s="583" t="s">
        <v>19194</v>
      </c>
      <c r="B3610" s="605" t="s">
        <v>19195</v>
      </c>
      <c r="C3610" s="606" t="s">
        <v>12375</v>
      </c>
      <c r="D3610" s="607">
        <v>66.38</v>
      </c>
      <c r="E3610" s="607">
        <v>5.58</v>
      </c>
      <c r="F3610" s="607">
        <v>71.959999999999994</v>
      </c>
      <c r="G3610" s="584">
        <v>15</v>
      </c>
    </row>
    <row r="3611" spans="1:7" ht="15" x14ac:dyDescent="0.2">
      <c r="A3611" s="583" t="s">
        <v>19196</v>
      </c>
      <c r="B3611" s="605" t="s">
        <v>19197</v>
      </c>
      <c r="C3611" s="606" t="s">
        <v>12375</v>
      </c>
      <c r="D3611" s="607">
        <v>94.35</v>
      </c>
      <c r="E3611" s="607">
        <v>5.58</v>
      </c>
      <c r="F3611" s="607">
        <v>99.93</v>
      </c>
      <c r="G3611" s="584">
        <v>15</v>
      </c>
    </row>
    <row r="3612" spans="1:7" ht="15" x14ac:dyDescent="0.2">
      <c r="A3612" s="583" t="s">
        <v>19198</v>
      </c>
      <c r="B3612" s="605" t="s">
        <v>19199</v>
      </c>
      <c r="C3612" s="606" t="s">
        <v>12375</v>
      </c>
      <c r="D3612" s="607">
        <v>2193.42</v>
      </c>
      <c r="E3612" s="607">
        <v>71.650000000000006</v>
      </c>
      <c r="F3612" s="607">
        <v>2265.0700000000002</v>
      </c>
      <c r="G3612" s="584">
        <v>15</v>
      </c>
    </row>
    <row r="3613" spans="1:7" ht="15" x14ac:dyDescent="0.2">
      <c r="A3613" s="583" t="s">
        <v>19200</v>
      </c>
      <c r="B3613" s="605" t="s">
        <v>19201</v>
      </c>
      <c r="C3613" s="606" t="s">
        <v>12375</v>
      </c>
      <c r="D3613" s="607">
        <v>116.13</v>
      </c>
      <c r="E3613" s="607">
        <v>5.58</v>
      </c>
      <c r="F3613" s="607">
        <v>121.71</v>
      </c>
      <c r="G3613" s="584">
        <v>15</v>
      </c>
    </row>
    <row r="3614" spans="1:7" ht="15" x14ac:dyDescent="0.2">
      <c r="A3614" s="583" t="s">
        <v>19202</v>
      </c>
      <c r="B3614" s="605" t="s">
        <v>19203</v>
      </c>
      <c r="C3614" s="606" t="s">
        <v>12375</v>
      </c>
      <c r="D3614" s="607">
        <v>80.66</v>
      </c>
      <c r="E3614" s="607">
        <v>5.58</v>
      </c>
      <c r="F3614" s="607">
        <v>86.24</v>
      </c>
      <c r="G3614" s="584">
        <v>15</v>
      </c>
    </row>
    <row r="3615" spans="1:7" ht="15" x14ac:dyDescent="0.2">
      <c r="A3615" s="583" t="s">
        <v>19204</v>
      </c>
      <c r="B3615" s="605" t="s">
        <v>19205</v>
      </c>
      <c r="C3615" s="606" t="s">
        <v>12375</v>
      </c>
      <c r="D3615" s="607">
        <v>17.940000000000001</v>
      </c>
      <c r="E3615" s="607">
        <v>0.75</v>
      </c>
      <c r="F3615" s="607">
        <v>18.690000000000001</v>
      </c>
      <c r="G3615" s="584">
        <v>15</v>
      </c>
    </row>
    <row r="3616" spans="1:7" ht="15" x14ac:dyDescent="0.2">
      <c r="A3616" s="583" t="s">
        <v>19206</v>
      </c>
      <c r="B3616" s="605" t="s">
        <v>19207</v>
      </c>
      <c r="C3616" s="606" t="s">
        <v>12375</v>
      </c>
      <c r="D3616" s="607">
        <v>163.75</v>
      </c>
      <c r="E3616" s="607">
        <v>5.58</v>
      </c>
      <c r="F3616" s="607">
        <v>169.33</v>
      </c>
      <c r="G3616" s="584">
        <v>15</v>
      </c>
    </row>
    <row r="3617" spans="1:7" ht="30" x14ac:dyDescent="0.2">
      <c r="A3617" s="583" t="s">
        <v>19208</v>
      </c>
      <c r="B3617" s="605" t="s">
        <v>19209</v>
      </c>
      <c r="C3617" s="606" t="s">
        <v>12375</v>
      </c>
      <c r="D3617" s="607">
        <v>1941.28</v>
      </c>
      <c r="E3617" s="607">
        <v>290.31</v>
      </c>
      <c r="F3617" s="607">
        <v>2231.59</v>
      </c>
      <c r="G3617" s="584">
        <v>15</v>
      </c>
    </row>
    <row r="3618" spans="1:7" ht="30" x14ac:dyDescent="0.2">
      <c r="A3618" s="583" t="s">
        <v>19210</v>
      </c>
      <c r="B3618" s="605" t="s">
        <v>19211</v>
      </c>
      <c r="C3618" s="606" t="s">
        <v>12375</v>
      </c>
      <c r="D3618" s="607">
        <v>2543.92</v>
      </c>
      <c r="E3618" s="607">
        <v>290.31</v>
      </c>
      <c r="F3618" s="607">
        <v>2834.23</v>
      </c>
      <c r="G3618" s="584">
        <v>15</v>
      </c>
    </row>
    <row r="3619" spans="1:7" ht="30" x14ac:dyDescent="0.2">
      <c r="A3619" s="583" t="s">
        <v>19212</v>
      </c>
      <c r="B3619" s="605" t="s">
        <v>19213</v>
      </c>
      <c r="C3619" s="606" t="s">
        <v>12375</v>
      </c>
      <c r="D3619" s="607">
        <v>2881.6</v>
      </c>
      <c r="E3619" s="607">
        <v>908.96</v>
      </c>
      <c r="F3619" s="607">
        <v>3790.56</v>
      </c>
      <c r="G3619" s="584">
        <v>15</v>
      </c>
    </row>
    <row r="3620" spans="1:7" ht="15" x14ac:dyDescent="0.25">
      <c r="A3620" s="583" t="s">
        <v>19214</v>
      </c>
      <c r="B3620" s="605" t="s">
        <v>19215</v>
      </c>
      <c r="C3620" s="606"/>
      <c r="D3620" s="607"/>
      <c r="E3620" s="607"/>
      <c r="F3620" s="607"/>
      <c r="G3620" s="582"/>
    </row>
    <row r="3621" spans="1:7" ht="30" x14ac:dyDescent="0.2">
      <c r="A3621" s="583" t="s">
        <v>19216</v>
      </c>
      <c r="B3621" s="605" t="s">
        <v>21445</v>
      </c>
      <c r="C3621" s="606" t="s">
        <v>12375</v>
      </c>
      <c r="D3621" s="607">
        <v>26.47</v>
      </c>
      <c r="E3621" s="607">
        <v>19.64</v>
      </c>
      <c r="F3621" s="607">
        <v>46.11</v>
      </c>
      <c r="G3621" s="584">
        <v>15</v>
      </c>
    </row>
    <row r="3622" spans="1:7" ht="15" x14ac:dyDescent="0.2">
      <c r="A3622" s="583" t="s">
        <v>19217</v>
      </c>
      <c r="B3622" s="605" t="s">
        <v>19218</v>
      </c>
      <c r="C3622" s="606" t="s">
        <v>12375</v>
      </c>
      <c r="D3622" s="607">
        <v>783.02</v>
      </c>
      <c r="E3622" s="607">
        <v>27.92</v>
      </c>
      <c r="F3622" s="607">
        <v>810.94</v>
      </c>
      <c r="G3622" s="584">
        <v>15</v>
      </c>
    </row>
    <row r="3623" spans="1:7" ht="30" x14ac:dyDescent="0.2">
      <c r="A3623" s="583" t="s">
        <v>19219</v>
      </c>
      <c r="B3623" s="605" t="s">
        <v>21446</v>
      </c>
      <c r="C3623" s="606" t="s">
        <v>12375</v>
      </c>
      <c r="D3623" s="607">
        <v>28.4</v>
      </c>
      <c r="E3623" s="607">
        <v>19.64</v>
      </c>
      <c r="F3623" s="607">
        <v>48.04</v>
      </c>
      <c r="G3623" s="584">
        <v>15</v>
      </c>
    </row>
    <row r="3624" spans="1:7" ht="30" x14ac:dyDescent="0.2">
      <c r="A3624" s="583" t="s">
        <v>19220</v>
      </c>
      <c r="B3624" s="605" t="s">
        <v>19221</v>
      </c>
      <c r="C3624" s="606" t="s">
        <v>12375</v>
      </c>
      <c r="D3624" s="607">
        <v>8004.23</v>
      </c>
      <c r="E3624" s="607">
        <v>167.49</v>
      </c>
      <c r="F3624" s="607">
        <v>8171.72</v>
      </c>
      <c r="G3624" s="584">
        <v>15</v>
      </c>
    </row>
    <row r="3625" spans="1:7" ht="15" x14ac:dyDescent="0.25">
      <c r="A3625" s="583" t="s">
        <v>19222</v>
      </c>
      <c r="B3625" s="605" t="s">
        <v>19223</v>
      </c>
      <c r="C3625" s="606"/>
      <c r="D3625" s="607"/>
      <c r="E3625" s="607"/>
      <c r="F3625" s="607"/>
      <c r="G3625" s="582"/>
    </row>
    <row r="3626" spans="1:7" ht="30" x14ac:dyDescent="0.2">
      <c r="A3626" s="583" t="s">
        <v>19224</v>
      </c>
      <c r="B3626" s="605" t="s">
        <v>19225</v>
      </c>
      <c r="C3626" s="606" t="s">
        <v>12375</v>
      </c>
      <c r="D3626" s="607">
        <v>240.62</v>
      </c>
      <c r="E3626" s="607">
        <v>44.67</v>
      </c>
      <c r="F3626" s="607">
        <v>285.29000000000002</v>
      </c>
      <c r="G3626" s="584">
        <v>15</v>
      </c>
    </row>
    <row r="3627" spans="1:7" ht="30" x14ac:dyDescent="0.2">
      <c r="A3627" s="583" t="s">
        <v>19226</v>
      </c>
      <c r="B3627" s="605" t="s">
        <v>19227</v>
      </c>
      <c r="C3627" s="606" t="s">
        <v>12375</v>
      </c>
      <c r="D3627" s="607">
        <v>23595.23</v>
      </c>
      <c r="E3627" s="607">
        <v>17.79</v>
      </c>
      <c r="F3627" s="607">
        <v>23613.02</v>
      </c>
      <c r="G3627" s="584">
        <v>15</v>
      </c>
    </row>
    <row r="3628" spans="1:7" ht="30" x14ac:dyDescent="0.2">
      <c r="A3628" s="583" t="s">
        <v>20313</v>
      </c>
      <c r="B3628" s="605" t="s">
        <v>20314</v>
      </c>
      <c r="C3628" s="606" t="s">
        <v>12375</v>
      </c>
      <c r="D3628" s="607">
        <v>76.86</v>
      </c>
      <c r="E3628" s="607">
        <v>27.92</v>
      </c>
      <c r="F3628" s="607">
        <v>104.78</v>
      </c>
      <c r="G3628" s="584">
        <v>15</v>
      </c>
    </row>
    <row r="3629" spans="1:7" ht="30" x14ac:dyDescent="0.2">
      <c r="A3629" s="583" t="s">
        <v>19228</v>
      </c>
      <c r="B3629" s="605" t="s">
        <v>19229</v>
      </c>
      <c r="C3629" s="606" t="s">
        <v>12375</v>
      </c>
      <c r="D3629" s="607">
        <v>485.92</v>
      </c>
      <c r="E3629" s="607">
        <v>16.75</v>
      </c>
      <c r="F3629" s="607">
        <v>502.67</v>
      </c>
      <c r="G3629" s="584">
        <v>15</v>
      </c>
    </row>
    <row r="3630" spans="1:7" ht="15" x14ac:dyDescent="0.2">
      <c r="A3630" s="583" t="s">
        <v>19230</v>
      </c>
      <c r="B3630" s="605" t="s">
        <v>19231</v>
      </c>
      <c r="C3630" s="606" t="s">
        <v>12375</v>
      </c>
      <c r="D3630" s="607">
        <v>78.94</v>
      </c>
      <c r="E3630" s="607">
        <v>16.75</v>
      </c>
      <c r="F3630" s="607">
        <v>95.69</v>
      </c>
      <c r="G3630" s="584">
        <v>15</v>
      </c>
    </row>
    <row r="3631" spans="1:7" ht="30" x14ac:dyDescent="0.2">
      <c r="A3631" s="583" t="s">
        <v>19232</v>
      </c>
      <c r="B3631" s="605" t="s">
        <v>19233</v>
      </c>
      <c r="C3631" s="606" t="s">
        <v>12375</v>
      </c>
      <c r="D3631" s="607">
        <v>192.6</v>
      </c>
      <c r="E3631" s="607">
        <v>16.75</v>
      </c>
      <c r="F3631" s="607">
        <v>209.35</v>
      </c>
      <c r="G3631" s="584">
        <v>15</v>
      </c>
    </row>
    <row r="3632" spans="1:7" ht="30" x14ac:dyDescent="0.2">
      <c r="A3632" s="583" t="s">
        <v>19234</v>
      </c>
      <c r="B3632" s="605" t="s">
        <v>19235</v>
      </c>
      <c r="C3632" s="606" t="s">
        <v>12375</v>
      </c>
      <c r="D3632" s="607">
        <v>316.39</v>
      </c>
      <c r="E3632" s="607">
        <v>16.75</v>
      </c>
      <c r="F3632" s="607">
        <v>333.14</v>
      </c>
      <c r="G3632" s="584">
        <v>15</v>
      </c>
    </row>
    <row r="3633" spans="1:7" ht="15" x14ac:dyDescent="0.2">
      <c r="A3633" s="583" t="s">
        <v>19236</v>
      </c>
      <c r="B3633" s="605" t="s">
        <v>19237</v>
      </c>
      <c r="C3633" s="606" t="s">
        <v>12375</v>
      </c>
      <c r="D3633" s="607">
        <v>318.01</v>
      </c>
      <c r="E3633" s="607">
        <v>16.75</v>
      </c>
      <c r="F3633" s="607">
        <v>334.76</v>
      </c>
      <c r="G3633" s="584">
        <v>15</v>
      </c>
    </row>
    <row r="3634" spans="1:7" ht="30" x14ac:dyDescent="0.2">
      <c r="A3634" s="583" t="s">
        <v>19238</v>
      </c>
      <c r="B3634" s="605" t="s">
        <v>19239</v>
      </c>
      <c r="C3634" s="606" t="s">
        <v>12375</v>
      </c>
      <c r="D3634" s="607">
        <v>737.35</v>
      </c>
      <c r="E3634" s="607">
        <v>17.79</v>
      </c>
      <c r="F3634" s="607">
        <v>755.14</v>
      </c>
      <c r="G3634" s="584">
        <v>15</v>
      </c>
    </row>
    <row r="3635" spans="1:7" ht="30" x14ac:dyDescent="0.2">
      <c r="A3635" s="583" t="s">
        <v>19240</v>
      </c>
      <c r="B3635" s="605" t="s">
        <v>19241</v>
      </c>
      <c r="C3635" s="606" t="s">
        <v>12375</v>
      </c>
      <c r="D3635" s="607">
        <v>808.17</v>
      </c>
      <c r="E3635" s="607">
        <v>17.79</v>
      </c>
      <c r="F3635" s="607">
        <v>825.96</v>
      </c>
      <c r="G3635" s="584">
        <v>15</v>
      </c>
    </row>
    <row r="3636" spans="1:7" ht="15" x14ac:dyDescent="0.2">
      <c r="A3636" s="583" t="s">
        <v>19242</v>
      </c>
      <c r="B3636" s="605" t="s">
        <v>19243</v>
      </c>
      <c r="C3636" s="606" t="s">
        <v>20385</v>
      </c>
      <c r="D3636" s="607">
        <v>80.87</v>
      </c>
      <c r="E3636" s="607">
        <v>16.75</v>
      </c>
      <c r="F3636" s="607">
        <v>97.62</v>
      </c>
      <c r="G3636" s="584">
        <v>15</v>
      </c>
    </row>
    <row r="3637" spans="1:7" ht="45" x14ac:dyDescent="0.2">
      <c r="A3637" s="583" t="s">
        <v>19244</v>
      </c>
      <c r="B3637" s="605" t="s">
        <v>19245</v>
      </c>
      <c r="C3637" s="606" t="s">
        <v>20385</v>
      </c>
      <c r="D3637" s="607">
        <v>203.43</v>
      </c>
      <c r="E3637" s="607">
        <v>17.79</v>
      </c>
      <c r="F3637" s="607">
        <v>221.22</v>
      </c>
      <c r="G3637" s="584">
        <v>15</v>
      </c>
    </row>
    <row r="3638" spans="1:7" ht="15" x14ac:dyDescent="0.2">
      <c r="A3638" s="583" t="s">
        <v>19246</v>
      </c>
      <c r="B3638" s="605" t="s">
        <v>19247</v>
      </c>
      <c r="C3638" s="606" t="s">
        <v>20385</v>
      </c>
      <c r="D3638" s="607">
        <v>78.94</v>
      </c>
      <c r="E3638" s="607">
        <v>61.41</v>
      </c>
      <c r="F3638" s="607">
        <v>140.35</v>
      </c>
      <c r="G3638" s="584">
        <v>15</v>
      </c>
    </row>
    <row r="3639" spans="1:7" ht="15" x14ac:dyDescent="0.2">
      <c r="A3639" s="583" t="s">
        <v>19248</v>
      </c>
      <c r="B3639" s="605" t="s">
        <v>19249</v>
      </c>
      <c r="C3639" s="606" t="s">
        <v>20385</v>
      </c>
      <c r="D3639" s="607">
        <v>188.83</v>
      </c>
      <c r="E3639" s="607">
        <v>55.83</v>
      </c>
      <c r="F3639" s="607">
        <v>244.66</v>
      </c>
      <c r="G3639" s="584">
        <v>15</v>
      </c>
    </row>
    <row r="3640" spans="1:7" ht="30" x14ac:dyDescent="0.2">
      <c r="A3640" s="583" t="s">
        <v>19250</v>
      </c>
      <c r="B3640" s="605" t="s">
        <v>19251</v>
      </c>
      <c r="C3640" s="606" t="s">
        <v>20385</v>
      </c>
      <c r="D3640" s="607">
        <v>1204.6400000000001</v>
      </c>
      <c r="E3640" s="607">
        <v>16.75</v>
      </c>
      <c r="F3640" s="607">
        <v>1221.3900000000001</v>
      </c>
      <c r="G3640" s="584">
        <v>15</v>
      </c>
    </row>
    <row r="3641" spans="1:7" ht="15" x14ac:dyDescent="0.2">
      <c r="A3641" s="583" t="s">
        <v>19252</v>
      </c>
      <c r="B3641" s="605" t="s">
        <v>19253</v>
      </c>
      <c r="C3641" s="606" t="s">
        <v>20385</v>
      </c>
      <c r="D3641" s="607">
        <v>179.81</v>
      </c>
      <c r="E3641" s="607">
        <v>16.75</v>
      </c>
      <c r="F3641" s="607">
        <v>196.56</v>
      </c>
      <c r="G3641" s="584">
        <v>15</v>
      </c>
    </row>
    <row r="3642" spans="1:7" ht="15" x14ac:dyDescent="0.2">
      <c r="A3642" s="583" t="s">
        <v>19254</v>
      </c>
      <c r="B3642" s="605" t="s">
        <v>19255</v>
      </c>
      <c r="C3642" s="606" t="s">
        <v>20385</v>
      </c>
      <c r="D3642" s="607">
        <v>144.21</v>
      </c>
      <c r="E3642" s="607">
        <v>27.92</v>
      </c>
      <c r="F3642" s="607">
        <v>172.13</v>
      </c>
      <c r="G3642" s="584">
        <v>15</v>
      </c>
    </row>
    <row r="3643" spans="1:7" ht="15" x14ac:dyDescent="0.2">
      <c r="A3643" s="583" t="s">
        <v>19256</v>
      </c>
      <c r="B3643" s="605" t="s">
        <v>19257</v>
      </c>
      <c r="C3643" s="606" t="s">
        <v>20385</v>
      </c>
      <c r="D3643" s="607">
        <v>386.31</v>
      </c>
      <c r="E3643" s="607">
        <v>16.75</v>
      </c>
      <c r="F3643" s="607">
        <v>403.06</v>
      </c>
      <c r="G3643" s="584">
        <v>15</v>
      </c>
    </row>
    <row r="3644" spans="1:7" ht="15" x14ac:dyDescent="0.2">
      <c r="A3644" s="583" t="s">
        <v>19258</v>
      </c>
      <c r="B3644" s="605" t="s">
        <v>19259</v>
      </c>
      <c r="C3644" s="606" t="s">
        <v>20385</v>
      </c>
      <c r="D3644" s="607">
        <v>278.06</v>
      </c>
      <c r="E3644" s="607">
        <v>13.96</v>
      </c>
      <c r="F3644" s="607">
        <v>292.02</v>
      </c>
      <c r="G3644" s="584">
        <v>15</v>
      </c>
    </row>
    <row r="3645" spans="1:7" ht="15" x14ac:dyDescent="0.2">
      <c r="A3645" s="583" t="s">
        <v>19260</v>
      </c>
      <c r="B3645" s="605" t="s">
        <v>19261</v>
      </c>
      <c r="C3645" s="606" t="s">
        <v>20385</v>
      </c>
      <c r="D3645" s="607">
        <v>270.72000000000003</v>
      </c>
      <c r="E3645" s="607">
        <v>13.96</v>
      </c>
      <c r="F3645" s="607">
        <v>284.68</v>
      </c>
      <c r="G3645" s="584">
        <v>15</v>
      </c>
    </row>
    <row r="3646" spans="1:7" ht="15" x14ac:dyDescent="0.25">
      <c r="A3646" s="583" t="s">
        <v>19262</v>
      </c>
      <c r="B3646" s="605" t="s">
        <v>19263</v>
      </c>
      <c r="C3646" s="606"/>
      <c r="D3646" s="607"/>
      <c r="E3646" s="607"/>
      <c r="F3646" s="607"/>
      <c r="G3646" s="582"/>
    </row>
    <row r="3647" spans="1:7" ht="15" x14ac:dyDescent="0.2">
      <c r="A3647" s="583" t="s">
        <v>19264</v>
      </c>
      <c r="B3647" s="605" t="s">
        <v>19265</v>
      </c>
      <c r="C3647" s="606" t="s">
        <v>20385</v>
      </c>
      <c r="D3647" s="607">
        <v>1558.15</v>
      </c>
      <c r="E3647" s="607">
        <v>23.18</v>
      </c>
      <c r="F3647" s="607">
        <v>1581.33</v>
      </c>
      <c r="G3647" s="584">
        <v>15</v>
      </c>
    </row>
    <row r="3648" spans="1:7" ht="15" x14ac:dyDescent="0.2">
      <c r="A3648" s="583" t="s">
        <v>19266</v>
      </c>
      <c r="B3648" s="605" t="s">
        <v>19267</v>
      </c>
      <c r="C3648" s="606" t="s">
        <v>20385</v>
      </c>
      <c r="D3648" s="607">
        <v>5778.96</v>
      </c>
      <c r="E3648" s="607">
        <v>23.18</v>
      </c>
      <c r="F3648" s="607">
        <v>5802.14</v>
      </c>
      <c r="G3648" s="584">
        <v>15</v>
      </c>
    </row>
    <row r="3649" spans="1:7" ht="15" x14ac:dyDescent="0.2">
      <c r="A3649" s="583" t="s">
        <v>19268</v>
      </c>
      <c r="B3649" s="605" t="s">
        <v>19269</v>
      </c>
      <c r="C3649" s="606" t="s">
        <v>20385</v>
      </c>
      <c r="D3649" s="607">
        <v>162.71</v>
      </c>
      <c r="E3649" s="607">
        <v>23.18</v>
      </c>
      <c r="F3649" s="607">
        <v>185.89</v>
      </c>
      <c r="G3649" s="584">
        <v>15</v>
      </c>
    </row>
    <row r="3650" spans="1:7" ht="15" x14ac:dyDescent="0.2">
      <c r="A3650" s="583" t="s">
        <v>19270</v>
      </c>
      <c r="B3650" s="605" t="s">
        <v>19271</v>
      </c>
      <c r="C3650" s="606" t="s">
        <v>20385</v>
      </c>
      <c r="D3650" s="607">
        <v>224.3</v>
      </c>
      <c r="E3650" s="607">
        <v>23.18</v>
      </c>
      <c r="F3650" s="607">
        <v>247.48</v>
      </c>
      <c r="G3650" s="584">
        <v>15</v>
      </c>
    </row>
    <row r="3651" spans="1:7" ht="15" x14ac:dyDescent="0.2">
      <c r="A3651" s="583" t="s">
        <v>19272</v>
      </c>
      <c r="B3651" s="605" t="s">
        <v>19273</v>
      </c>
      <c r="C3651" s="606" t="s">
        <v>20385</v>
      </c>
      <c r="D3651" s="607">
        <v>260.38</v>
      </c>
      <c r="E3651" s="607">
        <v>23.18</v>
      </c>
      <c r="F3651" s="607">
        <v>283.56</v>
      </c>
      <c r="G3651" s="584">
        <v>15</v>
      </c>
    </row>
    <row r="3652" spans="1:7" ht="30" x14ac:dyDescent="0.2">
      <c r="A3652" s="583" t="s">
        <v>19274</v>
      </c>
      <c r="B3652" s="605" t="s">
        <v>19275</v>
      </c>
      <c r="C3652" s="606" t="s">
        <v>20385</v>
      </c>
      <c r="D3652" s="607">
        <v>1675.69</v>
      </c>
      <c r="E3652" s="607"/>
      <c r="F3652" s="607">
        <v>1675.69</v>
      </c>
      <c r="G3652" s="584">
        <v>15</v>
      </c>
    </row>
    <row r="3653" spans="1:7" ht="15" x14ac:dyDescent="0.2">
      <c r="A3653" s="583" t="s">
        <v>19276</v>
      </c>
      <c r="B3653" s="605" t="s">
        <v>19277</v>
      </c>
      <c r="C3653" s="606" t="s">
        <v>20385</v>
      </c>
      <c r="D3653" s="607">
        <v>182.66</v>
      </c>
      <c r="E3653" s="607">
        <v>23.18</v>
      </c>
      <c r="F3653" s="607">
        <v>205.84</v>
      </c>
      <c r="G3653" s="584">
        <v>15</v>
      </c>
    </row>
    <row r="3654" spans="1:7" ht="15" x14ac:dyDescent="0.2">
      <c r="A3654" s="583" t="s">
        <v>19278</v>
      </c>
      <c r="B3654" s="605" t="s">
        <v>19279</v>
      </c>
      <c r="C3654" s="606" t="s">
        <v>20385</v>
      </c>
      <c r="D3654" s="607">
        <v>162.13</v>
      </c>
      <c r="E3654" s="607">
        <v>23.18</v>
      </c>
      <c r="F3654" s="607">
        <v>185.31</v>
      </c>
      <c r="G3654" s="584">
        <v>15</v>
      </c>
    </row>
    <row r="3655" spans="1:7" ht="15" x14ac:dyDescent="0.2">
      <c r="A3655" s="583" t="s">
        <v>19280</v>
      </c>
      <c r="B3655" s="605" t="s">
        <v>19281</v>
      </c>
      <c r="C3655" s="606" t="s">
        <v>12375</v>
      </c>
      <c r="D3655" s="607">
        <v>226.95</v>
      </c>
      <c r="E3655" s="607">
        <v>23.18</v>
      </c>
      <c r="F3655" s="607">
        <v>250.13</v>
      </c>
      <c r="G3655" s="584">
        <v>15</v>
      </c>
    </row>
    <row r="3656" spans="1:7" ht="15" x14ac:dyDescent="0.2">
      <c r="A3656" s="583" t="s">
        <v>19282</v>
      </c>
      <c r="B3656" s="605" t="s">
        <v>19283</v>
      </c>
      <c r="C3656" s="606" t="s">
        <v>12375</v>
      </c>
      <c r="D3656" s="607">
        <v>625.94000000000005</v>
      </c>
      <c r="E3656" s="607">
        <v>23.18</v>
      </c>
      <c r="F3656" s="607">
        <v>649.12</v>
      </c>
      <c r="G3656" s="584">
        <v>15</v>
      </c>
    </row>
    <row r="3657" spans="1:7" ht="15" x14ac:dyDescent="0.2">
      <c r="A3657" s="583" t="s">
        <v>19284</v>
      </c>
      <c r="B3657" s="605" t="s">
        <v>19285</v>
      </c>
      <c r="C3657" s="606" t="s">
        <v>12375</v>
      </c>
      <c r="D3657" s="607">
        <v>225.05</v>
      </c>
      <c r="E3657" s="607">
        <v>2.27</v>
      </c>
      <c r="F3657" s="607">
        <v>227.32</v>
      </c>
      <c r="G3657" s="584">
        <v>15</v>
      </c>
    </row>
    <row r="3658" spans="1:7" ht="15" x14ac:dyDescent="0.2">
      <c r="A3658" s="583" t="s">
        <v>19286</v>
      </c>
      <c r="B3658" s="605" t="s">
        <v>19287</v>
      </c>
      <c r="C3658" s="606" t="s">
        <v>12375</v>
      </c>
      <c r="D3658" s="607">
        <v>298.51</v>
      </c>
      <c r="E3658" s="607">
        <v>2.27</v>
      </c>
      <c r="F3658" s="607">
        <v>300.77999999999997</v>
      </c>
      <c r="G3658" s="584">
        <v>15</v>
      </c>
    </row>
    <row r="3659" spans="1:7" ht="15" x14ac:dyDescent="0.25">
      <c r="A3659" s="583" t="s">
        <v>19288</v>
      </c>
      <c r="B3659" s="605" t="s">
        <v>19289</v>
      </c>
      <c r="C3659" s="606"/>
      <c r="D3659" s="607"/>
      <c r="E3659" s="607"/>
      <c r="F3659" s="607"/>
      <c r="G3659" s="582"/>
    </row>
    <row r="3660" spans="1:7" ht="15" x14ac:dyDescent="0.2">
      <c r="A3660" s="583" t="s">
        <v>19290</v>
      </c>
      <c r="B3660" s="605" t="s">
        <v>19291</v>
      </c>
      <c r="C3660" s="606" t="s">
        <v>62</v>
      </c>
      <c r="D3660" s="607">
        <v>2.84</v>
      </c>
      <c r="E3660" s="607"/>
      <c r="F3660" s="607">
        <v>2.84</v>
      </c>
      <c r="G3660" s="584">
        <v>15</v>
      </c>
    </row>
    <row r="3661" spans="1:7" ht="15" x14ac:dyDescent="0.2">
      <c r="A3661" s="583" t="s">
        <v>19292</v>
      </c>
      <c r="B3661" s="605" t="s">
        <v>19293</v>
      </c>
      <c r="C3661" s="606" t="s">
        <v>12929</v>
      </c>
      <c r="D3661" s="607">
        <v>15.31</v>
      </c>
      <c r="E3661" s="607"/>
      <c r="F3661" s="607">
        <v>15.31</v>
      </c>
      <c r="G3661" s="584">
        <v>15</v>
      </c>
    </row>
    <row r="3662" spans="1:7" ht="15" x14ac:dyDescent="0.2">
      <c r="A3662" s="583" t="s">
        <v>19294</v>
      </c>
      <c r="B3662" s="605" t="s">
        <v>19295</v>
      </c>
      <c r="C3662" s="606" t="s">
        <v>12929</v>
      </c>
      <c r="D3662" s="607">
        <v>9.32</v>
      </c>
      <c r="E3662" s="607"/>
      <c r="F3662" s="607">
        <v>9.32</v>
      </c>
      <c r="G3662" s="584">
        <v>15</v>
      </c>
    </row>
    <row r="3663" spans="1:7" ht="30" x14ac:dyDescent="0.2">
      <c r="A3663" s="583" t="s">
        <v>19296</v>
      </c>
      <c r="B3663" s="605" t="s">
        <v>19297</v>
      </c>
      <c r="C3663" s="606" t="s">
        <v>12375</v>
      </c>
      <c r="D3663" s="607">
        <v>36.17</v>
      </c>
      <c r="E3663" s="607"/>
      <c r="F3663" s="607">
        <v>36.17</v>
      </c>
      <c r="G3663" s="584">
        <v>15</v>
      </c>
    </row>
    <row r="3664" spans="1:7" ht="30" x14ac:dyDescent="0.2">
      <c r="A3664" s="583" t="s">
        <v>19298</v>
      </c>
      <c r="B3664" s="605" t="s">
        <v>19299</v>
      </c>
      <c r="C3664" s="606" t="s">
        <v>12375</v>
      </c>
      <c r="D3664" s="607">
        <v>27.52</v>
      </c>
      <c r="E3664" s="607"/>
      <c r="F3664" s="607">
        <v>27.52</v>
      </c>
      <c r="G3664" s="584">
        <v>15</v>
      </c>
    </row>
    <row r="3665" spans="1:7" ht="15" x14ac:dyDescent="0.2">
      <c r="A3665" s="583" t="s">
        <v>19300</v>
      </c>
      <c r="B3665" s="605" t="s">
        <v>19301</v>
      </c>
      <c r="C3665" s="606" t="s">
        <v>12375</v>
      </c>
      <c r="D3665" s="607">
        <v>0.06</v>
      </c>
      <c r="E3665" s="607">
        <v>19.64</v>
      </c>
      <c r="F3665" s="607">
        <v>19.7</v>
      </c>
      <c r="G3665" s="584">
        <v>15</v>
      </c>
    </row>
    <row r="3666" spans="1:7" ht="15" x14ac:dyDescent="0.25">
      <c r="A3666" s="583" t="s">
        <v>19302</v>
      </c>
      <c r="B3666" s="605" t="s">
        <v>19303</v>
      </c>
      <c r="C3666" s="606"/>
      <c r="D3666" s="607"/>
      <c r="E3666" s="607"/>
      <c r="F3666" s="607"/>
      <c r="G3666" s="582"/>
    </row>
    <row r="3667" spans="1:7" ht="15" x14ac:dyDescent="0.25">
      <c r="A3667" s="583" t="s">
        <v>19304</v>
      </c>
      <c r="B3667" s="605" t="s">
        <v>19305</v>
      </c>
      <c r="C3667" s="606"/>
      <c r="D3667" s="607"/>
      <c r="E3667" s="607"/>
      <c r="F3667" s="607"/>
      <c r="G3667" s="582"/>
    </row>
    <row r="3668" spans="1:7" ht="30" x14ac:dyDescent="0.2">
      <c r="A3668" s="583" t="s">
        <v>19306</v>
      </c>
      <c r="B3668" s="605" t="s">
        <v>176</v>
      </c>
      <c r="C3668" s="606" t="s">
        <v>12427</v>
      </c>
      <c r="D3668" s="607">
        <v>3.38</v>
      </c>
      <c r="E3668" s="607">
        <v>0.18</v>
      </c>
      <c r="F3668" s="607">
        <v>3.56</v>
      </c>
      <c r="G3668" s="584">
        <v>15</v>
      </c>
    </row>
    <row r="3669" spans="1:7" ht="30" x14ac:dyDescent="0.2">
      <c r="A3669" s="583" t="s">
        <v>181</v>
      </c>
      <c r="B3669" s="605" t="s">
        <v>177</v>
      </c>
      <c r="C3669" s="606" t="s">
        <v>12427</v>
      </c>
      <c r="D3669" s="607">
        <v>28.79</v>
      </c>
      <c r="E3669" s="607">
        <v>0.36</v>
      </c>
      <c r="F3669" s="607">
        <v>29.15</v>
      </c>
      <c r="G3669" s="584">
        <v>15</v>
      </c>
    </row>
    <row r="3670" spans="1:7" ht="15" x14ac:dyDescent="0.2">
      <c r="A3670" s="583" t="s">
        <v>19307</v>
      </c>
      <c r="B3670" s="605" t="s">
        <v>19308</v>
      </c>
      <c r="C3670" s="606" t="s">
        <v>12508</v>
      </c>
      <c r="D3670" s="607">
        <v>20.55</v>
      </c>
      <c r="E3670" s="607">
        <v>0.73</v>
      </c>
      <c r="F3670" s="607">
        <v>21.28</v>
      </c>
      <c r="G3670" s="584">
        <v>15</v>
      </c>
    </row>
    <row r="3671" spans="1:7" ht="15" x14ac:dyDescent="0.2">
      <c r="A3671" s="583" t="s">
        <v>19309</v>
      </c>
      <c r="B3671" s="605" t="s">
        <v>19310</v>
      </c>
      <c r="C3671" s="606" t="s">
        <v>12508</v>
      </c>
      <c r="D3671" s="607">
        <v>331.91</v>
      </c>
      <c r="E3671" s="607">
        <v>34.07</v>
      </c>
      <c r="F3671" s="607">
        <v>365.98</v>
      </c>
      <c r="G3671" s="584">
        <v>15</v>
      </c>
    </row>
    <row r="3672" spans="1:7" ht="15" x14ac:dyDescent="0.2">
      <c r="A3672" s="583" t="s">
        <v>12</v>
      </c>
      <c r="B3672" s="605" t="s">
        <v>19311</v>
      </c>
      <c r="C3672" s="606" t="s">
        <v>12508</v>
      </c>
      <c r="D3672" s="607">
        <v>275.82</v>
      </c>
      <c r="E3672" s="607">
        <v>3.5</v>
      </c>
      <c r="F3672" s="607">
        <v>279.32</v>
      </c>
      <c r="G3672" s="584">
        <v>15</v>
      </c>
    </row>
    <row r="3673" spans="1:7" ht="15" x14ac:dyDescent="0.2">
      <c r="A3673" s="583" t="s">
        <v>19312</v>
      </c>
      <c r="B3673" s="605" t="s">
        <v>19313</v>
      </c>
      <c r="C3673" s="606" t="s">
        <v>12508</v>
      </c>
      <c r="D3673" s="607">
        <v>229.36</v>
      </c>
      <c r="E3673" s="607">
        <v>3.5</v>
      </c>
      <c r="F3673" s="607">
        <v>232.86</v>
      </c>
      <c r="G3673" s="584">
        <v>15</v>
      </c>
    </row>
    <row r="3674" spans="1:7" ht="15" x14ac:dyDescent="0.2">
      <c r="A3674" s="583" t="s">
        <v>19314</v>
      </c>
      <c r="B3674" s="605" t="s">
        <v>19315</v>
      </c>
      <c r="C3674" s="606" t="s">
        <v>12508</v>
      </c>
      <c r="D3674" s="607">
        <v>1061.28</v>
      </c>
      <c r="E3674" s="607">
        <v>17.03</v>
      </c>
      <c r="F3674" s="607">
        <v>1078.31</v>
      </c>
      <c r="G3674" s="584">
        <v>15</v>
      </c>
    </row>
    <row r="3675" spans="1:7" ht="30" x14ac:dyDescent="0.2">
      <c r="A3675" s="583" t="s">
        <v>182</v>
      </c>
      <c r="B3675" s="605" t="s">
        <v>178</v>
      </c>
      <c r="C3675" s="606" t="s">
        <v>12427</v>
      </c>
      <c r="D3675" s="607">
        <v>23.9</v>
      </c>
      <c r="E3675" s="607">
        <v>0.51</v>
      </c>
      <c r="F3675" s="607">
        <v>24.41</v>
      </c>
      <c r="G3675" s="584">
        <v>15</v>
      </c>
    </row>
    <row r="3676" spans="1:7" ht="15" x14ac:dyDescent="0.2">
      <c r="A3676" s="583" t="s">
        <v>19316</v>
      </c>
      <c r="B3676" s="605" t="s">
        <v>19317</v>
      </c>
      <c r="C3676" s="606" t="s">
        <v>12427</v>
      </c>
      <c r="D3676" s="607"/>
      <c r="E3676" s="607">
        <v>0.91</v>
      </c>
      <c r="F3676" s="607">
        <v>0.91</v>
      </c>
      <c r="G3676" s="584">
        <v>15</v>
      </c>
    </row>
    <row r="3677" spans="1:7" ht="15" x14ac:dyDescent="0.25">
      <c r="A3677" s="583" t="s">
        <v>19318</v>
      </c>
      <c r="B3677" s="605" t="s">
        <v>19319</v>
      </c>
      <c r="C3677" s="606"/>
      <c r="D3677" s="607"/>
      <c r="E3677" s="607"/>
      <c r="F3677" s="607"/>
      <c r="G3677" s="582"/>
    </row>
    <row r="3678" spans="1:7" ht="30" x14ac:dyDescent="0.2">
      <c r="A3678" s="583" t="s">
        <v>19320</v>
      </c>
      <c r="B3678" s="605" t="s">
        <v>19321</v>
      </c>
      <c r="C3678" s="606" t="s">
        <v>12508</v>
      </c>
      <c r="D3678" s="607">
        <v>123.05</v>
      </c>
      <c r="E3678" s="607">
        <v>14.53</v>
      </c>
      <c r="F3678" s="607">
        <v>137.58000000000001</v>
      </c>
      <c r="G3678" s="584">
        <v>15</v>
      </c>
    </row>
    <row r="3679" spans="1:7" ht="30" x14ac:dyDescent="0.2">
      <c r="A3679" s="583" t="s">
        <v>20238</v>
      </c>
      <c r="B3679" s="605" t="s">
        <v>20239</v>
      </c>
      <c r="C3679" s="606" t="s">
        <v>12508</v>
      </c>
      <c r="D3679" s="607">
        <v>204.93</v>
      </c>
      <c r="E3679" s="607">
        <v>107.13</v>
      </c>
      <c r="F3679" s="607">
        <v>312.06</v>
      </c>
      <c r="G3679" s="584">
        <v>15</v>
      </c>
    </row>
    <row r="3680" spans="1:7" ht="15" x14ac:dyDescent="0.25">
      <c r="A3680" s="583" t="s">
        <v>19322</v>
      </c>
      <c r="B3680" s="605" t="s">
        <v>19323</v>
      </c>
      <c r="C3680" s="606"/>
      <c r="D3680" s="607"/>
      <c r="E3680" s="607"/>
      <c r="F3680" s="607"/>
      <c r="G3680" s="582"/>
    </row>
    <row r="3681" spans="1:7" ht="15" x14ac:dyDescent="0.2">
      <c r="A3681" s="583" t="s">
        <v>19324</v>
      </c>
      <c r="B3681" s="605" t="s">
        <v>19325</v>
      </c>
      <c r="C3681" s="606" t="s">
        <v>12508</v>
      </c>
      <c r="D3681" s="607">
        <v>1205.26</v>
      </c>
      <c r="E3681" s="607">
        <v>18.920000000000002</v>
      </c>
      <c r="F3681" s="607">
        <v>1224.18</v>
      </c>
      <c r="G3681" s="584">
        <v>15</v>
      </c>
    </row>
    <row r="3682" spans="1:7" ht="30" x14ac:dyDescent="0.2">
      <c r="A3682" s="583" t="s">
        <v>13</v>
      </c>
      <c r="B3682" s="605" t="s">
        <v>19326</v>
      </c>
      <c r="C3682" s="606" t="s">
        <v>12508</v>
      </c>
      <c r="D3682" s="607">
        <v>1523.09</v>
      </c>
      <c r="E3682" s="607">
        <v>18.920000000000002</v>
      </c>
      <c r="F3682" s="607">
        <v>1542.01</v>
      </c>
      <c r="G3682" s="584">
        <v>15</v>
      </c>
    </row>
    <row r="3683" spans="1:7" ht="30" x14ac:dyDescent="0.2">
      <c r="A3683" s="583" t="s">
        <v>19327</v>
      </c>
      <c r="B3683" s="605" t="s">
        <v>19328</v>
      </c>
      <c r="C3683" s="606" t="s">
        <v>12508</v>
      </c>
      <c r="D3683" s="607">
        <v>1523.09</v>
      </c>
      <c r="E3683" s="607">
        <v>18.920000000000002</v>
      </c>
      <c r="F3683" s="607">
        <v>1542.01</v>
      </c>
      <c r="G3683" s="584">
        <v>15</v>
      </c>
    </row>
    <row r="3684" spans="1:7" ht="15" x14ac:dyDescent="0.2">
      <c r="A3684" s="583" t="s">
        <v>14</v>
      </c>
      <c r="B3684" s="605" t="s">
        <v>19329</v>
      </c>
      <c r="C3684" s="606" t="s">
        <v>12427</v>
      </c>
      <c r="D3684" s="607">
        <v>6.55</v>
      </c>
      <c r="E3684" s="607">
        <v>0.11</v>
      </c>
      <c r="F3684" s="607">
        <v>6.66</v>
      </c>
      <c r="G3684" s="584">
        <v>15</v>
      </c>
    </row>
    <row r="3685" spans="1:7" ht="15" x14ac:dyDescent="0.2">
      <c r="A3685" s="583" t="s">
        <v>15</v>
      </c>
      <c r="B3685" s="605" t="s">
        <v>19330</v>
      </c>
      <c r="C3685" s="606" t="s">
        <v>12427</v>
      </c>
      <c r="D3685" s="607">
        <v>12.86</v>
      </c>
      <c r="E3685" s="607">
        <v>0.14000000000000001</v>
      </c>
      <c r="F3685" s="607">
        <v>13</v>
      </c>
      <c r="G3685" s="584">
        <v>15</v>
      </c>
    </row>
    <row r="3686" spans="1:7" ht="15" x14ac:dyDescent="0.2">
      <c r="A3686" s="583" t="s">
        <v>19331</v>
      </c>
      <c r="B3686" s="605" t="s">
        <v>19332</v>
      </c>
      <c r="C3686" s="606" t="s">
        <v>12508</v>
      </c>
      <c r="D3686" s="607">
        <v>1612.29</v>
      </c>
      <c r="E3686" s="607">
        <v>18.920000000000002</v>
      </c>
      <c r="F3686" s="607">
        <v>1631.21</v>
      </c>
      <c r="G3686" s="584">
        <v>15</v>
      </c>
    </row>
    <row r="3687" spans="1:7" ht="15" x14ac:dyDescent="0.2">
      <c r="A3687" s="583" t="s">
        <v>19333</v>
      </c>
      <c r="B3687" s="605" t="s">
        <v>19334</v>
      </c>
      <c r="C3687" s="606" t="s">
        <v>12508</v>
      </c>
      <c r="D3687" s="607">
        <v>1475.44</v>
      </c>
      <c r="E3687" s="607">
        <v>45.42</v>
      </c>
      <c r="F3687" s="607">
        <v>1520.86</v>
      </c>
      <c r="G3687" s="584">
        <v>15</v>
      </c>
    </row>
    <row r="3688" spans="1:7" ht="15" x14ac:dyDescent="0.25">
      <c r="A3688" s="583" t="s">
        <v>19335</v>
      </c>
      <c r="B3688" s="605" t="s">
        <v>19336</v>
      </c>
      <c r="C3688" s="606"/>
      <c r="D3688" s="607"/>
      <c r="E3688" s="607"/>
      <c r="F3688" s="607"/>
      <c r="G3688" s="582"/>
    </row>
    <row r="3689" spans="1:7" ht="15" x14ac:dyDescent="0.2">
      <c r="A3689" s="583" t="s">
        <v>19337</v>
      </c>
      <c r="B3689" s="605" t="s">
        <v>19338</v>
      </c>
      <c r="C3689" s="606" t="s">
        <v>12427</v>
      </c>
      <c r="D3689" s="607">
        <v>310.14999999999998</v>
      </c>
      <c r="E3689" s="607">
        <v>29.04</v>
      </c>
      <c r="F3689" s="607">
        <v>339.19</v>
      </c>
      <c r="G3689" s="584">
        <v>15</v>
      </c>
    </row>
    <row r="3690" spans="1:7" ht="15" x14ac:dyDescent="0.2">
      <c r="A3690" s="583" t="s">
        <v>19339</v>
      </c>
      <c r="B3690" s="605" t="s">
        <v>19340</v>
      </c>
      <c r="C3690" s="606" t="s">
        <v>12427</v>
      </c>
      <c r="D3690" s="607">
        <v>14.96</v>
      </c>
      <c r="E3690" s="607">
        <v>2.27</v>
      </c>
      <c r="F3690" s="607">
        <v>17.23</v>
      </c>
      <c r="G3690" s="584">
        <v>15</v>
      </c>
    </row>
    <row r="3691" spans="1:7" ht="30" x14ac:dyDescent="0.2">
      <c r="A3691" s="583" t="s">
        <v>19341</v>
      </c>
      <c r="B3691" s="605" t="s">
        <v>19342</v>
      </c>
      <c r="C3691" s="606" t="s">
        <v>12427</v>
      </c>
      <c r="D3691" s="607">
        <v>10.97</v>
      </c>
      <c r="E3691" s="607">
        <v>7.04</v>
      </c>
      <c r="F3691" s="607">
        <v>18.010000000000002</v>
      </c>
      <c r="G3691" s="584">
        <v>15</v>
      </c>
    </row>
    <row r="3692" spans="1:7" ht="15" x14ac:dyDescent="0.2">
      <c r="A3692" s="583" t="s">
        <v>19343</v>
      </c>
      <c r="B3692" s="605" t="s">
        <v>19344</v>
      </c>
      <c r="C3692" s="606" t="s">
        <v>12427</v>
      </c>
      <c r="D3692" s="607">
        <v>51.39</v>
      </c>
      <c r="E3692" s="607">
        <v>5.68</v>
      </c>
      <c r="F3692" s="607">
        <v>57.07</v>
      </c>
      <c r="G3692" s="584">
        <v>15</v>
      </c>
    </row>
    <row r="3693" spans="1:7" ht="45" x14ac:dyDescent="0.2">
      <c r="A3693" s="583" t="s">
        <v>12355</v>
      </c>
      <c r="B3693" s="605" t="s">
        <v>19345</v>
      </c>
      <c r="C3693" s="606" t="s">
        <v>12427</v>
      </c>
      <c r="D3693" s="607">
        <v>91.76</v>
      </c>
      <c r="E3693" s="607">
        <v>21.92</v>
      </c>
      <c r="F3693" s="607">
        <v>113.68</v>
      </c>
      <c r="G3693" s="584">
        <v>15</v>
      </c>
    </row>
    <row r="3694" spans="1:7" ht="45" x14ac:dyDescent="0.2">
      <c r="A3694" s="583" t="s">
        <v>19346</v>
      </c>
      <c r="B3694" s="605" t="s">
        <v>19347</v>
      </c>
      <c r="C3694" s="606" t="s">
        <v>12427</v>
      </c>
      <c r="D3694" s="607">
        <v>102.48</v>
      </c>
      <c r="E3694" s="607">
        <v>21.92</v>
      </c>
      <c r="F3694" s="607">
        <v>124.4</v>
      </c>
      <c r="G3694" s="584">
        <v>15</v>
      </c>
    </row>
    <row r="3695" spans="1:7" ht="45" x14ac:dyDescent="0.2">
      <c r="A3695" s="583" t="s">
        <v>19348</v>
      </c>
      <c r="B3695" s="605" t="s">
        <v>19349</v>
      </c>
      <c r="C3695" s="606" t="s">
        <v>12427</v>
      </c>
      <c r="D3695" s="607">
        <v>97.12</v>
      </c>
      <c r="E3695" s="607">
        <v>29.23</v>
      </c>
      <c r="F3695" s="607">
        <v>126.35</v>
      </c>
      <c r="G3695" s="584">
        <v>15</v>
      </c>
    </row>
    <row r="3696" spans="1:7" ht="30" x14ac:dyDescent="0.2">
      <c r="A3696" s="583" t="s">
        <v>19350</v>
      </c>
      <c r="B3696" s="605" t="s">
        <v>20386</v>
      </c>
      <c r="C3696" s="606" t="s">
        <v>12427</v>
      </c>
      <c r="D3696" s="607">
        <v>195.88</v>
      </c>
      <c r="E3696" s="607">
        <v>10.74</v>
      </c>
      <c r="F3696" s="607">
        <v>206.62</v>
      </c>
      <c r="G3696" s="584">
        <v>15</v>
      </c>
    </row>
    <row r="3697" spans="1:7" ht="30" x14ac:dyDescent="0.2">
      <c r="A3697" s="583" t="s">
        <v>19351</v>
      </c>
      <c r="B3697" s="605" t="s">
        <v>20240</v>
      </c>
      <c r="C3697" s="606" t="s">
        <v>12427</v>
      </c>
      <c r="D3697" s="607">
        <v>121.31</v>
      </c>
      <c r="E3697" s="607">
        <v>22.72</v>
      </c>
      <c r="F3697" s="607">
        <v>144.03</v>
      </c>
      <c r="G3697" s="584">
        <v>15</v>
      </c>
    </row>
    <row r="3698" spans="1:7" ht="30" x14ac:dyDescent="0.2">
      <c r="A3698" s="583" t="s">
        <v>19352</v>
      </c>
      <c r="B3698" s="605" t="s">
        <v>20241</v>
      </c>
      <c r="C3698" s="606" t="s">
        <v>12427</v>
      </c>
      <c r="D3698" s="607">
        <v>131.22999999999999</v>
      </c>
      <c r="E3698" s="607">
        <v>22.72</v>
      </c>
      <c r="F3698" s="607">
        <v>153.94999999999999</v>
      </c>
      <c r="G3698" s="584">
        <v>15</v>
      </c>
    </row>
    <row r="3699" spans="1:7" ht="15" x14ac:dyDescent="0.25">
      <c r="A3699" s="583" t="s">
        <v>19353</v>
      </c>
      <c r="B3699" s="605" t="s">
        <v>19354</v>
      </c>
      <c r="C3699" s="606"/>
      <c r="D3699" s="607"/>
      <c r="E3699" s="607"/>
      <c r="F3699" s="607"/>
      <c r="G3699" s="582"/>
    </row>
    <row r="3700" spans="1:7" ht="15" x14ac:dyDescent="0.2">
      <c r="A3700" s="583" t="s">
        <v>19355</v>
      </c>
      <c r="B3700" s="605" t="s">
        <v>19356</v>
      </c>
      <c r="C3700" s="606" t="s">
        <v>12483</v>
      </c>
      <c r="D3700" s="607">
        <v>51.01</v>
      </c>
      <c r="E3700" s="607">
        <v>13.71</v>
      </c>
      <c r="F3700" s="607">
        <v>64.72</v>
      </c>
      <c r="G3700" s="584">
        <v>15</v>
      </c>
    </row>
    <row r="3701" spans="1:7" ht="15" x14ac:dyDescent="0.2">
      <c r="A3701" s="583" t="s">
        <v>16</v>
      </c>
      <c r="B3701" s="605" t="s">
        <v>19357</v>
      </c>
      <c r="C3701" s="606" t="s">
        <v>12483</v>
      </c>
      <c r="D3701" s="607">
        <v>47.83</v>
      </c>
      <c r="E3701" s="607">
        <v>13.71</v>
      </c>
      <c r="F3701" s="607">
        <v>61.54</v>
      </c>
      <c r="G3701" s="584">
        <v>15</v>
      </c>
    </row>
    <row r="3702" spans="1:7" ht="30" x14ac:dyDescent="0.2">
      <c r="A3702" s="583" t="s">
        <v>19358</v>
      </c>
      <c r="B3702" s="605" t="s">
        <v>19359</v>
      </c>
      <c r="C3702" s="606" t="s">
        <v>12508</v>
      </c>
      <c r="D3702" s="607">
        <v>561.03</v>
      </c>
      <c r="E3702" s="607">
        <v>49.36</v>
      </c>
      <c r="F3702" s="607">
        <v>610.39</v>
      </c>
      <c r="G3702" s="584">
        <v>15</v>
      </c>
    </row>
    <row r="3703" spans="1:7" ht="30" x14ac:dyDescent="0.2">
      <c r="A3703" s="583" t="s">
        <v>19360</v>
      </c>
      <c r="B3703" s="605" t="s">
        <v>19361</v>
      </c>
      <c r="C3703" s="606" t="s">
        <v>12508</v>
      </c>
      <c r="D3703" s="607">
        <v>584.20000000000005</v>
      </c>
      <c r="E3703" s="607">
        <v>49.36</v>
      </c>
      <c r="F3703" s="607">
        <v>633.55999999999995</v>
      </c>
      <c r="G3703" s="584">
        <v>15</v>
      </c>
    </row>
    <row r="3704" spans="1:7" ht="15" x14ac:dyDescent="0.2">
      <c r="A3704" s="583" t="s">
        <v>20242</v>
      </c>
      <c r="B3704" s="605" t="s">
        <v>20243</v>
      </c>
      <c r="C3704" s="606" t="s">
        <v>12508</v>
      </c>
      <c r="D3704" s="607">
        <v>93.03</v>
      </c>
      <c r="E3704" s="607">
        <v>355.54</v>
      </c>
      <c r="F3704" s="607">
        <v>448.57</v>
      </c>
      <c r="G3704" s="584">
        <v>15</v>
      </c>
    </row>
    <row r="3705" spans="1:7" ht="30" x14ac:dyDescent="0.2">
      <c r="A3705" s="583" t="s">
        <v>19362</v>
      </c>
      <c r="B3705" s="605" t="s">
        <v>119</v>
      </c>
      <c r="C3705" s="606" t="s">
        <v>12508</v>
      </c>
      <c r="D3705" s="607">
        <v>783.06</v>
      </c>
      <c r="E3705" s="607">
        <v>100.7</v>
      </c>
      <c r="F3705" s="607">
        <v>883.76</v>
      </c>
      <c r="G3705" s="584">
        <v>15</v>
      </c>
    </row>
    <row r="3706" spans="1:7" ht="30" x14ac:dyDescent="0.2">
      <c r="A3706" s="583" t="s">
        <v>17</v>
      </c>
      <c r="B3706" s="605" t="s">
        <v>118</v>
      </c>
      <c r="C3706" s="606" t="s">
        <v>12508</v>
      </c>
      <c r="D3706" s="607">
        <v>806.23</v>
      </c>
      <c r="E3706" s="607">
        <v>100.7</v>
      </c>
      <c r="F3706" s="607">
        <v>906.93</v>
      </c>
      <c r="G3706" s="584">
        <v>15</v>
      </c>
    </row>
    <row r="3707" spans="1:7" ht="15" x14ac:dyDescent="0.25">
      <c r="A3707" s="583" t="s">
        <v>19363</v>
      </c>
      <c r="B3707" s="605" t="s">
        <v>19364</v>
      </c>
      <c r="C3707" s="606"/>
      <c r="D3707" s="607"/>
      <c r="E3707" s="607"/>
      <c r="F3707" s="607"/>
      <c r="G3707" s="582"/>
    </row>
    <row r="3708" spans="1:7" ht="15" x14ac:dyDescent="0.2">
      <c r="A3708" s="583" t="s">
        <v>19365</v>
      </c>
      <c r="B3708" s="605" t="s">
        <v>19366</v>
      </c>
      <c r="C3708" s="606" t="s">
        <v>2</v>
      </c>
      <c r="D3708" s="607">
        <v>393.74</v>
      </c>
      <c r="E3708" s="607"/>
      <c r="F3708" s="607">
        <v>393.74</v>
      </c>
      <c r="G3708" s="584">
        <v>15</v>
      </c>
    </row>
    <row r="3709" spans="1:7" ht="30" x14ac:dyDescent="0.2">
      <c r="A3709" s="583" t="s">
        <v>19367</v>
      </c>
      <c r="B3709" s="605" t="s">
        <v>20387</v>
      </c>
      <c r="C3709" s="606" t="s">
        <v>2</v>
      </c>
      <c r="D3709" s="607">
        <v>124.88</v>
      </c>
      <c r="E3709" s="607">
        <v>12.83</v>
      </c>
      <c r="F3709" s="607">
        <v>137.71</v>
      </c>
      <c r="G3709" s="584">
        <v>15</v>
      </c>
    </row>
    <row r="3710" spans="1:7" ht="30" x14ac:dyDescent="0.2">
      <c r="A3710" s="583" t="s">
        <v>19368</v>
      </c>
      <c r="B3710" s="605" t="s">
        <v>19369</v>
      </c>
      <c r="C3710" s="606" t="s">
        <v>2</v>
      </c>
      <c r="D3710" s="607">
        <v>93.12</v>
      </c>
      <c r="E3710" s="607">
        <v>12.83</v>
      </c>
      <c r="F3710" s="607">
        <v>105.95</v>
      </c>
      <c r="G3710" s="584">
        <v>15</v>
      </c>
    </row>
    <row r="3711" spans="1:7" ht="30" x14ac:dyDescent="0.2">
      <c r="A3711" s="583" t="s">
        <v>19370</v>
      </c>
      <c r="B3711" s="605" t="s">
        <v>19371</v>
      </c>
      <c r="C3711" s="606" t="s">
        <v>2</v>
      </c>
      <c r="D3711" s="607">
        <v>5.17</v>
      </c>
      <c r="E3711" s="607">
        <v>11.45</v>
      </c>
      <c r="F3711" s="607">
        <v>16.62</v>
      </c>
      <c r="G3711" s="584">
        <v>15</v>
      </c>
    </row>
    <row r="3712" spans="1:7" ht="30" x14ac:dyDescent="0.2">
      <c r="A3712" s="583" t="s">
        <v>19372</v>
      </c>
      <c r="B3712" s="605" t="s">
        <v>19373</v>
      </c>
      <c r="C3712" s="606" t="s">
        <v>2</v>
      </c>
      <c r="D3712" s="607">
        <v>2.02</v>
      </c>
      <c r="E3712" s="607">
        <v>11.45</v>
      </c>
      <c r="F3712" s="607">
        <v>13.47</v>
      </c>
      <c r="G3712" s="584">
        <v>15</v>
      </c>
    </row>
    <row r="3713" spans="1:7" ht="30" x14ac:dyDescent="0.2">
      <c r="A3713" s="583" t="s">
        <v>19374</v>
      </c>
      <c r="B3713" s="605" t="s">
        <v>19375</v>
      </c>
      <c r="C3713" s="606" t="s">
        <v>2</v>
      </c>
      <c r="D3713" s="607">
        <v>129.35</v>
      </c>
      <c r="E3713" s="607">
        <v>32.479999999999997</v>
      </c>
      <c r="F3713" s="607">
        <v>161.83000000000001</v>
      </c>
      <c r="G3713" s="584">
        <v>15</v>
      </c>
    </row>
    <row r="3714" spans="1:7" ht="15" x14ac:dyDescent="0.25">
      <c r="A3714" s="583" t="s">
        <v>20315</v>
      </c>
      <c r="B3714" s="605" t="s">
        <v>20316</v>
      </c>
      <c r="C3714" s="606"/>
      <c r="D3714" s="607"/>
      <c r="E3714" s="607"/>
      <c r="F3714" s="607"/>
      <c r="G3714" s="582"/>
    </row>
    <row r="3715" spans="1:7" ht="45" x14ac:dyDescent="0.2">
      <c r="A3715" s="583" t="s">
        <v>20317</v>
      </c>
      <c r="B3715" s="605" t="s">
        <v>20318</v>
      </c>
      <c r="C3715" s="606" t="s">
        <v>2</v>
      </c>
      <c r="D3715" s="607">
        <v>0.25</v>
      </c>
      <c r="E3715" s="607">
        <v>0.3</v>
      </c>
      <c r="F3715" s="607">
        <v>0.55000000000000004</v>
      </c>
      <c r="G3715" s="584">
        <v>15</v>
      </c>
    </row>
    <row r="3716" spans="1:7" ht="30" x14ac:dyDescent="0.2">
      <c r="A3716" s="583" t="s">
        <v>20319</v>
      </c>
      <c r="B3716" s="605" t="s">
        <v>20320</v>
      </c>
      <c r="C3716" s="606" t="s">
        <v>2</v>
      </c>
      <c r="D3716" s="607">
        <v>1</v>
      </c>
      <c r="E3716" s="607">
        <v>0.3</v>
      </c>
      <c r="F3716" s="607">
        <v>1.3</v>
      </c>
      <c r="G3716" s="584">
        <v>15</v>
      </c>
    </row>
    <row r="3717" spans="1:7" ht="30" x14ac:dyDescent="0.2">
      <c r="A3717" s="583" t="s">
        <v>21447</v>
      </c>
      <c r="B3717" s="605" t="s">
        <v>21448</v>
      </c>
      <c r="C3717" s="606" t="s">
        <v>20358</v>
      </c>
      <c r="D3717" s="607">
        <v>3.38</v>
      </c>
      <c r="E3717" s="607">
        <v>0.19</v>
      </c>
      <c r="F3717" s="607">
        <v>3.57</v>
      </c>
      <c r="G3717" s="584">
        <v>15</v>
      </c>
    </row>
    <row r="3718" spans="1:7" ht="30" x14ac:dyDescent="0.2">
      <c r="A3718" s="583" t="s">
        <v>20321</v>
      </c>
      <c r="B3718" s="605" t="s">
        <v>20322</v>
      </c>
      <c r="C3718" s="606" t="s">
        <v>21053</v>
      </c>
      <c r="D3718" s="607">
        <v>43.29</v>
      </c>
      <c r="E3718" s="607">
        <v>0.18</v>
      </c>
      <c r="F3718" s="607">
        <v>43.47</v>
      </c>
      <c r="G3718" s="584">
        <v>15</v>
      </c>
    </row>
    <row r="3719" spans="1:7" ht="30" x14ac:dyDescent="0.2">
      <c r="A3719" s="583" t="s">
        <v>20323</v>
      </c>
      <c r="B3719" s="605" t="s">
        <v>20324</v>
      </c>
      <c r="C3719" s="606" t="s">
        <v>21053</v>
      </c>
      <c r="D3719" s="607">
        <v>32.619999999999997</v>
      </c>
      <c r="E3719" s="607">
        <v>0.18</v>
      </c>
      <c r="F3719" s="607">
        <v>32.799999999999997</v>
      </c>
      <c r="G3719" s="584">
        <v>15</v>
      </c>
    </row>
    <row r="3720" spans="1:7" ht="15" x14ac:dyDescent="0.25">
      <c r="A3720" s="583" t="s">
        <v>21449</v>
      </c>
      <c r="B3720" s="605" t="s">
        <v>21450</v>
      </c>
      <c r="C3720" s="606"/>
      <c r="D3720" s="607"/>
      <c r="E3720" s="607"/>
      <c r="F3720" s="607"/>
      <c r="G3720" s="582"/>
    </row>
    <row r="3721" spans="1:7" ht="15" x14ac:dyDescent="0.2">
      <c r="A3721" s="583" t="s">
        <v>21451</v>
      </c>
      <c r="B3721" s="605" t="s">
        <v>21452</v>
      </c>
      <c r="C3721" s="606" t="s">
        <v>21482</v>
      </c>
      <c r="D3721" s="607">
        <v>1762.07</v>
      </c>
      <c r="E3721" s="607">
        <v>18.920000000000002</v>
      </c>
      <c r="F3721" s="607">
        <v>1780.99</v>
      </c>
      <c r="G3721" s="584">
        <v>15</v>
      </c>
    </row>
    <row r="3722" spans="1:7" ht="15" x14ac:dyDescent="0.25">
      <c r="A3722" s="583" t="s">
        <v>19376</v>
      </c>
      <c r="B3722" s="605" t="s">
        <v>19377</v>
      </c>
      <c r="C3722" s="606"/>
      <c r="D3722" s="607"/>
      <c r="E3722" s="607"/>
      <c r="F3722" s="607"/>
      <c r="G3722" s="582"/>
    </row>
    <row r="3723" spans="1:7" ht="15" x14ac:dyDescent="0.2">
      <c r="A3723" s="583" t="s">
        <v>19378</v>
      </c>
      <c r="B3723" s="605" t="s">
        <v>19379</v>
      </c>
      <c r="C3723" s="606" t="s">
        <v>12483</v>
      </c>
      <c r="D3723" s="607">
        <v>70.05</v>
      </c>
      <c r="E3723" s="607">
        <v>15.67</v>
      </c>
      <c r="F3723" s="607">
        <v>85.72</v>
      </c>
      <c r="G3723" s="584">
        <v>15</v>
      </c>
    </row>
    <row r="3724" spans="1:7" ht="15" x14ac:dyDescent="0.2">
      <c r="A3724" s="583" t="s">
        <v>20325</v>
      </c>
      <c r="B3724" s="605" t="s">
        <v>20326</v>
      </c>
      <c r="C3724" s="606" t="s">
        <v>12375</v>
      </c>
      <c r="D3724" s="607">
        <v>128.63999999999999</v>
      </c>
      <c r="E3724" s="607">
        <v>22.02</v>
      </c>
      <c r="F3724" s="607">
        <v>150.66</v>
      </c>
      <c r="G3724" s="584">
        <v>15</v>
      </c>
    </row>
    <row r="3725" spans="1:7" ht="15" x14ac:dyDescent="0.2">
      <c r="A3725" s="583" t="s">
        <v>19380</v>
      </c>
      <c r="B3725" s="605" t="s">
        <v>19381</v>
      </c>
      <c r="C3725" s="606" t="s">
        <v>12483</v>
      </c>
      <c r="D3725" s="607">
        <v>10.88</v>
      </c>
      <c r="E3725" s="607">
        <v>13.71</v>
      </c>
      <c r="F3725" s="607">
        <v>24.59</v>
      </c>
      <c r="G3725" s="584">
        <v>15</v>
      </c>
    </row>
    <row r="3726" spans="1:7" ht="15" x14ac:dyDescent="0.2">
      <c r="A3726" s="583" t="s">
        <v>19382</v>
      </c>
      <c r="B3726" s="605" t="s">
        <v>19383</v>
      </c>
      <c r="C3726" s="606" t="s">
        <v>12427</v>
      </c>
      <c r="D3726" s="607">
        <v>17.440000000000001</v>
      </c>
      <c r="E3726" s="607">
        <v>29.04</v>
      </c>
      <c r="F3726" s="607">
        <v>46.48</v>
      </c>
      <c r="G3726" s="584">
        <v>15</v>
      </c>
    </row>
    <row r="3727" spans="1:7" ht="30" x14ac:dyDescent="0.2">
      <c r="A3727" s="583" t="s">
        <v>19384</v>
      </c>
      <c r="B3727" s="605" t="s">
        <v>19385</v>
      </c>
      <c r="C3727" s="606" t="s">
        <v>12427</v>
      </c>
      <c r="D3727" s="607">
        <v>10.97</v>
      </c>
      <c r="E3727" s="607">
        <v>17.93</v>
      </c>
      <c r="F3727" s="607">
        <v>28.9</v>
      </c>
      <c r="G3727" s="584">
        <v>15</v>
      </c>
    </row>
    <row r="3728" spans="1:7" ht="30" x14ac:dyDescent="0.2">
      <c r="A3728" s="583" t="s">
        <v>19386</v>
      </c>
      <c r="B3728" s="605" t="s">
        <v>19387</v>
      </c>
      <c r="C3728" s="606" t="s">
        <v>12427</v>
      </c>
      <c r="D3728" s="607">
        <v>11.1</v>
      </c>
      <c r="E3728" s="607">
        <v>20.78</v>
      </c>
      <c r="F3728" s="607">
        <v>31.88</v>
      </c>
      <c r="G3728" s="584">
        <v>15</v>
      </c>
    </row>
    <row r="3729" spans="1:7" ht="30" x14ac:dyDescent="0.2">
      <c r="A3729" s="583" t="s">
        <v>19388</v>
      </c>
      <c r="B3729" s="605" t="s">
        <v>19389</v>
      </c>
      <c r="C3729" s="606" t="s">
        <v>12427</v>
      </c>
      <c r="D3729" s="607">
        <v>11.28</v>
      </c>
      <c r="E3729" s="607">
        <v>24.96</v>
      </c>
      <c r="F3729" s="607">
        <v>36.24</v>
      </c>
      <c r="G3729" s="584">
        <v>15</v>
      </c>
    </row>
    <row r="3730" spans="1:7" ht="45" x14ac:dyDescent="0.2">
      <c r="A3730" s="583" t="s">
        <v>21453</v>
      </c>
      <c r="B3730" s="605" t="s">
        <v>21454</v>
      </c>
      <c r="C3730" s="606" t="s">
        <v>12483</v>
      </c>
      <c r="D3730" s="607">
        <v>7.0000000000000007E-2</v>
      </c>
      <c r="E3730" s="607">
        <v>0.46</v>
      </c>
      <c r="F3730" s="607">
        <v>0.53</v>
      </c>
      <c r="G3730" s="584">
        <v>15</v>
      </c>
    </row>
    <row r="3731" spans="1:7" ht="15" x14ac:dyDescent="0.25">
      <c r="A3731" s="583" t="s">
        <v>19390</v>
      </c>
      <c r="B3731" s="605" t="s">
        <v>19391</v>
      </c>
      <c r="C3731" s="606"/>
      <c r="D3731" s="607"/>
      <c r="E3731" s="607"/>
      <c r="F3731" s="607"/>
      <c r="G3731" s="582"/>
    </row>
    <row r="3732" spans="1:7" ht="15" x14ac:dyDescent="0.25">
      <c r="A3732" s="583" t="s">
        <v>19392</v>
      </c>
      <c r="B3732" s="605" t="s">
        <v>19393</v>
      </c>
      <c r="C3732" s="606"/>
      <c r="D3732" s="607"/>
      <c r="E3732" s="607"/>
      <c r="F3732" s="607"/>
      <c r="G3732" s="582"/>
    </row>
    <row r="3733" spans="1:7" ht="15" x14ac:dyDescent="0.2">
      <c r="A3733" s="583" t="s">
        <v>19394</v>
      </c>
      <c r="B3733" s="605" t="s">
        <v>19395</v>
      </c>
      <c r="C3733" s="606" t="s">
        <v>2</v>
      </c>
      <c r="D3733" s="607"/>
      <c r="E3733" s="607">
        <v>15.9</v>
      </c>
      <c r="F3733" s="607">
        <v>15.9</v>
      </c>
      <c r="G3733" s="584">
        <v>15</v>
      </c>
    </row>
    <row r="3734" spans="1:7" ht="15" x14ac:dyDescent="0.2">
      <c r="A3734" s="583" t="s">
        <v>19396</v>
      </c>
      <c r="B3734" s="605" t="s">
        <v>19397</v>
      </c>
      <c r="C3734" s="606" t="s">
        <v>2</v>
      </c>
      <c r="D3734" s="607">
        <v>2.9</v>
      </c>
      <c r="E3734" s="607">
        <v>6.56</v>
      </c>
      <c r="F3734" s="607">
        <v>9.4600000000000009</v>
      </c>
      <c r="G3734" s="584">
        <v>15</v>
      </c>
    </row>
    <row r="3735" spans="1:7" ht="30" x14ac:dyDescent="0.2">
      <c r="A3735" s="583" t="s">
        <v>19398</v>
      </c>
      <c r="B3735" s="605" t="s">
        <v>19399</v>
      </c>
      <c r="C3735" s="606" t="s">
        <v>2</v>
      </c>
      <c r="D3735" s="607">
        <v>2.2200000000000002</v>
      </c>
      <c r="E3735" s="607">
        <v>4.54</v>
      </c>
      <c r="F3735" s="607">
        <v>6.76</v>
      </c>
      <c r="G3735" s="584">
        <v>15</v>
      </c>
    </row>
    <row r="3736" spans="1:7" ht="30" x14ac:dyDescent="0.2">
      <c r="A3736" s="583" t="s">
        <v>19400</v>
      </c>
      <c r="B3736" s="605" t="s">
        <v>19401</v>
      </c>
      <c r="C3736" s="606" t="s">
        <v>20385</v>
      </c>
      <c r="D3736" s="607"/>
      <c r="E3736" s="607">
        <v>18.170000000000002</v>
      </c>
      <c r="F3736" s="607">
        <v>18.170000000000002</v>
      </c>
      <c r="G3736" s="584">
        <v>15</v>
      </c>
    </row>
    <row r="3737" spans="1:7" ht="15" x14ac:dyDescent="0.2">
      <c r="A3737" s="583" t="s">
        <v>19402</v>
      </c>
      <c r="B3737" s="605" t="s">
        <v>19403</v>
      </c>
      <c r="C3737" s="606" t="s">
        <v>2</v>
      </c>
      <c r="D3737" s="607"/>
      <c r="E3737" s="607">
        <v>17.03</v>
      </c>
      <c r="F3737" s="607">
        <v>17.03</v>
      </c>
      <c r="G3737" s="584">
        <v>15</v>
      </c>
    </row>
    <row r="3738" spans="1:7" ht="30" x14ac:dyDescent="0.2">
      <c r="A3738" s="583" t="s">
        <v>19404</v>
      </c>
      <c r="B3738" s="605" t="s">
        <v>19405</v>
      </c>
      <c r="C3738" s="606" t="s">
        <v>2</v>
      </c>
      <c r="D3738" s="607">
        <v>10.050000000000001</v>
      </c>
      <c r="E3738" s="607">
        <v>6.56</v>
      </c>
      <c r="F3738" s="607">
        <v>16.61</v>
      </c>
      <c r="G3738" s="584">
        <v>15</v>
      </c>
    </row>
    <row r="3739" spans="1:7" ht="15" x14ac:dyDescent="0.2">
      <c r="A3739" s="583" t="s">
        <v>19406</v>
      </c>
      <c r="B3739" s="605" t="s">
        <v>19407</v>
      </c>
      <c r="C3739" s="606" t="s">
        <v>2</v>
      </c>
      <c r="D3739" s="607">
        <v>0.73</v>
      </c>
      <c r="E3739" s="607">
        <v>11.94</v>
      </c>
      <c r="F3739" s="607">
        <v>12.67</v>
      </c>
      <c r="G3739" s="584">
        <v>15</v>
      </c>
    </row>
    <row r="3740" spans="1:7" ht="15" x14ac:dyDescent="0.25">
      <c r="A3740" s="583" t="s">
        <v>19408</v>
      </c>
      <c r="B3740" s="605" t="s">
        <v>19409</v>
      </c>
      <c r="C3740" s="606"/>
      <c r="D3740" s="607"/>
      <c r="E3740" s="607"/>
      <c r="F3740" s="607"/>
      <c r="G3740" s="582"/>
    </row>
    <row r="3741" spans="1:7" ht="15" x14ac:dyDescent="0.2">
      <c r="A3741" s="583" t="s">
        <v>19410</v>
      </c>
      <c r="B3741" s="605" t="s">
        <v>19411</v>
      </c>
      <c r="C3741" s="606" t="s">
        <v>12375</v>
      </c>
      <c r="D3741" s="607"/>
      <c r="E3741" s="607">
        <v>6.81</v>
      </c>
      <c r="F3741" s="607">
        <v>6.81</v>
      </c>
      <c r="G3741" s="584">
        <v>15</v>
      </c>
    </row>
    <row r="3742" spans="1:7" ht="15" x14ac:dyDescent="0.2">
      <c r="A3742" s="583" t="s">
        <v>19412</v>
      </c>
      <c r="B3742" s="605" t="s">
        <v>19413</v>
      </c>
      <c r="C3742" s="606" t="s">
        <v>12375</v>
      </c>
      <c r="D3742" s="607">
        <v>25.67</v>
      </c>
      <c r="E3742" s="607">
        <v>22.71</v>
      </c>
      <c r="F3742" s="607">
        <v>48.38</v>
      </c>
      <c r="G3742" s="584">
        <v>15</v>
      </c>
    </row>
    <row r="3743" spans="1:7" ht="15" x14ac:dyDescent="0.2">
      <c r="A3743" s="583" t="s">
        <v>19414</v>
      </c>
      <c r="B3743" s="605" t="s">
        <v>19415</v>
      </c>
      <c r="C3743" s="606" t="s">
        <v>12508</v>
      </c>
      <c r="D3743" s="607">
        <v>198.53</v>
      </c>
      <c r="E3743" s="607"/>
      <c r="F3743" s="607">
        <v>198.53</v>
      </c>
      <c r="G3743" s="584">
        <v>15</v>
      </c>
    </row>
    <row r="3744" spans="1:7" ht="15" x14ac:dyDescent="0.2">
      <c r="A3744" s="583" t="s">
        <v>19416</v>
      </c>
      <c r="B3744" s="605" t="s">
        <v>19417</v>
      </c>
      <c r="C3744" s="606" t="s">
        <v>12375</v>
      </c>
      <c r="D3744" s="607"/>
      <c r="E3744" s="607">
        <v>25.18</v>
      </c>
      <c r="F3744" s="607">
        <v>25.18</v>
      </c>
      <c r="G3744" s="584">
        <v>15</v>
      </c>
    </row>
    <row r="3745" spans="1:7" ht="30" x14ac:dyDescent="0.2">
      <c r="A3745" s="583" t="s">
        <v>19418</v>
      </c>
      <c r="B3745" s="605" t="s">
        <v>19419</v>
      </c>
      <c r="C3745" s="606" t="s">
        <v>12483</v>
      </c>
      <c r="D3745" s="607"/>
      <c r="E3745" s="607">
        <v>12.59</v>
      </c>
      <c r="F3745" s="607">
        <v>12.59</v>
      </c>
      <c r="G3745" s="584">
        <v>15</v>
      </c>
    </row>
    <row r="3746" spans="1:7" ht="30" x14ac:dyDescent="0.2">
      <c r="A3746" s="583" t="s">
        <v>19420</v>
      </c>
      <c r="B3746" s="605" t="s">
        <v>19421</v>
      </c>
      <c r="C3746" s="606" t="s">
        <v>12483</v>
      </c>
      <c r="D3746" s="607"/>
      <c r="E3746" s="607">
        <v>13.43</v>
      </c>
      <c r="F3746" s="607">
        <v>13.43</v>
      </c>
      <c r="G3746" s="584">
        <v>15</v>
      </c>
    </row>
    <row r="3747" spans="1:7" ht="15" x14ac:dyDescent="0.25">
      <c r="A3747" s="583" t="s">
        <v>19422</v>
      </c>
      <c r="B3747" s="605" t="s">
        <v>19423</v>
      </c>
      <c r="C3747" s="606"/>
      <c r="D3747" s="607"/>
      <c r="E3747" s="607"/>
      <c r="F3747" s="607"/>
      <c r="G3747" s="582"/>
    </row>
    <row r="3748" spans="1:7" ht="15" x14ac:dyDescent="0.2">
      <c r="A3748" s="583" t="s">
        <v>19424</v>
      </c>
      <c r="B3748" s="605" t="s">
        <v>19425</v>
      </c>
      <c r="C3748" s="606" t="s">
        <v>12753</v>
      </c>
      <c r="D3748" s="607">
        <v>94.43</v>
      </c>
      <c r="E3748" s="607"/>
      <c r="F3748" s="607">
        <v>94.43</v>
      </c>
      <c r="G3748" s="584">
        <v>15</v>
      </c>
    </row>
    <row r="3749" spans="1:7" ht="15" x14ac:dyDescent="0.25">
      <c r="A3749" s="583" t="s">
        <v>19426</v>
      </c>
      <c r="B3749" s="605" t="s">
        <v>19427</v>
      </c>
      <c r="C3749" s="606"/>
      <c r="D3749" s="607"/>
      <c r="E3749" s="607"/>
      <c r="F3749" s="607"/>
      <c r="G3749" s="582"/>
    </row>
    <row r="3750" spans="1:7" ht="15" x14ac:dyDescent="0.25">
      <c r="A3750" s="583" t="s">
        <v>19428</v>
      </c>
      <c r="B3750" s="605" t="s">
        <v>19429</v>
      </c>
      <c r="C3750" s="606"/>
      <c r="D3750" s="607"/>
      <c r="E3750" s="607"/>
      <c r="F3750" s="607"/>
      <c r="G3750" s="582"/>
    </row>
    <row r="3751" spans="1:7" ht="30" x14ac:dyDescent="0.2">
      <c r="A3751" s="583" t="s">
        <v>19430</v>
      </c>
      <c r="B3751" s="605" t="s">
        <v>19431</v>
      </c>
      <c r="C3751" s="606" t="s">
        <v>12676</v>
      </c>
      <c r="D3751" s="607">
        <v>202216.7</v>
      </c>
      <c r="E3751" s="607"/>
      <c r="F3751" s="607">
        <v>202216.7</v>
      </c>
      <c r="G3751" s="584">
        <v>15</v>
      </c>
    </row>
    <row r="3752" spans="1:7" ht="30" x14ac:dyDescent="0.2">
      <c r="A3752" s="583" t="s">
        <v>19432</v>
      </c>
      <c r="B3752" s="605" t="s">
        <v>19433</v>
      </c>
      <c r="C3752" s="606" t="s">
        <v>12676</v>
      </c>
      <c r="D3752" s="607">
        <v>203033.33</v>
      </c>
      <c r="E3752" s="607"/>
      <c r="F3752" s="607">
        <v>203033.33</v>
      </c>
      <c r="G3752" s="584">
        <v>15</v>
      </c>
    </row>
    <row r="3753" spans="1:7" ht="30" x14ac:dyDescent="0.2">
      <c r="A3753" s="583" t="s">
        <v>19434</v>
      </c>
      <c r="B3753" s="605" t="s">
        <v>19435</v>
      </c>
      <c r="C3753" s="606" t="s">
        <v>12676</v>
      </c>
      <c r="D3753" s="607">
        <v>231127.77</v>
      </c>
      <c r="E3753" s="607"/>
      <c r="F3753" s="607">
        <v>231127.77</v>
      </c>
      <c r="G3753" s="584">
        <v>15</v>
      </c>
    </row>
    <row r="3754" spans="1:7" ht="30" x14ac:dyDescent="0.2">
      <c r="A3754" s="583" t="s">
        <v>19436</v>
      </c>
      <c r="B3754" s="605" t="s">
        <v>19437</v>
      </c>
      <c r="C3754" s="606" t="s">
        <v>12676</v>
      </c>
      <c r="D3754" s="607">
        <v>245441.86</v>
      </c>
      <c r="E3754" s="607"/>
      <c r="F3754" s="607">
        <v>245441.86</v>
      </c>
      <c r="G3754" s="584">
        <v>15</v>
      </c>
    </row>
    <row r="3755" spans="1:7" ht="30" x14ac:dyDescent="0.2">
      <c r="A3755" s="583" t="s">
        <v>19438</v>
      </c>
      <c r="B3755" s="605" t="s">
        <v>19439</v>
      </c>
      <c r="C3755" s="606" t="s">
        <v>12676</v>
      </c>
      <c r="D3755" s="607">
        <v>216866.67</v>
      </c>
      <c r="E3755" s="607"/>
      <c r="F3755" s="607">
        <v>216866.67</v>
      </c>
      <c r="G3755" s="584">
        <v>15</v>
      </c>
    </row>
    <row r="3756" spans="1:7" ht="15" x14ac:dyDescent="0.2">
      <c r="A3756" s="583" t="s">
        <v>19440</v>
      </c>
      <c r="B3756" s="605" t="s">
        <v>19441</v>
      </c>
      <c r="C3756" s="606" t="s">
        <v>12427</v>
      </c>
      <c r="D3756" s="607">
        <v>1690.44</v>
      </c>
      <c r="E3756" s="607"/>
      <c r="F3756" s="607">
        <v>1690.44</v>
      </c>
      <c r="G3756" s="584">
        <v>15</v>
      </c>
    </row>
    <row r="3757" spans="1:7" ht="15" x14ac:dyDescent="0.25">
      <c r="A3757" s="583" t="s">
        <v>19442</v>
      </c>
      <c r="B3757" s="605" t="s">
        <v>19443</v>
      </c>
      <c r="C3757" s="606"/>
      <c r="D3757" s="607"/>
      <c r="E3757" s="607"/>
      <c r="F3757" s="607"/>
      <c r="G3757" s="582"/>
    </row>
    <row r="3758" spans="1:7" ht="30" x14ac:dyDescent="0.2">
      <c r="A3758" s="583" t="s">
        <v>19444</v>
      </c>
      <c r="B3758" s="605" t="s">
        <v>19445</v>
      </c>
      <c r="C3758" s="606" t="s">
        <v>12375</v>
      </c>
      <c r="D3758" s="607">
        <v>472942.39</v>
      </c>
      <c r="E3758" s="607">
        <v>34614.949999999997</v>
      </c>
      <c r="F3758" s="607">
        <v>507557.34</v>
      </c>
      <c r="G3758" s="584">
        <v>15</v>
      </c>
    </row>
    <row r="3759" spans="1:7" ht="30" x14ac:dyDescent="0.2">
      <c r="A3759" s="583" t="s">
        <v>19446</v>
      </c>
      <c r="B3759" s="605" t="s">
        <v>19447</v>
      </c>
      <c r="C3759" s="606" t="s">
        <v>12375</v>
      </c>
      <c r="D3759" s="607">
        <v>481348.93</v>
      </c>
      <c r="E3759" s="607">
        <v>36873.32</v>
      </c>
      <c r="F3759" s="607">
        <v>518222.25</v>
      </c>
      <c r="G3759" s="584">
        <v>15</v>
      </c>
    </row>
    <row r="3760" spans="1:7" ht="30" x14ac:dyDescent="0.2">
      <c r="A3760" s="583" t="s">
        <v>19448</v>
      </c>
      <c r="B3760" s="605" t="s">
        <v>19449</v>
      </c>
      <c r="C3760" s="606" t="s">
        <v>12375</v>
      </c>
      <c r="D3760" s="607">
        <v>676396.25</v>
      </c>
      <c r="E3760" s="607">
        <v>33523.949999999997</v>
      </c>
      <c r="F3760" s="607">
        <v>709920.2</v>
      </c>
      <c r="G3760" s="584">
        <v>15</v>
      </c>
    </row>
    <row r="3761" spans="1:7" ht="30" x14ac:dyDescent="0.2">
      <c r="A3761" s="583" t="s">
        <v>19450</v>
      </c>
      <c r="B3761" s="605" t="s">
        <v>19451</v>
      </c>
      <c r="C3761" s="606" t="s">
        <v>12375</v>
      </c>
      <c r="D3761" s="607">
        <v>275642.73</v>
      </c>
      <c r="E3761" s="607">
        <v>27691.96</v>
      </c>
      <c r="F3761" s="607">
        <v>303334.69</v>
      </c>
      <c r="G3761" s="584">
        <v>15</v>
      </c>
    </row>
    <row r="3762" spans="1:7" ht="30" x14ac:dyDescent="0.2">
      <c r="A3762" s="583" t="s">
        <v>19452</v>
      </c>
      <c r="B3762" s="605" t="s">
        <v>19453</v>
      </c>
      <c r="C3762" s="606" t="s">
        <v>12375</v>
      </c>
      <c r="D3762" s="607">
        <v>85500.479999999996</v>
      </c>
      <c r="E3762" s="607">
        <v>17307.48</v>
      </c>
      <c r="F3762" s="607">
        <v>102807.96</v>
      </c>
      <c r="G3762" s="584">
        <v>15</v>
      </c>
    </row>
    <row r="3763" spans="1:7" ht="30" x14ac:dyDescent="0.2">
      <c r="A3763" s="583" t="s">
        <v>19454</v>
      </c>
      <c r="B3763" s="605" t="s">
        <v>19455</v>
      </c>
      <c r="C3763" s="606" t="s">
        <v>12375</v>
      </c>
      <c r="D3763" s="607">
        <v>23667.74</v>
      </c>
      <c r="E3763" s="607">
        <v>4097.6499999999996</v>
      </c>
      <c r="F3763" s="607">
        <v>27765.39</v>
      </c>
      <c r="G3763" s="584">
        <v>15</v>
      </c>
    </row>
    <row r="3764" spans="1:7" ht="30" x14ac:dyDescent="0.2">
      <c r="A3764" s="583" t="s">
        <v>19456</v>
      </c>
      <c r="B3764" s="605" t="s">
        <v>20244</v>
      </c>
      <c r="C3764" s="606" t="s">
        <v>12375</v>
      </c>
      <c r="D3764" s="607">
        <v>19989.169999999998</v>
      </c>
      <c r="E3764" s="607">
        <v>4097.6499999999996</v>
      </c>
      <c r="F3764" s="607">
        <v>24086.82</v>
      </c>
      <c r="G3764" s="584">
        <v>15</v>
      </c>
    </row>
    <row r="3765" spans="1:7" ht="30" x14ac:dyDescent="0.2">
      <c r="A3765" s="583" t="s">
        <v>19457</v>
      </c>
      <c r="B3765" s="605" t="s">
        <v>19458</v>
      </c>
      <c r="C3765" s="606" t="s">
        <v>12375</v>
      </c>
      <c r="D3765" s="607">
        <v>65189.63</v>
      </c>
      <c r="E3765" s="607">
        <v>8951.32</v>
      </c>
      <c r="F3765" s="607">
        <v>74140.95</v>
      </c>
      <c r="G3765" s="584">
        <v>15</v>
      </c>
    </row>
    <row r="3766" spans="1:7" ht="30" x14ac:dyDescent="0.2">
      <c r="A3766" s="583" t="s">
        <v>19459</v>
      </c>
      <c r="B3766" s="605" t="s">
        <v>19460</v>
      </c>
      <c r="C3766" s="606" t="s">
        <v>12375</v>
      </c>
      <c r="D3766" s="607">
        <v>59436.39</v>
      </c>
      <c r="E3766" s="607">
        <v>10922.8</v>
      </c>
      <c r="F3766" s="607">
        <v>70359.19</v>
      </c>
      <c r="G3766" s="584">
        <v>15</v>
      </c>
    </row>
    <row r="3767" spans="1:7" ht="45" x14ac:dyDescent="0.2">
      <c r="A3767" s="583" t="s">
        <v>19461</v>
      </c>
      <c r="B3767" s="605" t="s">
        <v>19462</v>
      </c>
      <c r="C3767" s="606" t="s">
        <v>12375</v>
      </c>
      <c r="D3767" s="607">
        <v>6239.19</v>
      </c>
      <c r="E3767" s="607">
        <v>691.12</v>
      </c>
      <c r="F3767" s="607">
        <v>6930.31</v>
      </c>
      <c r="G3767" s="584">
        <v>15</v>
      </c>
    </row>
    <row r="3768" spans="1:7" ht="45" x14ac:dyDescent="0.2">
      <c r="A3768" s="583" t="s">
        <v>19463</v>
      </c>
      <c r="B3768" s="605" t="s">
        <v>19464</v>
      </c>
      <c r="C3768" s="606" t="s">
        <v>12375</v>
      </c>
      <c r="D3768" s="607">
        <v>6367.07</v>
      </c>
      <c r="E3768" s="607">
        <v>863.9</v>
      </c>
      <c r="F3768" s="607">
        <v>7230.97</v>
      </c>
      <c r="G3768" s="584">
        <v>15</v>
      </c>
    </row>
    <row r="3769" spans="1:7" ht="45" x14ac:dyDescent="0.2">
      <c r="A3769" s="583" t="s">
        <v>19465</v>
      </c>
      <c r="B3769" s="605" t="s">
        <v>19466</v>
      </c>
      <c r="C3769" s="606" t="s">
        <v>12375</v>
      </c>
      <c r="D3769" s="607">
        <v>6363.29</v>
      </c>
      <c r="E3769" s="607">
        <v>1036.68</v>
      </c>
      <c r="F3769" s="607">
        <v>7399.97</v>
      </c>
      <c r="G3769" s="584">
        <v>15</v>
      </c>
    </row>
    <row r="3770" spans="1:7" ht="45" x14ac:dyDescent="0.2">
      <c r="A3770" s="583" t="s">
        <v>19467</v>
      </c>
      <c r="B3770" s="605" t="s">
        <v>19468</v>
      </c>
      <c r="C3770" s="606" t="s">
        <v>12375</v>
      </c>
      <c r="D3770" s="607">
        <v>6793.74</v>
      </c>
      <c r="E3770" s="607">
        <v>1123.07</v>
      </c>
      <c r="F3770" s="607">
        <v>7916.81</v>
      </c>
      <c r="G3770" s="584">
        <v>15</v>
      </c>
    </row>
    <row r="3771" spans="1:7" ht="30" x14ac:dyDescent="0.2">
      <c r="A3771" s="583" t="s">
        <v>19469</v>
      </c>
      <c r="B3771" s="605" t="s">
        <v>19470</v>
      </c>
      <c r="C3771" s="606" t="s">
        <v>12375</v>
      </c>
      <c r="D3771" s="607">
        <v>5065.1499999999996</v>
      </c>
      <c r="E3771" s="607">
        <v>541.04999999999995</v>
      </c>
      <c r="F3771" s="607">
        <v>5606.2</v>
      </c>
      <c r="G3771" s="584">
        <v>15</v>
      </c>
    </row>
    <row r="3772" spans="1:7" ht="30" x14ac:dyDescent="0.2">
      <c r="A3772" s="583" t="s">
        <v>19471</v>
      </c>
      <c r="B3772" s="605" t="s">
        <v>19472</v>
      </c>
      <c r="C3772" s="606" t="s">
        <v>12375</v>
      </c>
      <c r="D3772" s="607">
        <v>5289.15</v>
      </c>
      <c r="E3772" s="607">
        <v>541.04999999999995</v>
      </c>
      <c r="F3772" s="607">
        <v>5830.2</v>
      </c>
      <c r="G3772" s="584">
        <v>15</v>
      </c>
    </row>
    <row r="3773" spans="1:7" ht="30" x14ac:dyDescent="0.2">
      <c r="A3773" s="583" t="s">
        <v>19473</v>
      </c>
      <c r="B3773" s="605" t="s">
        <v>19474</v>
      </c>
      <c r="C3773" s="606" t="s">
        <v>12375</v>
      </c>
      <c r="D3773" s="607">
        <v>5521.45</v>
      </c>
      <c r="E3773" s="607">
        <v>541.04999999999995</v>
      </c>
      <c r="F3773" s="607">
        <v>6062.5</v>
      </c>
      <c r="G3773" s="584">
        <v>15</v>
      </c>
    </row>
    <row r="3774" spans="1:7" ht="15" x14ac:dyDescent="0.2">
      <c r="A3774" s="583" t="s">
        <v>19475</v>
      </c>
      <c r="B3774" s="605" t="s">
        <v>20245</v>
      </c>
      <c r="C3774" s="606" t="s">
        <v>12483</v>
      </c>
      <c r="D3774" s="607">
        <v>13.72</v>
      </c>
      <c r="E3774" s="607">
        <v>15</v>
      </c>
      <c r="F3774" s="607">
        <v>28.72</v>
      </c>
      <c r="G3774" s="584">
        <v>15</v>
      </c>
    </row>
    <row r="3775" spans="1:7" ht="15" x14ac:dyDescent="0.2">
      <c r="A3775" s="583" t="s">
        <v>19476</v>
      </c>
      <c r="B3775" s="605" t="s">
        <v>20246</v>
      </c>
      <c r="C3775" s="606" t="s">
        <v>12483</v>
      </c>
      <c r="D3775" s="607">
        <v>20.67</v>
      </c>
      <c r="E3775" s="607">
        <v>15</v>
      </c>
      <c r="F3775" s="607">
        <v>35.67</v>
      </c>
      <c r="G3775" s="584">
        <v>15</v>
      </c>
    </row>
    <row r="3776" spans="1:7" ht="15" x14ac:dyDescent="0.2">
      <c r="A3776" s="583" t="s">
        <v>19477</v>
      </c>
      <c r="B3776" s="605" t="s">
        <v>20247</v>
      </c>
      <c r="C3776" s="606" t="s">
        <v>12483</v>
      </c>
      <c r="D3776" s="607">
        <v>21.83</v>
      </c>
      <c r="E3776" s="607">
        <v>15</v>
      </c>
      <c r="F3776" s="607">
        <v>36.83</v>
      </c>
      <c r="G3776" s="584">
        <v>15</v>
      </c>
    </row>
    <row r="3777" spans="1:7" ht="15" x14ac:dyDescent="0.2">
      <c r="A3777" s="583" t="s">
        <v>19478</v>
      </c>
      <c r="B3777" s="605" t="s">
        <v>19479</v>
      </c>
      <c r="C3777" s="606" t="s">
        <v>12427</v>
      </c>
      <c r="D3777" s="607">
        <v>100.1</v>
      </c>
      <c r="E3777" s="607">
        <v>107.99</v>
      </c>
      <c r="F3777" s="607">
        <v>208.09</v>
      </c>
      <c r="G3777" s="584">
        <v>15</v>
      </c>
    </row>
    <row r="3778" spans="1:7" ht="30" x14ac:dyDescent="0.2">
      <c r="A3778" s="583" t="s">
        <v>19480</v>
      </c>
      <c r="B3778" s="605" t="s">
        <v>19481</v>
      </c>
      <c r="C3778" s="606" t="s">
        <v>12427</v>
      </c>
      <c r="D3778" s="607">
        <v>6815.07</v>
      </c>
      <c r="E3778" s="607"/>
      <c r="F3778" s="607">
        <v>6815.07</v>
      </c>
      <c r="G3778" s="584">
        <v>15</v>
      </c>
    </row>
    <row r="3779" spans="1:7" ht="15" x14ac:dyDescent="0.2">
      <c r="A3779" s="583" t="s">
        <v>19482</v>
      </c>
      <c r="B3779" s="605" t="s">
        <v>19483</v>
      </c>
      <c r="C3779" s="606" t="s">
        <v>12427</v>
      </c>
      <c r="D3779" s="607">
        <v>2043.51</v>
      </c>
      <c r="E3779" s="607">
        <v>140.09</v>
      </c>
      <c r="F3779" s="607">
        <v>2183.6</v>
      </c>
      <c r="G3779" s="584">
        <v>15</v>
      </c>
    </row>
    <row r="3780" spans="1:7" ht="15" x14ac:dyDescent="0.2">
      <c r="A3780" s="583" t="s">
        <v>19484</v>
      </c>
      <c r="B3780" s="605" t="s">
        <v>19485</v>
      </c>
      <c r="C3780" s="606" t="s">
        <v>12427</v>
      </c>
      <c r="D3780" s="607">
        <v>1724.69</v>
      </c>
      <c r="E3780" s="607">
        <v>108.26</v>
      </c>
      <c r="F3780" s="607">
        <v>1832.95</v>
      </c>
      <c r="G3780" s="584">
        <v>15</v>
      </c>
    </row>
    <row r="3781" spans="1:7" ht="15" x14ac:dyDescent="0.2">
      <c r="A3781" s="583" t="s">
        <v>19486</v>
      </c>
      <c r="B3781" s="605" t="s">
        <v>19487</v>
      </c>
      <c r="C3781" s="606" t="s">
        <v>12427</v>
      </c>
      <c r="D3781" s="607">
        <v>1344.06</v>
      </c>
      <c r="E3781" s="607">
        <v>95.53</v>
      </c>
      <c r="F3781" s="607">
        <v>1439.59</v>
      </c>
      <c r="G3781" s="584">
        <v>15</v>
      </c>
    </row>
    <row r="3782" spans="1:7" ht="15" x14ac:dyDescent="0.2">
      <c r="A3782" s="583" t="s">
        <v>19488</v>
      </c>
      <c r="B3782" s="605" t="s">
        <v>19489</v>
      </c>
      <c r="C3782" s="606" t="s">
        <v>12375</v>
      </c>
      <c r="D3782" s="607"/>
      <c r="E3782" s="607">
        <v>406.88</v>
      </c>
      <c r="F3782" s="607">
        <v>406.88</v>
      </c>
      <c r="G3782" s="584">
        <v>15</v>
      </c>
    </row>
    <row r="3783" spans="1:7" ht="30" x14ac:dyDescent="0.2">
      <c r="A3783" s="583" t="s">
        <v>19490</v>
      </c>
      <c r="B3783" s="605" t="s">
        <v>19491</v>
      </c>
      <c r="C3783" s="606" t="s">
        <v>12375</v>
      </c>
      <c r="D3783" s="607">
        <v>9575.85</v>
      </c>
      <c r="E3783" s="607">
        <v>1727.8</v>
      </c>
      <c r="F3783" s="607">
        <v>11303.65</v>
      </c>
      <c r="G3783" s="584">
        <v>15</v>
      </c>
    </row>
    <row r="3784" spans="1:7" ht="15" x14ac:dyDescent="0.2">
      <c r="A3784" s="583" t="s">
        <v>19492</v>
      </c>
      <c r="B3784" s="605" t="s">
        <v>19493</v>
      </c>
      <c r="C3784" s="606" t="s">
        <v>12375</v>
      </c>
      <c r="D3784" s="607">
        <v>187.26</v>
      </c>
      <c r="E3784" s="607">
        <v>50.95</v>
      </c>
      <c r="F3784" s="607">
        <v>238.21</v>
      </c>
      <c r="G3784" s="584">
        <v>15</v>
      </c>
    </row>
    <row r="3785" spans="1:7" ht="30" x14ac:dyDescent="0.2">
      <c r="A3785" s="583" t="s">
        <v>19494</v>
      </c>
      <c r="B3785" s="605" t="s">
        <v>19495</v>
      </c>
      <c r="C3785" s="606" t="s">
        <v>12375</v>
      </c>
      <c r="D3785" s="607">
        <v>1231.52</v>
      </c>
      <c r="E3785" s="607">
        <v>146.46</v>
      </c>
      <c r="F3785" s="607">
        <v>1377.98</v>
      </c>
      <c r="G3785" s="584">
        <v>15</v>
      </c>
    </row>
    <row r="3786" spans="1:7" ht="30" x14ac:dyDescent="0.2">
      <c r="A3786" s="583" t="s">
        <v>19496</v>
      </c>
      <c r="B3786" s="605" t="s">
        <v>19497</v>
      </c>
      <c r="C3786" s="606" t="s">
        <v>12427</v>
      </c>
      <c r="D3786" s="607">
        <v>4319.93</v>
      </c>
      <c r="E3786" s="607">
        <v>222.89</v>
      </c>
      <c r="F3786" s="607">
        <v>4542.82</v>
      </c>
      <c r="G3786" s="584">
        <v>15</v>
      </c>
    </row>
    <row r="3787" spans="1:7" ht="15" x14ac:dyDescent="0.2">
      <c r="A3787" s="583" t="s">
        <v>19498</v>
      </c>
      <c r="B3787" s="605" t="s">
        <v>19499</v>
      </c>
      <c r="C3787" s="606" t="s">
        <v>12483</v>
      </c>
      <c r="D3787" s="607">
        <v>4710.45</v>
      </c>
      <c r="E3787" s="607">
        <v>55.83</v>
      </c>
      <c r="F3787" s="607">
        <v>4766.28</v>
      </c>
      <c r="G3787" s="584">
        <v>15</v>
      </c>
    </row>
    <row r="3788" spans="1:7" ht="15" x14ac:dyDescent="0.2">
      <c r="A3788" s="583" t="s">
        <v>19500</v>
      </c>
      <c r="B3788" s="605" t="s">
        <v>19501</v>
      </c>
      <c r="C3788" s="606" t="s">
        <v>12375</v>
      </c>
      <c r="D3788" s="607">
        <v>94.17</v>
      </c>
      <c r="E3788" s="607">
        <v>50.95</v>
      </c>
      <c r="F3788" s="607">
        <v>145.12</v>
      </c>
      <c r="G3788" s="584">
        <v>15</v>
      </c>
    </row>
    <row r="3789" spans="1:7" ht="15" x14ac:dyDescent="0.2">
      <c r="A3789" s="583" t="s">
        <v>19502</v>
      </c>
      <c r="B3789" s="605" t="s">
        <v>19503</v>
      </c>
      <c r="C3789" s="606" t="s">
        <v>12375</v>
      </c>
      <c r="D3789" s="607">
        <v>135</v>
      </c>
      <c r="E3789" s="607">
        <v>50.95</v>
      </c>
      <c r="F3789" s="607">
        <v>185.95</v>
      </c>
      <c r="G3789" s="584">
        <v>15</v>
      </c>
    </row>
    <row r="3790" spans="1:7" ht="15" x14ac:dyDescent="0.2">
      <c r="A3790" s="583" t="s">
        <v>19504</v>
      </c>
      <c r="B3790" s="605" t="s">
        <v>19505</v>
      </c>
      <c r="C3790" s="606" t="s">
        <v>12375</v>
      </c>
      <c r="D3790" s="607">
        <v>376.96</v>
      </c>
      <c r="E3790" s="607">
        <v>50.95</v>
      </c>
      <c r="F3790" s="607">
        <v>427.91</v>
      </c>
      <c r="G3790" s="584">
        <v>15</v>
      </c>
    </row>
    <row r="3791" spans="1:7" ht="15" x14ac:dyDescent="0.2">
      <c r="A3791" s="583" t="s">
        <v>19506</v>
      </c>
      <c r="B3791" s="605" t="s">
        <v>19507</v>
      </c>
      <c r="C3791" s="606" t="s">
        <v>12375</v>
      </c>
      <c r="D3791" s="607">
        <v>295.23</v>
      </c>
      <c r="E3791" s="607">
        <v>50.95</v>
      </c>
      <c r="F3791" s="607">
        <v>346.18</v>
      </c>
      <c r="G3791" s="584">
        <v>15</v>
      </c>
    </row>
    <row r="3792" spans="1:7" ht="30" x14ac:dyDescent="0.2">
      <c r="A3792" s="583" t="s">
        <v>19508</v>
      </c>
      <c r="B3792" s="605" t="s">
        <v>19509</v>
      </c>
      <c r="C3792" s="606" t="s">
        <v>12427</v>
      </c>
      <c r="D3792" s="607">
        <v>3412.1</v>
      </c>
      <c r="E3792" s="607">
        <v>312.02999999999997</v>
      </c>
      <c r="F3792" s="607">
        <v>3724.13</v>
      </c>
      <c r="G3792" s="584">
        <v>15</v>
      </c>
    </row>
    <row r="3793" spans="1:7" ht="30" x14ac:dyDescent="0.2">
      <c r="A3793" s="583" t="s">
        <v>19510</v>
      </c>
      <c r="B3793" s="605" t="s">
        <v>19511</v>
      </c>
      <c r="C3793" s="606" t="s">
        <v>12427</v>
      </c>
      <c r="D3793" s="607">
        <v>2319.23</v>
      </c>
      <c r="E3793" s="607">
        <v>127.36</v>
      </c>
      <c r="F3793" s="607">
        <v>2446.59</v>
      </c>
      <c r="G3793" s="584">
        <v>15</v>
      </c>
    </row>
    <row r="3794" spans="1:7" ht="30" x14ac:dyDescent="0.2">
      <c r="A3794" s="583" t="s">
        <v>19512</v>
      </c>
      <c r="B3794" s="605" t="s">
        <v>19513</v>
      </c>
      <c r="C3794" s="606" t="s">
        <v>12427</v>
      </c>
      <c r="D3794" s="607">
        <v>1818.21</v>
      </c>
      <c r="E3794" s="607">
        <v>63.68</v>
      </c>
      <c r="F3794" s="607">
        <v>1881.89</v>
      </c>
      <c r="G3794" s="584">
        <v>15</v>
      </c>
    </row>
    <row r="3795" spans="1:7" ht="15" x14ac:dyDescent="0.2">
      <c r="A3795" s="583" t="s">
        <v>19514</v>
      </c>
      <c r="B3795" s="605" t="s">
        <v>19515</v>
      </c>
      <c r="C3795" s="606" t="s">
        <v>12427</v>
      </c>
      <c r="D3795" s="607">
        <v>1766.23</v>
      </c>
      <c r="E3795" s="607">
        <v>140.09</v>
      </c>
      <c r="F3795" s="607">
        <v>1906.32</v>
      </c>
      <c r="G3795" s="584">
        <v>15</v>
      </c>
    </row>
    <row r="3796" spans="1:7" ht="15" x14ac:dyDescent="0.2">
      <c r="A3796" s="583" t="s">
        <v>19516</v>
      </c>
      <c r="B3796" s="605" t="s">
        <v>19517</v>
      </c>
      <c r="C3796" s="606" t="s">
        <v>12427</v>
      </c>
      <c r="D3796" s="607">
        <v>2270.0700000000002</v>
      </c>
      <c r="E3796" s="607">
        <v>184.67</v>
      </c>
      <c r="F3796" s="607">
        <v>2454.7399999999998</v>
      </c>
      <c r="G3796" s="584">
        <v>15</v>
      </c>
    </row>
    <row r="3797" spans="1:7" ht="15" x14ac:dyDescent="0.2">
      <c r="A3797" s="583" t="s">
        <v>19518</v>
      </c>
      <c r="B3797" s="605" t="s">
        <v>19519</v>
      </c>
      <c r="C3797" s="606" t="s">
        <v>12427</v>
      </c>
      <c r="D3797" s="607">
        <v>3943.82</v>
      </c>
      <c r="E3797" s="607">
        <v>305.67</v>
      </c>
      <c r="F3797" s="607">
        <v>4249.49</v>
      </c>
      <c r="G3797" s="584">
        <v>15</v>
      </c>
    </row>
    <row r="3798" spans="1:7" ht="30" x14ac:dyDescent="0.2">
      <c r="A3798" s="583" t="s">
        <v>19520</v>
      </c>
      <c r="B3798" s="605" t="s">
        <v>19521</v>
      </c>
      <c r="C3798" s="606" t="s">
        <v>12427</v>
      </c>
      <c r="D3798" s="607">
        <v>2648</v>
      </c>
      <c r="E3798" s="607">
        <v>229.25</v>
      </c>
      <c r="F3798" s="607">
        <v>2877.25</v>
      </c>
      <c r="G3798" s="584">
        <v>15</v>
      </c>
    </row>
    <row r="3799" spans="1:7" ht="30" x14ac:dyDescent="0.2">
      <c r="A3799" s="583" t="s">
        <v>19522</v>
      </c>
      <c r="B3799" s="605" t="s">
        <v>19523</v>
      </c>
      <c r="C3799" s="606" t="s">
        <v>12427</v>
      </c>
      <c r="D3799" s="607">
        <v>1926.68</v>
      </c>
      <c r="E3799" s="607">
        <v>159.21</v>
      </c>
      <c r="F3799" s="607">
        <v>2085.89</v>
      </c>
      <c r="G3799" s="584">
        <v>15</v>
      </c>
    </row>
    <row r="3800" spans="1:7" ht="30" x14ac:dyDescent="0.2">
      <c r="A3800" s="583" t="s">
        <v>19524</v>
      </c>
      <c r="B3800" s="605" t="s">
        <v>19525</v>
      </c>
      <c r="C3800" s="606" t="s">
        <v>12427</v>
      </c>
      <c r="D3800" s="607">
        <v>1543.57</v>
      </c>
      <c r="E3800" s="607">
        <v>127.36</v>
      </c>
      <c r="F3800" s="607">
        <v>1670.93</v>
      </c>
      <c r="G3800" s="584">
        <v>15</v>
      </c>
    </row>
    <row r="3801" spans="1:7" ht="30" x14ac:dyDescent="0.2">
      <c r="A3801" s="583" t="s">
        <v>19526</v>
      </c>
      <c r="B3801" s="605" t="s">
        <v>19527</v>
      </c>
      <c r="C3801" s="606" t="s">
        <v>12427</v>
      </c>
      <c r="D3801" s="607">
        <v>1377.11</v>
      </c>
      <c r="E3801" s="607">
        <v>108.26</v>
      </c>
      <c r="F3801" s="607">
        <v>1485.37</v>
      </c>
      <c r="G3801" s="584">
        <v>15</v>
      </c>
    </row>
    <row r="3802" spans="1:7" ht="30" x14ac:dyDescent="0.2">
      <c r="A3802" s="583" t="s">
        <v>19528</v>
      </c>
      <c r="B3802" s="605" t="s">
        <v>19529</v>
      </c>
      <c r="C3802" s="606" t="s">
        <v>12427</v>
      </c>
      <c r="D3802" s="607">
        <v>1224.81</v>
      </c>
      <c r="E3802" s="607">
        <v>95.53</v>
      </c>
      <c r="F3802" s="607">
        <v>1320.34</v>
      </c>
      <c r="G3802" s="584">
        <v>15</v>
      </c>
    </row>
    <row r="3803" spans="1:7" ht="15" x14ac:dyDescent="0.2">
      <c r="A3803" s="583" t="s">
        <v>19530</v>
      </c>
      <c r="B3803" s="605" t="s">
        <v>19531</v>
      </c>
      <c r="C3803" s="606" t="s">
        <v>12427</v>
      </c>
      <c r="D3803" s="607">
        <v>1389.74</v>
      </c>
      <c r="E3803" s="607">
        <v>127.36</v>
      </c>
      <c r="F3803" s="607">
        <v>1517.1</v>
      </c>
      <c r="G3803" s="584">
        <v>15</v>
      </c>
    </row>
    <row r="3804" spans="1:7" ht="15" x14ac:dyDescent="0.2">
      <c r="A3804" s="583" t="s">
        <v>19532</v>
      </c>
      <c r="B3804" s="605" t="s">
        <v>19533</v>
      </c>
      <c r="C3804" s="606" t="s">
        <v>12427</v>
      </c>
      <c r="D3804" s="607">
        <v>1512.67</v>
      </c>
      <c r="E3804" s="607">
        <v>76.41</v>
      </c>
      <c r="F3804" s="607">
        <v>1589.08</v>
      </c>
      <c r="G3804" s="584">
        <v>15</v>
      </c>
    </row>
    <row r="3805" spans="1:7" ht="15" x14ac:dyDescent="0.2">
      <c r="A3805" s="583" t="s">
        <v>19534</v>
      </c>
      <c r="B3805" s="605" t="s">
        <v>19535</v>
      </c>
      <c r="C3805" s="606" t="s">
        <v>12375</v>
      </c>
      <c r="D3805" s="607">
        <v>207.3</v>
      </c>
      <c r="E3805" s="607">
        <v>57.31</v>
      </c>
      <c r="F3805" s="607">
        <v>264.61</v>
      </c>
      <c r="G3805" s="584">
        <v>15</v>
      </c>
    </row>
    <row r="3806" spans="1:7" ht="15" x14ac:dyDescent="0.2">
      <c r="A3806" s="583" t="s">
        <v>19536</v>
      </c>
      <c r="B3806" s="605" t="s">
        <v>19537</v>
      </c>
      <c r="C3806" s="606" t="s">
        <v>12375</v>
      </c>
      <c r="D3806" s="607">
        <v>321.10000000000002</v>
      </c>
      <c r="E3806" s="607">
        <v>76.41</v>
      </c>
      <c r="F3806" s="607">
        <v>397.51</v>
      </c>
      <c r="G3806" s="584">
        <v>15</v>
      </c>
    </row>
    <row r="3807" spans="1:7" ht="15" x14ac:dyDescent="0.25">
      <c r="A3807" s="583" t="s">
        <v>19538</v>
      </c>
      <c r="B3807" s="605" t="s">
        <v>19539</v>
      </c>
      <c r="C3807" s="606"/>
      <c r="D3807" s="607"/>
      <c r="E3807" s="607"/>
      <c r="F3807" s="607"/>
      <c r="G3807" s="582"/>
    </row>
    <row r="3808" spans="1:7" ht="30" x14ac:dyDescent="0.2">
      <c r="A3808" s="583" t="s">
        <v>19540</v>
      </c>
      <c r="B3808" s="605" t="s">
        <v>19541</v>
      </c>
      <c r="C3808" s="606" t="s">
        <v>12375</v>
      </c>
      <c r="D3808" s="607">
        <v>5046.42</v>
      </c>
      <c r="E3808" s="607">
        <v>382.08</v>
      </c>
      <c r="F3808" s="607">
        <v>5428.5</v>
      </c>
      <c r="G3808" s="584">
        <v>15</v>
      </c>
    </row>
    <row r="3809" spans="1:7" ht="30" x14ac:dyDescent="0.2">
      <c r="A3809" s="583" t="s">
        <v>19542</v>
      </c>
      <c r="B3809" s="605" t="s">
        <v>19543</v>
      </c>
      <c r="C3809" s="606" t="s">
        <v>12375</v>
      </c>
      <c r="D3809" s="607">
        <v>18571.71</v>
      </c>
      <c r="E3809" s="607">
        <v>382.08</v>
      </c>
      <c r="F3809" s="607">
        <v>18953.79</v>
      </c>
      <c r="G3809" s="584">
        <v>15</v>
      </c>
    </row>
    <row r="3810" spans="1:7" ht="30" x14ac:dyDescent="0.2">
      <c r="A3810" s="583" t="s">
        <v>19544</v>
      </c>
      <c r="B3810" s="605" t="s">
        <v>19545</v>
      </c>
      <c r="C3810" s="606" t="s">
        <v>12375</v>
      </c>
      <c r="D3810" s="607">
        <v>10258.56</v>
      </c>
      <c r="E3810" s="607">
        <v>334.98</v>
      </c>
      <c r="F3810" s="607">
        <v>10593.54</v>
      </c>
      <c r="G3810" s="584">
        <v>15</v>
      </c>
    </row>
    <row r="3811" spans="1:7" ht="30" x14ac:dyDescent="0.2">
      <c r="A3811" s="583" t="s">
        <v>19546</v>
      </c>
      <c r="B3811" s="605" t="s">
        <v>19547</v>
      </c>
      <c r="C3811" s="606" t="s">
        <v>12375</v>
      </c>
      <c r="D3811" s="607">
        <v>6928.42</v>
      </c>
      <c r="E3811" s="607">
        <v>334.98</v>
      </c>
      <c r="F3811" s="607">
        <v>7263.4</v>
      </c>
      <c r="G3811" s="584">
        <v>15</v>
      </c>
    </row>
    <row r="3812" spans="1:7" ht="30" x14ac:dyDescent="0.2">
      <c r="A3812" s="583" t="s">
        <v>19548</v>
      </c>
      <c r="B3812" s="605" t="s">
        <v>19549</v>
      </c>
      <c r="C3812" s="606" t="s">
        <v>12375</v>
      </c>
      <c r="D3812" s="607">
        <v>3508.15</v>
      </c>
      <c r="E3812" s="607">
        <v>334.98</v>
      </c>
      <c r="F3812" s="607">
        <v>3843.13</v>
      </c>
      <c r="G3812" s="584">
        <v>15</v>
      </c>
    </row>
    <row r="3813" spans="1:7" ht="30" x14ac:dyDescent="0.2">
      <c r="A3813" s="583" t="s">
        <v>19550</v>
      </c>
      <c r="B3813" s="605" t="s">
        <v>20248</v>
      </c>
      <c r="C3813" s="606" t="s">
        <v>12375</v>
      </c>
      <c r="D3813" s="607">
        <v>3962.85</v>
      </c>
      <c r="E3813" s="607">
        <v>334.98</v>
      </c>
      <c r="F3813" s="607">
        <v>4297.83</v>
      </c>
      <c r="G3813" s="584">
        <v>15</v>
      </c>
    </row>
    <row r="3814" spans="1:7" ht="30" x14ac:dyDescent="0.2">
      <c r="A3814" s="583" t="s">
        <v>19551</v>
      </c>
      <c r="B3814" s="605" t="s">
        <v>19552</v>
      </c>
      <c r="C3814" s="606" t="s">
        <v>12375</v>
      </c>
      <c r="D3814" s="607">
        <v>14741.73</v>
      </c>
      <c r="E3814" s="607">
        <v>785.4</v>
      </c>
      <c r="F3814" s="607">
        <v>15527.13</v>
      </c>
      <c r="G3814" s="584">
        <v>15</v>
      </c>
    </row>
    <row r="3815" spans="1:7" ht="15" x14ac:dyDescent="0.25">
      <c r="A3815" s="583" t="s">
        <v>19553</v>
      </c>
      <c r="B3815" s="605" t="s">
        <v>19554</v>
      </c>
      <c r="C3815" s="606"/>
      <c r="D3815" s="607"/>
      <c r="E3815" s="607"/>
      <c r="F3815" s="607"/>
      <c r="G3815" s="582"/>
    </row>
    <row r="3816" spans="1:7" ht="30" x14ac:dyDescent="0.2">
      <c r="A3816" s="583" t="s">
        <v>19555</v>
      </c>
      <c r="B3816" s="605" t="s">
        <v>19556</v>
      </c>
      <c r="C3816" s="606" t="s">
        <v>12375</v>
      </c>
      <c r="D3816" s="607">
        <v>153.16999999999999</v>
      </c>
      <c r="E3816" s="607">
        <v>2.8</v>
      </c>
      <c r="F3816" s="607">
        <v>155.97</v>
      </c>
      <c r="G3816" s="584">
        <v>15</v>
      </c>
    </row>
    <row r="3817" spans="1:7" ht="15" x14ac:dyDescent="0.2">
      <c r="A3817" s="583" t="s">
        <v>19557</v>
      </c>
      <c r="B3817" s="605" t="s">
        <v>19558</v>
      </c>
      <c r="C3817" s="606" t="s">
        <v>12375</v>
      </c>
      <c r="D3817" s="607">
        <v>9.89</v>
      </c>
      <c r="E3817" s="607">
        <v>16.75</v>
      </c>
      <c r="F3817" s="607">
        <v>26.64</v>
      </c>
      <c r="G3817" s="584">
        <v>15</v>
      </c>
    </row>
    <row r="3818" spans="1:7" ht="30" x14ac:dyDescent="0.2">
      <c r="A3818" s="583" t="s">
        <v>19559</v>
      </c>
      <c r="B3818" s="605" t="s">
        <v>19560</v>
      </c>
      <c r="C3818" s="606" t="s">
        <v>12375</v>
      </c>
      <c r="D3818" s="607">
        <v>218.14</v>
      </c>
      <c r="E3818" s="607">
        <v>2.8</v>
      </c>
      <c r="F3818" s="607">
        <v>220.94</v>
      </c>
      <c r="G3818" s="584">
        <v>15</v>
      </c>
    </row>
    <row r="3819" spans="1:7" ht="30" x14ac:dyDescent="0.2">
      <c r="A3819" s="583" t="s">
        <v>19561</v>
      </c>
      <c r="B3819" s="605" t="s">
        <v>19562</v>
      </c>
      <c r="C3819" s="606" t="s">
        <v>12375</v>
      </c>
      <c r="D3819" s="607">
        <v>2570.0100000000002</v>
      </c>
      <c r="E3819" s="607">
        <v>16.96</v>
      </c>
      <c r="F3819" s="607">
        <v>2586.9699999999998</v>
      </c>
      <c r="G3819" s="584">
        <v>15</v>
      </c>
    </row>
    <row r="3820" spans="1:7" ht="30" x14ac:dyDescent="0.2">
      <c r="A3820" s="583" t="s">
        <v>19563</v>
      </c>
      <c r="B3820" s="605" t="s">
        <v>20249</v>
      </c>
      <c r="C3820" s="606" t="s">
        <v>12375</v>
      </c>
      <c r="D3820" s="607">
        <v>2561.5</v>
      </c>
      <c r="E3820" s="607">
        <v>25.43</v>
      </c>
      <c r="F3820" s="607">
        <v>2586.9299999999998</v>
      </c>
      <c r="G3820" s="584">
        <v>15</v>
      </c>
    </row>
    <row r="3821" spans="1:7" ht="15" x14ac:dyDescent="0.2">
      <c r="A3821" s="583" t="s">
        <v>19564</v>
      </c>
      <c r="B3821" s="605" t="s">
        <v>20250</v>
      </c>
      <c r="C3821" s="606" t="s">
        <v>12375</v>
      </c>
      <c r="D3821" s="607">
        <v>1045.6099999999999</v>
      </c>
      <c r="E3821" s="607">
        <v>19.75</v>
      </c>
      <c r="F3821" s="607">
        <v>1065.3599999999999</v>
      </c>
      <c r="G3821" s="584">
        <v>15</v>
      </c>
    </row>
    <row r="3822" spans="1:7" ht="30" x14ac:dyDescent="0.2">
      <c r="A3822" s="583" t="s">
        <v>19565</v>
      </c>
      <c r="B3822" s="605" t="s">
        <v>20251</v>
      </c>
      <c r="C3822" s="606" t="s">
        <v>12375</v>
      </c>
      <c r="D3822" s="607">
        <v>3027.47</v>
      </c>
      <c r="E3822" s="607">
        <v>25.43</v>
      </c>
      <c r="F3822" s="607">
        <v>3052.9</v>
      </c>
      <c r="G3822" s="584">
        <v>15</v>
      </c>
    </row>
    <row r="3823" spans="1:7" ht="15" x14ac:dyDescent="0.2">
      <c r="A3823" s="583" t="s">
        <v>19566</v>
      </c>
      <c r="B3823" s="605" t="s">
        <v>20252</v>
      </c>
      <c r="C3823" s="606" t="s">
        <v>12375</v>
      </c>
      <c r="D3823" s="607">
        <v>394.61</v>
      </c>
      <c r="E3823" s="607">
        <v>25.43</v>
      </c>
      <c r="F3823" s="607">
        <v>420.04</v>
      </c>
      <c r="G3823" s="584">
        <v>15</v>
      </c>
    </row>
    <row r="3824" spans="1:7" ht="30" x14ac:dyDescent="0.2">
      <c r="A3824" s="583" t="s">
        <v>19567</v>
      </c>
      <c r="B3824" s="605" t="s">
        <v>20253</v>
      </c>
      <c r="C3824" s="606" t="s">
        <v>12375</v>
      </c>
      <c r="D3824" s="607">
        <v>2514.92</v>
      </c>
      <c r="E3824" s="607">
        <v>25.43</v>
      </c>
      <c r="F3824" s="607">
        <v>2540.35</v>
      </c>
      <c r="G3824" s="584">
        <v>15</v>
      </c>
    </row>
    <row r="3825" spans="1:7" ht="30" x14ac:dyDescent="0.2">
      <c r="A3825" s="583" t="s">
        <v>19568</v>
      </c>
      <c r="B3825" s="605" t="s">
        <v>19569</v>
      </c>
      <c r="C3825" s="606" t="s">
        <v>12375</v>
      </c>
      <c r="D3825" s="607">
        <v>1150.6500000000001</v>
      </c>
      <c r="E3825" s="607">
        <v>16.96</v>
      </c>
      <c r="F3825" s="607">
        <v>1167.6099999999999</v>
      </c>
      <c r="G3825" s="584">
        <v>15</v>
      </c>
    </row>
    <row r="3826" spans="1:7" ht="15" x14ac:dyDescent="0.2">
      <c r="A3826" s="583" t="s">
        <v>19570</v>
      </c>
      <c r="B3826" s="605" t="s">
        <v>20254</v>
      </c>
      <c r="C3826" s="606" t="s">
        <v>12375</v>
      </c>
      <c r="D3826" s="607">
        <v>2559.9499999999998</v>
      </c>
      <c r="E3826" s="607">
        <v>19.75</v>
      </c>
      <c r="F3826" s="607">
        <v>2579.6999999999998</v>
      </c>
      <c r="G3826" s="584">
        <v>15</v>
      </c>
    </row>
    <row r="3827" spans="1:7" ht="15" x14ac:dyDescent="0.2">
      <c r="A3827" s="583" t="s">
        <v>19571</v>
      </c>
      <c r="B3827" s="605" t="s">
        <v>19572</v>
      </c>
      <c r="C3827" s="606" t="s">
        <v>12375</v>
      </c>
      <c r="D3827" s="607">
        <v>118.05</v>
      </c>
      <c r="E3827" s="607">
        <v>8.3800000000000008</v>
      </c>
      <c r="F3827" s="607">
        <v>126.43</v>
      </c>
      <c r="G3827" s="584">
        <v>15</v>
      </c>
    </row>
    <row r="3828" spans="1:7" ht="15" x14ac:dyDescent="0.2">
      <c r="A3828" s="583" t="s">
        <v>19573</v>
      </c>
      <c r="B3828" s="605" t="s">
        <v>19574</v>
      </c>
      <c r="C3828" s="606" t="s">
        <v>12375</v>
      </c>
      <c r="D3828" s="607">
        <v>271.25</v>
      </c>
      <c r="E3828" s="607">
        <v>84.1</v>
      </c>
      <c r="F3828" s="607">
        <v>355.35</v>
      </c>
      <c r="G3828" s="584">
        <v>15</v>
      </c>
    </row>
    <row r="3829" spans="1:7" ht="15" x14ac:dyDescent="0.2">
      <c r="A3829" s="583" t="s">
        <v>19575</v>
      </c>
      <c r="B3829" s="605" t="s">
        <v>19576</v>
      </c>
      <c r="C3829" s="606" t="s">
        <v>12375</v>
      </c>
      <c r="D3829" s="607">
        <v>1777.83</v>
      </c>
      <c r="E3829" s="607">
        <v>57.57</v>
      </c>
      <c r="F3829" s="607">
        <v>1835.4</v>
      </c>
      <c r="G3829" s="584">
        <v>15</v>
      </c>
    </row>
    <row r="3830" spans="1:7" ht="15" x14ac:dyDescent="0.2">
      <c r="A3830" s="583" t="s">
        <v>19577</v>
      </c>
      <c r="B3830" s="605" t="s">
        <v>19578</v>
      </c>
      <c r="C3830" s="606" t="s">
        <v>12375</v>
      </c>
      <c r="D3830" s="607">
        <v>333.36</v>
      </c>
      <c r="E3830" s="607">
        <v>41.87</v>
      </c>
      <c r="F3830" s="607">
        <v>375.23</v>
      </c>
      <c r="G3830" s="584">
        <v>15</v>
      </c>
    </row>
    <row r="3831" spans="1:7" ht="15" x14ac:dyDescent="0.2">
      <c r="A3831" s="583" t="s">
        <v>19579</v>
      </c>
      <c r="B3831" s="605" t="s">
        <v>21455</v>
      </c>
      <c r="C3831" s="606" t="s">
        <v>12375</v>
      </c>
      <c r="D3831" s="607">
        <v>367.59</v>
      </c>
      <c r="E3831" s="607">
        <v>84.1</v>
      </c>
      <c r="F3831" s="607">
        <v>451.69</v>
      </c>
      <c r="G3831" s="584">
        <v>15</v>
      </c>
    </row>
    <row r="3832" spans="1:7" ht="30" x14ac:dyDescent="0.2">
      <c r="A3832" s="583" t="s">
        <v>19580</v>
      </c>
      <c r="B3832" s="605" t="s">
        <v>19581</v>
      </c>
      <c r="C3832" s="606" t="s">
        <v>12375</v>
      </c>
      <c r="D3832" s="607">
        <v>73.56</v>
      </c>
      <c r="E3832" s="607">
        <v>91.96</v>
      </c>
      <c r="F3832" s="607">
        <v>165.52</v>
      </c>
      <c r="G3832" s="584">
        <v>15</v>
      </c>
    </row>
    <row r="3833" spans="1:7" ht="15" x14ac:dyDescent="0.2">
      <c r="A3833" s="583" t="s">
        <v>19582</v>
      </c>
      <c r="B3833" s="605" t="s">
        <v>19583</v>
      </c>
      <c r="C3833" s="606" t="s">
        <v>12375</v>
      </c>
      <c r="D3833" s="607">
        <v>1600.18</v>
      </c>
      <c r="E3833" s="607">
        <v>84.1</v>
      </c>
      <c r="F3833" s="607">
        <v>1684.28</v>
      </c>
      <c r="G3833" s="584">
        <v>15</v>
      </c>
    </row>
    <row r="3834" spans="1:7" ht="30" x14ac:dyDescent="0.2">
      <c r="A3834" s="583" t="s">
        <v>19584</v>
      </c>
      <c r="B3834" s="605" t="s">
        <v>19585</v>
      </c>
      <c r="C3834" s="606" t="s">
        <v>12375</v>
      </c>
      <c r="D3834" s="607">
        <v>1018.56</v>
      </c>
      <c r="E3834" s="607">
        <v>84.1</v>
      </c>
      <c r="F3834" s="607">
        <v>1102.6600000000001</v>
      </c>
      <c r="G3834" s="584">
        <v>15</v>
      </c>
    </row>
    <row r="3835" spans="1:7" ht="30" x14ac:dyDescent="0.2">
      <c r="A3835" s="583" t="s">
        <v>19586</v>
      </c>
      <c r="B3835" s="605" t="s">
        <v>19587</v>
      </c>
      <c r="C3835" s="606" t="s">
        <v>12375</v>
      </c>
      <c r="D3835" s="607">
        <v>1862.77</v>
      </c>
      <c r="E3835" s="607">
        <v>84.1</v>
      </c>
      <c r="F3835" s="607">
        <v>1946.87</v>
      </c>
      <c r="G3835" s="584">
        <v>15</v>
      </c>
    </row>
    <row r="3836" spans="1:7" ht="15" x14ac:dyDescent="0.2">
      <c r="A3836" s="583" t="s">
        <v>19588</v>
      </c>
      <c r="B3836" s="605" t="s">
        <v>19589</v>
      </c>
      <c r="C3836" s="606" t="s">
        <v>12375</v>
      </c>
      <c r="D3836" s="607">
        <v>4824.84</v>
      </c>
      <c r="E3836" s="607">
        <v>381.98</v>
      </c>
      <c r="F3836" s="607">
        <v>5206.82</v>
      </c>
      <c r="G3836" s="584">
        <v>15</v>
      </c>
    </row>
    <row r="3837" spans="1:7" ht="15" x14ac:dyDescent="0.2">
      <c r="A3837" s="583" t="s">
        <v>19590</v>
      </c>
      <c r="B3837" s="605" t="s">
        <v>19591</v>
      </c>
      <c r="C3837" s="606" t="s">
        <v>12375</v>
      </c>
      <c r="D3837" s="607">
        <v>3075.51</v>
      </c>
      <c r="E3837" s="607">
        <v>224.11</v>
      </c>
      <c r="F3837" s="607">
        <v>3299.62</v>
      </c>
      <c r="G3837" s="584">
        <v>15</v>
      </c>
    </row>
    <row r="3838" spans="1:7" ht="15" x14ac:dyDescent="0.2">
      <c r="A3838" s="583" t="s">
        <v>19592</v>
      </c>
      <c r="B3838" s="605" t="s">
        <v>19593</v>
      </c>
      <c r="C3838" s="606" t="s">
        <v>12375</v>
      </c>
      <c r="D3838" s="607">
        <v>3175.96</v>
      </c>
      <c r="E3838" s="607">
        <v>224.11</v>
      </c>
      <c r="F3838" s="607">
        <v>3400.07</v>
      </c>
      <c r="G3838" s="584">
        <v>15</v>
      </c>
    </row>
    <row r="3839" spans="1:7" ht="15" x14ac:dyDescent="0.2">
      <c r="A3839" s="583" t="s">
        <v>19594</v>
      </c>
      <c r="B3839" s="605" t="s">
        <v>19595</v>
      </c>
      <c r="C3839" s="606" t="s">
        <v>12375</v>
      </c>
      <c r="D3839" s="607">
        <v>948.83</v>
      </c>
      <c r="E3839" s="607">
        <v>257.08</v>
      </c>
      <c r="F3839" s="607">
        <v>1205.9100000000001</v>
      </c>
      <c r="G3839" s="584">
        <v>15</v>
      </c>
    </row>
    <row r="3840" spans="1:7" ht="15" x14ac:dyDescent="0.25">
      <c r="A3840" s="583" t="s">
        <v>19596</v>
      </c>
      <c r="B3840" s="605" t="s">
        <v>19597</v>
      </c>
      <c r="C3840" s="606"/>
      <c r="D3840" s="607"/>
      <c r="E3840" s="607"/>
      <c r="F3840" s="607"/>
      <c r="G3840" s="582"/>
    </row>
    <row r="3841" spans="1:7" ht="15" x14ac:dyDescent="0.2">
      <c r="A3841" s="583" t="s">
        <v>19598</v>
      </c>
      <c r="B3841" s="605" t="s">
        <v>19599</v>
      </c>
      <c r="C3841" s="606" t="s">
        <v>12676</v>
      </c>
      <c r="D3841" s="607">
        <v>1016.38</v>
      </c>
      <c r="E3841" s="607">
        <v>14.67</v>
      </c>
      <c r="F3841" s="607">
        <v>1031.05</v>
      </c>
      <c r="G3841" s="584">
        <v>15</v>
      </c>
    </row>
    <row r="3842" spans="1:7" ht="15" x14ac:dyDescent="0.2">
      <c r="A3842" s="583" t="s">
        <v>19600</v>
      </c>
      <c r="B3842" s="605" t="s">
        <v>19601</v>
      </c>
      <c r="C3842" s="606" t="s">
        <v>12676</v>
      </c>
      <c r="D3842" s="607">
        <v>1213.92</v>
      </c>
      <c r="E3842" s="607">
        <v>14.67</v>
      </c>
      <c r="F3842" s="607">
        <v>1228.5899999999999</v>
      </c>
      <c r="G3842" s="584">
        <v>15</v>
      </c>
    </row>
    <row r="3843" spans="1:7" ht="30" x14ac:dyDescent="0.2">
      <c r="A3843" s="583" t="s">
        <v>19602</v>
      </c>
      <c r="B3843" s="605" t="s">
        <v>19603</v>
      </c>
      <c r="C3843" s="606" t="s">
        <v>12676</v>
      </c>
      <c r="D3843" s="607">
        <v>1427.2</v>
      </c>
      <c r="E3843" s="607">
        <v>592.98</v>
      </c>
      <c r="F3843" s="607">
        <v>2020.18</v>
      </c>
      <c r="G3843" s="584">
        <v>15</v>
      </c>
    </row>
    <row r="3844" spans="1:7" ht="30" x14ac:dyDescent="0.2">
      <c r="A3844" s="583" t="s">
        <v>19604</v>
      </c>
      <c r="B3844" s="605" t="s">
        <v>19605</v>
      </c>
      <c r="C3844" s="606" t="s">
        <v>12676</v>
      </c>
      <c r="D3844" s="607">
        <v>1673.07</v>
      </c>
      <c r="E3844" s="607">
        <v>632.25</v>
      </c>
      <c r="F3844" s="607">
        <v>2305.3200000000002</v>
      </c>
      <c r="G3844" s="584">
        <v>15</v>
      </c>
    </row>
    <row r="3845" spans="1:7" ht="30" x14ac:dyDescent="0.2">
      <c r="A3845" s="583" t="s">
        <v>19606</v>
      </c>
      <c r="B3845" s="605" t="s">
        <v>19607</v>
      </c>
      <c r="C3845" s="606" t="s">
        <v>12676</v>
      </c>
      <c r="D3845" s="607">
        <v>1950.34</v>
      </c>
      <c r="E3845" s="607">
        <v>710.79</v>
      </c>
      <c r="F3845" s="607">
        <v>2661.13</v>
      </c>
      <c r="G3845" s="584">
        <v>15</v>
      </c>
    </row>
    <row r="3846" spans="1:7" ht="30" x14ac:dyDescent="0.2">
      <c r="A3846" s="583" t="s">
        <v>19608</v>
      </c>
      <c r="B3846" s="605" t="s">
        <v>19609</v>
      </c>
      <c r="C3846" s="606" t="s">
        <v>12676</v>
      </c>
      <c r="D3846" s="607">
        <v>2816.03</v>
      </c>
      <c r="E3846" s="607">
        <v>750.06</v>
      </c>
      <c r="F3846" s="607">
        <v>3566.09</v>
      </c>
      <c r="G3846" s="584">
        <v>15</v>
      </c>
    </row>
    <row r="3847" spans="1:7" ht="15" x14ac:dyDescent="0.2">
      <c r="A3847" s="583" t="s">
        <v>19610</v>
      </c>
      <c r="B3847" s="605" t="s">
        <v>19611</v>
      </c>
      <c r="C3847" s="606" t="s">
        <v>12929</v>
      </c>
      <c r="D3847" s="607">
        <v>19.98</v>
      </c>
      <c r="E3847" s="607">
        <v>32.32</v>
      </c>
      <c r="F3847" s="607">
        <v>52.3</v>
      </c>
      <c r="G3847" s="584">
        <v>15</v>
      </c>
    </row>
    <row r="3848" spans="1:7" ht="15" x14ac:dyDescent="0.2">
      <c r="A3848" s="583" t="s">
        <v>20255</v>
      </c>
      <c r="B3848" s="605" t="s">
        <v>20256</v>
      </c>
      <c r="C3848" s="606" t="s">
        <v>12375</v>
      </c>
      <c r="D3848" s="607">
        <v>188.69</v>
      </c>
      <c r="E3848" s="607">
        <v>18.03</v>
      </c>
      <c r="F3848" s="607">
        <v>206.72</v>
      </c>
      <c r="G3848" s="584">
        <v>15</v>
      </c>
    </row>
    <row r="3849" spans="1:7" ht="30" x14ac:dyDescent="0.25">
      <c r="A3849" s="583" t="s">
        <v>19612</v>
      </c>
      <c r="B3849" s="605" t="s">
        <v>19613</v>
      </c>
      <c r="C3849" s="606"/>
      <c r="D3849" s="607"/>
      <c r="E3849" s="607"/>
      <c r="F3849" s="607"/>
      <c r="G3849" s="582"/>
    </row>
    <row r="3850" spans="1:7" ht="15" x14ac:dyDescent="0.25">
      <c r="A3850" s="583" t="s">
        <v>19614</v>
      </c>
      <c r="B3850" s="605" t="s">
        <v>19615</v>
      </c>
      <c r="C3850" s="606"/>
      <c r="D3850" s="607"/>
      <c r="E3850" s="607"/>
      <c r="F3850" s="607"/>
      <c r="G3850" s="582"/>
    </row>
    <row r="3851" spans="1:7" ht="30" x14ac:dyDescent="0.2">
      <c r="A3851" s="583" t="s">
        <v>19616</v>
      </c>
      <c r="B3851" s="605" t="s">
        <v>19617</v>
      </c>
      <c r="C3851" s="606" t="s">
        <v>12375</v>
      </c>
      <c r="D3851" s="607">
        <v>5923.57</v>
      </c>
      <c r="E3851" s="607">
        <v>27.92</v>
      </c>
      <c r="F3851" s="607">
        <v>5951.49</v>
      </c>
      <c r="G3851" s="584">
        <v>15</v>
      </c>
    </row>
    <row r="3852" spans="1:7" ht="15" x14ac:dyDescent="0.2">
      <c r="A3852" s="583" t="s">
        <v>19618</v>
      </c>
      <c r="B3852" s="605" t="s">
        <v>19619</v>
      </c>
      <c r="C3852" s="606" t="s">
        <v>12483</v>
      </c>
      <c r="D3852" s="607">
        <v>2559.5500000000002</v>
      </c>
      <c r="E3852" s="607"/>
      <c r="F3852" s="607">
        <v>2559.5500000000002</v>
      </c>
      <c r="G3852" s="584">
        <v>15</v>
      </c>
    </row>
    <row r="3853" spans="1:7" ht="30" x14ac:dyDescent="0.2">
      <c r="A3853" s="583" t="s">
        <v>19620</v>
      </c>
      <c r="B3853" s="605" t="s">
        <v>19621</v>
      </c>
      <c r="C3853" s="606" t="s">
        <v>12483</v>
      </c>
      <c r="D3853" s="607">
        <v>2742.78</v>
      </c>
      <c r="E3853" s="607"/>
      <c r="F3853" s="607">
        <v>2742.78</v>
      </c>
      <c r="G3853" s="584">
        <v>15</v>
      </c>
    </row>
    <row r="3854" spans="1:7" ht="15" x14ac:dyDescent="0.25">
      <c r="A3854" s="583" t="s">
        <v>19622</v>
      </c>
      <c r="B3854" s="605" t="s">
        <v>19623</v>
      </c>
      <c r="C3854" s="606"/>
      <c r="D3854" s="607"/>
      <c r="E3854" s="607"/>
      <c r="F3854" s="607"/>
      <c r="G3854" s="582"/>
    </row>
    <row r="3855" spans="1:7" ht="30" x14ac:dyDescent="0.2">
      <c r="A3855" s="583" t="s">
        <v>19624</v>
      </c>
      <c r="B3855" s="605" t="s">
        <v>19625</v>
      </c>
      <c r="C3855" s="606" t="s">
        <v>12427</v>
      </c>
      <c r="D3855" s="607">
        <v>10615.42</v>
      </c>
      <c r="E3855" s="607"/>
      <c r="F3855" s="607">
        <v>10615.42</v>
      </c>
      <c r="G3855" s="584">
        <v>15</v>
      </c>
    </row>
    <row r="3856" spans="1:7" ht="30" x14ac:dyDescent="0.2">
      <c r="A3856" s="583" t="s">
        <v>19626</v>
      </c>
      <c r="B3856" s="605" t="s">
        <v>19627</v>
      </c>
      <c r="C3856" s="606" t="s">
        <v>12427</v>
      </c>
      <c r="D3856" s="607">
        <v>8859.23</v>
      </c>
      <c r="E3856" s="607"/>
      <c r="F3856" s="607">
        <v>8859.23</v>
      </c>
      <c r="G3856" s="584">
        <v>15</v>
      </c>
    </row>
    <row r="3857" spans="1:7" ht="30" x14ac:dyDescent="0.2">
      <c r="A3857" s="583" t="s">
        <v>19628</v>
      </c>
      <c r="B3857" s="605" t="s">
        <v>19629</v>
      </c>
      <c r="C3857" s="606" t="s">
        <v>12427</v>
      </c>
      <c r="D3857" s="607">
        <v>4549.53</v>
      </c>
      <c r="E3857" s="607"/>
      <c r="F3857" s="607">
        <v>4549.53</v>
      </c>
      <c r="G3857" s="584">
        <v>15</v>
      </c>
    </row>
    <row r="3858" spans="1:7" ht="15" x14ac:dyDescent="0.25">
      <c r="A3858" s="583" t="s">
        <v>19630</v>
      </c>
      <c r="B3858" s="605" t="s">
        <v>19631</v>
      </c>
      <c r="C3858" s="606"/>
      <c r="D3858" s="607"/>
      <c r="E3858" s="607"/>
      <c r="F3858" s="607"/>
      <c r="G3858" s="582"/>
    </row>
    <row r="3859" spans="1:7" ht="15" x14ac:dyDescent="0.25">
      <c r="A3859" s="583" t="s">
        <v>19632</v>
      </c>
      <c r="B3859" s="605" t="s">
        <v>19633</v>
      </c>
      <c r="C3859" s="606"/>
      <c r="D3859" s="607"/>
      <c r="E3859" s="607"/>
      <c r="F3859" s="607"/>
      <c r="G3859" s="582"/>
    </row>
    <row r="3860" spans="1:7" ht="15" x14ac:dyDescent="0.2">
      <c r="A3860" s="583" t="s">
        <v>19634</v>
      </c>
      <c r="B3860" s="605" t="s">
        <v>19635</v>
      </c>
      <c r="C3860" s="606" t="s">
        <v>12427</v>
      </c>
      <c r="D3860" s="607">
        <v>2143.16</v>
      </c>
      <c r="E3860" s="607"/>
      <c r="F3860" s="607">
        <v>2143.16</v>
      </c>
      <c r="G3860" s="584">
        <v>15</v>
      </c>
    </row>
    <row r="3861" spans="1:7" ht="15" x14ac:dyDescent="0.25">
      <c r="A3861" s="583" t="s">
        <v>19636</v>
      </c>
      <c r="B3861" s="605" t="s">
        <v>19637</v>
      </c>
      <c r="C3861" s="606"/>
      <c r="D3861" s="607"/>
      <c r="E3861" s="607"/>
      <c r="F3861" s="607"/>
      <c r="G3861" s="582"/>
    </row>
    <row r="3862" spans="1:7" ht="15" x14ac:dyDescent="0.2">
      <c r="A3862" s="583" t="s">
        <v>19638</v>
      </c>
      <c r="B3862" s="605" t="s">
        <v>19639</v>
      </c>
      <c r="C3862" s="606" t="s">
        <v>12427</v>
      </c>
      <c r="D3862" s="607">
        <v>2583.02</v>
      </c>
      <c r="E3862" s="607"/>
      <c r="F3862" s="607">
        <v>2583.02</v>
      </c>
      <c r="G3862" s="584">
        <v>15</v>
      </c>
    </row>
    <row r="3863" spans="1:7" ht="30" x14ac:dyDescent="0.25">
      <c r="A3863" s="583" t="s">
        <v>19640</v>
      </c>
      <c r="B3863" s="605" t="s">
        <v>19641</v>
      </c>
      <c r="C3863" s="606"/>
      <c r="D3863" s="607"/>
      <c r="E3863" s="607"/>
      <c r="F3863" s="607"/>
      <c r="G3863" s="582"/>
    </row>
    <row r="3864" spans="1:7" ht="15" x14ac:dyDescent="0.25">
      <c r="A3864" s="583" t="s">
        <v>19642</v>
      </c>
      <c r="B3864" s="605" t="s">
        <v>19643</v>
      </c>
      <c r="C3864" s="606"/>
      <c r="D3864" s="607"/>
      <c r="E3864" s="607"/>
      <c r="F3864" s="607"/>
      <c r="G3864" s="582"/>
    </row>
    <row r="3865" spans="1:7" ht="30" x14ac:dyDescent="0.2">
      <c r="A3865" s="583" t="s">
        <v>19644</v>
      </c>
      <c r="B3865" s="605" t="s">
        <v>19645</v>
      </c>
      <c r="C3865" s="606" t="s">
        <v>12375</v>
      </c>
      <c r="D3865" s="607">
        <v>829.96</v>
      </c>
      <c r="E3865" s="607">
        <v>16.75</v>
      </c>
      <c r="F3865" s="607">
        <v>846.71</v>
      </c>
      <c r="G3865" s="584">
        <v>15</v>
      </c>
    </row>
    <row r="3866" spans="1:7" ht="15" x14ac:dyDescent="0.2">
      <c r="A3866" s="583" t="s">
        <v>19646</v>
      </c>
      <c r="B3866" s="605" t="s">
        <v>19647</v>
      </c>
      <c r="C3866" s="606" t="s">
        <v>12375</v>
      </c>
      <c r="D3866" s="607">
        <v>15021.26</v>
      </c>
      <c r="E3866" s="607"/>
      <c r="F3866" s="607">
        <v>15021.26</v>
      </c>
      <c r="G3866" s="584">
        <v>15</v>
      </c>
    </row>
    <row r="3867" spans="1:7" ht="15" x14ac:dyDescent="0.2">
      <c r="A3867" s="583" t="s">
        <v>19648</v>
      </c>
      <c r="B3867" s="605" t="s">
        <v>19649</v>
      </c>
      <c r="C3867" s="606" t="s">
        <v>12676</v>
      </c>
      <c r="D3867" s="607">
        <v>200.57</v>
      </c>
      <c r="E3867" s="607">
        <v>55.83</v>
      </c>
      <c r="F3867" s="607">
        <v>256.39999999999998</v>
      </c>
      <c r="G3867" s="584">
        <v>15</v>
      </c>
    </row>
    <row r="3868" spans="1:7" ht="30" x14ac:dyDescent="0.2">
      <c r="A3868" s="583" t="s">
        <v>19650</v>
      </c>
      <c r="B3868" s="605" t="s">
        <v>19651</v>
      </c>
      <c r="C3868" s="606" t="s">
        <v>12676</v>
      </c>
      <c r="D3868" s="607">
        <v>2093.08</v>
      </c>
      <c r="E3868" s="607"/>
      <c r="F3868" s="607">
        <v>2093.08</v>
      </c>
      <c r="G3868" s="584">
        <v>15</v>
      </c>
    </row>
    <row r="3869" spans="1:7" ht="30" x14ac:dyDescent="0.2">
      <c r="A3869" s="583" t="s">
        <v>19652</v>
      </c>
      <c r="B3869" s="605" t="s">
        <v>19653</v>
      </c>
      <c r="C3869" s="606" t="s">
        <v>12676</v>
      </c>
      <c r="D3869" s="607">
        <v>6202.25</v>
      </c>
      <c r="E3869" s="607"/>
      <c r="F3869" s="607">
        <v>6202.25</v>
      </c>
      <c r="G3869" s="584">
        <v>15</v>
      </c>
    </row>
    <row r="3870" spans="1:7" ht="15" x14ac:dyDescent="0.2">
      <c r="A3870" s="583" t="s">
        <v>19654</v>
      </c>
      <c r="B3870" s="605" t="s">
        <v>19655</v>
      </c>
      <c r="C3870" s="606" t="s">
        <v>12676</v>
      </c>
      <c r="D3870" s="607">
        <v>1604.19</v>
      </c>
      <c r="E3870" s="607">
        <v>139.58000000000001</v>
      </c>
      <c r="F3870" s="607">
        <v>1743.77</v>
      </c>
      <c r="G3870" s="584">
        <v>15</v>
      </c>
    </row>
    <row r="3871" spans="1:7" ht="15" x14ac:dyDescent="0.2">
      <c r="A3871" s="583" t="s">
        <v>19656</v>
      </c>
      <c r="B3871" s="605" t="s">
        <v>19657</v>
      </c>
      <c r="C3871" s="606" t="s">
        <v>12375</v>
      </c>
      <c r="D3871" s="607">
        <v>2625.08</v>
      </c>
      <c r="E3871" s="607">
        <v>16.75</v>
      </c>
      <c r="F3871" s="607">
        <v>2641.83</v>
      </c>
      <c r="G3871" s="584">
        <v>15</v>
      </c>
    </row>
    <row r="3872" spans="1:7" ht="30" x14ac:dyDescent="0.2">
      <c r="A3872" s="583" t="s">
        <v>19658</v>
      </c>
      <c r="B3872" s="605" t="s">
        <v>19659</v>
      </c>
      <c r="C3872" s="606" t="s">
        <v>12676</v>
      </c>
      <c r="D3872" s="607">
        <v>2250.62</v>
      </c>
      <c r="E3872" s="607">
        <v>760.28</v>
      </c>
      <c r="F3872" s="607">
        <v>3010.9</v>
      </c>
      <c r="G3872" s="584">
        <v>15</v>
      </c>
    </row>
    <row r="3873" spans="1:7" ht="15" x14ac:dyDescent="0.25">
      <c r="A3873" s="583" t="s">
        <v>19660</v>
      </c>
      <c r="B3873" s="605" t="s">
        <v>19661</v>
      </c>
      <c r="C3873" s="606"/>
      <c r="D3873" s="607"/>
      <c r="E3873" s="607"/>
      <c r="F3873" s="607"/>
      <c r="G3873" s="582"/>
    </row>
    <row r="3874" spans="1:7" ht="30" x14ac:dyDescent="0.2">
      <c r="A3874" s="583" t="s">
        <v>19662</v>
      </c>
      <c r="B3874" s="605" t="s">
        <v>19663</v>
      </c>
      <c r="C3874" s="606" t="s">
        <v>12375</v>
      </c>
      <c r="D3874" s="607">
        <v>3875.15</v>
      </c>
      <c r="E3874" s="607">
        <v>1234.24</v>
      </c>
      <c r="F3874" s="607">
        <v>5109.3900000000003</v>
      </c>
      <c r="G3874" s="584">
        <v>15</v>
      </c>
    </row>
    <row r="3875" spans="1:7" ht="15" x14ac:dyDescent="0.2">
      <c r="A3875" s="583" t="s">
        <v>19664</v>
      </c>
      <c r="B3875" s="605" t="s">
        <v>19665</v>
      </c>
      <c r="C3875" s="606" t="s">
        <v>12375</v>
      </c>
      <c r="D3875" s="607">
        <v>924.35</v>
      </c>
      <c r="E3875" s="607">
        <v>385.7</v>
      </c>
      <c r="F3875" s="607">
        <v>1310.05</v>
      </c>
      <c r="G3875" s="584">
        <v>15</v>
      </c>
    </row>
    <row r="3876" spans="1:7" ht="15" x14ac:dyDescent="0.2">
      <c r="A3876" s="583" t="s">
        <v>19666</v>
      </c>
      <c r="B3876" s="605" t="s">
        <v>19667</v>
      </c>
      <c r="C3876" s="606" t="s">
        <v>12375</v>
      </c>
      <c r="D3876" s="607">
        <v>1453.87</v>
      </c>
      <c r="E3876" s="607">
        <v>385.7</v>
      </c>
      <c r="F3876" s="607">
        <v>1839.57</v>
      </c>
      <c r="G3876" s="584">
        <v>15</v>
      </c>
    </row>
    <row r="3877" spans="1:7" ht="15" x14ac:dyDescent="0.2">
      <c r="A3877" s="583" t="s">
        <v>19668</v>
      </c>
      <c r="B3877" s="605" t="s">
        <v>19669</v>
      </c>
      <c r="C3877" s="606" t="s">
        <v>12375</v>
      </c>
      <c r="D3877" s="607">
        <v>1803.39</v>
      </c>
      <c r="E3877" s="607">
        <v>385.7</v>
      </c>
      <c r="F3877" s="607">
        <v>2189.09</v>
      </c>
      <c r="G3877" s="584">
        <v>15</v>
      </c>
    </row>
    <row r="3878" spans="1:7" ht="15" x14ac:dyDescent="0.2">
      <c r="A3878" s="583" t="s">
        <v>19670</v>
      </c>
      <c r="B3878" s="605" t="s">
        <v>19671</v>
      </c>
      <c r="C3878" s="606" t="s">
        <v>12375</v>
      </c>
      <c r="D3878" s="607">
        <v>2918.33</v>
      </c>
      <c r="E3878" s="607">
        <v>771.4</v>
      </c>
      <c r="F3878" s="607">
        <v>3689.73</v>
      </c>
      <c r="G3878" s="584">
        <v>15</v>
      </c>
    </row>
    <row r="3879" spans="1:7" ht="15" x14ac:dyDescent="0.2">
      <c r="A3879" s="583" t="s">
        <v>19672</v>
      </c>
      <c r="B3879" s="605" t="s">
        <v>20257</v>
      </c>
      <c r="C3879" s="606" t="s">
        <v>12375</v>
      </c>
      <c r="D3879" s="607">
        <v>650.54999999999995</v>
      </c>
      <c r="E3879" s="607">
        <v>12.3</v>
      </c>
      <c r="F3879" s="607">
        <v>662.85</v>
      </c>
      <c r="G3879" s="584">
        <v>15</v>
      </c>
    </row>
    <row r="3880" spans="1:7" ht="30" x14ac:dyDescent="0.2">
      <c r="A3880" s="583" t="s">
        <v>19673</v>
      </c>
      <c r="B3880" s="605" t="s">
        <v>19674</v>
      </c>
      <c r="C3880" s="606" t="s">
        <v>12375</v>
      </c>
      <c r="D3880" s="607">
        <v>1072.5899999999999</v>
      </c>
      <c r="E3880" s="607">
        <v>223.32</v>
      </c>
      <c r="F3880" s="607">
        <v>1295.9100000000001</v>
      </c>
      <c r="G3880" s="584">
        <v>15</v>
      </c>
    </row>
    <row r="3881" spans="1:7" ht="15" x14ac:dyDescent="0.2">
      <c r="A3881" s="583" t="s">
        <v>19675</v>
      </c>
      <c r="B3881" s="605" t="s">
        <v>19676</v>
      </c>
      <c r="C3881" s="606" t="s">
        <v>12375</v>
      </c>
      <c r="D3881" s="607">
        <v>221.87</v>
      </c>
      <c r="E3881" s="607">
        <v>55.83</v>
      </c>
      <c r="F3881" s="607">
        <v>277.7</v>
      </c>
      <c r="G3881" s="584">
        <v>15</v>
      </c>
    </row>
    <row r="3882" spans="1:7" ht="15" x14ac:dyDescent="0.2">
      <c r="A3882" s="583" t="s">
        <v>19677</v>
      </c>
      <c r="B3882" s="605" t="s">
        <v>19678</v>
      </c>
      <c r="C3882" s="606" t="s">
        <v>12375</v>
      </c>
      <c r="D3882" s="607">
        <v>462.76</v>
      </c>
      <c r="E3882" s="607">
        <v>16.75</v>
      </c>
      <c r="F3882" s="607">
        <v>479.51</v>
      </c>
      <c r="G3882" s="584">
        <v>15</v>
      </c>
    </row>
    <row r="3883" spans="1:7" ht="30" x14ac:dyDescent="0.2">
      <c r="A3883" s="583" t="s">
        <v>19679</v>
      </c>
      <c r="B3883" s="605" t="s">
        <v>19680</v>
      </c>
      <c r="C3883" s="606" t="s">
        <v>12375</v>
      </c>
      <c r="D3883" s="607">
        <v>1133.6400000000001</v>
      </c>
      <c r="E3883" s="607">
        <v>226.54</v>
      </c>
      <c r="F3883" s="607">
        <v>1360.18</v>
      </c>
      <c r="G3883" s="584">
        <v>15</v>
      </c>
    </row>
    <row r="3884" spans="1:7" ht="30" x14ac:dyDescent="0.2">
      <c r="A3884" s="583" t="s">
        <v>19681</v>
      </c>
      <c r="B3884" s="605" t="s">
        <v>19682</v>
      </c>
      <c r="C3884" s="606" t="s">
        <v>12375</v>
      </c>
      <c r="D3884" s="607">
        <v>4283.3599999999997</v>
      </c>
      <c r="E3884" s="607">
        <v>226.54</v>
      </c>
      <c r="F3884" s="607">
        <v>4509.8999999999996</v>
      </c>
      <c r="G3884" s="584">
        <v>15</v>
      </c>
    </row>
    <row r="3885" spans="1:7" ht="30" x14ac:dyDescent="0.2">
      <c r="A3885" s="583" t="s">
        <v>19683</v>
      </c>
      <c r="B3885" s="605" t="s">
        <v>19684</v>
      </c>
      <c r="C3885" s="606" t="s">
        <v>12375</v>
      </c>
      <c r="D3885" s="607">
        <v>12252.02</v>
      </c>
      <c r="E3885" s="607">
        <v>226.54</v>
      </c>
      <c r="F3885" s="607">
        <v>12478.56</v>
      </c>
      <c r="G3885" s="584">
        <v>15</v>
      </c>
    </row>
    <row r="3886" spans="1:7" ht="15" x14ac:dyDescent="0.2">
      <c r="A3886" s="583" t="s">
        <v>19685</v>
      </c>
      <c r="B3886" s="605" t="s">
        <v>19686</v>
      </c>
      <c r="C3886" s="606" t="s">
        <v>12375</v>
      </c>
      <c r="D3886" s="607">
        <v>1186.1600000000001</v>
      </c>
      <c r="E3886" s="607">
        <v>4.0999999999999996</v>
      </c>
      <c r="F3886" s="607">
        <v>1190.26</v>
      </c>
      <c r="G3886" s="584">
        <v>15</v>
      </c>
    </row>
    <row r="3887" spans="1:7" ht="30" x14ac:dyDescent="0.2">
      <c r="A3887" s="583" t="s">
        <v>19687</v>
      </c>
      <c r="B3887" s="605" t="s">
        <v>19688</v>
      </c>
      <c r="C3887" s="606" t="s">
        <v>12676</v>
      </c>
      <c r="D3887" s="607">
        <v>12542.29</v>
      </c>
      <c r="E3887" s="607">
        <v>292.94</v>
      </c>
      <c r="F3887" s="607">
        <v>12835.23</v>
      </c>
      <c r="G3887" s="584">
        <v>15</v>
      </c>
    </row>
    <row r="3888" spans="1:7" ht="30" x14ac:dyDescent="0.2">
      <c r="A3888" s="583" t="s">
        <v>19689</v>
      </c>
      <c r="B3888" s="605" t="s">
        <v>19690</v>
      </c>
      <c r="C3888" s="606" t="s">
        <v>12676</v>
      </c>
      <c r="D3888" s="607">
        <v>18959.32</v>
      </c>
      <c r="E3888" s="607">
        <v>292.94</v>
      </c>
      <c r="F3888" s="607">
        <v>19252.259999999998</v>
      </c>
      <c r="G3888" s="584">
        <v>15</v>
      </c>
    </row>
    <row r="3889" spans="1:7" ht="45" x14ac:dyDescent="0.2">
      <c r="A3889" s="583" t="s">
        <v>19691</v>
      </c>
      <c r="B3889" s="605" t="s">
        <v>19692</v>
      </c>
      <c r="C3889" s="606" t="s">
        <v>12375</v>
      </c>
      <c r="D3889" s="607">
        <v>1621.08</v>
      </c>
      <c r="E3889" s="607">
        <v>195.29</v>
      </c>
      <c r="F3889" s="607">
        <v>1816.37</v>
      </c>
      <c r="G3889" s="584">
        <v>15</v>
      </c>
    </row>
    <row r="3890" spans="1:7" ht="45" x14ac:dyDescent="0.2">
      <c r="A3890" s="583" t="s">
        <v>19693</v>
      </c>
      <c r="B3890" s="605" t="s">
        <v>19694</v>
      </c>
      <c r="C3890" s="606" t="s">
        <v>12375</v>
      </c>
      <c r="D3890" s="607">
        <v>2558.0500000000002</v>
      </c>
      <c r="E3890" s="607">
        <v>292.94</v>
      </c>
      <c r="F3890" s="607">
        <v>2850.99</v>
      </c>
      <c r="G3890" s="584">
        <v>15</v>
      </c>
    </row>
    <row r="3891" spans="1:7" ht="45" x14ac:dyDescent="0.2">
      <c r="A3891" s="583" t="s">
        <v>19695</v>
      </c>
      <c r="B3891" s="605" t="s">
        <v>19696</v>
      </c>
      <c r="C3891" s="606" t="s">
        <v>12375</v>
      </c>
      <c r="D3891" s="607">
        <v>5792.97</v>
      </c>
      <c r="E3891" s="607">
        <v>385.7</v>
      </c>
      <c r="F3891" s="607">
        <v>6178.67</v>
      </c>
      <c r="G3891" s="584">
        <v>15</v>
      </c>
    </row>
    <row r="3892" spans="1:7" ht="15" x14ac:dyDescent="0.25">
      <c r="A3892" s="583" t="s">
        <v>19697</v>
      </c>
      <c r="B3892" s="605" t="s">
        <v>19698</v>
      </c>
      <c r="C3892" s="606"/>
      <c r="D3892" s="607"/>
      <c r="E3892" s="607"/>
      <c r="F3892" s="607"/>
      <c r="G3892" s="582"/>
    </row>
    <row r="3893" spans="1:7" ht="15" x14ac:dyDescent="0.2">
      <c r="A3893" s="583" t="s">
        <v>19699</v>
      </c>
      <c r="B3893" s="605" t="s">
        <v>19700</v>
      </c>
      <c r="C3893" s="606" t="s">
        <v>12375</v>
      </c>
      <c r="D3893" s="607">
        <v>24.16</v>
      </c>
      <c r="E3893" s="607">
        <v>15.43</v>
      </c>
      <c r="F3893" s="607">
        <v>39.590000000000003</v>
      </c>
      <c r="G3893" s="584">
        <v>15</v>
      </c>
    </row>
    <row r="3894" spans="1:7" ht="15" x14ac:dyDescent="0.2">
      <c r="A3894" s="583" t="s">
        <v>19701</v>
      </c>
      <c r="B3894" s="605" t="s">
        <v>19702</v>
      </c>
      <c r="C3894" s="606" t="s">
        <v>12375</v>
      </c>
      <c r="D3894" s="607">
        <v>40.36</v>
      </c>
      <c r="E3894" s="607">
        <v>15.43</v>
      </c>
      <c r="F3894" s="607">
        <v>55.79</v>
      </c>
      <c r="G3894" s="584">
        <v>15</v>
      </c>
    </row>
    <row r="3895" spans="1:7" ht="15" x14ac:dyDescent="0.2">
      <c r="A3895" s="583" t="s">
        <v>19703</v>
      </c>
      <c r="B3895" s="605" t="s">
        <v>19704</v>
      </c>
      <c r="C3895" s="606" t="s">
        <v>12375</v>
      </c>
      <c r="D3895" s="607"/>
      <c r="E3895" s="607">
        <v>226.54</v>
      </c>
      <c r="F3895" s="607">
        <v>226.54</v>
      </c>
      <c r="G3895" s="584">
        <v>15</v>
      </c>
    </row>
    <row r="3896" spans="1:7" ht="15" x14ac:dyDescent="0.2">
      <c r="A3896" s="583" t="s">
        <v>19705</v>
      </c>
      <c r="B3896" s="605" t="s">
        <v>19706</v>
      </c>
      <c r="C3896" s="606" t="s">
        <v>12375</v>
      </c>
      <c r="D3896" s="607"/>
      <c r="E3896" s="607">
        <v>226.54</v>
      </c>
      <c r="F3896" s="607">
        <v>226.54</v>
      </c>
      <c r="G3896" s="584">
        <v>15</v>
      </c>
    </row>
    <row r="3897" spans="1:7" ht="30" x14ac:dyDescent="0.2">
      <c r="A3897" s="583" t="s">
        <v>19707</v>
      </c>
      <c r="B3897" s="605" t="s">
        <v>21456</v>
      </c>
      <c r="C3897" s="606" t="s">
        <v>12375</v>
      </c>
      <c r="D3897" s="607">
        <v>15039.2</v>
      </c>
      <c r="E3897" s="607">
        <v>20.51</v>
      </c>
      <c r="F3897" s="607">
        <v>15059.71</v>
      </c>
      <c r="G3897" s="584">
        <v>15</v>
      </c>
    </row>
    <row r="3898" spans="1:7" ht="15" x14ac:dyDescent="0.2">
      <c r="A3898" s="583" t="s">
        <v>19708</v>
      </c>
      <c r="B3898" s="605" t="s">
        <v>19709</v>
      </c>
      <c r="C3898" s="606" t="s">
        <v>12375</v>
      </c>
      <c r="D3898" s="607">
        <v>1982.93</v>
      </c>
      <c r="E3898" s="607">
        <v>20.51</v>
      </c>
      <c r="F3898" s="607">
        <v>2003.44</v>
      </c>
      <c r="G3898" s="584">
        <v>15</v>
      </c>
    </row>
    <row r="3899" spans="1:7" ht="30" x14ac:dyDescent="0.25">
      <c r="A3899" s="583" t="s">
        <v>19710</v>
      </c>
      <c r="B3899" s="605" t="s">
        <v>19711</v>
      </c>
      <c r="C3899" s="606"/>
      <c r="D3899" s="607"/>
      <c r="E3899" s="607"/>
      <c r="F3899" s="607"/>
      <c r="G3899" s="582"/>
    </row>
    <row r="3900" spans="1:7" ht="15" x14ac:dyDescent="0.25">
      <c r="A3900" s="583" t="s">
        <v>19712</v>
      </c>
      <c r="B3900" s="605" t="s">
        <v>19713</v>
      </c>
      <c r="C3900" s="606"/>
      <c r="D3900" s="607"/>
      <c r="E3900" s="607"/>
      <c r="F3900" s="607"/>
      <c r="G3900" s="582"/>
    </row>
    <row r="3901" spans="1:7" ht="15" x14ac:dyDescent="0.2">
      <c r="A3901" s="583" t="s">
        <v>19714</v>
      </c>
      <c r="B3901" s="605" t="s">
        <v>19715</v>
      </c>
      <c r="C3901" s="606" t="s">
        <v>12375</v>
      </c>
      <c r="D3901" s="607">
        <v>2958.93</v>
      </c>
      <c r="E3901" s="607">
        <v>100.7</v>
      </c>
      <c r="F3901" s="607">
        <v>3059.63</v>
      </c>
      <c r="G3901" s="584">
        <v>15</v>
      </c>
    </row>
    <row r="3902" spans="1:7" ht="15" x14ac:dyDescent="0.2">
      <c r="A3902" s="583" t="s">
        <v>19716</v>
      </c>
      <c r="B3902" s="605" t="s">
        <v>19717</v>
      </c>
      <c r="C3902" s="606" t="s">
        <v>12427</v>
      </c>
      <c r="D3902" s="607">
        <v>1093.77</v>
      </c>
      <c r="E3902" s="607">
        <v>11.36</v>
      </c>
      <c r="F3902" s="607">
        <v>1105.1300000000001</v>
      </c>
      <c r="G3902" s="584">
        <v>15</v>
      </c>
    </row>
    <row r="3903" spans="1:7" ht="30" x14ac:dyDescent="0.2">
      <c r="A3903" s="583" t="s">
        <v>19718</v>
      </c>
      <c r="B3903" s="605" t="s">
        <v>19719</v>
      </c>
      <c r="C3903" s="606" t="s">
        <v>12427</v>
      </c>
      <c r="D3903" s="607">
        <v>3472.47</v>
      </c>
      <c r="E3903" s="607">
        <v>11.36</v>
      </c>
      <c r="F3903" s="607">
        <v>3483.83</v>
      </c>
      <c r="G3903" s="584">
        <v>15</v>
      </c>
    </row>
    <row r="3904" spans="1:7" ht="30" x14ac:dyDescent="0.2">
      <c r="A3904" s="583" t="s">
        <v>19720</v>
      </c>
      <c r="B3904" s="605" t="s">
        <v>19721</v>
      </c>
      <c r="C3904" s="606" t="s">
        <v>12375</v>
      </c>
      <c r="D3904" s="607">
        <v>964.77</v>
      </c>
      <c r="E3904" s="607">
        <v>5.68</v>
      </c>
      <c r="F3904" s="607">
        <v>970.45</v>
      </c>
      <c r="G3904" s="584">
        <v>15</v>
      </c>
    </row>
    <row r="3905" spans="1:7" ht="45" x14ac:dyDescent="0.2">
      <c r="A3905" s="583" t="s">
        <v>19722</v>
      </c>
      <c r="B3905" s="605" t="s">
        <v>19723</v>
      </c>
      <c r="C3905" s="606" t="s">
        <v>12375</v>
      </c>
      <c r="D3905" s="607">
        <v>23675.23</v>
      </c>
      <c r="E3905" s="607">
        <v>201.95</v>
      </c>
      <c r="F3905" s="607">
        <v>23877.18</v>
      </c>
      <c r="G3905" s="584">
        <v>15</v>
      </c>
    </row>
    <row r="3906" spans="1:7" ht="15" x14ac:dyDescent="0.2">
      <c r="A3906" s="583" t="s">
        <v>19724</v>
      </c>
      <c r="B3906" s="605" t="s">
        <v>19725</v>
      </c>
      <c r="C3906" s="606" t="s">
        <v>12427</v>
      </c>
      <c r="D3906" s="607">
        <v>5684.46</v>
      </c>
      <c r="E3906" s="607">
        <v>36.53</v>
      </c>
      <c r="F3906" s="607">
        <v>5720.99</v>
      </c>
      <c r="G3906" s="584">
        <v>15</v>
      </c>
    </row>
    <row r="3907" spans="1:7" ht="45" x14ac:dyDescent="0.2">
      <c r="A3907" s="583" t="s">
        <v>19726</v>
      </c>
      <c r="B3907" s="605" t="s">
        <v>19727</v>
      </c>
      <c r="C3907" s="606" t="s">
        <v>12375</v>
      </c>
      <c r="D3907" s="607">
        <v>112668.85</v>
      </c>
      <c r="E3907" s="607"/>
      <c r="F3907" s="607">
        <v>112668.85</v>
      </c>
      <c r="G3907" s="584">
        <v>15</v>
      </c>
    </row>
    <row r="3908" spans="1:7" ht="45" x14ac:dyDescent="0.2">
      <c r="A3908" s="583" t="s">
        <v>19728</v>
      </c>
      <c r="B3908" s="605" t="s">
        <v>19729</v>
      </c>
      <c r="C3908" s="606" t="s">
        <v>12375</v>
      </c>
      <c r="D3908" s="607">
        <v>59189.54</v>
      </c>
      <c r="E3908" s="607">
        <v>326.45999999999998</v>
      </c>
      <c r="F3908" s="607">
        <v>59516</v>
      </c>
      <c r="G3908" s="584">
        <v>15</v>
      </c>
    </row>
    <row r="3909" spans="1:7" ht="45" x14ac:dyDescent="0.2">
      <c r="A3909" s="583" t="s">
        <v>19730</v>
      </c>
      <c r="B3909" s="605" t="s">
        <v>19731</v>
      </c>
      <c r="C3909" s="606" t="s">
        <v>12676</v>
      </c>
      <c r="D3909" s="607">
        <v>508060.24</v>
      </c>
      <c r="E3909" s="607"/>
      <c r="F3909" s="607">
        <v>508060.24</v>
      </c>
      <c r="G3909" s="584">
        <v>15</v>
      </c>
    </row>
    <row r="3910" spans="1:7" ht="60" x14ac:dyDescent="0.2">
      <c r="A3910" s="583" t="s">
        <v>19732</v>
      </c>
      <c r="B3910" s="605" t="s">
        <v>19733</v>
      </c>
      <c r="C3910" s="606" t="s">
        <v>12676</v>
      </c>
      <c r="D3910" s="607">
        <v>6448.08</v>
      </c>
      <c r="E3910" s="607">
        <v>70395.64</v>
      </c>
      <c r="F3910" s="607">
        <v>76843.72</v>
      </c>
      <c r="G3910" s="584">
        <v>15</v>
      </c>
    </row>
    <row r="3911" spans="1:7" ht="60" x14ac:dyDescent="0.2">
      <c r="A3911" s="583" t="s">
        <v>19734</v>
      </c>
      <c r="B3911" s="605" t="s">
        <v>19735</v>
      </c>
      <c r="C3911" s="606" t="s">
        <v>12676</v>
      </c>
      <c r="D3911" s="607">
        <v>8924.99</v>
      </c>
      <c r="E3911" s="607">
        <v>84972.77</v>
      </c>
      <c r="F3911" s="607">
        <v>93897.76</v>
      </c>
      <c r="G3911" s="584">
        <v>15</v>
      </c>
    </row>
    <row r="3912" spans="1:7" ht="15" x14ac:dyDescent="0.25">
      <c r="A3912" s="583" t="s">
        <v>19736</v>
      </c>
      <c r="B3912" s="605" t="s">
        <v>19737</v>
      </c>
      <c r="C3912" s="606"/>
      <c r="D3912" s="607"/>
      <c r="E3912" s="607"/>
      <c r="F3912" s="607"/>
      <c r="G3912" s="582"/>
    </row>
    <row r="3913" spans="1:7" ht="15" x14ac:dyDescent="0.25">
      <c r="A3913" s="583" t="s">
        <v>19738</v>
      </c>
      <c r="B3913" s="605" t="s">
        <v>19739</v>
      </c>
      <c r="C3913" s="606"/>
      <c r="D3913" s="607"/>
      <c r="E3913" s="607"/>
      <c r="F3913" s="607"/>
      <c r="G3913" s="582"/>
    </row>
    <row r="3914" spans="1:7" ht="15" x14ac:dyDescent="0.2">
      <c r="A3914" s="583" t="s">
        <v>19740</v>
      </c>
      <c r="B3914" s="605" t="s">
        <v>19741</v>
      </c>
      <c r="C3914" s="606" t="s">
        <v>12375</v>
      </c>
      <c r="D3914" s="607">
        <v>1372.49</v>
      </c>
      <c r="E3914" s="607">
        <v>340.98</v>
      </c>
      <c r="F3914" s="607">
        <v>1713.47</v>
      </c>
      <c r="G3914" s="584">
        <v>15</v>
      </c>
    </row>
    <row r="3915" spans="1:7" ht="15" x14ac:dyDescent="0.2">
      <c r="A3915" s="583" t="s">
        <v>19742</v>
      </c>
      <c r="B3915" s="605" t="s">
        <v>19743</v>
      </c>
      <c r="C3915" s="606" t="s">
        <v>12375</v>
      </c>
      <c r="D3915" s="607">
        <v>1610.39</v>
      </c>
      <c r="E3915" s="607">
        <v>340.98</v>
      </c>
      <c r="F3915" s="607">
        <v>1951.37</v>
      </c>
      <c r="G3915" s="584">
        <v>15</v>
      </c>
    </row>
    <row r="3916" spans="1:7" ht="15" x14ac:dyDescent="0.2">
      <c r="A3916" s="583" t="s">
        <v>19744</v>
      </c>
      <c r="B3916" s="605" t="s">
        <v>19745</v>
      </c>
      <c r="C3916" s="606" t="s">
        <v>12375</v>
      </c>
      <c r="D3916" s="607">
        <v>1927.72</v>
      </c>
      <c r="E3916" s="607">
        <v>340.98</v>
      </c>
      <c r="F3916" s="607">
        <v>2268.6999999999998</v>
      </c>
      <c r="G3916" s="584">
        <v>15</v>
      </c>
    </row>
    <row r="3917" spans="1:7" ht="15" x14ac:dyDescent="0.2">
      <c r="A3917" s="583" t="s">
        <v>19746</v>
      </c>
      <c r="B3917" s="605" t="s">
        <v>19747</v>
      </c>
      <c r="C3917" s="606" t="s">
        <v>12375</v>
      </c>
      <c r="D3917" s="607">
        <v>2063.5500000000002</v>
      </c>
      <c r="E3917" s="607">
        <v>340.98</v>
      </c>
      <c r="F3917" s="607">
        <v>2404.5300000000002</v>
      </c>
      <c r="G3917" s="584">
        <v>15</v>
      </c>
    </row>
    <row r="3918" spans="1:7" ht="15" x14ac:dyDescent="0.2">
      <c r="A3918" s="583" t="s">
        <v>19748</v>
      </c>
      <c r="B3918" s="605" t="s">
        <v>19749</v>
      </c>
      <c r="C3918" s="606" t="s">
        <v>12375</v>
      </c>
      <c r="D3918" s="607">
        <v>2315.77</v>
      </c>
      <c r="E3918" s="607">
        <v>340.98</v>
      </c>
      <c r="F3918" s="607">
        <v>2656.75</v>
      </c>
      <c r="G3918" s="584">
        <v>15</v>
      </c>
    </row>
    <row r="3919" spans="1:7" ht="15" x14ac:dyDescent="0.2">
      <c r="A3919" s="583" t="s">
        <v>19750</v>
      </c>
      <c r="B3919" s="605" t="s">
        <v>19751</v>
      </c>
      <c r="C3919" s="606" t="s">
        <v>12375</v>
      </c>
      <c r="D3919" s="607">
        <v>1513.94</v>
      </c>
      <c r="E3919" s="607">
        <v>340.98</v>
      </c>
      <c r="F3919" s="607">
        <v>1854.92</v>
      </c>
      <c r="G3919" s="584">
        <v>15</v>
      </c>
    </row>
    <row r="3920" spans="1:7" ht="15" x14ac:dyDescent="0.2">
      <c r="A3920" s="583" t="s">
        <v>19752</v>
      </c>
      <c r="B3920" s="605" t="s">
        <v>19753</v>
      </c>
      <c r="C3920" s="606" t="s">
        <v>12375</v>
      </c>
      <c r="D3920" s="607">
        <v>1692.34</v>
      </c>
      <c r="E3920" s="607">
        <v>340.98</v>
      </c>
      <c r="F3920" s="607">
        <v>2033.32</v>
      </c>
      <c r="G3920" s="584">
        <v>15</v>
      </c>
    </row>
    <row r="3921" spans="1:7" ht="15" x14ac:dyDescent="0.2">
      <c r="A3921" s="583" t="s">
        <v>19754</v>
      </c>
      <c r="B3921" s="605" t="s">
        <v>19755</v>
      </c>
      <c r="C3921" s="606" t="s">
        <v>12375</v>
      </c>
      <c r="D3921" s="607">
        <v>2253.5100000000002</v>
      </c>
      <c r="E3921" s="607">
        <v>340.98</v>
      </c>
      <c r="F3921" s="607">
        <v>2594.4899999999998</v>
      </c>
      <c r="G3921" s="584">
        <v>15</v>
      </c>
    </row>
    <row r="3922" spans="1:7" ht="15" x14ac:dyDescent="0.2">
      <c r="A3922" s="583" t="s">
        <v>19756</v>
      </c>
      <c r="B3922" s="605" t="s">
        <v>19757</v>
      </c>
      <c r="C3922" s="606" t="s">
        <v>12375</v>
      </c>
      <c r="D3922" s="607">
        <v>2519.36</v>
      </c>
      <c r="E3922" s="607">
        <v>340.98</v>
      </c>
      <c r="F3922" s="607">
        <v>2860.34</v>
      </c>
      <c r="G3922" s="584">
        <v>15</v>
      </c>
    </row>
    <row r="3923" spans="1:7" ht="15" x14ac:dyDescent="0.2">
      <c r="A3923" s="583" t="s">
        <v>19758</v>
      </c>
      <c r="B3923" s="605" t="s">
        <v>19759</v>
      </c>
      <c r="C3923" s="606" t="s">
        <v>12375</v>
      </c>
      <c r="D3923" s="607">
        <v>2838.57</v>
      </c>
      <c r="E3923" s="607">
        <v>340.98</v>
      </c>
      <c r="F3923" s="607">
        <v>3179.55</v>
      </c>
      <c r="G3923" s="584">
        <v>15</v>
      </c>
    </row>
    <row r="3924" spans="1:7" ht="15" x14ac:dyDescent="0.2">
      <c r="A3924" s="583" t="s">
        <v>19760</v>
      </c>
      <c r="B3924" s="605" t="s">
        <v>19761</v>
      </c>
      <c r="C3924" s="606" t="s">
        <v>12375</v>
      </c>
      <c r="D3924" s="607">
        <v>2950.95</v>
      </c>
      <c r="E3924" s="607">
        <v>340.98</v>
      </c>
      <c r="F3924" s="607">
        <v>3291.93</v>
      </c>
      <c r="G3924" s="584">
        <v>15</v>
      </c>
    </row>
    <row r="3925" spans="1:7" ht="15" x14ac:dyDescent="0.2">
      <c r="A3925" s="583" t="s">
        <v>19762</v>
      </c>
      <c r="B3925" s="605" t="s">
        <v>19763</v>
      </c>
      <c r="C3925" s="606" t="s">
        <v>12375</v>
      </c>
      <c r="D3925" s="607">
        <v>3291.92</v>
      </c>
      <c r="E3925" s="607">
        <v>340.98</v>
      </c>
      <c r="F3925" s="607">
        <v>3632.9</v>
      </c>
      <c r="G3925" s="584">
        <v>15</v>
      </c>
    </row>
    <row r="3926" spans="1:7" ht="15" x14ac:dyDescent="0.2">
      <c r="A3926" s="583" t="s">
        <v>19764</v>
      </c>
      <c r="B3926" s="605" t="s">
        <v>19765</v>
      </c>
      <c r="C3926" s="606" t="s">
        <v>12375</v>
      </c>
      <c r="D3926" s="607">
        <v>5047.34</v>
      </c>
      <c r="E3926" s="607">
        <v>340.98</v>
      </c>
      <c r="F3926" s="607">
        <v>5388.32</v>
      </c>
      <c r="G3926" s="584">
        <v>15</v>
      </c>
    </row>
    <row r="3927" spans="1:7" ht="15" x14ac:dyDescent="0.25">
      <c r="A3927" s="583" t="s">
        <v>19766</v>
      </c>
      <c r="B3927" s="605" t="s">
        <v>19767</v>
      </c>
      <c r="C3927" s="606"/>
      <c r="D3927" s="607"/>
      <c r="E3927" s="607"/>
      <c r="F3927" s="607"/>
      <c r="G3927" s="582"/>
    </row>
    <row r="3928" spans="1:7" ht="15" x14ac:dyDescent="0.2">
      <c r="A3928" s="583" t="s">
        <v>19768</v>
      </c>
      <c r="B3928" s="605" t="s">
        <v>19769</v>
      </c>
      <c r="C3928" s="606" t="s">
        <v>12375</v>
      </c>
      <c r="D3928" s="607">
        <v>649.23</v>
      </c>
      <c r="E3928" s="607">
        <v>221.53</v>
      </c>
      <c r="F3928" s="607">
        <v>870.76</v>
      </c>
      <c r="G3928" s="584">
        <v>15</v>
      </c>
    </row>
    <row r="3929" spans="1:7" ht="15" x14ac:dyDescent="0.2">
      <c r="A3929" s="583" t="s">
        <v>19770</v>
      </c>
      <c r="B3929" s="605" t="s">
        <v>19771</v>
      </c>
      <c r="C3929" s="606" t="s">
        <v>12375</v>
      </c>
      <c r="D3929" s="607">
        <v>632.49</v>
      </c>
      <c r="E3929" s="607">
        <v>238.83</v>
      </c>
      <c r="F3929" s="607">
        <v>871.32</v>
      </c>
      <c r="G3929" s="584">
        <v>15</v>
      </c>
    </row>
    <row r="3930" spans="1:7" ht="15" x14ac:dyDescent="0.2">
      <c r="A3930" s="583" t="s">
        <v>19772</v>
      </c>
      <c r="B3930" s="605" t="s">
        <v>19773</v>
      </c>
      <c r="C3930" s="606" t="s">
        <v>12375</v>
      </c>
      <c r="D3930" s="607">
        <v>1341.89</v>
      </c>
      <c r="E3930" s="607">
        <v>238.83</v>
      </c>
      <c r="F3930" s="607">
        <v>1580.72</v>
      </c>
      <c r="G3930" s="584">
        <v>15</v>
      </c>
    </row>
    <row r="3931" spans="1:7" ht="15" x14ac:dyDescent="0.2">
      <c r="A3931" s="583" t="s">
        <v>19774</v>
      </c>
      <c r="B3931" s="605" t="s">
        <v>19775</v>
      </c>
      <c r="C3931" s="606" t="s">
        <v>12375</v>
      </c>
      <c r="D3931" s="607">
        <v>1537.87</v>
      </c>
      <c r="E3931" s="607">
        <v>358.25</v>
      </c>
      <c r="F3931" s="607">
        <v>1896.12</v>
      </c>
      <c r="G3931" s="584">
        <v>15</v>
      </c>
    </row>
    <row r="3932" spans="1:7" ht="15" x14ac:dyDescent="0.2">
      <c r="A3932" s="583" t="s">
        <v>19776</v>
      </c>
      <c r="B3932" s="605" t="s">
        <v>19777</v>
      </c>
      <c r="C3932" s="606" t="s">
        <v>12375</v>
      </c>
      <c r="D3932" s="607">
        <v>1805.44</v>
      </c>
      <c r="E3932" s="607">
        <v>477.66</v>
      </c>
      <c r="F3932" s="607">
        <v>2283.1</v>
      </c>
      <c r="G3932" s="584">
        <v>15</v>
      </c>
    </row>
    <row r="3933" spans="1:7" ht="15" x14ac:dyDescent="0.2">
      <c r="A3933" s="583" t="s">
        <v>19778</v>
      </c>
      <c r="B3933" s="605" t="s">
        <v>19779</v>
      </c>
      <c r="C3933" s="606" t="s">
        <v>12375</v>
      </c>
      <c r="D3933" s="607">
        <v>2746.73</v>
      </c>
      <c r="E3933" s="607">
        <v>358.25</v>
      </c>
      <c r="F3933" s="607">
        <v>3104.98</v>
      </c>
      <c r="G3933" s="584">
        <v>15</v>
      </c>
    </row>
    <row r="3934" spans="1:7" ht="15" x14ac:dyDescent="0.2">
      <c r="A3934" s="583" t="s">
        <v>19780</v>
      </c>
      <c r="B3934" s="605" t="s">
        <v>19781</v>
      </c>
      <c r="C3934" s="606" t="s">
        <v>12375</v>
      </c>
      <c r="D3934" s="607">
        <v>1525.05</v>
      </c>
      <c r="E3934" s="607">
        <v>358.25</v>
      </c>
      <c r="F3934" s="607">
        <v>1883.3</v>
      </c>
      <c r="G3934" s="584">
        <v>15</v>
      </c>
    </row>
    <row r="3935" spans="1:7" ht="15" x14ac:dyDescent="0.2">
      <c r="A3935" s="583" t="s">
        <v>19782</v>
      </c>
      <c r="B3935" s="605" t="s">
        <v>19783</v>
      </c>
      <c r="C3935" s="606" t="s">
        <v>12375</v>
      </c>
      <c r="D3935" s="607">
        <v>2733.91</v>
      </c>
      <c r="E3935" s="607">
        <v>477.66</v>
      </c>
      <c r="F3935" s="607">
        <v>3211.57</v>
      </c>
      <c r="G3935" s="584">
        <v>15</v>
      </c>
    </row>
    <row r="3936" spans="1:7" ht="15" x14ac:dyDescent="0.2">
      <c r="A3936" s="583" t="s">
        <v>19784</v>
      </c>
      <c r="B3936" s="605" t="s">
        <v>19785</v>
      </c>
      <c r="C3936" s="606" t="s">
        <v>12375</v>
      </c>
      <c r="D3936" s="607">
        <v>153.06</v>
      </c>
      <c r="E3936" s="607">
        <v>159.22</v>
      </c>
      <c r="F3936" s="607">
        <v>312.27999999999997</v>
      </c>
      <c r="G3936" s="584">
        <v>15</v>
      </c>
    </row>
    <row r="3937" spans="1:7" ht="15" x14ac:dyDescent="0.2">
      <c r="A3937" s="583" t="s">
        <v>19786</v>
      </c>
      <c r="B3937" s="605" t="s">
        <v>19787</v>
      </c>
      <c r="C3937" s="606" t="s">
        <v>12375</v>
      </c>
      <c r="D3937" s="607">
        <v>163.41</v>
      </c>
      <c r="E3937" s="607">
        <v>159.22</v>
      </c>
      <c r="F3937" s="607">
        <v>322.63</v>
      </c>
      <c r="G3937" s="584">
        <v>15</v>
      </c>
    </row>
    <row r="3938" spans="1:7" ht="15" x14ac:dyDescent="0.2">
      <c r="A3938" s="583" t="s">
        <v>19788</v>
      </c>
      <c r="B3938" s="605" t="s">
        <v>19789</v>
      </c>
      <c r="C3938" s="606" t="s">
        <v>12375</v>
      </c>
      <c r="D3938" s="607">
        <v>278.41000000000003</v>
      </c>
      <c r="E3938" s="607">
        <v>199.03</v>
      </c>
      <c r="F3938" s="607">
        <v>477.44</v>
      </c>
      <c r="G3938" s="584">
        <v>15</v>
      </c>
    </row>
    <row r="3939" spans="1:7" ht="15" x14ac:dyDescent="0.2">
      <c r="A3939" s="583" t="s">
        <v>19790</v>
      </c>
      <c r="B3939" s="605" t="s">
        <v>19791</v>
      </c>
      <c r="C3939" s="606" t="s">
        <v>12375</v>
      </c>
      <c r="D3939" s="607">
        <v>556.82000000000005</v>
      </c>
      <c r="E3939" s="607">
        <v>238.83</v>
      </c>
      <c r="F3939" s="607">
        <v>795.65</v>
      </c>
      <c r="G3939" s="584">
        <v>15</v>
      </c>
    </row>
    <row r="3940" spans="1:7" ht="15" x14ac:dyDescent="0.25">
      <c r="A3940" s="583" t="s">
        <v>19792</v>
      </c>
      <c r="B3940" s="605" t="s">
        <v>19793</v>
      </c>
      <c r="C3940" s="606"/>
      <c r="D3940" s="607"/>
      <c r="E3940" s="607"/>
      <c r="F3940" s="607"/>
      <c r="G3940" s="582"/>
    </row>
    <row r="3941" spans="1:7" ht="15" x14ac:dyDescent="0.2">
      <c r="A3941" s="583" t="s">
        <v>19794</v>
      </c>
      <c r="B3941" s="605" t="s">
        <v>19795</v>
      </c>
      <c r="C3941" s="606" t="s">
        <v>12375</v>
      </c>
      <c r="D3941" s="607">
        <v>264.39999999999998</v>
      </c>
      <c r="E3941" s="607">
        <v>269.14</v>
      </c>
      <c r="F3941" s="607">
        <v>533.54</v>
      </c>
      <c r="G3941" s="584">
        <v>15</v>
      </c>
    </row>
    <row r="3942" spans="1:7" ht="30" x14ac:dyDescent="0.2">
      <c r="A3942" s="583" t="s">
        <v>19796</v>
      </c>
      <c r="B3942" s="605" t="s">
        <v>19797</v>
      </c>
      <c r="C3942" s="606" t="s">
        <v>12375</v>
      </c>
      <c r="D3942" s="607">
        <v>79.510000000000005</v>
      </c>
      <c r="E3942" s="607">
        <v>19.64</v>
      </c>
      <c r="F3942" s="607">
        <v>99.15</v>
      </c>
      <c r="G3942" s="584">
        <v>15</v>
      </c>
    </row>
    <row r="3943" spans="1:7" ht="30" x14ac:dyDescent="0.2">
      <c r="A3943" s="583" t="s">
        <v>19798</v>
      </c>
      <c r="B3943" s="605" t="s">
        <v>19799</v>
      </c>
      <c r="C3943" s="606" t="s">
        <v>12375</v>
      </c>
      <c r="D3943" s="607">
        <v>892.16</v>
      </c>
      <c r="E3943" s="607">
        <v>39.270000000000003</v>
      </c>
      <c r="F3943" s="607">
        <v>931.43</v>
      </c>
      <c r="G3943" s="584">
        <v>15</v>
      </c>
    </row>
    <row r="3944" spans="1:7" ht="15" x14ac:dyDescent="0.2">
      <c r="A3944" s="583" t="s">
        <v>19800</v>
      </c>
      <c r="B3944" s="605" t="s">
        <v>19801</v>
      </c>
      <c r="C3944" s="606" t="s">
        <v>12375</v>
      </c>
      <c r="D3944" s="607">
        <v>39</v>
      </c>
      <c r="E3944" s="607">
        <v>39.08</v>
      </c>
      <c r="F3944" s="607">
        <v>78.08</v>
      </c>
      <c r="G3944" s="584">
        <v>15</v>
      </c>
    </row>
    <row r="3945" spans="1:7" ht="30" x14ac:dyDescent="0.25">
      <c r="A3945" s="583" t="s">
        <v>19802</v>
      </c>
      <c r="B3945" s="605" t="s">
        <v>19803</v>
      </c>
      <c r="C3945" s="606"/>
      <c r="D3945" s="607"/>
      <c r="E3945" s="607"/>
      <c r="F3945" s="607"/>
      <c r="G3945" s="582"/>
    </row>
    <row r="3946" spans="1:7" ht="15" x14ac:dyDescent="0.25">
      <c r="A3946" s="583" t="s">
        <v>19804</v>
      </c>
      <c r="B3946" s="605" t="s">
        <v>19805</v>
      </c>
      <c r="C3946" s="606"/>
      <c r="D3946" s="607"/>
      <c r="E3946" s="607"/>
      <c r="F3946" s="607"/>
      <c r="G3946" s="582"/>
    </row>
    <row r="3947" spans="1:7" ht="30" x14ac:dyDescent="0.2">
      <c r="A3947" s="583" t="s">
        <v>19806</v>
      </c>
      <c r="B3947" s="605" t="s">
        <v>19807</v>
      </c>
      <c r="C3947" s="606" t="s">
        <v>12375</v>
      </c>
      <c r="D3947" s="607">
        <v>76.819999999999993</v>
      </c>
      <c r="E3947" s="607"/>
      <c r="F3947" s="607">
        <v>76.819999999999993</v>
      </c>
      <c r="G3947" s="584">
        <v>15</v>
      </c>
    </row>
    <row r="3948" spans="1:7" ht="30" x14ac:dyDescent="0.2">
      <c r="A3948" s="583" t="s">
        <v>19808</v>
      </c>
      <c r="B3948" s="605" t="s">
        <v>21457</v>
      </c>
      <c r="C3948" s="606" t="s">
        <v>12375</v>
      </c>
      <c r="D3948" s="607">
        <v>458.92</v>
      </c>
      <c r="E3948" s="607">
        <v>162.44999999999999</v>
      </c>
      <c r="F3948" s="607">
        <v>621.37</v>
      </c>
      <c r="G3948" s="584">
        <v>15</v>
      </c>
    </row>
    <row r="3949" spans="1:7" ht="30" x14ac:dyDescent="0.2">
      <c r="A3949" s="583" t="s">
        <v>19809</v>
      </c>
      <c r="B3949" s="605" t="s">
        <v>21458</v>
      </c>
      <c r="C3949" s="606" t="s">
        <v>12375</v>
      </c>
      <c r="D3949" s="607">
        <v>1076.25</v>
      </c>
      <c r="E3949" s="607">
        <v>410.73</v>
      </c>
      <c r="F3949" s="607">
        <v>1486.98</v>
      </c>
      <c r="G3949" s="584">
        <v>15</v>
      </c>
    </row>
    <row r="3950" spans="1:7" ht="15" x14ac:dyDescent="0.2">
      <c r="A3950" s="583" t="s">
        <v>20117</v>
      </c>
      <c r="B3950" s="605" t="s">
        <v>20118</v>
      </c>
      <c r="C3950" s="606" t="s">
        <v>12375</v>
      </c>
      <c r="D3950" s="607">
        <v>2442.02</v>
      </c>
      <c r="E3950" s="607">
        <v>7.85</v>
      </c>
      <c r="F3950" s="607">
        <v>2449.87</v>
      </c>
      <c r="G3950" s="584">
        <v>15</v>
      </c>
    </row>
    <row r="3951" spans="1:7" ht="45" x14ac:dyDescent="0.2">
      <c r="A3951" s="583" t="s">
        <v>19810</v>
      </c>
      <c r="B3951" s="605" t="s">
        <v>19811</v>
      </c>
      <c r="C3951" s="606" t="s">
        <v>12375</v>
      </c>
      <c r="D3951" s="607">
        <v>166.33</v>
      </c>
      <c r="E3951" s="607">
        <v>22.33</v>
      </c>
      <c r="F3951" s="607">
        <v>188.66</v>
      </c>
      <c r="G3951" s="584">
        <v>15</v>
      </c>
    </row>
    <row r="3952" spans="1:7" ht="15" x14ac:dyDescent="0.2">
      <c r="A3952" s="583" t="s">
        <v>19812</v>
      </c>
      <c r="B3952" s="605" t="s">
        <v>19813</v>
      </c>
      <c r="C3952" s="606" t="s">
        <v>12375</v>
      </c>
      <c r="D3952" s="607">
        <v>36.43</v>
      </c>
      <c r="E3952" s="607">
        <v>8.3800000000000008</v>
      </c>
      <c r="F3952" s="607">
        <v>44.81</v>
      </c>
      <c r="G3952" s="584">
        <v>15</v>
      </c>
    </row>
    <row r="3953" spans="1:7" ht="15" x14ac:dyDescent="0.2">
      <c r="A3953" s="583" t="s">
        <v>19814</v>
      </c>
      <c r="B3953" s="605" t="s">
        <v>19815</v>
      </c>
      <c r="C3953" s="606" t="s">
        <v>12375</v>
      </c>
      <c r="D3953" s="607">
        <v>133.47</v>
      </c>
      <c r="E3953" s="607">
        <v>8.3800000000000008</v>
      </c>
      <c r="F3953" s="607">
        <v>141.85</v>
      </c>
      <c r="G3953" s="584">
        <v>15</v>
      </c>
    </row>
    <row r="3954" spans="1:7" ht="30" x14ac:dyDescent="0.2">
      <c r="A3954" s="583" t="s">
        <v>19816</v>
      </c>
      <c r="B3954" s="605" t="s">
        <v>19817</v>
      </c>
      <c r="C3954" s="606" t="s">
        <v>12676</v>
      </c>
      <c r="D3954" s="607">
        <v>3503.78</v>
      </c>
      <c r="E3954" s="607"/>
      <c r="F3954" s="607">
        <v>3503.78</v>
      </c>
      <c r="G3954" s="584">
        <v>15</v>
      </c>
    </row>
    <row r="3955" spans="1:7" ht="30" x14ac:dyDescent="0.2">
      <c r="A3955" s="583" t="s">
        <v>19818</v>
      </c>
      <c r="B3955" s="605" t="s">
        <v>19819</v>
      </c>
      <c r="C3955" s="606" t="s">
        <v>12676</v>
      </c>
      <c r="D3955" s="607">
        <v>37436.81</v>
      </c>
      <c r="E3955" s="607"/>
      <c r="F3955" s="607">
        <v>37436.81</v>
      </c>
      <c r="G3955" s="584">
        <v>15</v>
      </c>
    </row>
    <row r="3956" spans="1:7" ht="15" x14ac:dyDescent="0.25">
      <c r="A3956" s="583" t="s">
        <v>19820</v>
      </c>
      <c r="B3956" s="605" t="s">
        <v>19821</v>
      </c>
      <c r="C3956" s="606"/>
      <c r="D3956" s="607"/>
      <c r="E3956" s="607"/>
      <c r="F3956" s="607"/>
      <c r="G3956" s="582"/>
    </row>
    <row r="3957" spans="1:7" ht="30" x14ac:dyDescent="0.2">
      <c r="A3957" s="583" t="s">
        <v>19822</v>
      </c>
      <c r="B3957" s="605" t="s">
        <v>19823</v>
      </c>
      <c r="C3957" s="606" t="s">
        <v>12375</v>
      </c>
      <c r="D3957" s="607">
        <v>9725.82</v>
      </c>
      <c r="E3957" s="607">
        <v>83.75</v>
      </c>
      <c r="F3957" s="607">
        <v>9809.57</v>
      </c>
      <c r="G3957" s="584">
        <v>15</v>
      </c>
    </row>
    <row r="3958" spans="1:7" ht="30" x14ac:dyDescent="0.2">
      <c r="A3958" s="583" t="s">
        <v>19824</v>
      </c>
      <c r="B3958" s="605" t="s">
        <v>19825</v>
      </c>
      <c r="C3958" s="606" t="s">
        <v>12375</v>
      </c>
      <c r="D3958" s="607">
        <v>13764.29</v>
      </c>
      <c r="E3958" s="607">
        <v>83.75</v>
      </c>
      <c r="F3958" s="607">
        <v>13848.04</v>
      </c>
      <c r="G3958" s="584">
        <v>15</v>
      </c>
    </row>
    <row r="3959" spans="1:7" ht="30" x14ac:dyDescent="0.2">
      <c r="A3959" s="583" t="s">
        <v>19826</v>
      </c>
      <c r="B3959" s="605" t="s">
        <v>19827</v>
      </c>
      <c r="C3959" s="606" t="s">
        <v>12375</v>
      </c>
      <c r="D3959" s="607">
        <v>43681.96</v>
      </c>
      <c r="E3959" s="607">
        <v>83.75</v>
      </c>
      <c r="F3959" s="607">
        <v>43765.71</v>
      </c>
      <c r="G3959" s="584">
        <v>15</v>
      </c>
    </row>
    <row r="3960" spans="1:7" ht="15" x14ac:dyDescent="0.25">
      <c r="A3960" s="583" t="s">
        <v>19828</v>
      </c>
      <c r="B3960" s="605" t="s">
        <v>19829</v>
      </c>
      <c r="C3960" s="606"/>
      <c r="D3960" s="607"/>
      <c r="E3960" s="607"/>
      <c r="F3960" s="607"/>
      <c r="G3960" s="582"/>
    </row>
    <row r="3961" spans="1:7" ht="30" x14ac:dyDescent="0.2">
      <c r="A3961" s="583" t="s">
        <v>19830</v>
      </c>
      <c r="B3961" s="605" t="s">
        <v>19831</v>
      </c>
      <c r="C3961" s="606" t="s">
        <v>12375</v>
      </c>
      <c r="D3961" s="607">
        <v>37568</v>
      </c>
      <c r="E3961" s="607">
        <v>157.08000000000001</v>
      </c>
      <c r="F3961" s="607">
        <v>37725.08</v>
      </c>
      <c r="G3961" s="584">
        <v>15</v>
      </c>
    </row>
    <row r="3962" spans="1:7" ht="30" x14ac:dyDescent="0.2">
      <c r="A3962" s="583" t="s">
        <v>19832</v>
      </c>
      <c r="B3962" s="605" t="s">
        <v>19833</v>
      </c>
      <c r="C3962" s="606" t="s">
        <v>12375</v>
      </c>
      <c r="D3962" s="607">
        <v>44830.82</v>
      </c>
      <c r="E3962" s="607">
        <v>157.08000000000001</v>
      </c>
      <c r="F3962" s="607">
        <v>44987.9</v>
      </c>
      <c r="G3962" s="584">
        <v>15</v>
      </c>
    </row>
    <row r="3963" spans="1:7" ht="30" x14ac:dyDescent="0.2">
      <c r="A3963" s="583" t="s">
        <v>19834</v>
      </c>
      <c r="B3963" s="605" t="s">
        <v>19835</v>
      </c>
      <c r="C3963" s="606" t="s">
        <v>12375</v>
      </c>
      <c r="D3963" s="607">
        <v>45531.39</v>
      </c>
      <c r="E3963" s="607">
        <v>157.08000000000001</v>
      </c>
      <c r="F3963" s="607">
        <v>45688.47</v>
      </c>
      <c r="G3963" s="584">
        <v>15</v>
      </c>
    </row>
    <row r="3964" spans="1:7" ht="30" x14ac:dyDescent="0.2">
      <c r="A3964" s="583" t="s">
        <v>19836</v>
      </c>
      <c r="B3964" s="605" t="s">
        <v>19837</v>
      </c>
      <c r="C3964" s="606" t="s">
        <v>12375</v>
      </c>
      <c r="D3964" s="607">
        <v>5769.07</v>
      </c>
      <c r="E3964" s="607">
        <v>111.66</v>
      </c>
      <c r="F3964" s="607">
        <v>5880.73</v>
      </c>
      <c r="G3964" s="584">
        <v>15</v>
      </c>
    </row>
    <row r="3965" spans="1:7" ht="30" x14ac:dyDescent="0.2">
      <c r="A3965" s="583" t="s">
        <v>19838</v>
      </c>
      <c r="B3965" s="605" t="s">
        <v>19839</v>
      </c>
      <c r="C3965" s="606" t="s">
        <v>12375</v>
      </c>
      <c r="D3965" s="607">
        <v>15043.04</v>
      </c>
      <c r="E3965" s="607">
        <v>157.08000000000001</v>
      </c>
      <c r="F3965" s="607">
        <v>15200.12</v>
      </c>
      <c r="G3965" s="584">
        <v>15</v>
      </c>
    </row>
    <row r="3966" spans="1:7" ht="30" x14ac:dyDescent="0.2">
      <c r="A3966" s="583" t="s">
        <v>19840</v>
      </c>
      <c r="B3966" s="605" t="s">
        <v>19841</v>
      </c>
      <c r="C3966" s="606" t="s">
        <v>12375</v>
      </c>
      <c r="D3966" s="607">
        <v>21886.97</v>
      </c>
      <c r="E3966" s="607">
        <v>111.66</v>
      </c>
      <c r="F3966" s="607">
        <v>21998.63</v>
      </c>
      <c r="G3966" s="584">
        <v>15</v>
      </c>
    </row>
    <row r="3967" spans="1:7" ht="30" x14ac:dyDescent="0.2">
      <c r="A3967" s="583" t="s">
        <v>19842</v>
      </c>
      <c r="B3967" s="605" t="s">
        <v>19843</v>
      </c>
      <c r="C3967" s="606" t="s">
        <v>12375</v>
      </c>
      <c r="D3967" s="607">
        <v>953.08</v>
      </c>
      <c r="E3967" s="607">
        <v>55.83</v>
      </c>
      <c r="F3967" s="607">
        <v>1008.91</v>
      </c>
      <c r="G3967" s="584">
        <v>15</v>
      </c>
    </row>
    <row r="3968" spans="1:7" ht="30" x14ac:dyDescent="0.2">
      <c r="A3968" s="583" t="s">
        <v>19844</v>
      </c>
      <c r="B3968" s="605" t="s">
        <v>19845</v>
      </c>
      <c r="C3968" s="606" t="s">
        <v>12375</v>
      </c>
      <c r="D3968" s="607">
        <v>40580.269999999997</v>
      </c>
      <c r="E3968" s="607">
        <v>157.08000000000001</v>
      </c>
      <c r="F3968" s="607">
        <v>40737.35</v>
      </c>
      <c r="G3968" s="584">
        <v>15</v>
      </c>
    </row>
    <row r="3969" spans="1:7" ht="30" x14ac:dyDescent="0.2">
      <c r="A3969" s="583" t="s">
        <v>19846</v>
      </c>
      <c r="B3969" s="605" t="s">
        <v>19847</v>
      </c>
      <c r="C3969" s="606" t="s">
        <v>12375</v>
      </c>
      <c r="D3969" s="607">
        <v>54834.559999999998</v>
      </c>
      <c r="E3969" s="607">
        <v>157.08000000000001</v>
      </c>
      <c r="F3969" s="607">
        <v>54991.64</v>
      </c>
      <c r="G3969" s="584">
        <v>15</v>
      </c>
    </row>
    <row r="3970" spans="1:7" ht="30" x14ac:dyDescent="0.2">
      <c r="A3970" s="583" t="s">
        <v>19848</v>
      </c>
      <c r="B3970" s="605" t="s">
        <v>19849</v>
      </c>
      <c r="C3970" s="606" t="s">
        <v>12375</v>
      </c>
      <c r="D3970" s="607">
        <v>119102.78</v>
      </c>
      <c r="E3970" s="607">
        <v>157.08000000000001</v>
      </c>
      <c r="F3970" s="607">
        <v>119259.86</v>
      </c>
      <c r="G3970" s="584">
        <v>15</v>
      </c>
    </row>
    <row r="3971" spans="1:7" ht="30" x14ac:dyDescent="0.2">
      <c r="A3971" s="583" t="s">
        <v>19850</v>
      </c>
      <c r="B3971" s="605" t="s">
        <v>19851</v>
      </c>
      <c r="C3971" s="606" t="s">
        <v>12375</v>
      </c>
      <c r="D3971" s="607">
        <v>137538.04999999999</v>
      </c>
      <c r="E3971" s="607">
        <v>157.08000000000001</v>
      </c>
      <c r="F3971" s="607">
        <v>137695.13</v>
      </c>
      <c r="G3971" s="584">
        <v>15</v>
      </c>
    </row>
    <row r="3972" spans="1:7" ht="30" x14ac:dyDescent="0.2">
      <c r="A3972" s="583" t="s">
        <v>19852</v>
      </c>
      <c r="B3972" s="605" t="s">
        <v>19853</v>
      </c>
      <c r="C3972" s="606" t="s">
        <v>12375</v>
      </c>
      <c r="D3972" s="607">
        <v>49489.83</v>
      </c>
      <c r="E3972" s="607">
        <v>157.08000000000001</v>
      </c>
      <c r="F3972" s="607">
        <v>49646.91</v>
      </c>
      <c r="G3972" s="584">
        <v>15</v>
      </c>
    </row>
    <row r="3973" spans="1:7" ht="30" x14ac:dyDescent="0.2">
      <c r="A3973" s="583" t="s">
        <v>19854</v>
      </c>
      <c r="B3973" s="605" t="s">
        <v>19855</v>
      </c>
      <c r="C3973" s="606" t="s">
        <v>12375</v>
      </c>
      <c r="D3973" s="607">
        <v>29327.49</v>
      </c>
      <c r="E3973" s="607">
        <v>157.08000000000001</v>
      </c>
      <c r="F3973" s="607">
        <v>29484.57</v>
      </c>
      <c r="G3973" s="584">
        <v>15</v>
      </c>
    </row>
    <row r="3974" spans="1:7" ht="30" x14ac:dyDescent="0.2">
      <c r="A3974" s="583" t="s">
        <v>19856</v>
      </c>
      <c r="B3974" s="605" t="s">
        <v>19857</v>
      </c>
      <c r="C3974" s="606" t="s">
        <v>12375</v>
      </c>
      <c r="D3974" s="607">
        <v>35582.54</v>
      </c>
      <c r="E3974" s="607">
        <v>157.08000000000001</v>
      </c>
      <c r="F3974" s="607">
        <v>35739.620000000003</v>
      </c>
      <c r="G3974" s="584">
        <v>15</v>
      </c>
    </row>
    <row r="3975" spans="1:7" ht="30" x14ac:dyDescent="0.2">
      <c r="A3975" s="583" t="s">
        <v>19858</v>
      </c>
      <c r="B3975" s="605" t="s">
        <v>19859</v>
      </c>
      <c r="C3975" s="606" t="s">
        <v>12375</v>
      </c>
      <c r="D3975" s="607">
        <v>63317.54</v>
      </c>
      <c r="E3975" s="607">
        <v>157.08000000000001</v>
      </c>
      <c r="F3975" s="607">
        <v>63474.62</v>
      </c>
      <c r="G3975" s="584">
        <v>15</v>
      </c>
    </row>
    <row r="3976" spans="1:7" ht="30" x14ac:dyDescent="0.2">
      <c r="A3976" s="583" t="s">
        <v>19860</v>
      </c>
      <c r="B3976" s="605" t="s">
        <v>19861</v>
      </c>
      <c r="C3976" s="606" t="s">
        <v>12375</v>
      </c>
      <c r="D3976" s="607">
        <v>43030.7</v>
      </c>
      <c r="E3976" s="607">
        <v>157.08000000000001</v>
      </c>
      <c r="F3976" s="607">
        <v>43187.78</v>
      </c>
      <c r="G3976" s="584">
        <v>15</v>
      </c>
    </row>
    <row r="3977" spans="1:7" ht="30" x14ac:dyDescent="0.2">
      <c r="A3977" s="583" t="s">
        <v>19862</v>
      </c>
      <c r="B3977" s="605" t="s">
        <v>19863</v>
      </c>
      <c r="C3977" s="606" t="s">
        <v>12375</v>
      </c>
      <c r="D3977" s="607">
        <v>97358.45</v>
      </c>
      <c r="E3977" s="607">
        <v>157.08000000000001</v>
      </c>
      <c r="F3977" s="607">
        <v>97515.53</v>
      </c>
      <c r="G3977" s="584">
        <v>15</v>
      </c>
    </row>
    <row r="3978" spans="1:7" ht="15" x14ac:dyDescent="0.25">
      <c r="A3978" s="583" t="s">
        <v>19864</v>
      </c>
      <c r="B3978" s="605" t="s">
        <v>19865</v>
      </c>
      <c r="C3978" s="606"/>
      <c r="D3978" s="607"/>
      <c r="E3978" s="607"/>
      <c r="F3978" s="607"/>
      <c r="G3978" s="582"/>
    </row>
    <row r="3979" spans="1:7" ht="15" x14ac:dyDescent="0.2">
      <c r="A3979" s="583" t="s">
        <v>21459</v>
      </c>
      <c r="B3979" s="605" t="s">
        <v>21460</v>
      </c>
      <c r="C3979" s="606" t="s">
        <v>12375</v>
      </c>
      <c r="D3979" s="607">
        <v>728.89</v>
      </c>
      <c r="E3979" s="607">
        <v>63.72</v>
      </c>
      <c r="F3979" s="607">
        <v>792.61</v>
      </c>
      <c r="G3979" s="584">
        <v>15</v>
      </c>
    </row>
    <row r="3980" spans="1:7" ht="15" x14ac:dyDescent="0.25">
      <c r="A3980" s="583" t="s">
        <v>19866</v>
      </c>
      <c r="B3980" s="605" t="s">
        <v>19867</v>
      </c>
      <c r="C3980" s="606"/>
      <c r="D3980" s="607"/>
      <c r="E3980" s="607"/>
      <c r="F3980" s="607"/>
      <c r="G3980" s="582"/>
    </row>
    <row r="3981" spans="1:7" ht="15" x14ac:dyDescent="0.2">
      <c r="A3981" s="583" t="s">
        <v>19868</v>
      </c>
      <c r="B3981" s="605" t="s">
        <v>19869</v>
      </c>
      <c r="C3981" s="606" t="s">
        <v>12375</v>
      </c>
      <c r="D3981" s="607">
        <v>45.76</v>
      </c>
      <c r="E3981" s="607">
        <v>11.16</v>
      </c>
      <c r="F3981" s="607">
        <v>56.92</v>
      </c>
      <c r="G3981" s="584">
        <v>15</v>
      </c>
    </row>
    <row r="3982" spans="1:7" ht="15" x14ac:dyDescent="0.2">
      <c r="A3982" s="583" t="s">
        <v>19870</v>
      </c>
      <c r="B3982" s="605" t="s">
        <v>19871</v>
      </c>
      <c r="C3982" s="606" t="s">
        <v>12375</v>
      </c>
      <c r="D3982" s="607">
        <v>740.69</v>
      </c>
      <c r="E3982" s="607">
        <v>44.67</v>
      </c>
      <c r="F3982" s="607">
        <v>785.36</v>
      </c>
      <c r="G3982" s="584">
        <v>15</v>
      </c>
    </row>
    <row r="3983" spans="1:7" ht="15" x14ac:dyDescent="0.2">
      <c r="A3983" s="583" t="s">
        <v>19872</v>
      </c>
      <c r="B3983" s="605" t="s">
        <v>19873</v>
      </c>
      <c r="C3983" s="606" t="s">
        <v>12375</v>
      </c>
      <c r="D3983" s="607">
        <v>627.65</v>
      </c>
      <c r="E3983" s="607">
        <v>44.67</v>
      </c>
      <c r="F3983" s="607">
        <v>672.32</v>
      </c>
      <c r="G3983" s="584">
        <v>15</v>
      </c>
    </row>
    <row r="3984" spans="1:7" ht="15" x14ac:dyDescent="0.2">
      <c r="A3984" s="583" t="s">
        <v>19874</v>
      </c>
      <c r="B3984" s="605" t="s">
        <v>19875</v>
      </c>
      <c r="C3984" s="606" t="s">
        <v>12375</v>
      </c>
      <c r="D3984" s="607">
        <v>208.86</v>
      </c>
      <c r="E3984" s="607">
        <v>11.16</v>
      </c>
      <c r="F3984" s="607">
        <v>220.02</v>
      </c>
      <c r="G3984" s="584">
        <v>15</v>
      </c>
    </row>
    <row r="3985" spans="1:7" ht="30" x14ac:dyDescent="0.2">
      <c r="A3985" s="583" t="s">
        <v>19876</v>
      </c>
      <c r="B3985" s="605" t="s">
        <v>19877</v>
      </c>
      <c r="C3985" s="606" t="s">
        <v>12375</v>
      </c>
      <c r="D3985" s="607">
        <v>957.47</v>
      </c>
      <c r="E3985" s="607">
        <v>4.0999999999999996</v>
      </c>
      <c r="F3985" s="607">
        <v>961.57</v>
      </c>
      <c r="G3985" s="584">
        <v>15</v>
      </c>
    </row>
    <row r="3986" spans="1:7" ht="15" x14ac:dyDescent="0.25">
      <c r="A3986" s="583" t="s">
        <v>19878</v>
      </c>
      <c r="B3986" s="605" t="s">
        <v>19879</v>
      </c>
      <c r="C3986" s="606"/>
      <c r="D3986" s="607"/>
      <c r="E3986" s="607"/>
      <c r="F3986" s="607"/>
      <c r="G3986" s="582"/>
    </row>
    <row r="3987" spans="1:7" ht="30" x14ac:dyDescent="0.2">
      <c r="A3987" s="583" t="s">
        <v>19880</v>
      </c>
      <c r="B3987" s="605" t="s">
        <v>20327</v>
      </c>
      <c r="C3987" s="606" t="s">
        <v>12375</v>
      </c>
      <c r="D3987" s="607">
        <v>485.24</v>
      </c>
      <c r="E3987" s="607">
        <v>25.48</v>
      </c>
      <c r="F3987" s="607">
        <v>510.72</v>
      </c>
      <c r="G3987" s="584">
        <v>15</v>
      </c>
    </row>
    <row r="3988" spans="1:7" ht="30" x14ac:dyDescent="0.2">
      <c r="A3988" s="583" t="s">
        <v>20328</v>
      </c>
      <c r="B3988" s="605" t="s">
        <v>20329</v>
      </c>
      <c r="C3988" s="606" t="s">
        <v>12375</v>
      </c>
      <c r="D3988" s="607">
        <v>862.21</v>
      </c>
      <c r="E3988" s="607">
        <v>32.65</v>
      </c>
      <c r="F3988" s="607">
        <v>894.86</v>
      </c>
      <c r="G3988" s="584">
        <v>15</v>
      </c>
    </row>
    <row r="3989" spans="1:7" ht="15" x14ac:dyDescent="0.25">
      <c r="A3989" s="583" t="s">
        <v>19881</v>
      </c>
      <c r="B3989" s="605" t="s">
        <v>19882</v>
      </c>
      <c r="C3989" s="606"/>
      <c r="D3989" s="607"/>
      <c r="E3989" s="607"/>
      <c r="F3989" s="607"/>
      <c r="G3989" s="582"/>
    </row>
    <row r="3990" spans="1:7" ht="15" x14ac:dyDescent="0.2">
      <c r="A3990" s="583" t="s">
        <v>19883</v>
      </c>
      <c r="B3990" s="605" t="s">
        <v>19884</v>
      </c>
      <c r="C3990" s="606" t="s">
        <v>12483</v>
      </c>
      <c r="D3990" s="607">
        <v>0.35</v>
      </c>
      <c r="E3990" s="607">
        <v>5.58</v>
      </c>
      <c r="F3990" s="607">
        <v>5.93</v>
      </c>
      <c r="G3990" s="584">
        <v>15</v>
      </c>
    </row>
    <row r="3991" spans="1:7" ht="15" x14ac:dyDescent="0.2">
      <c r="A3991" s="583" t="s">
        <v>19885</v>
      </c>
      <c r="B3991" s="605" t="s">
        <v>19886</v>
      </c>
      <c r="C3991" s="606" t="s">
        <v>12375</v>
      </c>
      <c r="D3991" s="607">
        <v>5.98</v>
      </c>
      <c r="E3991" s="607">
        <v>11.16</v>
      </c>
      <c r="F3991" s="607">
        <v>17.14</v>
      </c>
      <c r="G3991" s="584">
        <v>15</v>
      </c>
    </row>
    <row r="3992" spans="1:7" ht="15" x14ac:dyDescent="0.2">
      <c r="A3992" s="583" t="s">
        <v>19887</v>
      </c>
      <c r="B3992" s="605" t="s">
        <v>19888</v>
      </c>
      <c r="C3992" s="606" t="s">
        <v>12375</v>
      </c>
      <c r="D3992" s="607">
        <v>1.93</v>
      </c>
      <c r="E3992" s="607">
        <v>11.16</v>
      </c>
      <c r="F3992" s="607">
        <v>13.09</v>
      </c>
      <c r="G3992" s="584">
        <v>15</v>
      </c>
    </row>
    <row r="3993" spans="1:7" ht="30" x14ac:dyDescent="0.2">
      <c r="A3993" s="583" t="s">
        <v>19889</v>
      </c>
      <c r="B3993" s="605" t="s">
        <v>19890</v>
      </c>
      <c r="C3993" s="606" t="s">
        <v>12375</v>
      </c>
      <c r="D3993" s="607">
        <v>2.42</v>
      </c>
      <c r="E3993" s="607">
        <v>11.16</v>
      </c>
      <c r="F3993" s="607">
        <v>13.58</v>
      </c>
      <c r="G3993" s="584">
        <v>15</v>
      </c>
    </row>
    <row r="3994" spans="1:7" ht="15" x14ac:dyDescent="0.2">
      <c r="A3994" s="583" t="s">
        <v>19891</v>
      </c>
      <c r="B3994" s="605" t="s">
        <v>19892</v>
      </c>
      <c r="C3994" s="606" t="s">
        <v>12375</v>
      </c>
      <c r="D3994" s="607">
        <v>290.95</v>
      </c>
      <c r="E3994" s="607">
        <v>12.39</v>
      </c>
      <c r="F3994" s="607">
        <v>303.33999999999997</v>
      </c>
      <c r="G3994" s="584">
        <v>15</v>
      </c>
    </row>
    <row r="3995" spans="1:7" ht="15" x14ac:dyDescent="0.2">
      <c r="A3995" s="583" t="s">
        <v>19893</v>
      </c>
      <c r="B3995" s="605" t="s">
        <v>19894</v>
      </c>
      <c r="C3995" s="606" t="s">
        <v>12375</v>
      </c>
      <c r="D3995" s="607">
        <v>652.57000000000005</v>
      </c>
      <c r="E3995" s="607">
        <v>12.39</v>
      </c>
      <c r="F3995" s="607">
        <v>664.96</v>
      </c>
      <c r="G3995" s="584">
        <v>15</v>
      </c>
    </row>
    <row r="3996" spans="1:7" ht="15" x14ac:dyDescent="0.2">
      <c r="A3996" s="583" t="s">
        <v>19895</v>
      </c>
      <c r="B3996" s="605" t="s">
        <v>19896</v>
      </c>
      <c r="C3996" s="606" t="s">
        <v>12375</v>
      </c>
      <c r="D3996" s="607">
        <v>7.24</v>
      </c>
      <c r="E3996" s="607">
        <v>19.64</v>
      </c>
      <c r="F3996" s="607">
        <v>26.88</v>
      </c>
      <c r="G3996" s="584">
        <v>15</v>
      </c>
    </row>
    <row r="3997" spans="1:7" ht="15" x14ac:dyDescent="0.2">
      <c r="A3997" s="583" t="s">
        <v>19897</v>
      </c>
      <c r="B3997" s="605" t="s">
        <v>19898</v>
      </c>
      <c r="C3997" s="606" t="s">
        <v>12375</v>
      </c>
      <c r="D3997" s="607">
        <v>18.600000000000001</v>
      </c>
      <c r="E3997" s="607">
        <v>19.64</v>
      </c>
      <c r="F3997" s="607">
        <v>38.24</v>
      </c>
      <c r="G3997" s="584">
        <v>15</v>
      </c>
    </row>
    <row r="3998" spans="1:7" ht="15" x14ac:dyDescent="0.2">
      <c r="A3998" s="583" t="s">
        <v>19899</v>
      </c>
      <c r="B3998" s="605" t="s">
        <v>19900</v>
      </c>
      <c r="C3998" s="606" t="s">
        <v>12375</v>
      </c>
      <c r="D3998" s="607">
        <v>79.239999999999995</v>
      </c>
      <c r="E3998" s="607">
        <v>2.27</v>
      </c>
      <c r="F3998" s="607">
        <v>81.510000000000005</v>
      </c>
      <c r="G3998" s="584">
        <v>15</v>
      </c>
    </row>
    <row r="3999" spans="1:7" ht="15" x14ac:dyDescent="0.2">
      <c r="A3999" s="583" t="s">
        <v>19901</v>
      </c>
      <c r="B3999" s="605" t="s">
        <v>19902</v>
      </c>
      <c r="C3999" s="606" t="s">
        <v>12375</v>
      </c>
      <c r="D3999" s="607">
        <v>305</v>
      </c>
      <c r="E3999" s="607">
        <v>12.74</v>
      </c>
      <c r="F3999" s="607">
        <v>317.74</v>
      </c>
      <c r="G3999" s="584">
        <v>15</v>
      </c>
    </row>
    <row r="4000" spans="1:7" ht="15" x14ac:dyDescent="0.2">
      <c r="A4000" s="583" t="s">
        <v>19903</v>
      </c>
      <c r="B4000" s="605" t="s">
        <v>20258</v>
      </c>
      <c r="C4000" s="606" t="s">
        <v>12375</v>
      </c>
      <c r="D4000" s="607">
        <v>90.48</v>
      </c>
      <c r="E4000" s="607">
        <v>8.1999999999999993</v>
      </c>
      <c r="F4000" s="607">
        <v>98.68</v>
      </c>
      <c r="G4000" s="584">
        <v>15</v>
      </c>
    </row>
    <row r="4001" spans="1:7" ht="15" x14ac:dyDescent="0.2">
      <c r="A4001" s="583" t="s">
        <v>19904</v>
      </c>
      <c r="B4001" s="605" t="s">
        <v>20259</v>
      </c>
      <c r="C4001" s="606" t="s">
        <v>12375</v>
      </c>
      <c r="D4001" s="607">
        <v>119.36</v>
      </c>
      <c r="E4001" s="607">
        <v>8.1999999999999993</v>
      </c>
      <c r="F4001" s="607">
        <v>127.56</v>
      </c>
      <c r="G4001" s="584">
        <v>15</v>
      </c>
    </row>
    <row r="4002" spans="1:7" ht="15" x14ac:dyDescent="0.2">
      <c r="A4002" s="583" t="s">
        <v>19905</v>
      </c>
      <c r="B4002" s="605" t="s">
        <v>20260</v>
      </c>
      <c r="C4002" s="606" t="s">
        <v>12375</v>
      </c>
      <c r="D4002" s="607">
        <v>179.87</v>
      </c>
      <c r="E4002" s="607">
        <v>8.1999999999999993</v>
      </c>
      <c r="F4002" s="607">
        <v>188.07</v>
      </c>
      <c r="G4002" s="584">
        <v>15</v>
      </c>
    </row>
    <row r="4003" spans="1:7" ht="15" x14ac:dyDescent="0.2">
      <c r="A4003" s="583" t="s">
        <v>19906</v>
      </c>
      <c r="B4003" s="605" t="s">
        <v>19907</v>
      </c>
      <c r="C4003" s="606" t="s">
        <v>12375</v>
      </c>
      <c r="D4003" s="607">
        <v>95.79</v>
      </c>
      <c r="E4003" s="607">
        <v>2.27</v>
      </c>
      <c r="F4003" s="607">
        <v>98.06</v>
      </c>
      <c r="G4003" s="584">
        <v>15</v>
      </c>
    </row>
    <row r="4004" spans="1:7" ht="15" x14ac:dyDescent="0.2">
      <c r="A4004" s="583" t="s">
        <v>19908</v>
      </c>
      <c r="B4004" s="605" t="s">
        <v>19909</v>
      </c>
      <c r="C4004" s="606" t="s">
        <v>12375</v>
      </c>
      <c r="D4004" s="607">
        <v>105.16</v>
      </c>
      <c r="E4004" s="607">
        <v>2.27</v>
      </c>
      <c r="F4004" s="607">
        <v>107.43</v>
      </c>
      <c r="G4004" s="584">
        <v>15</v>
      </c>
    </row>
    <row r="4005" spans="1:7" ht="15" x14ac:dyDescent="0.2">
      <c r="A4005" s="583" t="s">
        <v>19910</v>
      </c>
      <c r="B4005" s="605" t="s">
        <v>20261</v>
      </c>
      <c r="C4005" s="606" t="s">
        <v>12375</v>
      </c>
      <c r="D4005" s="607">
        <v>9.6199999999999992</v>
      </c>
      <c r="E4005" s="607">
        <v>4.54</v>
      </c>
      <c r="F4005" s="607">
        <v>14.16</v>
      </c>
      <c r="G4005" s="584">
        <v>15</v>
      </c>
    </row>
    <row r="4006" spans="1:7" ht="15" x14ac:dyDescent="0.2">
      <c r="A4006" s="583" t="s">
        <v>19911</v>
      </c>
      <c r="B4006" s="605" t="s">
        <v>20262</v>
      </c>
      <c r="C4006" s="606" t="s">
        <v>12375</v>
      </c>
      <c r="D4006" s="607">
        <v>14</v>
      </c>
      <c r="E4006" s="607">
        <v>4.54</v>
      </c>
      <c r="F4006" s="607">
        <v>18.54</v>
      </c>
      <c r="G4006" s="584">
        <v>15</v>
      </c>
    </row>
    <row r="4007" spans="1:7" ht="15" x14ac:dyDescent="0.2">
      <c r="A4007" s="583" t="s">
        <v>19912</v>
      </c>
      <c r="B4007" s="605" t="s">
        <v>19913</v>
      </c>
      <c r="C4007" s="606" t="s">
        <v>12375</v>
      </c>
      <c r="D4007" s="607">
        <v>19.010000000000002</v>
      </c>
      <c r="E4007" s="607">
        <v>21.02</v>
      </c>
      <c r="F4007" s="607">
        <v>40.03</v>
      </c>
      <c r="G4007" s="584">
        <v>15</v>
      </c>
    </row>
    <row r="4008" spans="1:7" ht="15" x14ac:dyDescent="0.2">
      <c r="A4008" s="583" t="s">
        <v>19914</v>
      </c>
      <c r="B4008" s="605" t="s">
        <v>19915</v>
      </c>
      <c r="C4008" s="606" t="s">
        <v>12375</v>
      </c>
      <c r="D4008" s="607">
        <v>10.24</v>
      </c>
      <c r="E4008" s="607">
        <v>12.74</v>
      </c>
      <c r="F4008" s="607">
        <v>22.98</v>
      </c>
      <c r="G4008" s="584">
        <v>15</v>
      </c>
    </row>
    <row r="4009" spans="1:7" ht="15" x14ac:dyDescent="0.2">
      <c r="A4009" s="583" t="s">
        <v>19916</v>
      </c>
      <c r="B4009" s="605" t="s">
        <v>19917</v>
      </c>
      <c r="C4009" s="606" t="s">
        <v>12375</v>
      </c>
      <c r="D4009" s="607">
        <v>11.53</v>
      </c>
      <c r="E4009" s="607">
        <v>12.74</v>
      </c>
      <c r="F4009" s="607">
        <v>24.27</v>
      </c>
      <c r="G4009" s="584">
        <v>15</v>
      </c>
    </row>
    <row r="4010" spans="1:7" ht="30" x14ac:dyDescent="0.2">
      <c r="A4010" s="583" t="s">
        <v>19918</v>
      </c>
      <c r="B4010" s="605" t="s">
        <v>19919</v>
      </c>
      <c r="C4010" s="606" t="s">
        <v>12375</v>
      </c>
      <c r="D4010" s="607">
        <v>11.4</v>
      </c>
      <c r="E4010" s="607">
        <v>12.74</v>
      </c>
      <c r="F4010" s="607">
        <v>24.14</v>
      </c>
      <c r="G4010" s="584">
        <v>15</v>
      </c>
    </row>
    <row r="4011" spans="1:7" ht="15" x14ac:dyDescent="0.2">
      <c r="A4011" s="583" t="s">
        <v>19920</v>
      </c>
      <c r="B4011" s="605" t="s">
        <v>21461</v>
      </c>
      <c r="C4011" s="606" t="s">
        <v>12375</v>
      </c>
      <c r="D4011" s="607">
        <v>11</v>
      </c>
      <c r="E4011" s="607">
        <v>21.61</v>
      </c>
      <c r="F4011" s="607">
        <v>32.61</v>
      </c>
      <c r="G4011" s="584">
        <v>15</v>
      </c>
    </row>
    <row r="4012" spans="1:7" ht="15" x14ac:dyDescent="0.2">
      <c r="A4012" s="583" t="s">
        <v>19921</v>
      </c>
      <c r="B4012" s="605" t="s">
        <v>19922</v>
      </c>
      <c r="C4012" s="606" t="s">
        <v>12375</v>
      </c>
      <c r="D4012" s="607">
        <v>13.5</v>
      </c>
      <c r="E4012" s="607">
        <v>11.16</v>
      </c>
      <c r="F4012" s="607">
        <v>24.66</v>
      </c>
      <c r="G4012" s="584">
        <v>15</v>
      </c>
    </row>
    <row r="4013" spans="1:7" ht="30" x14ac:dyDescent="0.2">
      <c r="A4013" s="583" t="s">
        <v>19923</v>
      </c>
      <c r="B4013" s="605" t="s">
        <v>19924</v>
      </c>
      <c r="C4013" s="606" t="s">
        <v>12375</v>
      </c>
      <c r="D4013" s="607">
        <v>87.14</v>
      </c>
      <c r="E4013" s="607">
        <v>39.270000000000003</v>
      </c>
      <c r="F4013" s="607">
        <v>126.41</v>
      </c>
      <c r="G4013" s="584">
        <v>15</v>
      </c>
    </row>
    <row r="4014" spans="1:7" ht="15" x14ac:dyDescent="0.25">
      <c r="A4014" s="583" t="s">
        <v>19925</v>
      </c>
      <c r="B4014" s="605" t="s">
        <v>19926</v>
      </c>
      <c r="C4014" s="606"/>
      <c r="D4014" s="607"/>
      <c r="E4014" s="607"/>
      <c r="F4014" s="607"/>
      <c r="G4014" s="582"/>
    </row>
    <row r="4015" spans="1:7" ht="15" x14ac:dyDescent="0.25">
      <c r="A4015" s="583" t="s">
        <v>19927</v>
      </c>
      <c r="B4015" s="605" t="s">
        <v>19928</v>
      </c>
      <c r="C4015" s="606"/>
      <c r="D4015" s="607"/>
      <c r="E4015" s="607"/>
      <c r="F4015" s="607"/>
      <c r="G4015" s="582"/>
    </row>
    <row r="4016" spans="1:7" ht="30" x14ac:dyDescent="0.2">
      <c r="A4016" s="583" t="s">
        <v>20263</v>
      </c>
      <c r="B4016" s="605" t="s">
        <v>20330</v>
      </c>
      <c r="C4016" s="606" t="s">
        <v>12427</v>
      </c>
      <c r="D4016" s="607">
        <v>265.29000000000002</v>
      </c>
      <c r="E4016" s="607">
        <v>3.82</v>
      </c>
      <c r="F4016" s="607">
        <v>269.11</v>
      </c>
      <c r="G4016" s="584">
        <v>15</v>
      </c>
    </row>
    <row r="4017" spans="1:7" ht="30" x14ac:dyDescent="0.2">
      <c r="A4017" s="583" t="s">
        <v>20264</v>
      </c>
      <c r="B4017" s="605" t="s">
        <v>20331</v>
      </c>
      <c r="C4017" s="606" t="s">
        <v>12427</v>
      </c>
      <c r="D4017" s="607">
        <v>216.21</v>
      </c>
      <c r="E4017" s="607">
        <v>3.2</v>
      </c>
      <c r="F4017" s="607">
        <v>219.41</v>
      </c>
      <c r="G4017" s="584">
        <v>15</v>
      </c>
    </row>
    <row r="4018" spans="1:7" ht="30" x14ac:dyDescent="0.2">
      <c r="A4018" s="583" t="s">
        <v>20265</v>
      </c>
      <c r="B4018" s="605" t="s">
        <v>20332</v>
      </c>
      <c r="C4018" s="606" t="s">
        <v>12427</v>
      </c>
      <c r="D4018" s="607">
        <v>216.93</v>
      </c>
      <c r="E4018" s="607">
        <v>3.22</v>
      </c>
      <c r="F4018" s="607">
        <v>220.15</v>
      </c>
      <c r="G4018" s="584">
        <v>15</v>
      </c>
    </row>
    <row r="4019" spans="1:7" ht="15" x14ac:dyDescent="0.2">
      <c r="A4019" s="583" t="s">
        <v>19929</v>
      </c>
      <c r="B4019" s="605" t="s">
        <v>19930</v>
      </c>
      <c r="C4019" s="606" t="s">
        <v>12483</v>
      </c>
      <c r="D4019" s="607">
        <v>417.42</v>
      </c>
      <c r="E4019" s="607">
        <v>15.92</v>
      </c>
      <c r="F4019" s="607">
        <v>433.34</v>
      </c>
      <c r="G4019" s="584">
        <v>15</v>
      </c>
    </row>
    <row r="4020" spans="1:7" ht="15" x14ac:dyDescent="0.25">
      <c r="A4020" s="583" t="s">
        <v>19931</v>
      </c>
      <c r="B4020" s="605" t="s">
        <v>19932</v>
      </c>
      <c r="C4020" s="606"/>
      <c r="D4020" s="607"/>
      <c r="E4020" s="607"/>
      <c r="F4020" s="607"/>
      <c r="G4020" s="582"/>
    </row>
    <row r="4021" spans="1:7" ht="15" x14ac:dyDescent="0.2">
      <c r="A4021" s="583" t="s">
        <v>19933</v>
      </c>
      <c r="B4021" s="605" t="s">
        <v>19934</v>
      </c>
      <c r="C4021" s="606" t="s">
        <v>12427</v>
      </c>
      <c r="D4021" s="607">
        <v>81.03</v>
      </c>
      <c r="E4021" s="607"/>
      <c r="F4021" s="607">
        <v>81.03</v>
      </c>
      <c r="G4021" s="584">
        <v>15</v>
      </c>
    </row>
    <row r="4022" spans="1:7" ht="15" x14ac:dyDescent="0.2">
      <c r="A4022" s="583" t="s">
        <v>19935</v>
      </c>
      <c r="B4022" s="605" t="s">
        <v>19936</v>
      </c>
      <c r="C4022" s="606" t="s">
        <v>12427</v>
      </c>
      <c r="D4022" s="607">
        <v>34.9</v>
      </c>
      <c r="E4022" s="607"/>
      <c r="F4022" s="607">
        <v>34.9</v>
      </c>
      <c r="G4022" s="584">
        <v>15</v>
      </c>
    </row>
    <row r="4023" spans="1:7" ht="30" x14ac:dyDescent="0.2">
      <c r="A4023" s="583" t="s">
        <v>19937</v>
      </c>
      <c r="B4023" s="605" t="s">
        <v>179</v>
      </c>
      <c r="C4023" s="606" t="s">
        <v>12427</v>
      </c>
      <c r="D4023" s="607">
        <v>200.62</v>
      </c>
      <c r="E4023" s="607"/>
      <c r="F4023" s="607">
        <v>200.62</v>
      </c>
      <c r="G4023" s="584">
        <v>15</v>
      </c>
    </row>
    <row r="4024" spans="1:7" ht="30" x14ac:dyDescent="0.2">
      <c r="A4024" s="583" t="s">
        <v>19938</v>
      </c>
      <c r="B4024" s="605" t="s">
        <v>122</v>
      </c>
      <c r="C4024" s="606" t="s">
        <v>12427</v>
      </c>
      <c r="D4024" s="607">
        <v>250.77</v>
      </c>
      <c r="E4024" s="607"/>
      <c r="F4024" s="607">
        <v>250.77</v>
      </c>
      <c r="G4024" s="584">
        <v>15</v>
      </c>
    </row>
    <row r="4025" spans="1:7" ht="30" x14ac:dyDescent="0.2">
      <c r="A4025" s="583" t="s">
        <v>19939</v>
      </c>
      <c r="B4025" s="605" t="s">
        <v>121</v>
      </c>
      <c r="C4025" s="606" t="s">
        <v>12427</v>
      </c>
      <c r="D4025" s="607">
        <v>91.24</v>
      </c>
      <c r="E4025" s="607"/>
      <c r="F4025" s="607">
        <v>91.24</v>
      </c>
      <c r="G4025" s="584">
        <v>15</v>
      </c>
    </row>
    <row r="4026" spans="1:7" ht="30" x14ac:dyDescent="0.2">
      <c r="A4026" s="583" t="s">
        <v>90</v>
      </c>
      <c r="B4026" s="605" t="s">
        <v>120</v>
      </c>
      <c r="C4026" s="606" t="s">
        <v>12427</v>
      </c>
      <c r="D4026" s="607">
        <v>134.44</v>
      </c>
      <c r="E4026" s="607"/>
      <c r="F4026" s="607">
        <v>134.44</v>
      </c>
      <c r="G4026" s="584">
        <v>15</v>
      </c>
    </row>
    <row r="4027" spans="1:7" ht="30" x14ac:dyDescent="0.2">
      <c r="A4027" s="583" t="s">
        <v>19940</v>
      </c>
      <c r="B4027" s="605" t="s">
        <v>123</v>
      </c>
      <c r="C4027" s="606" t="s">
        <v>12427</v>
      </c>
      <c r="D4027" s="607">
        <v>141.66999999999999</v>
      </c>
      <c r="E4027" s="607"/>
      <c r="F4027" s="607">
        <v>141.66999999999999</v>
      </c>
      <c r="G4027" s="584">
        <v>15</v>
      </c>
    </row>
    <row r="4028" spans="1:7" ht="15" x14ac:dyDescent="0.2">
      <c r="A4028" s="583" t="s">
        <v>19941</v>
      </c>
      <c r="B4028" s="605" t="s">
        <v>19942</v>
      </c>
      <c r="C4028" s="606" t="s">
        <v>12427</v>
      </c>
      <c r="D4028" s="607">
        <v>257.52999999999997</v>
      </c>
      <c r="E4028" s="607"/>
      <c r="F4028" s="607">
        <v>257.52999999999997</v>
      </c>
      <c r="G4028" s="584">
        <v>15</v>
      </c>
    </row>
    <row r="4029" spans="1:7" ht="15" x14ac:dyDescent="0.2">
      <c r="A4029" s="583" t="s">
        <v>19943</v>
      </c>
      <c r="B4029" s="605" t="s">
        <v>19944</v>
      </c>
      <c r="C4029" s="606" t="s">
        <v>12427</v>
      </c>
      <c r="D4029" s="607">
        <v>285.31</v>
      </c>
      <c r="E4029" s="607"/>
      <c r="F4029" s="607">
        <v>285.31</v>
      </c>
      <c r="G4029" s="584">
        <v>15</v>
      </c>
    </row>
    <row r="4030" spans="1:7" ht="30" x14ac:dyDescent="0.2">
      <c r="A4030" s="583" t="s">
        <v>19945</v>
      </c>
      <c r="B4030" s="605" t="s">
        <v>124</v>
      </c>
      <c r="C4030" s="606" t="s">
        <v>12427</v>
      </c>
      <c r="D4030" s="607">
        <v>47.81</v>
      </c>
      <c r="E4030" s="607"/>
      <c r="F4030" s="607">
        <v>47.81</v>
      </c>
      <c r="G4030" s="584">
        <v>15</v>
      </c>
    </row>
    <row r="4031" spans="1:7" ht="15" x14ac:dyDescent="0.25">
      <c r="A4031" s="583" t="s">
        <v>19946</v>
      </c>
      <c r="B4031" s="605" t="s">
        <v>19947</v>
      </c>
      <c r="C4031" s="606"/>
      <c r="D4031" s="607"/>
      <c r="E4031" s="607"/>
      <c r="F4031" s="607"/>
      <c r="G4031" s="582"/>
    </row>
    <row r="4032" spans="1:7" ht="30" x14ac:dyDescent="0.2">
      <c r="A4032" s="583" t="s">
        <v>19948</v>
      </c>
      <c r="B4032" s="605" t="s">
        <v>19949</v>
      </c>
      <c r="C4032" s="606" t="s">
        <v>12427</v>
      </c>
      <c r="D4032" s="607">
        <v>1620.14</v>
      </c>
      <c r="E4032" s="607">
        <v>28.81</v>
      </c>
      <c r="F4032" s="607">
        <v>1648.95</v>
      </c>
      <c r="G4032" s="584">
        <v>15</v>
      </c>
    </row>
    <row r="4033" spans="1:7" ht="30" x14ac:dyDescent="0.2">
      <c r="A4033" s="583" t="s">
        <v>91</v>
      </c>
      <c r="B4033" s="605" t="s">
        <v>19950</v>
      </c>
      <c r="C4033" s="606" t="s">
        <v>12427</v>
      </c>
      <c r="D4033" s="607">
        <v>1688.08</v>
      </c>
      <c r="E4033" s="607">
        <v>28.8</v>
      </c>
      <c r="F4033" s="607">
        <v>1716.88</v>
      </c>
      <c r="G4033" s="584">
        <v>15</v>
      </c>
    </row>
    <row r="4034" spans="1:7" ht="30" x14ac:dyDescent="0.2">
      <c r="A4034" s="583" t="s">
        <v>19951</v>
      </c>
      <c r="B4034" s="605" t="s">
        <v>19952</v>
      </c>
      <c r="C4034" s="606" t="s">
        <v>12427</v>
      </c>
      <c r="D4034" s="607">
        <v>1820.79</v>
      </c>
      <c r="E4034" s="607">
        <v>28.8</v>
      </c>
      <c r="F4034" s="607">
        <v>1849.59</v>
      </c>
      <c r="G4034" s="584">
        <v>15</v>
      </c>
    </row>
    <row r="4035" spans="1:7" ht="30" x14ac:dyDescent="0.2">
      <c r="A4035" s="583" t="s">
        <v>19953</v>
      </c>
      <c r="B4035" s="605" t="s">
        <v>19954</v>
      </c>
      <c r="C4035" s="606" t="s">
        <v>12427</v>
      </c>
      <c r="D4035" s="607">
        <v>1879.17</v>
      </c>
      <c r="E4035" s="607">
        <v>28.8</v>
      </c>
      <c r="F4035" s="607">
        <v>1907.97</v>
      </c>
      <c r="G4035" s="584">
        <v>15</v>
      </c>
    </row>
    <row r="4036" spans="1:7" ht="30" x14ac:dyDescent="0.2">
      <c r="A4036" s="583" t="s">
        <v>19955</v>
      </c>
      <c r="B4036" s="605" t="s">
        <v>19956</v>
      </c>
      <c r="C4036" s="606" t="s">
        <v>12427</v>
      </c>
      <c r="D4036" s="607">
        <v>2278.94</v>
      </c>
      <c r="E4036" s="607">
        <v>28.8</v>
      </c>
      <c r="F4036" s="607">
        <v>2307.7399999999998</v>
      </c>
      <c r="G4036" s="584">
        <v>15</v>
      </c>
    </row>
    <row r="4037" spans="1:7" ht="30" x14ac:dyDescent="0.2">
      <c r="A4037" s="583" t="s">
        <v>19957</v>
      </c>
      <c r="B4037" s="605" t="s">
        <v>19958</v>
      </c>
      <c r="C4037" s="606" t="s">
        <v>12427</v>
      </c>
      <c r="D4037" s="607">
        <v>1840.24</v>
      </c>
      <c r="E4037" s="607">
        <v>43.2</v>
      </c>
      <c r="F4037" s="607">
        <v>1883.44</v>
      </c>
      <c r="G4037" s="584">
        <v>15</v>
      </c>
    </row>
    <row r="4038" spans="1:7" ht="30" x14ac:dyDescent="0.2">
      <c r="A4038" s="583" t="s">
        <v>19959</v>
      </c>
      <c r="B4038" s="605" t="s">
        <v>19960</v>
      </c>
      <c r="C4038" s="606" t="s">
        <v>12427</v>
      </c>
      <c r="D4038" s="607">
        <v>1760.77</v>
      </c>
      <c r="E4038" s="607">
        <v>43.2</v>
      </c>
      <c r="F4038" s="607">
        <v>1803.97</v>
      </c>
      <c r="G4038" s="584">
        <v>15</v>
      </c>
    </row>
    <row r="4039" spans="1:7" ht="30" x14ac:dyDescent="0.2">
      <c r="A4039" s="583" t="s">
        <v>19961</v>
      </c>
      <c r="B4039" s="605" t="s">
        <v>19962</v>
      </c>
      <c r="C4039" s="606" t="s">
        <v>12427</v>
      </c>
      <c r="D4039" s="607">
        <v>2072.75</v>
      </c>
      <c r="E4039" s="607">
        <v>43.2</v>
      </c>
      <c r="F4039" s="607">
        <v>2115.9499999999998</v>
      </c>
      <c r="G4039" s="584">
        <v>15</v>
      </c>
    </row>
    <row r="4040" spans="1:7" ht="15" x14ac:dyDescent="0.25">
      <c r="A4040" s="583" t="s">
        <v>19963</v>
      </c>
      <c r="B4040" s="605" t="s">
        <v>19964</v>
      </c>
      <c r="C4040" s="606"/>
      <c r="D4040" s="607"/>
      <c r="E4040" s="607"/>
      <c r="F4040" s="607"/>
      <c r="G4040" s="582"/>
    </row>
    <row r="4041" spans="1:7" ht="30" x14ac:dyDescent="0.2">
      <c r="A4041" s="583" t="s">
        <v>19965</v>
      </c>
      <c r="B4041" s="605" t="s">
        <v>20266</v>
      </c>
      <c r="C4041" s="606" t="s">
        <v>12375</v>
      </c>
      <c r="D4041" s="607">
        <v>1213.6400000000001</v>
      </c>
      <c r="E4041" s="607">
        <v>126.15</v>
      </c>
      <c r="F4041" s="607">
        <v>1339.79</v>
      </c>
      <c r="G4041" s="584">
        <v>15</v>
      </c>
    </row>
    <row r="4042" spans="1:7" ht="15" x14ac:dyDescent="0.2">
      <c r="A4042" s="583" t="s">
        <v>19966</v>
      </c>
      <c r="B4042" s="605" t="s">
        <v>19967</v>
      </c>
      <c r="C4042" s="606" t="s">
        <v>12375</v>
      </c>
      <c r="D4042" s="607">
        <v>3545.08</v>
      </c>
      <c r="E4042" s="607">
        <v>126.15</v>
      </c>
      <c r="F4042" s="607">
        <v>3671.23</v>
      </c>
      <c r="G4042" s="584">
        <v>15</v>
      </c>
    </row>
    <row r="4043" spans="1:7" ht="15" x14ac:dyDescent="0.2">
      <c r="A4043" s="583" t="s">
        <v>19968</v>
      </c>
      <c r="B4043" s="605" t="s">
        <v>19969</v>
      </c>
      <c r="C4043" s="606" t="s">
        <v>12375</v>
      </c>
      <c r="D4043" s="607">
        <v>6025.72</v>
      </c>
      <c r="E4043" s="607">
        <v>215.77</v>
      </c>
      <c r="F4043" s="607">
        <v>6241.49</v>
      </c>
      <c r="G4043" s="584">
        <v>15</v>
      </c>
    </row>
    <row r="4044" spans="1:7" ht="30" x14ac:dyDescent="0.2">
      <c r="A4044" s="583" t="s">
        <v>19970</v>
      </c>
      <c r="B4044" s="605" t="s">
        <v>19971</v>
      </c>
      <c r="C4044" s="606" t="s">
        <v>12375</v>
      </c>
      <c r="D4044" s="607">
        <v>6047.7</v>
      </c>
      <c r="E4044" s="607">
        <v>126.15</v>
      </c>
      <c r="F4044" s="607">
        <v>6173.85</v>
      </c>
      <c r="G4044" s="584">
        <v>15</v>
      </c>
    </row>
    <row r="4045" spans="1:7" ht="15" x14ac:dyDescent="0.2">
      <c r="A4045" s="583" t="s">
        <v>19972</v>
      </c>
      <c r="B4045" s="605" t="s">
        <v>19973</v>
      </c>
      <c r="C4045" s="606" t="s">
        <v>12375</v>
      </c>
      <c r="D4045" s="607">
        <v>2970.55</v>
      </c>
      <c r="E4045" s="607">
        <v>78.540000000000006</v>
      </c>
      <c r="F4045" s="607">
        <v>3049.09</v>
      </c>
      <c r="G4045" s="584">
        <v>15</v>
      </c>
    </row>
    <row r="4046" spans="1:7" ht="30" x14ac:dyDescent="0.2">
      <c r="A4046" s="583" t="s">
        <v>19974</v>
      </c>
      <c r="B4046" s="605" t="s">
        <v>20267</v>
      </c>
      <c r="C4046" s="606" t="s">
        <v>12375</v>
      </c>
      <c r="D4046" s="607">
        <v>2000.75</v>
      </c>
      <c r="E4046" s="607">
        <v>126.15</v>
      </c>
      <c r="F4046" s="607">
        <v>2126.9</v>
      </c>
      <c r="G4046" s="584">
        <v>15</v>
      </c>
    </row>
    <row r="4047" spans="1:7" ht="15" x14ac:dyDescent="0.2">
      <c r="A4047" s="583" t="s">
        <v>19975</v>
      </c>
      <c r="B4047" s="605" t="s">
        <v>19976</v>
      </c>
      <c r="C4047" s="606" t="s">
        <v>12375</v>
      </c>
      <c r="D4047" s="607">
        <v>2929.05</v>
      </c>
      <c r="E4047" s="607">
        <v>126.15</v>
      </c>
      <c r="F4047" s="607">
        <v>3055.2</v>
      </c>
      <c r="G4047" s="584">
        <v>15</v>
      </c>
    </row>
    <row r="4048" spans="1:7" ht="15" x14ac:dyDescent="0.25">
      <c r="A4048" s="583" t="s">
        <v>19977</v>
      </c>
      <c r="B4048" s="605" t="s">
        <v>19978</v>
      </c>
      <c r="C4048" s="606"/>
      <c r="D4048" s="607"/>
      <c r="E4048" s="607"/>
      <c r="F4048" s="607"/>
      <c r="G4048" s="582"/>
    </row>
    <row r="4049" spans="1:7" ht="15" x14ac:dyDescent="0.2">
      <c r="A4049" s="583" t="s">
        <v>19979</v>
      </c>
      <c r="B4049" s="605" t="s">
        <v>19980</v>
      </c>
      <c r="C4049" s="606" t="s">
        <v>12375</v>
      </c>
      <c r="D4049" s="607">
        <v>458.91</v>
      </c>
      <c r="E4049" s="607">
        <v>26.45</v>
      </c>
      <c r="F4049" s="607">
        <v>485.36</v>
      </c>
      <c r="G4049" s="584">
        <v>15</v>
      </c>
    </row>
    <row r="4050" spans="1:7" ht="15" x14ac:dyDescent="0.2">
      <c r="A4050" s="583" t="s">
        <v>19981</v>
      </c>
      <c r="B4050" s="605" t="s">
        <v>19982</v>
      </c>
      <c r="C4050" s="606" t="s">
        <v>12375</v>
      </c>
      <c r="D4050" s="607">
        <v>3192.34</v>
      </c>
      <c r="E4050" s="607">
        <v>58.77</v>
      </c>
      <c r="F4050" s="607">
        <v>3251.11</v>
      </c>
      <c r="G4050" s="584">
        <v>15</v>
      </c>
    </row>
    <row r="4051" spans="1:7" ht="15" x14ac:dyDescent="0.2">
      <c r="A4051" s="583" t="s">
        <v>19983</v>
      </c>
      <c r="B4051" s="605" t="s">
        <v>19984</v>
      </c>
      <c r="C4051" s="606" t="s">
        <v>12375</v>
      </c>
      <c r="D4051" s="607">
        <v>1555.29</v>
      </c>
      <c r="E4051" s="607">
        <v>39.270000000000003</v>
      </c>
      <c r="F4051" s="607">
        <v>1594.56</v>
      </c>
      <c r="G4051" s="584">
        <v>15</v>
      </c>
    </row>
    <row r="4052" spans="1:7" ht="30" x14ac:dyDescent="0.2">
      <c r="A4052" s="583" t="s">
        <v>19985</v>
      </c>
      <c r="B4052" s="605" t="s">
        <v>19986</v>
      </c>
      <c r="C4052" s="606" t="s">
        <v>12375</v>
      </c>
      <c r="D4052" s="607">
        <v>3259.93</v>
      </c>
      <c r="E4052" s="607">
        <v>671.85</v>
      </c>
      <c r="F4052" s="607">
        <v>3931.78</v>
      </c>
      <c r="G4052" s="584">
        <v>15</v>
      </c>
    </row>
    <row r="4053" spans="1:7" ht="30" x14ac:dyDescent="0.2">
      <c r="A4053" s="583" t="s">
        <v>19987</v>
      </c>
      <c r="B4053" s="605" t="s">
        <v>19988</v>
      </c>
      <c r="C4053" s="606" t="s">
        <v>12375</v>
      </c>
      <c r="D4053" s="607">
        <v>8519.7999999999993</v>
      </c>
      <c r="E4053" s="607">
        <v>783.51</v>
      </c>
      <c r="F4053" s="607">
        <v>9303.31</v>
      </c>
      <c r="G4053" s="584">
        <v>15</v>
      </c>
    </row>
    <row r="4054" spans="1:7" ht="15" x14ac:dyDescent="0.25">
      <c r="A4054" s="583" t="s">
        <v>19989</v>
      </c>
      <c r="B4054" s="605" t="s">
        <v>19990</v>
      </c>
      <c r="C4054" s="606"/>
      <c r="D4054" s="607"/>
      <c r="E4054" s="607"/>
      <c r="F4054" s="607"/>
      <c r="G4054" s="582"/>
    </row>
    <row r="4055" spans="1:7" ht="15" x14ac:dyDescent="0.2">
      <c r="A4055" s="583" t="s">
        <v>19991</v>
      </c>
      <c r="B4055" s="605" t="s">
        <v>20333</v>
      </c>
      <c r="C4055" s="606" t="s">
        <v>12375</v>
      </c>
      <c r="D4055" s="607">
        <v>103.1</v>
      </c>
      <c r="E4055" s="607">
        <v>12.73</v>
      </c>
      <c r="F4055" s="607">
        <v>115.83</v>
      </c>
      <c r="G4055" s="584">
        <v>15</v>
      </c>
    </row>
    <row r="4056" spans="1:7" ht="15" x14ac:dyDescent="0.2">
      <c r="A4056" s="583" t="s">
        <v>92</v>
      </c>
      <c r="B4056" s="605" t="s">
        <v>19992</v>
      </c>
      <c r="C4056" s="606" t="s">
        <v>12375</v>
      </c>
      <c r="D4056" s="607">
        <v>24.75</v>
      </c>
      <c r="E4056" s="607">
        <v>9.56</v>
      </c>
      <c r="F4056" s="607">
        <v>34.31</v>
      </c>
      <c r="G4056" s="584">
        <v>15</v>
      </c>
    </row>
    <row r="4057" spans="1:7" ht="15" x14ac:dyDescent="0.2">
      <c r="A4057" s="583" t="s">
        <v>93</v>
      </c>
      <c r="B4057" s="605" t="s">
        <v>19993</v>
      </c>
      <c r="C4057" s="606" t="s">
        <v>12375</v>
      </c>
      <c r="D4057" s="607">
        <v>20.97</v>
      </c>
      <c r="E4057" s="607">
        <v>9.56</v>
      </c>
      <c r="F4057" s="607">
        <v>30.53</v>
      </c>
      <c r="G4057" s="584">
        <v>15</v>
      </c>
    </row>
    <row r="4058" spans="1:7" ht="15" x14ac:dyDescent="0.2">
      <c r="A4058" s="583" t="s">
        <v>19994</v>
      </c>
      <c r="B4058" s="605" t="s">
        <v>19995</v>
      </c>
      <c r="C4058" s="606" t="s">
        <v>12375</v>
      </c>
      <c r="D4058" s="607">
        <v>28.34</v>
      </c>
      <c r="E4058" s="607">
        <v>9.56</v>
      </c>
      <c r="F4058" s="607">
        <v>37.9</v>
      </c>
      <c r="G4058" s="584">
        <v>15</v>
      </c>
    </row>
    <row r="4059" spans="1:7" ht="15" x14ac:dyDescent="0.2">
      <c r="A4059" s="583" t="s">
        <v>19996</v>
      </c>
      <c r="B4059" s="605" t="s">
        <v>19997</v>
      </c>
      <c r="C4059" s="606" t="s">
        <v>12375</v>
      </c>
      <c r="D4059" s="607">
        <v>25.53</v>
      </c>
      <c r="E4059" s="607">
        <v>9.56</v>
      </c>
      <c r="F4059" s="607">
        <v>35.090000000000003</v>
      </c>
      <c r="G4059" s="584">
        <v>15</v>
      </c>
    </row>
    <row r="4060" spans="1:7" ht="15" x14ac:dyDescent="0.2">
      <c r="A4060" s="583" t="s">
        <v>19998</v>
      </c>
      <c r="B4060" s="605" t="s">
        <v>19999</v>
      </c>
      <c r="C4060" s="606" t="s">
        <v>12375</v>
      </c>
      <c r="D4060" s="607">
        <v>66.3</v>
      </c>
      <c r="E4060" s="607">
        <v>10.69</v>
      </c>
      <c r="F4060" s="607">
        <v>76.989999999999995</v>
      </c>
      <c r="G4060" s="584">
        <v>15</v>
      </c>
    </row>
    <row r="4061" spans="1:7" ht="15" x14ac:dyDescent="0.2">
      <c r="A4061" s="583" t="s">
        <v>20000</v>
      </c>
      <c r="B4061" s="605" t="s">
        <v>20001</v>
      </c>
      <c r="C4061" s="606" t="s">
        <v>12375</v>
      </c>
      <c r="D4061" s="607">
        <v>64.06</v>
      </c>
      <c r="E4061" s="607">
        <v>10.69</v>
      </c>
      <c r="F4061" s="607">
        <v>74.75</v>
      </c>
      <c r="G4061" s="584">
        <v>15</v>
      </c>
    </row>
    <row r="4062" spans="1:7" ht="15" x14ac:dyDescent="0.2">
      <c r="A4062" s="583" t="s">
        <v>20334</v>
      </c>
      <c r="B4062" s="605" t="s">
        <v>20335</v>
      </c>
      <c r="C4062" s="606" t="s">
        <v>12375</v>
      </c>
      <c r="D4062" s="607">
        <v>55.85</v>
      </c>
      <c r="E4062" s="607">
        <v>9.56</v>
      </c>
      <c r="F4062" s="607">
        <v>65.41</v>
      </c>
      <c r="G4062" s="584">
        <v>15</v>
      </c>
    </row>
    <row r="4063" spans="1:7" ht="15" x14ac:dyDescent="0.2">
      <c r="A4063" s="583" t="s">
        <v>20336</v>
      </c>
      <c r="B4063" s="605" t="s">
        <v>20337</v>
      </c>
      <c r="C4063" s="606" t="s">
        <v>12375</v>
      </c>
      <c r="D4063" s="607">
        <v>33.03</v>
      </c>
      <c r="E4063" s="607">
        <v>9.56</v>
      </c>
      <c r="F4063" s="607">
        <v>42.59</v>
      </c>
      <c r="G4063" s="584">
        <v>15</v>
      </c>
    </row>
    <row r="4064" spans="1:7" ht="15" x14ac:dyDescent="0.2">
      <c r="A4064" s="583" t="s">
        <v>20338</v>
      </c>
      <c r="B4064" s="605" t="s">
        <v>20339</v>
      </c>
      <c r="C4064" s="606" t="s">
        <v>12375</v>
      </c>
      <c r="D4064" s="607">
        <v>40.14</v>
      </c>
      <c r="E4064" s="607">
        <v>9.56</v>
      </c>
      <c r="F4064" s="607">
        <v>49.7</v>
      </c>
      <c r="G4064" s="584">
        <v>15</v>
      </c>
    </row>
    <row r="4065" spans="1:7" ht="15" x14ac:dyDescent="0.2">
      <c r="A4065" s="583" t="s">
        <v>20340</v>
      </c>
      <c r="B4065" s="605" t="s">
        <v>20341</v>
      </c>
      <c r="C4065" s="606" t="s">
        <v>12375</v>
      </c>
      <c r="D4065" s="607">
        <v>40.14</v>
      </c>
      <c r="E4065" s="607">
        <v>9.56</v>
      </c>
      <c r="F4065" s="607">
        <v>49.7</v>
      </c>
      <c r="G4065" s="584">
        <v>15</v>
      </c>
    </row>
    <row r="4066" spans="1:7" ht="15" x14ac:dyDescent="0.2">
      <c r="A4066" s="583" t="s">
        <v>20342</v>
      </c>
      <c r="B4066" s="605" t="s">
        <v>20343</v>
      </c>
      <c r="C4066" s="606" t="s">
        <v>12375</v>
      </c>
      <c r="D4066" s="607">
        <v>56.41</v>
      </c>
      <c r="E4066" s="607">
        <v>10.69</v>
      </c>
      <c r="F4066" s="607">
        <v>67.099999999999994</v>
      </c>
      <c r="G4066" s="584">
        <v>15</v>
      </c>
    </row>
    <row r="4067" spans="1:7" ht="15" x14ac:dyDescent="0.2">
      <c r="A4067" s="583" t="s">
        <v>20344</v>
      </c>
      <c r="B4067" s="605" t="s">
        <v>20345</v>
      </c>
      <c r="C4067" s="606" t="s">
        <v>12375</v>
      </c>
      <c r="D4067" s="607">
        <v>54.45</v>
      </c>
      <c r="E4067" s="607">
        <v>10.69</v>
      </c>
      <c r="F4067" s="607">
        <v>65.14</v>
      </c>
      <c r="G4067" s="584">
        <v>15</v>
      </c>
    </row>
    <row r="4068" spans="1:7" ht="15" x14ac:dyDescent="0.25">
      <c r="A4068" s="583" t="s">
        <v>20346</v>
      </c>
      <c r="B4068" s="605" t="s">
        <v>20347</v>
      </c>
      <c r="C4068" s="606"/>
      <c r="D4068" s="607"/>
      <c r="E4068" s="607"/>
      <c r="F4068" s="607"/>
      <c r="G4068" s="582"/>
    </row>
    <row r="4069" spans="1:7" ht="45" x14ac:dyDescent="0.2">
      <c r="A4069" s="583" t="s">
        <v>20348</v>
      </c>
      <c r="B4069" s="605" t="s">
        <v>20349</v>
      </c>
      <c r="C4069" s="606" t="s">
        <v>12427</v>
      </c>
      <c r="D4069" s="607">
        <v>341.48</v>
      </c>
      <c r="E4069" s="607">
        <v>15.31</v>
      </c>
      <c r="F4069" s="607">
        <v>356.79</v>
      </c>
      <c r="G4069" s="584">
        <v>15</v>
      </c>
    </row>
    <row r="4070" spans="1:7" ht="30" x14ac:dyDescent="0.2">
      <c r="A4070" s="583" t="s">
        <v>20350</v>
      </c>
      <c r="B4070" s="605" t="s">
        <v>20351</v>
      </c>
      <c r="C4070" s="606" t="s">
        <v>12427</v>
      </c>
      <c r="D4070" s="607">
        <v>248.95</v>
      </c>
      <c r="E4070" s="607">
        <v>14.13</v>
      </c>
      <c r="F4070" s="607">
        <v>263.08</v>
      </c>
      <c r="G4070" s="584">
        <v>15</v>
      </c>
    </row>
    <row r="4071" spans="1:7" ht="30" x14ac:dyDescent="0.2">
      <c r="A4071" s="583" t="s">
        <v>20352</v>
      </c>
      <c r="B4071" s="605" t="s">
        <v>20353</v>
      </c>
      <c r="C4071" s="606" t="s">
        <v>12427</v>
      </c>
      <c r="D4071" s="607">
        <v>250.59</v>
      </c>
      <c r="E4071" s="607">
        <v>14.22</v>
      </c>
      <c r="F4071" s="607">
        <v>264.81</v>
      </c>
      <c r="G4071" s="584">
        <v>15</v>
      </c>
    </row>
    <row r="4072" spans="1:7" ht="30" x14ac:dyDescent="0.2">
      <c r="A4072" s="583" t="s">
        <v>20354</v>
      </c>
      <c r="B4072" s="605" t="s">
        <v>20355</v>
      </c>
      <c r="C4072" s="606" t="s">
        <v>12472</v>
      </c>
      <c r="D4072" s="607">
        <v>8.39</v>
      </c>
      <c r="E4072" s="607">
        <v>2.4500000000000002</v>
      </c>
      <c r="F4072" s="607">
        <v>10.84</v>
      </c>
      <c r="G4072" s="584">
        <v>15</v>
      </c>
    </row>
    <row r="4073" spans="1:7" ht="15" x14ac:dyDescent="0.2">
      <c r="A4073" s="583" t="s">
        <v>20356</v>
      </c>
      <c r="B4073" s="605" t="s">
        <v>20357</v>
      </c>
      <c r="C4073" s="606" t="s">
        <v>21462</v>
      </c>
      <c r="D4073" s="607">
        <v>560.29</v>
      </c>
      <c r="E4073" s="607">
        <v>1512.24</v>
      </c>
      <c r="F4073" s="607">
        <v>2072.5300000000002</v>
      </c>
      <c r="G4073" s="584">
        <v>15</v>
      </c>
    </row>
    <row r="4074" spans="1:7" ht="15" x14ac:dyDescent="0.25">
      <c r="A4074" s="583" t="s">
        <v>20002</v>
      </c>
      <c r="B4074" s="605" t="s">
        <v>20003</v>
      </c>
      <c r="C4074" s="606"/>
      <c r="D4074" s="607"/>
      <c r="E4074" s="607"/>
      <c r="F4074" s="607"/>
      <c r="G4074" s="582"/>
    </row>
    <row r="4075" spans="1:7" ht="15" x14ac:dyDescent="0.25">
      <c r="A4075" s="583" t="s">
        <v>20004</v>
      </c>
      <c r="B4075" s="605" t="s">
        <v>20005</v>
      </c>
      <c r="C4075" s="606"/>
      <c r="D4075" s="607"/>
      <c r="E4075" s="607"/>
      <c r="F4075" s="607"/>
      <c r="G4075" s="582"/>
    </row>
    <row r="4076" spans="1:7" ht="15" x14ac:dyDescent="0.2">
      <c r="A4076" s="583" t="s">
        <v>20006</v>
      </c>
      <c r="B4076" s="605" t="s">
        <v>20007</v>
      </c>
      <c r="C4076" s="606" t="s">
        <v>12427</v>
      </c>
      <c r="D4076" s="607">
        <v>8911.41</v>
      </c>
      <c r="E4076" s="607">
        <v>100.7</v>
      </c>
      <c r="F4076" s="607">
        <v>9012.11</v>
      </c>
      <c r="G4076" s="584">
        <v>15</v>
      </c>
    </row>
    <row r="4077" spans="1:7" ht="15" x14ac:dyDescent="0.2">
      <c r="A4077" s="583" t="s">
        <v>20008</v>
      </c>
      <c r="B4077" s="605" t="s">
        <v>20009</v>
      </c>
      <c r="C4077" s="606" t="s">
        <v>12427</v>
      </c>
      <c r="D4077" s="607">
        <v>247.07</v>
      </c>
      <c r="E4077" s="607">
        <v>100.7</v>
      </c>
      <c r="F4077" s="607">
        <v>347.77</v>
      </c>
      <c r="G4077" s="584">
        <v>15</v>
      </c>
    </row>
    <row r="4078" spans="1:7" ht="15" x14ac:dyDescent="0.2">
      <c r="A4078" s="583" t="s">
        <v>20010</v>
      </c>
      <c r="B4078" s="605" t="s">
        <v>20011</v>
      </c>
      <c r="C4078" s="606" t="s">
        <v>12427</v>
      </c>
      <c r="D4078" s="607">
        <v>1689.81</v>
      </c>
      <c r="E4078" s="607">
        <v>100.7</v>
      </c>
      <c r="F4078" s="607">
        <v>1790.51</v>
      </c>
      <c r="G4078" s="584">
        <v>15</v>
      </c>
    </row>
    <row r="4079" spans="1:7" ht="45" x14ac:dyDescent="0.2">
      <c r="A4079" s="583" t="s">
        <v>20012</v>
      </c>
      <c r="B4079" s="605" t="s">
        <v>20013</v>
      </c>
      <c r="C4079" s="606" t="s">
        <v>12375</v>
      </c>
      <c r="D4079" s="607">
        <v>15.66</v>
      </c>
      <c r="E4079" s="607">
        <v>7.3</v>
      </c>
      <c r="F4079" s="607">
        <v>22.96</v>
      </c>
      <c r="G4079" s="584">
        <v>15</v>
      </c>
    </row>
    <row r="4080" spans="1:7" ht="45" x14ac:dyDescent="0.2">
      <c r="A4080" s="583" t="s">
        <v>20014</v>
      </c>
      <c r="B4080" s="605" t="s">
        <v>20015</v>
      </c>
      <c r="C4080" s="606" t="s">
        <v>12375</v>
      </c>
      <c r="D4080" s="607">
        <v>11.48</v>
      </c>
      <c r="E4080" s="607">
        <v>7.3</v>
      </c>
      <c r="F4080" s="607">
        <v>18.78</v>
      </c>
      <c r="G4080" s="584">
        <v>15</v>
      </c>
    </row>
    <row r="4081" spans="1:7" ht="30" x14ac:dyDescent="0.2">
      <c r="A4081" s="583" t="s">
        <v>20016</v>
      </c>
      <c r="B4081" s="605" t="s">
        <v>20017</v>
      </c>
      <c r="C4081" s="606" t="s">
        <v>12375</v>
      </c>
      <c r="D4081" s="607">
        <v>19.88</v>
      </c>
      <c r="E4081" s="607">
        <v>7.3</v>
      </c>
      <c r="F4081" s="607">
        <v>27.18</v>
      </c>
      <c r="G4081" s="584">
        <v>15</v>
      </c>
    </row>
    <row r="4082" spans="1:7" ht="30" x14ac:dyDescent="0.2">
      <c r="A4082" s="583" t="s">
        <v>20018</v>
      </c>
      <c r="B4082" s="605" t="s">
        <v>20019</v>
      </c>
      <c r="C4082" s="606" t="s">
        <v>12375</v>
      </c>
      <c r="D4082" s="607">
        <v>12.25</v>
      </c>
      <c r="E4082" s="607">
        <v>7.3</v>
      </c>
      <c r="F4082" s="607">
        <v>19.55</v>
      </c>
      <c r="G4082" s="584">
        <v>15</v>
      </c>
    </row>
    <row r="4083" spans="1:7" ht="15" x14ac:dyDescent="0.2">
      <c r="A4083" s="583" t="s">
        <v>20020</v>
      </c>
      <c r="B4083" s="605" t="s">
        <v>20021</v>
      </c>
      <c r="C4083" s="606" t="s">
        <v>12375</v>
      </c>
      <c r="D4083" s="607">
        <v>24.33</v>
      </c>
      <c r="E4083" s="607">
        <v>7.3</v>
      </c>
      <c r="F4083" s="607">
        <v>31.63</v>
      </c>
      <c r="G4083" s="584">
        <v>15</v>
      </c>
    </row>
    <row r="4084" spans="1:7" ht="30" x14ac:dyDescent="0.2">
      <c r="A4084" s="583" t="s">
        <v>20022</v>
      </c>
      <c r="B4084" s="605" t="s">
        <v>20023</v>
      </c>
      <c r="C4084" s="606" t="s">
        <v>12375</v>
      </c>
      <c r="D4084" s="607">
        <v>9</v>
      </c>
      <c r="E4084" s="607">
        <v>7.3</v>
      </c>
      <c r="F4084" s="607">
        <v>16.3</v>
      </c>
      <c r="G4084" s="584">
        <v>15</v>
      </c>
    </row>
    <row r="4085" spans="1:7" ht="15" x14ac:dyDescent="0.2">
      <c r="A4085" s="583" t="s">
        <v>20024</v>
      </c>
      <c r="B4085" s="605" t="s">
        <v>20025</v>
      </c>
      <c r="C4085" s="606" t="s">
        <v>12375</v>
      </c>
      <c r="D4085" s="607">
        <v>265.3</v>
      </c>
      <c r="E4085" s="607">
        <v>4.1500000000000004</v>
      </c>
      <c r="F4085" s="607">
        <v>269.45</v>
      </c>
      <c r="G4085" s="584">
        <v>15</v>
      </c>
    </row>
    <row r="4086" spans="1:7" ht="15" x14ac:dyDescent="0.25">
      <c r="A4086" s="583" t="s">
        <v>20026</v>
      </c>
      <c r="B4086" s="605" t="s">
        <v>20027</v>
      </c>
      <c r="C4086" s="606"/>
      <c r="D4086" s="607"/>
      <c r="E4086" s="607"/>
      <c r="F4086" s="607"/>
      <c r="G4086" s="582"/>
    </row>
    <row r="4087" spans="1:7" ht="15" x14ac:dyDescent="0.2">
      <c r="A4087" s="583" t="s">
        <v>20028</v>
      </c>
      <c r="B4087" s="605" t="s">
        <v>20029</v>
      </c>
      <c r="C4087" s="606" t="s">
        <v>12375</v>
      </c>
      <c r="D4087" s="607">
        <v>12.2</v>
      </c>
      <c r="E4087" s="607">
        <v>63.68</v>
      </c>
      <c r="F4087" s="607">
        <v>75.88</v>
      </c>
      <c r="G4087" s="584">
        <v>15</v>
      </c>
    </row>
    <row r="4088" spans="1:7" ht="15" x14ac:dyDescent="0.25">
      <c r="A4088" s="583" t="s">
        <v>20030</v>
      </c>
      <c r="B4088" s="605" t="s">
        <v>20031</v>
      </c>
      <c r="C4088" s="606"/>
      <c r="D4088" s="607"/>
      <c r="E4088" s="607"/>
      <c r="F4088" s="607"/>
      <c r="G4088" s="582"/>
    </row>
    <row r="4089" spans="1:7" ht="45" x14ac:dyDescent="0.2">
      <c r="A4089" s="583" t="s">
        <v>20032</v>
      </c>
      <c r="B4089" s="605" t="s">
        <v>20033</v>
      </c>
      <c r="C4089" s="606" t="s">
        <v>12375</v>
      </c>
      <c r="D4089" s="607">
        <v>90.88</v>
      </c>
      <c r="E4089" s="607">
        <v>8.56</v>
      </c>
      <c r="F4089" s="607">
        <v>99.44</v>
      </c>
      <c r="G4089" s="584">
        <v>15</v>
      </c>
    </row>
    <row r="4090" spans="1:7" ht="30" x14ac:dyDescent="0.2">
      <c r="A4090" s="583" t="s">
        <v>20034</v>
      </c>
      <c r="B4090" s="605" t="s">
        <v>20035</v>
      </c>
      <c r="C4090" s="606" t="s">
        <v>12375</v>
      </c>
      <c r="D4090" s="607">
        <v>32.64</v>
      </c>
      <c r="E4090" s="607">
        <v>1.76</v>
      </c>
      <c r="F4090" s="607">
        <v>34.4</v>
      </c>
      <c r="G4090" s="584">
        <v>15</v>
      </c>
    </row>
    <row r="4091" spans="1:7" ht="15" x14ac:dyDescent="0.2">
      <c r="A4091" s="583" t="s">
        <v>20036</v>
      </c>
      <c r="B4091" s="605" t="s">
        <v>20037</v>
      </c>
      <c r="C4091" s="606" t="s">
        <v>12427</v>
      </c>
      <c r="D4091" s="607">
        <v>70.930000000000007</v>
      </c>
      <c r="E4091" s="607"/>
      <c r="F4091" s="607">
        <v>70.930000000000007</v>
      </c>
      <c r="G4091" s="584">
        <v>15</v>
      </c>
    </row>
    <row r="4092" spans="1:7" ht="15" x14ac:dyDescent="0.2">
      <c r="A4092" s="583" t="s">
        <v>18</v>
      </c>
      <c r="B4092" s="605" t="s">
        <v>20038</v>
      </c>
      <c r="C4092" s="606" t="s">
        <v>12929</v>
      </c>
      <c r="D4092" s="607">
        <v>30.83</v>
      </c>
      <c r="E4092" s="607"/>
      <c r="F4092" s="607">
        <v>30.83</v>
      </c>
      <c r="G4092" s="584">
        <v>15</v>
      </c>
    </row>
    <row r="4093" spans="1:7" ht="15" x14ac:dyDescent="0.25">
      <c r="A4093" s="583" t="s">
        <v>20039</v>
      </c>
      <c r="B4093" s="605" t="s">
        <v>20040</v>
      </c>
      <c r="C4093" s="606"/>
      <c r="D4093" s="607"/>
      <c r="E4093" s="607"/>
      <c r="F4093" s="607"/>
      <c r="G4093" s="582"/>
    </row>
    <row r="4094" spans="1:7" ht="15" x14ac:dyDescent="0.25">
      <c r="A4094" s="583" t="s">
        <v>20041</v>
      </c>
      <c r="B4094" s="605" t="s">
        <v>20042</v>
      </c>
      <c r="C4094" s="606"/>
      <c r="D4094" s="607"/>
      <c r="E4094" s="607"/>
      <c r="F4094" s="607"/>
      <c r="G4094" s="582"/>
    </row>
    <row r="4095" spans="1:7" ht="15" x14ac:dyDescent="0.2">
      <c r="A4095" s="583" t="s">
        <v>20043</v>
      </c>
      <c r="B4095" s="605" t="s">
        <v>20044</v>
      </c>
      <c r="C4095" s="606" t="s">
        <v>12375</v>
      </c>
      <c r="D4095" s="607">
        <v>848.65</v>
      </c>
      <c r="E4095" s="607"/>
      <c r="F4095" s="607">
        <v>848.65</v>
      </c>
      <c r="G4095" s="584">
        <v>15</v>
      </c>
    </row>
  </sheetData>
  <mergeCells count="4">
    <mergeCell ref="B1:F1"/>
    <mergeCell ref="A2:F2"/>
    <mergeCell ref="A3:F3"/>
    <mergeCell ref="A4:F4"/>
  </mergeCells>
  <phoneticPr fontId="4" type="noConversion"/>
  <pageMargins left="0.78740157499999996" right="0.78740157499999996" top="0.984251969" bottom="0.984251969" header="0.49212598499999999" footer="0.49212598499999999"/>
  <pageSetup paperSize="9" orientation="portrait" horizont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-0.499984740745262"/>
    <pageSetUpPr fitToPage="1"/>
  </sheetPr>
  <dimension ref="B1:Q53"/>
  <sheetViews>
    <sheetView topLeftCell="A4" workbookViewId="0">
      <selection activeCell="O26" sqref="O26"/>
    </sheetView>
  </sheetViews>
  <sheetFormatPr defaultRowHeight="12.75" x14ac:dyDescent="0.2"/>
  <cols>
    <col min="2" max="2" width="12.85546875" customWidth="1"/>
    <col min="7" max="7" width="9.85546875" customWidth="1"/>
    <col min="9" max="9" width="10.7109375" customWidth="1"/>
    <col min="10" max="10" width="13.140625" customWidth="1"/>
    <col min="12" max="12" width="12.42578125" customWidth="1"/>
  </cols>
  <sheetData>
    <row r="1" spans="2:17" ht="74.099999999999994" customHeight="1" x14ac:dyDescent="0.2">
      <c r="B1" s="678"/>
      <c r="C1" s="678"/>
      <c r="D1" s="678"/>
      <c r="E1" s="678"/>
      <c r="F1" s="678"/>
      <c r="G1" s="678"/>
      <c r="H1" s="678"/>
      <c r="I1" s="678"/>
      <c r="J1" s="678"/>
    </row>
    <row r="2" spans="2:17" ht="15.75" x14ac:dyDescent="0.2">
      <c r="B2" s="759" t="s">
        <v>185</v>
      </c>
      <c r="C2" s="760"/>
      <c r="D2" s="760"/>
      <c r="E2" s="760"/>
      <c r="F2" s="760"/>
      <c r="G2" s="760"/>
      <c r="H2" s="760"/>
      <c r="I2" s="760"/>
      <c r="J2" s="761"/>
      <c r="O2">
        <f>1100</f>
        <v>1100</v>
      </c>
      <c r="P2">
        <v>5.5</v>
      </c>
      <c r="Q2">
        <f>O2/P2</f>
        <v>200</v>
      </c>
    </row>
    <row r="3" spans="2:17" x14ac:dyDescent="0.2">
      <c r="B3" s="54"/>
      <c r="C3" s="54"/>
      <c r="D3" s="54"/>
      <c r="E3" s="54"/>
      <c r="F3" s="54"/>
      <c r="G3" s="54"/>
      <c r="H3" s="54"/>
      <c r="I3" s="54"/>
      <c r="J3" s="54"/>
    </row>
    <row r="4" spans="2:17" ht="14.25" x14ac:dyDescent="0.2">
      <c r="B4" s="682" t="s">
        <v>186</v>
      </c>
      <c r="C4" s="682"/>
      <c r="D4" s="682"/>
      <c r="E4" s="682"/>
      <c r="F4" s="682"/>
      <c r="G4" s="682"/>
      <c r="H4" s="682"/>
      <c r="I4" s="682"/>
      <c r="J4" s="682"/>
    </row>
    <row r="5" spans="2:17" ht="14.25" x14ac:dyDescent="0.2">
      <c r="B5" s="682" t="s">
        <v>20063</v>
      </c>
      <c r="C5" s="682"/>
      <c r="D5" s="682"/>
      <c r="E5" s="682"/>
      <c r="F5" s="682"/>
      <c r="G5" s="682"/>
      <c r="H5" s="682"/>
      <c r="I5" s="682"/>
      <c r="J5" s="682"/>
      <c r="L5" s="143" t="s">
        <v>12367</v>
      </c>
    </row>
    <row r="6" spans="2:17" ht="14.25" x14ac:dyDescent="0.2">
      <c r="B6" s="682" t="s">
        <v>188</v>
      </c>
      <c r="C6" s="682"/>
      <c r="D6" s="682"/>
      <c r="E6" s="682"/>
      <c r="F6" s="682"/>
      <c r="G6" s="682"/>
      <c r="H6" s="682"/>
      <c r="I6" s="682"/>
      <c r="J6" s="682"/>
    </row>
    <row r="7" spans="2:17" ht="14.25" x14ac:dyDescent="0.2">
      <c r="B7" s="682" t="s">
        <v>20062</v>
      </c>
      <c r="C7" s="682"/>
      <c r="D7" s="682"/>
      <c r="E7" s="682"/>
      <c r="F7" s="682"/>
      <c r="G7" s="682"/>
      <c r="H7" s="682"/>
      <c r="I7" s="682"/>
      <c r="J7" s="682"/>
    </row>
    <row r="8" spans="2:17" ht="46.5" customHeight="1" x14ac:dyDescent="0.2">
      <c r="B8" s="683" t="s">
        <v>20064</v>
      </c>
      <c r="C8" s="683"/>
      <c r="D8" s="683"/>
      <c r="E8" s="683"/>
      <c r="F8" s="683"/>
      <c r="G8" s="683"/>
      <c r="H8" s="683"/>
      <c r="I8" s="683"/>
      <c r="J8" s="683"/>
    </row>
    <row r="9" spans="2:17" ht="10.5" customHeight="1" x14ac:dyDescent="0.2">
      <c r="B9" s="14"/>
      <c r="C9" s="15"/>
      <c r="D9" s="15"/>
      <c r="E9" s="15"/>
      <c r="F9" s="16"/>
      <c r="H9" s="16"/>
    </row>
    <row r="10" spans="2:17" ht="16.5" x14ac:dyDescent="0.2">
      <c r="B10" s="752" t="s">
        <v>85</v>
      </c>
      <c r="C10" s="753"/>
      <c r="D10" s="753"/>
      <c r="E10" s="753"/>
      <c r="F10" s="753"/>
      <c r="G10" s="753"/>
      <c r="H10" s="753"/>
      <c r="I10" s="753"/>
      <c r="J10" s="753"/>
    </row>
    <row r="11" spans="2:17" ht="10.5" customHeight="1" x14ac:dyDescent="0.25">
      <c r="B11" s="17"/>
      <c r="C11" s="17"/>
      <c r="D11" s="17"/>
      <c r="E11" s="17"/>
      <c r="F11" s="17"/>
      <c r="G11" s="17"/>
      <c r="H11" s="17"/>
      <c r="I11" s="17"/>
      <c r="J11" s="17"/>
    </row>
    <row r="12" spans="2:17" x14ac:dyDescent="0.2">
      <c r="B12" s="132" t="s">
        <v>49</v>
      </c>
      <c r="C12" s="133" t="s">
        <v>50</v>
      </c>
      <c r="D12" s="133" t="s">
        <v>51</v>
      </c>
      <c r="E12" s="133" t="s">
        <v>52</v>
      </c>
      <c r="F12" s="744" t="s">
        <v>53</v>
      </c>
      <c r="G12" s="745"/>
      <c r="H12" s="745"/>
      <c r="I12" s="745"/>
      <c r="J12" s="746"/>
    </row>
    <row r="13" spans="2:17" x14ac:dyDescent="0.2">
      <c r="B13" s="132" t="s">
        <v>54</v>
      </c>
      <c r="C13" s="18">
        <v>3.8</v>
      </c>
      <c r="D13" s="18">
        <v>4.67</v>
      </c>
      <c r="E13" s="34">
        <v>4.5</v>
      </c>
      <c r="F13" s="747" t="s">
        <v>55</v>
      </c>
      <c r="G13" s="748"/>
      <c r="H13" s="748"/>
      <c r="I13" s="748"/>
      <c r="J13" s="749"/>
    </row>
    <row r="14" spans="2:17" x14ac:dyDescent="0.2">
      <c r="B14" s="132" t="s">
        <v>56</v>
      </c>
      <c r="C14" s="18">
        <v>0.32</v>
      </c>
      <c r="D14" s="18">
        <v>0.74</v>
      </c>
      <c r="E14" s="34">
        <v>0.55000000000000004</v>
      </c>
      <c r="F14" s="747" t="s">
        <v>57</v>
      </c>
      <c r="G14" s="748"/>
      <c r="H14" s="748"/>
      <c r="I14" s="748"/>
      <c r="J14" s="749"/>
    </row>
    <row r="15" spans="2:17" x14ac:dyDescent="0.2">
      <c r="B15" s="132" t="s">
        <v>58</v>
      </c>
      <c r="C15" s="18">
        <v>0.5</v>
      </c>
      <c r="D15" s="18">
        <v>0.97</v>
      </c>
      <c r="E15" s="34">
        <v>0.68</v>
      </c>
      <c r="F15" s="747" t="s">
        <v>59</v>
      </c>
      <c r="G15" s="748"/>
      <c r="H15" s="748"/>
      <c r="I15" s="748"/>
      <c r="J15" s="749"/>
    </row>
    <row r="16" spans="2:17" x14ac:dyDescent="0.2">
      <c r="B16" s="132" t="s">
        <v>60</v>
      </c>
      <c r="C16" s="18">
        <v>1.02</v>
      </c>
      <c r="D16" s="18">
        <v>1.21</v>
      </c>
      <c r="E16" s="34">
        <v>1.02</v>
      </c>
      <c r="F16" s="747" t="s">
        <v>61</v>
      </c>
      <c r="G16" s="748"/>
      <c r="H16" s="748"/>
      <c r="I16" s="748"/>
      <c r="J16" s="749"/>
    </row>
    <row r="17" spans="2:10" x14ac:dyDescent="0.2">
      <c r="B17" s="132" t="s">
        <v>62</v>
      </c>
      <c r="C17" s="18">
        <v>6.64</v>
      </c>
      <c r="D17" s="18">
        <v>8.69</v>
      </c>
      <c r="E17" s="34">
        <v>6</v>
      </c>
      <c r="F17" s="747" t="s">
        <v>63</v>
      </c>
      <c r="G17" s="748"/>
      <c r="H17" s="748"/>
      <c r="I17" s="748"/>
      <c r="J17" s="749"/>
    </row>
    <row r="18" spans="2:10" x14ac:dyDescent="0.2">
      <c r="B18" s="132" t="s">
        <v>64</v>
      </c>
      <c r="C18" s="754" t="s">
        <v>65</v>
      </c>
      <c r="D18" s="755"/>
      <c r="E18" s="134">
        <f>C33</f>
        <v>5.65</v>
      </c>
      <c r="F18" s="756" t="s">
        <v>66</v>
      </c>
      <c r="G18" s="757"/>
      <c r="H18" s="757"/>
      <c r="I18" s="757"/>
      <c r="J18" s="758"/>
    </row>
    <row r="19" spans="2:10" ht="12" customHeight="1" thickBot="1" x14ac:dyDescent="0.3">
      <c r="F19" s="19"/>
    </row>
    <row r="20" spans="2:10" ht="17.25" thickBot="1" x14ac:dyDescent="0.25">
      <c r="C20" s="20"/>
      <c r="D20" s="135" t="s">
        <v>7</v>
      </c>
      <c r="E20" s="136">
        <f>IF(OR(C32="",E13="",E14="",E15="",E16="",E17=""),0,ROUND((((1+E13/100+E14/100+E15/100)*(1+E16/100)*(1+E17/100)/(1-(C33/100)))-1)*100,2))</f>
        <v>20</v>
      </c>
      <c r="F20" s="750" t="s">
        <v>67</v>
      </c>
      <c r="G20" s="751"/>
      <c r="H20" s="751"/>
      <c r="I20" s="751"/>
      <c r="J20" s="751"/>
    </row>
    <row r="21" spans="2:10" ht="10.5" customHeight="1" x14ac:dyDescent="0.2">
      <c r="C21" s="20"/>
      <c r="D21" s="21"/>
      <c r="E21" s="22"/>
      <c r="F21" s="23"/>
    </row>
    <row r="22" spans="2:10" ht="18" x14ac:dyDescent="0.2">
      <c r="B22" s="137" t="s">
        <v>68</v>
      </c>
      <c r="C22" s="138">
        <f>IF(OR(C32="",E13="",E14="",E15="",E16="",E17=""),0,IF(OR(ROUND((((1+E13/100+E14/100+E15/100)*(1+E16/100)*(1+E17/100)/(1-((C33-C31)/100)))-1)*100,2)&gt;24.23,ROUND((((1+E13/100+E14/100+E15/100)*(1+E16/100)*(1+E17/100)/(1-((C33-C31)/100)))-1)*100,2)&lt;19.6),"FORA DO LIMITE !",ROUND((((1+E13/100+E14/100+E15/100)*(1+E16/100)*(1+E17/100)/(1-((C33-C31)/100)))-1)*100,2)))</f>
        <v>20</v>
      </c>
      <c r="D22" s="139" t="s">
        <v>86</v>
      </c>
      <c r="E22" s="140"/>
      <c r="F22" s="141"/>
      <c r="G22" s="142"/>
      <c r="H22" s="142"/>
    </row>
    <row r="23" spans="2:10" ht="18" x14ac:dyDescent="0.2">
      <c r="B23" s="24"/>
      <c r="C23" s="26" t="str">
        <f>IF(C22="FORA DO LIMITE !",ROUND((((1+E13/100+E14/100+E15/100)*(1+E16/100)*(1+E17/100)/(1-((C33-C31)/100)))-1)*100,2)/100,"")</f>
        <v/>
      </c>
      <c r="D23" s="25"/>
      <c r="E23" s="22"/>
      <c r="F23" s="23"/>
    </row>
    <row r="24" spans="2:10" x14ac:dyDescent="0.2">
      <c r="B24" t="s">
        <v>69</v>
      </c>
      <c r="C24" s="20"/>
      <c r="D24" s="27"/>
      <c r="E24" s="27"/>
    </row>
    <row r="25" spans="2:10" x14ac:dyDescent="0.2">
      <c r="B25" t="s">
        <v>70</v>
      </c>
      <c r="C25" s="20"/>
      <c r="D25" s="27"/>
      <c r="E25" s="27"/>
    </row>
    <row r="26" spans="2:10" x14ac:dyDescent="0.2">
      <c r="B26" s="28" t="s">
        <v>71</v>
      </c>
      <c r="C26" s="20"/>
      <c r="D26" s="27"/>
      <c r="E26" s="27"/>
    </row>
    <row r="27" spans="2:10" x14ac:dyDescent="0.2">
      <c r="C27" s="20"/>
      <c r="D27" s="27"/>
      <c r="E27" s="27"/>
    </row>
    <row r="28" spans="2:10" x14ac:dyDescent="0.2">
      <c r="B28" s="125" t="s">
        <v>72</v>
      </c>
      <c r="C28" s="126" t="s">
        <v>73</v>
      </c>
      <c r="D28" s="29"/>
      <c r="E28" s="27"/>
    </row>
    <row r="29" spans="2:10" x14ac:dyDescent="0.2">
      <c r="B29" s="127" t="s">
        <v>74</v>
      </c>
      <c r="C29" s="35">
        <v>0.65</v>
      </c>
      <c r="D29" s="29"/>
      <c r="E29" s="27"/>
    </row>
    <row r="30" spans="2:10" x14ac:dyDescent="0.2">
      <c r="B30" s="127" t="s">
        <v>75</v>
      </c>
      <c r="C30" s="35">
        <v>3</v>
      </c>
      <c r="D30" s="29"/>
      <c r="E30" s="27"/>
    </row>
    <row r="31" spans="2:10" x14ac:dyDescent="0.2">
      <c r="B31" s="127" t="s">
        <v>76</v>
      </c>
      <c r="C31" s="128"/>
      <c r="D31" s="30" t="s">
        <v>77</v>
      </c>
      <c r="E31" s="27"/>
    </row>
    <row r="32" spans="2:10" ht="15.75" x14ac:dyDescent="0.2">
      <c r="B32" s="127" t="s">
        <v>78</v>
      </c>
      <c r="C32" s="129">
        <f>IF(OR(H36="",J35=""),"",IF(ROUND(J35*H36*100,2)&gt;5,"ERRO",(ROUND(J35*H36*100,2))))</f>
        <v>2</v>
      </c>
      <c r="D32" s="31"/>
      <c r="E32" s="27"/>
    </row>
    <row r="33" spans="2:10" x14ac:dyDescent="0.2">
      <c r="B33" s="130" t="s">
        <v>79</v>
      </c>
      <c r="C33" s="131">
        <f>IF(C32="","",SUM(C29:C32))</f>
        <v>5.65</v>
      </c>
      <c r="D33" s="27"/>
      <c r="E33" s="27"/>
    </row>
    <row r="34" spans="2:10" x14ac:dyDescent="0.2">
      <c r="B34" s="32"/>
      <c r="C34" s="27"/>
      <c r="D34" s="27"/>
      <c r="E34" s="27"/>
    </row>
    <row r="35" spans="2:10" x14ac:dyDescent="0.2">
      <c r="B35" s="33" t="s">
        <v>80</v>
      </c>
      <c r="C35" s="33"/>
      <c r="D35" s="33"/>
      <c r="E35" s="33"/>
      <c r="F35" s="33"/>
      <c r="G35" s="33"/>
      <c r="H35" s="33"/>
      <c r="J35" s="36">
        <v>1</v>
      </c>
    </row>
    <row r="36" spans="2:10" x14ac:dyDescent="0.2">
      <c r="B36" s="33" t="s">
        <v>81</v>
      </c>
      <c r="C36" s="33"/>
      <c r="D36" s="33"/>
      <c r="E36" s="33"/>
      <c r="F36" s="33"/>
      <c r="G36" s="33"/>
      <c r="H36" s="36">
        <v>0.02</v>
      </c>
      <c r="I36" s="33" t="s">
        <v>82</v>
      </c>
    </row>
    <row r="37" spans="2:10" x14ac:dyDescent="0.2">
      <c r="B37" s="32"/>
      <c r="C37" s="27"/>
      <c r="D37" s="27"/>
      <c r="E37" s="27"/>
    </row>
    <row r="38" spans="2:10" ht="15.75" x14ac:dyDescent="0.25">
      <c r="B38" s="734" t="s">
        <v>83</v>
      </c>
      <c r="C38" s="734"/>
      <c r="D38" s="734"/>
      <c r="E38" s="734"/>
      <c r="F38" s="734"/>
      <c r="G38" s="734"/>
      <c r="H38" s="734"/>
      <c r="I38" s="734"/>
      <c r="J38" s="734"/>
    </row>
    <row r="39" spans="2:10" ht="13.5" thickBot="1" x14ac:dyDescent="0.25"/>
    <row r="40" spans="2:10" ht="13.5" thickTop="1" x14ac:dyDescent="0.2">
      <c r="B40" s="735" t="s">
        <v>84</v>
      </c>
      <c r="C40" s="736"/>
      <c r="D40" s="736"/>
      <c r="E40" s="736"/>
      <c r="F40" s="736"/>
      <c r="G40" s="736"/>
      <c r="H40" s="736"/>
      <c r="I40" s="736"/>
      <c r="J40" s="737"/>
    </row>
    <row r="41" spans="2:10" x14ac:dyDescent="0.2">
      <c r="B41" s="738"/>
      <c r="C41" s="739"/>
      <c r="D41" s="739"/>
      <c r="E41" s="739"/>
      <c r="F41" s="739"/>
      <c r="G41" s="739"/>
      <c r="H41" s="739"/>
      <c r="I41" s="739"/>
      <c r="J41" s="740"/>
    </row>
    <row r="42" spans="2:10" ht="13.5" thickBot="1" x14ac:dyDescent="0.25">
      <c r="B42" s="741"/>
      <c r="C42" s="742"/>
      <c r="D42" s="742"/>
      <c r="E42" s="742"/>
      <c r="F42" s="742"/>
      <c r="G42" s="742"/>
      <c r="H42" s="742"/>
      <c r="I42" s="742"/>
      <c r="J42" s="743"/>
    </row>
    <row r="43" spans="2:10" ht="10.5" customHeight="1" thickTop="1" x14ac:dyDescent="0.2"/>
    <row r="44" spans="2:10" ht="29.45" customHeight="1" x14ac:dyDescent="0.2">
      <c r="B44" s="683" t="s">
        <v>190</v>
      </c>
      <c r="C44" s="683"/>
      <c r="D44" s="683"/>
      <c r="E44" s="683"/>
      <c r="F44" s="683"/>
      <c r="G44" s="683"/>
      <c r="H44" s="683"/>
      <c r="I44" s="683"/>
      <c r="J44" s="683"/>
    </row>
    <row r="45" spans="2:10" ht="9.75" customHeight="1" x14ac:dyDescent="0.2"/>
    <row r="46" spans="2:10" ht="14.25" x14ac:dyDescent="0.2">
      <c r="J46" s="59" t="s">
        <v>20061</v>
      </c>
    </row>
    <row r="51" spans="2:10" ht="15.75" x14ac:dyDescent="0.25">
      <c r="B51" s="670" t="s">
        <v>115</v>
      </c>
      <c r="C51" s="670"/>
      <c r="D51" s="670"/>
      <c r="E51" s="670"/>
      <c r="G51" s="670" t="s">
        <v>192</v>
      </c>
      <c r="H51" s="670"/>
      <c r="I51" s="670"/>
      <c r="J51" s="670"/>
    </row>
    <row r="52" spans="2:10" ht="14.25" x14ac:dyDescent="0.2">
      <c r="B52" s="671" t="s">
        <v>193</v>
      </c>
      <c r="C52" s="671"/>
      <c r="D52" s="671"/>
      <c r="E52" s="671"/>
      <c r="G52" s="671" t="s">
        <v>194</v>
      </c>
      <c r="H52" s="671"/>
      <c r="I52" s="671"/>
      <c r="J52" s="671"/>
    </row>
    <row r="53" spans="2:10" x14ac:dyDescent="0.2">
      <c r="B53" s="658" t="s">
        <v>183</v>
      </c>
      <c r="C53" s="678"/>
      <c r="D53" s="678"/>
      <c r="E53" s="678"/>
      <c r="G53" s="658" t="s">
        <v>195</v>
      </c>
      <c r="H53" s="678"/>
      <c r="I53" s="678"/>
      <c r="J53" s="678"/>
    </row>
  </sheetData>
  <mergeCells count="26">
    <mergeCell ref="B1:J1"/>
    <mergeCell ref="B2:J2"/>
    <mergeCell ref="B4:J4"/>
    <mergeCell ref="B5:J5"/>
    <mergeCell ref="B6:J6"/>
    <mergeCell ref="B10:J10"/>
    <mergeCell ref="C18:D18"/>
    <mergeCell ref="F18:J18"/>
    <mergeCell ref="B7:J7"/>
    <mergeCell ref="B8:J8"/>
    <mergeCell ref="B38:J38"/>
    <mergeCell ref="B40:J42"/>
    <mergeCell ref="F12:J12"/>
    <mergeCell ref="F13:J13"/>
    <mergeCell ref="F14:J14"/>
    <mergeCell ref="F15:J15"/>
    <mergeCell ref="F16:J16"/>
    <mergeCell ref="F17:J17"/>
    <mergeCell ref="F20:J20"/>
    <mergeCell ref="B53:E53"/>
    <mergeCell ref="G53:J53"/>
    <mergeCell ref="B44:J44"/>
    <mergeCell ref="B51:E51"/>
    <mergeCell ref="G51:J51"/>
    <mergeCell ref="B52:E52"/>
    <mergeCell ref="G52:J52"/>
  </mergeCells>
  <conditionalFormatting sqref="C22:C23">
    <cfRule type="cellIs" dxfId="10" priority="4" stopIfTrue="1" operator="equal">
      <formula>0</formula>
    </cfRule>
    <cfRule type="cellIs" dxfId="9" priority="5" stopIfTrue="1" operator="equal">
      <formula>"FORA DO LIMITE !"</formula>
    </cfRule>
  </conditionalFormatting>
  <conditionalFormatting sqref="C32">
    <cfRule type="cellIs" dxfId="8" priority="6" stopIfTrue="1" operator="equal">
      <formula>"ERRO"</formula>
    </cfRule>
  </conditionalFormatting>
  <conditionalFormatting sqref="C33">
    <cfRule type="cellIs" dxfId="7" priority="7" stopIfTrue="1" operator="equal">
      <formula>"ERRO"</formula>
    </cfRule>
  </conditionalFormatting>
  <conditionalFormatting sqref="E18 C34 C37">
    <cfRule type="cellIs" dxfId="6" priority="1" stopIfTrue="1" operator="equal">
      <formula>0</formula>
    </cfRule>
  </conditionalFormatting>
  <conditionalFormatting sqref="E20:E23">
    <cfRule type="cellIs" dxfId="5" priority="2" stopIfTrue="1" operator="equal">
      <formula>0</formula>
    </cfRule>
    <cfRule type="cellIs" dxfId="4" priority="3" stopIfTrue="1" operator="equal">
      <formula>"FORA DO LIMITE !"</formula>
    </cfRule>
  </conditionalFormatting>
  <dataValidations count="7"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5" xr:uid="{00000000-0002-0000-0400-000000000000}">
      <formula1>0.5</formula1>
      <formula2>0.97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4" xr:uid="{00000000-0002-0000-0400-000001000000}">
      <formula1>0.32</formula1>
      <formula2>0.74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3" xr:uid="{00000000-0002-0000-0400-000002000000}">
      <formula1>3.8</formula1>
      <formula2>4.67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6" xr:uid="{00000000-0002-0000-0400-000003000000}">
      <formula1>1.02</formula1>
      <formula2>1.21</formula2>
    </dataValidation>
    <dataValidation type="decimal" allowBlank="1" showInputMessage="1" showErrorMessage="1" sqref="H36" xr:uid="{00000000-0002-0000-0400-000004000000}">
      <formula1>0</formula1>
      <formula2>0.05</formula2>
    </dataValidation>
    <dataValidation type="decimal" allowBlank="1" showInputMessage="1" showErrorMessage="1" sqref="J35" xr:uid="{00000000-0002-0000-0400-000005000000}">
      <formula1>0</formula1>
      <formula2>1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7" xr:uid="{00000000-0002-0000-0400-000006000000}">
      <formula1>6.64</formula1>
      <formula2>8.69</formula2>
    </dataValidation>
  </dataValidations>
  <pageMargins left="0.98425196850393704" right="0.51181102362204722" top="0.78740157480314965" bottom="0.78740157480314965" header="0.31496062992125984" footer="0.31496062992125984"/>
  <pageSetup paperSize="9" scale="8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-0.499984740745262"/>
    <pageSetUpPr fitToPage="1"/>
  </sheetPr>
  <dimension ref="A1:Q229"/>
  <sheetViews>
    <sheetView tabSelected="1" topLeftCell="A183" workbookViewId="0">
      <selection activeCell="D223" sqref="D223"/>
    </sheetView>
  </sheetViews>
  <sheetFormatPr defaultColWidth="9.140625" defaultRowHeight="12.75" x14ac:dyDescent="0.2"/>
  <cols>
    <col min="1" max="1" width="6.42578125" style="10" customWidth="1"/>
    <col min="2" max="2" width="7.28515625" style="1" customWidth="1"/>
    <col min="3" max="3" width="9.7109375" style="4" bestFit="1" customWidth="1"/>
    <col min="4" max="4" width="63" style="6" customWidth="1"/>
    <col min="5" max="5" width="7.5703125" style="1" customWidth="1"/>
    <col min="6" max="6" width="10" style="12" bestFit="1" customWidth="1"/>
    <col min="7" max="7" width="12.7109375" style="7" customWidth="1"/>
    <col min="8" max="8" width="12.42578125" style="7" customWidth="1"/>
    <col min="9" max="9" width="15.5703125" style="5" customWidth="1"/>
    <col min="10" max="10" width="3.42578125" style="1" customWidth="1"/>
    <col min="11" max="11" width="12.85546875" style="1" customWidth="1"/>
    <col min="12" max="12" width="13.85546875" style="1" bestFit="1" customWidth="1"/>
    <col min="13" max="13" width="18.85546875" style="1" customWidth="1"/>
    <col min="14" max="14" width="13.140625" style="1" customWidth="1"/>
    <col min="15" max="15" width="10.7109375" style="1" bestFit="1" customWidth="1"/>
    <col min="16" max="16384" width="9.140625" style="1"/>
  </cols>
  <sheetData>
    <row r="1" spans="1:17" ht="26.25" customHeight="1" x14ac:dyDescent="0.2">
      <c r="A1" s="711"/>
      <c r="B1" s="712"/>
      <c r="C1" s="713"/>
      <c r="D1" s="720" t="s">
        <v>29</v>
      </c>
      <c r="E1" s="721"/>
      <c r="F1" s="721"/>
      <c r="G1" s="721"/>
      <c r="H1" s="721"/>
      <c r="I1" s="722"/>
    </row>
    <row r="2" spans="1:17" ht="15" customHeight="1" x14ac:dyDescent="0.2">
      <c r="A2" s="714"/>
      <c r="B2" s="715"/>
      <c r="C2" s="716"/>
      <c r="D2" s="723" t="s">
        <v>28</v>
      </c>
      <c r="E2" s="724"/>
      <c r="F2" s="724"/>
      <c r="G2" s="724"/>
      <c r="H2" s="724"/>
      <c r="I2" s="725"/>
    </row>
    <row r="3" spans="1:17" ht="16.5" customHeight="1" thickBot="1" x14ac:dyDescent="0.25">
      <c r="A3" s="714"/>
      <c r="B3" s="715"/>
      <c r="C3" s="716"/>
      <c r="D3" s="726" t="s">
        <v>21905</v>
      </c>
      <c r="E3" s="727"/>
      <c r="F3" s="727"/>
      <c r="G3" s="727"/>
      <c r="H3" s="727"/>
      <c r="I3" s="728"/>
      <c r="L3" s="45" t="s">
        <v>20479</v>
      </c>
    </row>
    <row r="4" spans="1:17" ht="16.5" customHeight="1" x14ac:dyDescent="0.2">
      <c r="A4" s="714"/>
      <c r="B4" s="715"/>
      <c r="C4" s="716"/>
      <c r="D4" s="726" t="s">
        <v>20592</v>
      </c>
      <c r="E4" s="729"/>
      <c r="F4" s="729"/>
      <c r="G4" s="729"/>
      <c r="H4" s="729"/>
      <c r="I4" s="249" t="s">
        <v>19</v>
      </c>
      <c r="L4" s="1">
        <f>2200*400</f>
        <v>880000</v>
      </c>
    </row>
    <row r="5" spans="1:17" ht="16.5" customHeight="1" thickBot="1" x14ac:dyDescent="0.25">
      <c r="A5" s="717"/>
      <c r="B5" s="718"/>
      <c r="C5" s="719"/>
      <c r="D5" s="731" t="s">
        <v>21978</v>
      </c>
      <c r="E5" s="732"/>
      <c r="F5" s="732"/>
      <c r="G5" s="732"/>
      <c r="H5" s="732"/>
      <c r="I5" s="248">
        <f>'BDI-ONER.'!E20/100</f>
        <v>0.2</v>
      </c>
    </row>
    <row r="6" spans="1:17" s="2" customFormat="1" ht="30" x14ac:dyDescent="0.2">
      <c r="A6" s="230" t="s">
        <v>33</v>
      </c>
      <c r="B6" s="231" t="s">
        <v>3</v>
      </c>
      <c r="C6" s="232" t="s">
        <v>0</v>
      </c>
      <c r="D6" s="233" t="s">
        <v>1</v>
      </c>
      <c r="E6" s="234" t="s">
        <v>4</v>
      </c>
      <c r="F6" s="235" t="s">
        <v>5</v>
      </c>
      <c r="G6" s="236" t="s">
        <v>6</v>
      </c>
      <c r="H6" s="237" t="s">
        <v>22</v>
      </c>
      <c r="I6" s="238" t="s">
        <v>7</v>
      </c>
    </row>
    <row r="7" spans="1:17" s="3" customFormat="1" x14ac:dyDescent="0.2">
      <c r="A7" s="239" t="s">
        <v>8</v>
      </c>
      <c r="B7" s="240"/>
      <c r="C7" s="241"/>
      <c r="D7" s="242" t="s">
        <v>35</v>
      </c>
      <c r="E7" s="243"/>
      <c r="F7" s="244"/>
      <c r="G7" s="245" t="str">
        <f>IF($B7="","",VLOOKUP($C7,'[1]BOLETIM 161'!$A$7:$F$4000,6,0))</f>
        <v/>
      </c>
      <c r="H7" s="246"/>
      <c r="I7" s="247">
        <f>SUBTOTAL(9,I8:I12)</f>
        <v>45279.93</v>
      </c>
      <c r="K7" s="615">
        <f>ROUND(I7/$I$210,4)</f>
        <v>2.81E-2</v>
      </c>
    </row>
    <row r="8" spans="1:17" x14ac:dyDescent="0.2">
      <c r="A8" s="44" t="s">
        <v>43</v>
      </c>
      <c r="B8" s="37" t="s">
        <v>97</v>
      </c>
      <c r="C8" s="46" t="s">
        <v>10</v>
      </c>
      <c r="D8" s="38" t="str">
        <f>IF($B8="","",VLOOKUP($C8,'200 ONERADO'!$A$3:$G$4201,2,0))</f>
        <v>Placa em lona com impressão digital e requadro em metalon</v>
      </c>
      <c r="E8" s="39" t="str">
        <f>IF($B8="","",VLOOKUP($C8,'200 ONERADO'!$A$3:$G$4201,3,0))</f>
        <v>m²</v>
      </c>
      <c r="F8" s="154">
        <v>6</v>
      </c>
      <c r="G8" s="41">
        <f>IF($B8="","",VLOOKUP($C8,'200 ONERADO'!$A$3:$H$4201,6,0))</f>
        <v>443.92</v>
      </c>
      <c r="H8" s="42">
        <f>ROUND(G8*(1+$I$5),2)</f>
        <v>532.70000000000005</v>
      </c>
      <c r="I8" s="43">
        <f>IF($B8="","",ROUND(F8*H8,2))</f>
        <v>3196.2</v>
      </c>
      <c r="K8" s="614">
        <f t="shared" ref="K8:K71" si="0">ROUND(I8/$I$210,4)</f>
        <v>2E-3</v>
      </c>
      <c r="M8" s="3"/>
      <c r="Q8" s="1">
        <v>1</v>
      </c>
    </row>
    <row r="9" spans="1:17" ht="25.5" x14ac:dyDescent="0.2">
      <c r="A9" s="44" t="s">
        <v>180</v>
      </c>
      <c r="B9" s="37" t="s">
        <v>97</v>
      </c>
      <c r="C9" s="46" t="s">
        <v>12708</v>
      </c>
      <c r="D9" s="38" t="str">
        <f>IF($B9="","",VLOOKUP($C9,'200 ONERADO'!$A$3:$G$4201,2,0))</f>
        <v>Locação de container tipo escritório com 1 vaso sanitário, 1 lavatório e 1 ponto para chuveiro - área mínima de 13,80 m²</v>
      </c>
      <c r="E9" s="39" t="str">
        <f>IF($B9="","",VLOOKUP($C9,'200 ONERADO'!$A$3:$G$4201,3,0))</f>
        <v>un.mês</v>
      </c>
      <c r="F9" s="154">
        <v>6</v>
      </c>
      <c r="G9" s="41">
        <f>IF($B9="","",VLOOKUP($C9,'200 ONERADO'!$A$3:$H$4201,6,0))</f>
        <v>1564.5</v>
      </c>
      <c r="H9" s="42">
        <f>ROUND(G9*(1+$I$5),2)</f>
        <v>1877.4</v>
      </c>
      <c r="I9" s="43">
        <f>IF($B9="","",ROUND(F9*H9,2))</f>
        <v>11264.4</v>
      </c>
      <c r="K9" s="614">
        <f t="shared" si="0"/>
        <v>7.0000000000000001E-3</v>
      </c>
      <c r="M9" s="211">
        <v>40000000</v>
      </c>
      <c r="N9" s="210">
        <f>4000</f>
        <v>4000</v>
      </c>
      <c r="O9" s="209">
        <f>N9/M9</f>
        <v>1E-4</v>
      </c>
      <c r="Q9" s="1">
        <v>2</v>
      </c>
    </row>
    <row r="10" spans="1:17" x14ac:dyDescent="0.2">
      <c r="A10" s="44" t="s">
        <v>20401</v>
      </c>
      <c r="B10" s="37" t="s">
        <v>97</v>
      </c>
      <c r="C10" s="46" t="s">
        <v>12781</v>
      </c>
      <c r="D10" s="38" t="str">
        <f>IF($B10="","",VLOOKUP($C10,'200 ONERADO'!$A$3:$G$4201,2,0))</f>
        <v>Locação de obra de edificação</v>
      </c>
      <c r="E10" s="39" t="str">
        <f>IF($B10="","",VLOOKUP($C10,'200 ONERADO'!$A$3:$G$4201,3,0))</f>
        <v>m²</v>
      </c>
      <c r="F10" s="154">
        <f>210.99+58.87</f>
        <v>269.86</v>
      </c>
      <c r="G10" s="41">
        <f>IF($B10="","",VLOOKUP($C10,'200 ONERADO'!$A$3:$H$4201,6,0))</f>
        <v>17.850000000000001</v>
      </c>
      <c r="H10" s="42">
        <f>ROUND(G10*(1+$I$5),2)</f>
        <v>21.42</v>
      </c>
      <c r="I10" s="43">
        <f>IF($B10="","",ROUND(F10*H10,2))</f>
        <v>5780.4</v>
      </c>
      <c r="K10" s="614">
        <f t="shared" si="0"/>
        <v>3.5999999999999999E-3</v>
      </c>
      <c r="L10" s="154">
        <f>ROUND(20.25*8.85,2)</f>
        <v>179.21</v>
      </c>
      <c r="M10" s="211">
        <f>0.025*M9</f>
        <v>1000000</v>
      </c>
      <c r="N10" s="210"/>
      <c r="Q10" s="1">
        <v>3</v>
      </c>
    </row>
    <row r="11" spans="1:17" x14ac:dyDescent="0.2">
      <c r="A11" s="44" t="s">
        <v>20579</v>
      </c>
      <c r="B11" s="37" t="s">
        <v>97</v>
      </c>
      <c r="C11" s="46" t="s">
        <v>12726</v>
      </c>
      <c r="D11" s="38" t="str">
        <f>IF($B11="","",VLOOKUP($C11,'200 ONERADO'!$A$3:$G$4201,2,0))</f>
        <v>Tapume fixo para fechamento de áreas, com portão</v>
      </c>
      <c r="E11" s="39" t="str">
        <f>IF($B11="","",VLOOKUP($C11,'200 ONERADO'!$A$3:$G$4201,3,0))</f>
        <v>m²</v>
      </c>
      <c r="F11" s="154">
        <f>2*61</f>
        <v>122</v>
      </c>
      <c r="G11" s="41">
        <f>IF($B11="","",VLOOKUP($C11,'200 ONERADO'!$A$3:$H$4201,6,0))</f>
        <v>108.01</v>
      </c>
      <c r="H11" s="42">
        <f>ROUND(G11*(1+$I$5),2)</f>
        <v>129.61000000000001</v>
      </c>
      <c r="I11" s="43">
        <f>IF($B11="","",ROUND(F11*H11,2))</f>
        <v>15812.42</v>
      </c>
      <c r="K11" s="614">
        <f t="shared" si="0"/>
        <v>9.7999999999999997E-3</v>
      </c>
      <c r="M11" s="212"/>
      <c r="Q11" s="1">
        <v>4</v>
      </c>
    </row>
    <row r="12" spans="1:17" ht="25.5" x14ac:dyDescent="0.2">
      <c r="A12" s="44" t="s">
        <v>21849</v>
      </c>
      <c r="B12" s="37" t="s">
        <v>97</v>
      </c>
      <c r="C12" s="46" t="s">
        <v>12849</v>
      </c>
      <c r="D12" s="38" t="str">
        <f>IF($B12="","",VLOOKUP($C12,'200 ONERADO'!$A$3:$G$4201,2,0))</f>
        <v>Demolição (levantamento) mecanizada de pavimento asfáltico, inclusive carregamento, transporte até 1 quilômetro e descarregamento</v>
      </c>
      <c r="E12" s="39" t="str">
        <f>IF($B12="","",VLOOKUP($C12,'200 ONERADO'!$A$3:$G$4201,3,0))</f>
        <v>m²</v>
      </c>
      <c r="F12" s="154">
        <f>F10</f>
        <v>269.86</v>
      </c>
      <c r="G12" s="41">
        <f>IF($B12="","",VLOOKUP($C12,'200 ONERADO'!$A$3:$H$4201,6,0))</f>
        <v>28.49</v>
      </c>
      <c r="H12" s="42">
        <f>ROUND(G12*(1+$I$5),2)</f>
        <v>34.19</v>
      </c>
      <c r="I12" s="43">
        <f>IF($B12="","",ROUND(F12*H12,2))</f>
        <v>9226.51</v>
      </c>
      <c r="K12" s="614">
        <f t="shared" si="0"/>
        <v>5.7000000000000002E-3</v>
      </c>
      <c r="M12" s="212"/>
    </row>
    <row r="13" spans="1:17" x14ac:dyDescent="0.2">
      <c r="A13" s="239" t="s">
        <v>20</v>
      </c>
      <c r="B13" s="240"/>
      <c r="C13" s="241"/>
      <c r="D13" s="242" t="s">
        <v>20600</v>
      </c>
      <c r="E13" s="243"/>
      <c r="F13" s="244"/>
      <c r="G13" s="245" t="str">
        <f>IF($B13="","",VLOOKUP($C13,'[1]BOLETIM 161'!$A$7:$F$4000,6,0))</f>
        <v/>
      </c>
      <c r="H13" s="246"/>
      <c r="I13" s="247">
        <f>SUBTOTAL(9,I14:I21)</f>
        <v>154616.38999999998</v>
      </c>
      <c r="K13" s="615">
        <f t="shared" si="0"/>
        <v>9.6100000000000005E-2</v>
      </c>
      <c r="M13" s="212"/>
    </row>
    <row r="14" spans="1:17" x14ac:dyDescent="0.2">
      <c r="A14" s="44" t="s">
        <v>117</v>
      </c>
      <c r="B14" s="37" t="s">
        <v>97</v>
      </c>
      <c r="C14" s="46" t="s">
        <v>13359</v>
      </c>
      <c r="D14" s="38" t="str">
        <f>IF($B14="","",VLOOKUP($C14,'200 ONERADO'!$A$3:$G$4201,2,0))</f>
        <v>Escavação manual em solo de 1ª e 2ª categoria em vala ou cava até 1,5 m</v>
      </c>
      <c r="E14" s="39" t="str">
        <f>IF($B14="","",VLOOKUP($C14,'200 ONERADO'!$A$3:$G$4201,3,0))</f>
        <v>m³</v>
      </c>
      <c r="F14" s="154">
        <f>INFRAESTRUTURA!H55+INFRAESTRUTURA!R29</f>
        <v>29.519999999999985</v>
      </c>
      <c r="G14" s="41">
        <f>IF($B14="","",VLOOKUP($C14,'200 ONERADO'!$A$3:$H$4201,6,0))</f>
        <v>68.13</v>
      </c>
      <c r="H14" s="42">
        <f>ROUND(G14*(1+$I$5),2)</f>
        <v>81.760000000000005</v>
      </c>
      <c r="I14" s="43">
        <f t="shared" ref="I14:I21" si="1">IF($B14="","",ROUND(F14*H14,2))</f>
        <v>2413.56</v>
      </c>
      <c r="K14" s="614">
        <f t="shared" si="0"/>
        <v>1.5E-3</v>
      </c>
      <c r="M14" s="212"/>
    </row>
    <row r="15" spans="1:17" ht="25.5" x14ac:dyDescent="0.2">
      <c r="A15" s="44" t="s">
        <v>44</v>
      </c>
      <c r="B15" s="37" t="s">
        <v>97</v>
      </c>
      <c r="C15" s="40" t="s">
        <v>13686</v>
      </c>
      <c r="D15" s="38" t="str">
        <f>IF($B15="","",VLOOKUP($C15,'200 ONERADO'!$A$3:$G$4201,2,0))</f>
        <v>Taxa de mobilização e desmobilização de equipamentos para execução de estaca escavada</v>
      </c>
      <c r="E15" s="39" t="str">
        <f>IF($B15="","",VLOOKUP($C15,'200 ONERADO'!$A$3:$G$4201,3,0))</f>
        <v>tx</v>
      </c>
      <c r="F15" s="154">
        <v>1</v>
      </c>
      <c r="G15" s="41">
        <f>IF($B15="","",VLOOKUP($C15,'200 ONERADO'!$A$3:$H$4201,6,0))</f>
        <v>2552.3000000000002</v>
      </c>
      <c r="H15" s="42">
        <f t="shared" ref="H15:H21" si="2">ROUND(G15*(1+$I$5),2)</f>
        <v>3062.76</v>
      </c>
      <c r="I15" s="43">
        <f t="shared" si="1"/>
        <v>3062.76</v>
      </c>
      <c r="K15" s="614">
        <f t="shared" si="0"/>
        <v>1.9E-3</v>
      </c>
      <c r="L15" s="1">
        <v>8</v>
      </c>
      <c r="M15" s="212">
        <f>71400+11730</f>
        <v>83130</v>
      </c>
      <c r="N15" s="1">
        <f>M15*0.4</f>
        <v>33252</v>
      </c>
    </row>
    <row r="16" spans="1:17" x14ac:dyDescent="0.2">
      <c r="A16" s="44" t="s">
        <v>45</v>
      </c>
      <c r="B16" s="37" t="s">
        <v>97</v>
      </c>
      <c r="C16" s="46" t="s">
        <v>13690</v>
      </c>
      <c r="D16" s="38" t="str">
        <f>IF($B16="","",VLOOKUP($C16,'200 ONERADO'!$A$3:$G$4201,2,0))</f>
        <v>Estaca escavada mecanicamente, diâmetro de 30 cm até 30 t</v>
      </c>
      <c r="E16" s="39" t="str">
        <f>IF($B16="","",VLOOKUP($C16,'200 ONERADO'!$A$3:$G$4201,3,0))</f>
        <v>m</v>
      </c>
      <c r="F16" s="625">
        <f>INFRAESTRUTURA!C142</f>
        <v>408</v>
      </c>
      <c r="G16" s="41">
        <f>IF($B16="","",VLOOKUP($C16,'200 ONERADO'!$A$3:$H$4201,6,0))</f>
        <v>83.17</v>
      </c>
      <c r="H16" s="42">
        <f t="shared" ref="H16" si="3">ROUND(G16*(1+$I$5),2)</f>
        <v>99.8</v>
      </c>
      <c r="I16" s="43">
        <f t="shared" ref="I16" si="4">IF($B16="","",ROUND(F16*H16,2))</f>
        <v>40718.400000000001</v>
      </c>
      <c r="K16" s="616">
        <f t="shared" si="0"/>
        <v>2.53E-2</v>
      </c>
      <c r="M16" s="212"/>
    </row>
    <row r="17" spans="1:14" x14ac:dyDescent="0.2">
      <c r="A17" s="44" t="s">
        <v>20046</v>
      </c>
      <c r="B17" s="37" t="s">
        <v>97</v>
      </c>
      <c r="C17" s="46" t="s">
        <v>13641</v>
      </c>
      <c r="D17" s="38" t="str">
        <f>IF($B17="","",VLOOKUP($C17,'200 ONERADO'!$A$3:$G$4201,2,0))</f>
        <v>Lastro de pedra britada</v>
      </c>
      <c r="E17" s="39" t="str">
        <f>IF($B17="","",VLOOKUP($C17,'200 ONERADO'!$A$3:$G$4201,3,0))</f>
        <v>m³</v>
      </c>
      <c r="F17" s="154">
        <f>INFRAESTRUTURA!G55+INFRAESTRUTURA!P29</f>
        <v>3.1800000000000015</v>
      </c>
      <c r="G17" s="41">
        <f>IF($B17="","",VLOOKUP($C17,'200 ONERADO'!$A$3:$H$4201,6,0))</f>
        <v>219.03</v>
      </c>
      <c r="H17" s="42">
        <f>ROUND(G17*(1+$I$5),2)</f>
        <v>262.83999999999997</v>
      </c>
      <c r="I17" s="43">
        <f t="shared" si="1"/>
        <v>835.83</v>
      </c>
      <c r="K17" s="614">
        <f t="shared" si="0"/>
        <v>5.0000000000000001E-4</v>
      </c>
      <c r="L17" s="1">
        <v>10</v>
      </c>
      <c r="M17" s="212">
        <f>11280+14400+4116+25680+4116</f>
        <v>59592</v>
      </c>
      <c r="N17" s="1">
        <f>M17*0.62</f>
        <v>36947.040000000001</v>
      </c>
    </row>
    <row r="18" spans="1:14" x14ac:dyDescent="0.2">
      <c r="A18" s="44" t="s">
        <v>20047</v>
      </c>
      <c r="B18" s="37" t="s">
        <v>97</v>
      </c>
      <c r="C18" s="46" t="s">
        <v>13506</v>
      </c>
      <c r="D18" s="38" t="str">
        <f>IF($B18="","",VLOOKUP($C18,'200 ONERADO'!$A$3:$G$4201,2,0))</f>
        <v>Forma em madeira comum para fundação</v>
      </c>
      <c r="E18" s="39" t="str">
        <f>IF($B18="","",VLOOKUP($C18,'200 ONERADO'!$A$3:$G$4201,3,0))</f>
        <v>m²</v>
      </c>
      <c r="F18" s="625">
        <f>INFRAESTRUTURA!F55+INFRAESTRUTURA!Q29</f>
        <v>202.56000000000003</v>
      </c>
      <c r="G18" s="41">
        <f>IF($B18="","",VLOOKUP($C18,'200 ONERADO'!$A$3:$H$4201,6,0))</f>
        <v>110.06</v>
      </c>
      <c r="H18" s="42">
        <f t="shared" si="2"/>
        <v>132.07</v>
      </c>
      <c r="I18" s="43">
        <f t="shared" si="1"/>
        <v>26752.1</v>
      </c>
      <c r="K18" s="614">
        <f t="shared" si="0"/>
        <v>1.66E-2</v>
      </c>
      <c r="L18" s="1">
        <f>88.2+116.16</f>
        <v>204.36</v>
      </c>
      <c r="M18" s="212"/>
    </row>
    <row r="19" spans="1:14" x14ac:dyDescent="0.2">
      <c r="A19" s="44" t="s">
        <v>20048</v>
      </c>
      <c r="B19" s="37" t="s">
        <v>97</v>
      </c>
      <c r="C19" s="46" t="s">
        <v>12353</v>
      </c>
      <c r="D19" s="38" t="str">
        <f>IF($B19="","",VLOOKUP($C19,'200 ONERADO'!$A$3:$G$4201,2,0))</f>
        <v>Concreto usinado, fck = 30 MPa</v>
      </c>
      <c r="E19" s="39" t="str">
        <f>IF($B19="","",VLOOKUP($C19,'200 ONERADO'!$A$3:$G$4201,3,0))</f>
        <v>m³</v>
      </c>
      <c r="F19" s="154">
        <f>INFRAESTRUTURA!H55+INFRAESTRUTURA!R29</f>
        <v>29.519999999999985</v>
      </c>
      <c r="G19" s="41">
        <f>IF($B19="","",VLOOKUP($C19,'200 ONERADO'!$A$3:$H$4201,6,0))</f>
        <v>544.1</v>
      </c>
      <c r="H19" s="42">
        <f t="shared" si="2"/>
        <v>652.91999999999996</v>
      </c>
      <c r="I19" s="43">
        <f t="shared" si="1"/>
        <v>19274.2</v>
      </c>
      <c r="K19" s="614">
        <f t="shared" si="0"/>
        <v>1.2E-2</v>
      </c>
      <c r="L19" s="1">
        <v>12.5</v>
      </c>
      <c r="M19" s="212">
        <f>28350+4900+64200+10290</f>
        <v>107740</v>
      </c>
    </row>
    <row r="20" spans="1:14" x14ac:dyDescent="0.2">
      <c r="A20" s="44" t="s">
        <v>20049</v>
      </c>
      <c r="B20" s="37" t="s">
        <v>97</v>
      </c>
      <c r="C20" s="46" t="s">
        <v>13629</v>
      </c>
      <c r="D20" s="38" t="str">
        <f>IF($B20="","",VLOOKUP($C20,'200 ONERADO'!$A$3:$G$4201,2,0))</f>
        <v>Lançamento e adensamento de concreto ou massa em fundação</v>
      </c>
      <c r="E20" s="39" t="str">
        <f>IF($B20="","",VLOOKUP($C20,'200 ONERADO'!$A$3:$G$4201,3,0))</f>
        <v>m³</v>
      </c>
      <c r="F20" s="154">
        <f>F19</f>
        <v>29.519999999999985</v>
      </c>
      <c r="G20" s="41">
        <f>IF($B20="","",VLOOKUP($C20,'200 ONERADO'!$A$3:$H$4201,6,0))</f>
        <v>191.54</v>
      </c>
      <c r="H20" s="42">
        <f t="shared" si="2"/>
        <v>229.85</v>
      </c>
      <c r="I20" s="43">
        <f t="shared" si="1"/>
        <v>6785.17</v>
      </c>
      <c r="K20" s="614">
        <f t="shared" si="0"/>
        <v>4.1999999999999997E-3</v>
      </c>
      <c r="M20" s="3"/>
    </row>
    <row r="21" spans="1:14" x14ac:dyDescent="0.2">
      <c r="A21" s="44" t="s">
        <v>20050</v>
      </c>
      <c r="B21" s="37" t="s">
        <v>97</v>
      </c>
      <c r="C21" s="46" t="s">
        <v>13558</v>
      </c>
      <c r="D21" s="38" t="str">
        <f>IF($B21="","",VLOOKUP($C21,'200 ONERADO'!$A$3:$G$4201,2,0))</f>
        <v>Armadura em barra de aço CA-50 (A ou B) fyk = 500 MPa</v>
      </c>
      <c r="E21" s="39" t="str">
        <f>IF($B21="","",VLOOKUP($C21,'200 ONERADO'!$A$3:$G$4201,3,0))</f>
        <v>kg</v>
      </c>
      <c r="F21" s="625">
        <f>INFRAESTRUTURA!J55+INFRAESTRUTURA!T29+INFRAESTRUTURA!F142</f>
        <v>4500.7700000000023</v>
      </c>
      <c r="G21" s="41">
        <f>IF($B21="","",VLOOKUP($C21,'200 ONERADO'!$A$3:$H$4201,6,0))</f>
        <v>10.14</v>
      </c>
      <c r="H21" s="42">
        <f t="shared" si="2"/>
        <v>12.17</v>
      </c>
      <c r="I21" s="43">
        <f t="shared" si="1"/>
        <v>54774.37</v>
      </c>
      <c r="K21" s="616">
        <f t="shared" si="0"/>
        <v>3.4000000000000002E-2</v>
      </c>
      <c r="M21" s="3"/>
    </row>
    <row r="22" spans="1:14" x14ac:dyDescent="0.2">
      <c r="A22" s="239" t="s">
        <v>21</v>
      </c>
      <c r="B22" s="240"/>
      <c r="C22" s="241"/>
      <c r="D22" s="242" t="s">
        <v>21850</v>
      </c>
      <c r="E22" s="243"/>
      <c r="F22" s="244"/>
      <c r="G22" s="245" t="str">
        <f>IF($B22="","",VLOOKUP($C22,'[1]BOLETIM 161'!$A$7:$F$4000,6,0))</f>
        <v/>
      </c>
      <c r="H22" s="246"/>
      <c r="I22" s="247">
        <f>SUBTOTAL(9,I23:I27)</f>
        <v>29668.43</v>
      </c>
      <c r="K22" s="615">
        <f t="shared" si="0"/>
        <v>1.84E-2</v>
      </c>
      <c r="M22" s="3"/>
    </row>
    <row r="23" spans="1:14" x14ac:dyDescent="0.2">
      <c r="A23" s="44" t="s">
        <v>46</v>
      </c>
      <c r="B23" s="37" t="s">
        <v>97</v>
      </c>
      <c r="C23" s="46" t="s">
        <v>13641</v>
      </c>
      <c r="D23" s="38" t="str">
        <f>IF($B23="","",VLOOKUP($C23,'200 ONERADO'!$A$3:$G$4201,2,0))</f>
        <v>Lastro de pedra britada</v>
      </c>
      <c r="E23" s="39" t="str">
        <f>IF($B23="","",VLOOKUP($C23,'200 ONERADO'!$A$3:$G$4201,3,0))</f>
        <v>m³</v>
      </c>
      <c r="F23" s="154">
        <f>INFRAESTRUTURA!X32</f>
        <v>9.6300000000000008</v>
      </c>
      <c r="G23" s="41">
        <f>IF($B23="","",VLOOKUP($C23,'200 ONERADO'!$A$3:$H$4201,6,0))</f>
        <v>219.03</v>
      </c>
      <c r="H23" s="42">
        <f>ROUND(G23*(1+$I$5),2)</f>
        <v>262.83999999999997</v>
      </c>
      <c r="I23" s="43">
        <f t="shared" ref="I23:I24" si="5">IF($B23="","",ROUND(F23*H23,2))</f>
        <v>2531.15</v>
      </c>
      <c r="K23" s="614">
        <f t="shared" si="0"/>
        <v>1.6000000000000001E-3</v>
      </c>
      <c r="M23" s="3"/>
    </row>
    <row r="24" spans="1:14" x14ac:dyDescent="0.2">
      <c r="A24" s="44" t="s">
        <v>47</v>
      </c>
      <c r="B24" s="37" t="s">
        <v>97</v>
      </c>
      <c r="C24" s="46" t="s">
        <v>12353</v>
      </c>
      <c r="D24" s="38" t="str">
        <f>IF($B24="","",VLOOKUP($C24,'200 ONERADO'!$A$3:$G$4201,2,0))</f>
        <v>Concreto usinado, fck = 30 MPa</v>
      </c>
      <c r="E24" s="39" t="str">
        <f>IF($B24="","",VLOOKUP($C24,'200 ONERADO'!$A$3:$G$4201,3,0))</f>
        <v>m³</v>
      </c>
      <c r="F24" s="154">
        <f>INFRAESTRUTURA!Z32</f>
        <v>19.27</v>
      </c>
      <c r="G24" s="41">
        <f>IF($B24="","",VLOOKUP($C24,'200 ONERADO'!$A$3:$H$4201,6,0))</f>
        <v>544.1</v>
      </c>
      <c r="H24" s="42">
        <f>ROUND(G24*(1+$I$5),2)</f>
        <v>652.91999999999996</v>
      </c>
      <c r="I24" s="43">
        <f t="shared" si="5"/>
        <v>12581.77</v>
      </c>
      <c r="K24" s="616">
        <f t="shared" si="0"/>
        <v>7.7999999999999996E-3</v>
      </c>
      <c r="M24" s="3"/>
    </row>
    <row r="25" spans="1:14" x14ac:dyDescent="0.2">
      <c r="A25" s="44" t="s">
        <v>48</v>
      </c>
      <c r="B25" s="37" t="s">
        <v>97</v>
      </c>
      <c r="C25" s="46" t="s">
        <v>13629</v>
      </c>
      <c r="D25" s="38" t="str">
        <f>IF($B25="","",VLOOKUP($C25,'200 ONERADO'!$A$3:$G$4201,2,0))</f>
        <v>Lançamento e adensamento de concreto ou massa em fundação</v>
      </c>
      <c r="E25" s="39" t="str">
        <f>IF($B25="","",VLOOKUP($C25,'200 ONERADO'!$A$3:$G$4201,3,0))</f>
        <v>m³</v>
      </c>
      <c r="F25" s="154">
        <f>F24</f>
        <v>19.27</v>
      </c>
      <c r="G25" s="41">
        <f>IF($B25="","",VLOOKUP($C25,'200 ONERADO'!$A$3:$H$4201,6,0))</f>
        <v>191.54</v>
      </c>
      <c r="H25" s="42">
        <f>ROUND(G25*(1+$I$5),2)</f>
        <v>229.85</v>
      </c>
      <c r="I25" s="43">
        <f t="shared" ref="I25:I27" si="6">IF($B25="","",ROUND(F25*H25,2))</f>
        <v>4429.21</v>
      </c>
      <c r="K25" s="614">
        <f t="shared" si="0"/>
        <v>2.8E-3</v>
      </c>
      <c r="M25" s="3"/>
    </row>
    <row r="26" spans="1:14" x14ac:dyDescent="0.2">
      <c r="A26" s="44" t="s">
        <v>12347</v>
      </c>
      <c r="B26" s="37" t="s">
        <v>97</v>
      </c>
      <c r="C26" s="46" t="s">
        <v>13564</v>
      </c>
      <c r="D26" s="38" t="str">
        <f>IF($B26="","",VLOOKUP($C26,'200 ONERADO'!$A$3:$G$4201,2,0))</f>
        <v>Armadura em tela soldada de aço</v>
      </c>
      <c r="E26" s="39" t="str">
        <f>IF($B26="","",VLOOKUP($C26,'200 ONERADO'!$A$3:$G$4201,3,0))</f>
        <v>kg</v>
      </c>
      <c r="F26" s="154">
        <f>INFRAESTRUTURA!AC32</f>
        <v>484.91999999999996</v>
      </c>
      <c r="G26" s="41">
        <f>IF($B26="","",VLOOKUP($C26,'200 ONERADO'!$A$3:$H$4201,6,0))</f>
        <v>9.85</v>
      </c>
      <c r="H26" s="42">
        <f t="shared" ref="H26" si="7">ROUND(G26*(1+$I$5),2)</f>
        <v>11.82</v>
      </c>
      <c r="I26" s="43">
        <f t="shared" si="6"/>
        <v>5731.75</v>
      </c>
      <c r="K26" s="614">
        <f t="shared" si="0"/>
        <v>3.5999999999999999E-3</v>
      </c>
      <c r="M26" s="3"/>
    </row>
    <row r="27" spans="1:14" x14ac:dyDescent="0.2">
      <c r="A27" s="44" t="s">
        <v>21855</v>
      </c>
      <c r="B27" s="37" t="s">
        <v>97</v>
      </c>
      <c r="C27" s="46" t="s">
        <v>14171</v>
      </c>
      <c r="D27" s="38" t="str">
        <f>IF($B27="","",VLOOKUP($C27,'200 ONERADO'!$A$3:$G$4201,2,0))</f>
        <v>Argamassa de regularização e/ou proteção</v>
      </c>
      <c r="E27" s="39" t="str">
        <f>IF($B27="","",VLOOKUP($C27,'200 ONERADO'!$A$3:$G$4201,3,0))</f>
        <v>m³</v>
      </c>
      <c r="F27" s="154">
        <f>INFRAESTRUTURA!AH28</f>
        <v>4.3400000000000007</v>
      </c>
      <c r="G27" s="41">
        <f>IF($B27="","",VLOOKUP($C27,'200 ONERADO'!$A$3:$H$4201,6,0))</f>
        <v>843.81</v>
      </c>
      <c r="H27" s="42">
        <f t="shared" ref="H27" si="8">ROUND(G27*(1+$I$5),2)</f>
        <v>1012.57</v>
      </c>
      <c r="I27" s="43">
        <f t="shared" si="6"/>
        <v>4394.55</v>
      </c>
      <c r="K27" s="614">
        <f t="shared" si="0"/>
        <v>2.7000000000000001E-3</v>
      </c>
      <c r="M27" s="3"/>
    </row>
    <row r="28" spans="1:14" x14ac:dyDescent="0.2">
      <c r="A28" s="239" t="s">
        <v>109</v>
      </c>
      <c r="B28" s="240"/>
      <c r="C28" s="241"/>
      <c r="D28" s="242" t="s">
        <v>20448</v>
      </c>
      <c r="E28" s="243"/>
      <c r="F28" s="244"/>
      <c r="G28" s="245" t="str">
        <f>IF($B28="","",VLOOKUP($C28,'[1]BOLETIM 161'!$A$7:$F$4000,6,0))</f>
        <v/>
      </c>
      <c r="H28" s="246"/>
      <c r="I28" s="247">
        <f>SUBTOTAL(9,I29:I32)</f>
        <v>165753.1</v>
      </c>
      <c r="K28" s="615">
        <f t="shared" si="0"/>
        <v>0.10299999999999999</v>
      </c>
      <c r="N28" s="1">
        <f>60*1070</f>
        <v>64200</v>
      </c>
    </row>
    <row r="29" spans="1:14" x14ac:dyDescent="0.2">
      <c r="A29" s="44" t="s">
        <v>110</v>
      </c>
      <c r="B29" s="37" t="s">
        <v>97</v>
      </c>
      <c r="C29" s="46" t="s">
        <v>13882</v>
      </c>
      <c r="D29" s="38" t="str">
        <f>IF($B29="","",VLOOKUP($C29,'200 ONERADO'!$A$3:$G$4201,2,0))</f>
        <v>Alvenaria de bloco de concreto estrutural 14 cm - classe B</v>
      </c>
      <c r="E29" s="39" t="str">
        <f>IF($B29="","",VLOOKUP($C29,'200 ONERADO'!$A$3:$G$4201,3,0))</f>
        <v>m²</v>
      </c>
      <c r="F29" s="625">
        <f>PAGINAÇÃO!E73</f>
        <v>424.01</v>
      </c>
      <c r="G29" s="41">
        <f>IF($B29="","",VLOOKUP($C29,'200 ONERADO'!$A$3:$H$4201,6,0))</f>
        <v>119.14</v>
      </c>
      <c r="H29" s="42">
        <f>ROUND(G29*(1+$I$5),2)</f>
        <v>142.97</v>
      </c>
      <c r="I29" s="43">
        <f t="shared" ref="I29:I49" si="9">IF($B29="","",ROUND(F29*H29,2))</f>
        <v>60620.71</v>
      </c>
      <c r="K29" s="616">
        <f t="shared" si="0"/>
        <v>3.7699999999999997E-2</v>
      </c>
    </row>
    <row r="30" spans="1:14" x14ac:dyDescent="0.2">
      <c r="A30" s="44" t="s">
        <v>111</v>
      </c>
      <c r="B30" s="37" t="s">
        <v>97</v>
      </c>
      <c r="C30" s="46" t="s">
        <v>13883</v>
      </c>
      <c r="D30" s="38" t="str">
        <f>IF($B30="","",VLOOKUP($C30,'200 ONERADO'!$A$3:$G$4201,2,0))</f>
        <v>Alvenaria de bloco de concreto estrutural 19 cm - classe B</v>
      </c>
      <c r="E30" s="39" t="str">
        <f>IF($B30="","",VLOOKUP($C30,'200 ONERADO'!$A$3:$G$4201,3,0))</f>
        <v>m²</v>
      </c>
      <c r="F30" s="625">
        <f>PAGINAÇÃO!E11</f>
        <v>246.48000000000002</v>
      </c>
      <c r="G30" s="41">
        <f>IF($B30="","",VLOOKUP($C30,'200 ONERADO'!$A$3:$H$4201,6,0))</f>
        <v>132.47999999999999</v>
      </c>
      <c r="H30" s="42">
        <f>ROUND(G30*(1+$I$5),2)</f>
        <v>158.97999999999999</v>
      </c>
      <c r="I30" s="43">
        <f t="shared" si="9"/>
        <v>39185.39</v>
      </c>
      <c r="K30" s="616">
        <f t="shared" si="0"/>
        <v>2.4299999999999999E-2</v>
      </c>
      <c r="L30" s="1">
        <v>1139.3499999999999</v>
      </c>
      <c r="M30" s="172">
        <f>L30/1.195</f>
        <v>953.4309623430961</v>
      </c>
    </row>
    <row r="31" spans="1:14" x14ac:dyDescent="0.2">
      <c r="A31" s="44" t="s">
        <v>112</v>
      </c>
      <c r="B31" s="37" t="s">
        <v>97</v>
      </c>
      <c r="C31" s="46" t="s">
        <v>13617</v>
      </c>
      <c r="D31" s="38" t="str">
        <f>IF($B31="","",VLOOKUP($C31,'200 ONERADO'!$A$3:$G$4201,2,0))</f>
        <v>Argamassa graute</v>
      </c>
      <c r="E31" s="39" t="str">
        <f>IF($B31="","",VLOOKUP($C31,'200 ONERADO'!$A$3:$G$4201,3,0))</f>
        <v>m³</v>
      </c>
      <c r="F31" s="154">
        <f>PAGINAÇÃO!K50+PAGINAÇÃO!K150</f>
        <v>48.180000000000007</v>
      </c>
      <c r="G31" s="41">
        <f>IF($B31="","",VLOOKUP($C31,'200 ONERADO'!$A$3:$H$4201,6,0))</f>
        <v>450.56</v>
      </c>
      <c r="H31" s="42">
        <f t="shared" ref="H31:H32" si="10">ROUND(G31*(1+$I$5),2)</f>
        <v>540.66999999999996</v>
      </c>
      <c r="I31" s="43">
        <f t="shared" ref="I31:I32" si="11">IF($B31="","",ROUND(F31*H31,2))</f>
        <v>26049.48</v>
      </c>
      <c r="K31" s="614">
        <f t="shared" si="0"/>
        <v>1.6199999999999999E-2</v>
      </c>
      <c r="M31" s="172"/>
    </row>
    <row r="32" spans="1:14" x14ac:dyDescent="0.2">
      <c r="A32" s="44" t="s">
        <v>20053</v>
      </c>
      <c r="B32" s="37" t="s">
        <v>97</v>
      </c>
      <c r="C32" s="46" t="s">
        <v>13558</v>
      </c>
      <c r="D32" s="38" t="str">
        <f>IF($B32="","",VLOOKUP($C32,'200 ONERADO'!$A$3:$G$4201,2,0))</f>
        <v>Armadura em barra de aço CA-50 (A ou B) fyk = 500 MPa</v>
      </c>
      <c r="E32" s="39" t="str">
        <f>IF($B32="","",VLOOKUP($C32,'200 ONERADO'!$A$3:$G$4201,3,0))</f>
        <v>kg</v>
      </c>
      <c r="F32" s="625">
        <f>'ARMADURAS PAREDES'!I188</f>
        <v>3278.3499999999995</v>
      </c>
      <c r="G32" s="41">
        <f>IF($B32="","",VLOOKUP($C32,'200 ONERADO'!$A$3:$H$4201,6,0))</f>
        <v>10.14</v>
      </c>
      <c r="H32" s="42">
        <f t="shared" si="10"/>
        <v>12.17</v>
      </c>
      <c r="I32" s="43">
        <f t="shared" si="11"/>
        <v>39897.519999999997</v>
      </c>
      <c r="K32" s="616">
        <f t="shared" si="0"/>
        <v>2.4799999999999999E-2</v>
      </c>
      <c r="M32" s="172"/>
    </row>
    <row r="33" spans="1:13" x14ac:dyDescent="0.2">
      <c r="A33" s="239" t="s">
        <v>12348</v>
      </c>
      <c r="B33" s="240"/>
      <c r="C33" s="241"/>
      <c r="D33" s="242" t="s">
        <v>21856</v>
      </c>
      <c r="E33" s="243"/>
      <c r="F33" s="576"/>
      <c r="G33" s="245" t="str">
        <f>IF($B33="","",VLOOKUP($C33,'[1]BOLETIM 161'!$A$7:$F$4000,6,0))</f>
        <v/>
      </c>
      <c r="H33" s="246"/>
      <c r="I33" s="247">
        <f>SUBTOTAL(9,I35:I43)</f>
        <v>82093.650000000023</v>
      </c>
      <c r="K33" s="615">
        <f t="shared" si="0"/>
        <v>5.0999999999999997E-2</v>
      </c>
      <c r="M33" s="172"/>
    </row>
    <row r="34" spans="1:13" x14ac:dyDescent="0.2">
      <c r="A34" s="379" t="s">
        <v>12349</v>
      </c>
      <c r="B34" s="380"/>
      <c r="C34" s="381"/>
      <c r="D34" s="382" t="s">
        <v>21716</v>
      </c>
      <c r="E34" s="383"/>
      <c r="F34" s="384"/>
      <c r="G34" s="385"/>
      <c r="H34" s="386"/>
      <c r="I34" s="387">
        <f>SUBTOTAL(9,I35:I38)</f>
        <v>60346.590000000011</v>
      </c>
      <c r="K34" s="618">
        <f t="shared" si="0"/>
        <v>3.7499999999999999E-2</v>
      </c>
      <c r="M34" s="172"/>
    </row>
    <row r="35" spans="1:13" x14ac:dyDescent="0.2">
      <c r="A35" s="44" t="s">
        <v>21717</v>
      </c>
      <c r="B35" s="37" t="s">
        <v>97</v>
      </c>
      <c r="C35" s="46" t="s">
        <v>13508</v>
      </c>
      <c r="D35" s="38" t="str">
        <f>IF($B35="","",VLOOKUP($C35,'200 ONERADO'!$A$3:$G$4201,2,0))</f>
        <v>Forma em madeira comum para estrutura</v>
      </c>
      <c r="E35" s="39" t="str">
        <f>IF($B35="","",VLOOKUP($C35,'200 ONERADO'!$A$3:$G$4201,3,0))</f>
        <v>m²</v>
      </c>
      <c r="F35" s="625">
        <f>CIMBRAMENTO!F28</f>
        <v>139.91999999999999</v>
      </c>
      <c r="G35" s="41">
        <f>IF($B35="","",VLOOKUP($C35,'200 ONERADO'!$A$3:$H$4201,6,0))</f>
        <v>252.88</v>
      </c>
      <c r="H35" s="42">
        <f>ROUND(G35*(1+$I$5),2)</f>
        <v>303.45999999999998</v>
      </c>
      <c r="I35" s="43">
        <f t="shared" ref="I35" si="12">IF($B35="","",ROUND(F35*H35,2))</f>
        <v>42460.12</v>
      </c>
      <c r="K35" s="614">
        <f t="shared" si="0"/>
        <v>2.64E-2</v>
      </c>
      <c r="M35" s="172"/>
    </row>
    <row r="36" spans="1:13" x14ac:dyDescent="0.2">
      <c r="A36" s="44" t="s">
        <v>21718</v>
      </c>
      <c r="B36" s="37" t="s">
        <v>97</v>
      </c>
      <c r="C36" s="46" t="s">
        <v>12353</v>
      </c>
      <c r="D36" s="38" t="str">
        <f>IF($B36="","",VLOOKUP($C36,'200 ONERADO'!$A$3:$G$4201,2,0))</f>
        <v>Concreto usinado, fck = 30 MPa</v>
      </c>
      <c r="E36" s="39" t="str">
        <f>IF($B36="","",VLOOKUP($C36,'200 ONERADO'!$A$3:$G$4201,3,0))</f>
        <v>m³</v>
      </c>
      <c r="F36" s="154">
        <f>CIMBRAMENTO!G28</f>
        <v>11.16</v>
      </c>
      <c r="G36" s="41">
        <f>IF($B36="","",VLOOKUP($C36,'200 ONERADO'!$A$3:$H$4201,6,0))</f>
        <v>544.1</v>
      </c>
      <c r="H36" s="42">
        <f t="shared" ref="H36:H38" si="13">ROUND(G36*(1+$I$5),2)</f>
        <v>652.91999999999996</v>
      </c>
      <c r="I36" s="43">
        <f t="shared" ref="I36:I38" si="14">IF($B36="","",ROUND(F36*H36,2))</f>
        <v>7286.59</v>
      </c>
      <c r="K36" s="614">
        <f t="shared" si="0"/>
        <v>4.4999999999999997E-3</v>
      </c>
      <c r="M36" s="172"/>
    </row>
    <row r="37" spans="1:13" x14ac:dyDescent="0.2">
      <c r="A37" s="44" t="s">
        <v>21719</v>
      </c>
      <c r="B37" s="37" t="s">
        <v>97</v>
      </c>
      <c r="C37" s="46" t="s">
        <v>13631</v>
      </c>
      <c r="D37" s="38" t="str">
        <f>IF($B37="","",VLOOKUP($C37,'200 ONERADO'!$A$3:$G$4201,2,0))</f>
        <v>Lançamento e adensamento de concreto ou massa em estrutura</v>
      </c>
      <c r="E37" s="39" t="str">
        <f>IF($B37="","",VLOOKUP($C37,'200 ONERADO'!$A$3:$G$4201,3,0))</f>
        <v>m³</v>
      </c>
      <c r="F37" s="154">
        <f>F36</f>
        <v>11.16</v>
      </c>
      <c r="G37" s="41">
        <f>IF($B37="","",VLOOKUP($C37,'200 ONERADO'!$A$3:$H$4201,6,0))</f>
        <v>132.30000000000001</v>
      </c>
      <c r="H37" s="42">
        <f t="shared" si="13"/>
        <v>158.76</v>
      </c>
      <c r="I37" s="43">
        <f t="shared" si="14"/>
        <v>1771.76</v>
      </c>
      <c r="K37" s="614">
        <f t="shared" si="0"/>
        <v>1.1000000000000001E-3</v>
      </c>
      <c r="M37" s="172"/>
    </row>
    <row r="38" spans="1:13" x14ac:dyDescent="0.2">
      <c r="A38" s="44" t="s">
        <v>21720</v>
      </c>
      <c r="B38" s="37" t="s">
        <v>97</v>
      </c>
      <c r="C38" s="46" t="s">
        <v>13558</v>
      </c>
      <c r="D38" s="38" t="str">
        <f>IF($B38="","",VLOOKUP($C38,'200 ONERADO'!$A$3:$G$4201,2,0))</f>
        <v>Armadura em barra de aço CA-50 (A ou B) fyk = 500 MPa</v>
      </c>
      <c r="E38" s="39" t="str">
        <f>IF($B38="","",VLOOKUP($C38,'200 ONERADO'!$A$3:$G$4201,3,0))</f>
        <v>kg</v>
      </c>
      <c r="F38" s="625">
        <f>CIMBRAMENTO!I28</f>
        <v>725.4</v>
      </c>
      <c r="G38" s="41">
        <f>IF($B38="","",VLOOKUP($C38,'200 ONERADO'!$A$3:$H$4201,6,0))</f>
        <v>10.14</v>
      </c>
      <c r="H38" s="42">
        <f t="shared" si="13"/>
        <v>12.17</v>
      </c>
      <c r="I38" s="43">
        <f t="shared" si="14"/>
        <v>8828.1200000000008</v>
      </c>
      <c r="K38" s="614">
        <f t="shared" si="0"/>
        <v>5.4999999999999997E-3</v>
      </c>
      <c r="M38" s="172"/>
    </row>
    <row r="39" spans="1:13" x14ac:dyDescent="0.2">
      <c r="A39" s="379" t="s">
        <v>12350</v>
      </c>
      <c r="B39" s="380"/>
      <c r="C39" s="381"/>
      <c r="D39" s="382" t="s">
        <v>21721</v>
      </c>
      <c r="E39" s="383"/>
      <c r="F39" s="384"/>
      <c r="G39" s="385"/>
      <c r="H39" s="386"/>
      <c r="I39" s="387">
        <f>SUBTOTAL(9,I40:I43)</f>
        <v>21747.059999999998</v>
      </c>
      <c r="K39" s="618">
        <f t="shared" si="0"/>
        <v>1.35E-2</v>
      </c>
      <c r="M39" s="172"/>
    </row>
    <row r="40" spans="1:13" x14ac:dyDescent="0.2">
      <c r="A40" s="44" t="s">
        <v>21722</v>
      </c>
      <c r="B40" s="37" t="s">
        <v>97</v>
      </c>
      <c r="C40" s="46" t="s">
        <v>13508</v>
      </c>
      <c r="D40" s="38" t="str">
        <f>IF($B40="","",VLOOKUP($C40,'200 ONERADO'!$A$3:$G$4201,2,0))</f>
        <v>Forma em madeira comum para estrutura</v>
      </c>
      <c r="E40" s="39" t="str">
        <f>IF($B40="","",VLOOKUP($C40,'200 ONERADO'!$A$3:$G$4201,3,0))</f>
        <v>m²</v>
      </c>
      <c r="F40" s="625">
        <f>CIMBRAMENTO!F45</f>
        <v>47.670000000000009</v>
      </c>
      <c r="G40" s="41">
        <f>IF($B40="","",VLOOKUP($C40,'200 ONERADO'!$A$3:$H$4201,6,0))</f>
        <v>252.88</v>
      </c>
      <c r="H40" s="42">
        <f>ROUND(G40*(1+$I$5),2)</f>
        <v>303.45999999999998</v>
      </c>
      <c r="I40" s="43">
        <f t="shared" ref="I40:I43" si="15">IF($B40="","",ROUND(F40*H40,2))</f>
        <v>14465.94</v>
      </c>
      <c r="K40" s="614">
        <f t="shared" si="0"/>
        <v>8.9999999999999993E-3</v>
      </c>
      <c r="M40" s="172"/>
    </row>
    <row r="41" spans="1:13" x14ac:dyDescent="0.2">
      <c r="A41" s="44" t="s">
        <v>21723</v>
      </c>
      <c r="B41" s="37" t="s">
        <v>97</v>
      </c>
      <c r="C41" s="46" t="s">
        <v>12353</v>
      </c>
      <c r="D41" s="38" t="str">
        <f>IF($B41="","",VLOOKUP($C41,'200 ONERADO'!$A$3:$G$4201,2,0))</f>
        <v>Concreto usinado, fck = 30 MPa</v>
      </c>
      <c r="E41" s="39" t="str">
        <f>IF($B41="","",VLOOKUP($C41,'200 ONERADO'!$A$3:$G$4201,3,0))</f>
        <v>m³</v>
      </c>
      <c r="F41" s="154">
        <f>CIMBRAMENTO!G45</f>
        <v>4.3499999999999996</v>
      </c>
      <c r="G41" s="41">
        <f>IF($B41="","",VLOOKUP($C41,'200 ONERADO'!$A$3:$H$4201,6,0))</f>
        <v>544.1</v>
      </c>
      <c r="H41" s="42">
        <f t="shared" ref="H41:H43" si="16">ROUND(G41*(1+$I$5),2)</f>
        <v>652.91999999999996</v>
      </c>
      <c r="I41" s="43">
        <f t="shared" si="15"/>
        <v>2840.2</v>
      </c>
      <c r="K41" s="614">
        <f t="shared" si="0"/>
        <v>1.8E-3</v>
      </c>
      <c r="M41" s="172"/>
    </row>
    <row r="42" spans="1:13" x14ac:dyDescent="0.2">
      <c r="A42" s="44" t="s">
        <v>21724</v>
      </c>
      <c r="B42" s="37" t="s">
        <v>97</v>
      </c>
      <c r="C42" s="46" t="s">
        <v>13629</v>
      </c>
      <c r="D42" s="38" t="str">
        <f>IF($B42="","",VLOOKUP($C42,'200 ONERADO'!$A$3:$G$4201,2,0))</f>
        <v>Lançamento e adensamento de concreto ou massa em fundação</v>
      </c>
      <c r="E42" s="39" t="str">
        <f>IF($B42="","",VLOOKUP($C42,'200 ONERADO'!$A$3:$G$4201,3,0))</f>
        <v>m³</v>
      </c>
      <c r="F42" s="154">
        <f>F41</f>
        <v>4.3499999999999996</v>
      </c>
      <c r="G42" s="41">
        <f>IF($B42="","",VLOOKUP($C42,'200 ONERADO'!$A$3:$H$4201,6,0))</f>
        <v>191.54</v>
      </c>
      <c r="H42" s="42">
        <f t="shared" si="16"/>
        <v>229.85</v>
      </c>
      <c r="I42" s="43">
        <f t="shared" si="15"/>
        <v>999.85</v>
      </c>
      <c r="K42" s="614">
        <f t="shared" si="0"/>
        <v>5.9999999999999995E-4</v>
      </c>
      <c r="M42" s="172"/>
    </row>
    <row r="43" spans="1:13" x14ac:dyDescent="0.2">
      <c r="A43" s="44" t="s">
        <v>21725</v>
      </c>
      <c r="B43" s="37" t="s">
        <v>97</v>
      </c>
      <c r="C43" s="46" t="s">
        <v>13558</v>
      </c>
      <c r="D43" s="38" t="str">
        <f>IF($B43="","",VLOOKUP($C43,'200 ONERADO'!$A$3:$G$4201,2,0))</f>
        <v>Armadura em barra de aço CA-50 (A ou B) fyk = 500 MPa</v>
      </c>
      <c r="E43" s="39" t="str">
        <f>IF($B43="","",VLOOKUP($C43,'200 ONERADO'!$A$3:$G$4201,3,0))</f>
        <v>kg</v>
      </c>
      <c r="F43" s="625">
        <f>CIMBRAMENTO!I45</f>
        <v>282.75</v>
      </c>
      <c r="G43" s="41">
        <f>IF($B43="","",VLOOKUP($C43,'200 ONERADO'!$A$3:$H$4201,6,0))</f>
        <v>10.14</v>
      </c>
      <c r="H43" s="42">
        <f t="shared" si="16"/>
        <v>12.17</v>
      </c>
      <c r="I43" s="43">
        <f t="shared" si="15"/>
        <v>3441.07</v>
      </c>
      <c r="K43" s="614">
        <f t="shared" si="0"/>
        <v>2.0999999999999999E-3</v>
      </c>
      <c r="M43" s="172"/>
    </row>
    <row r="44" spans="1:13" x14ac:dyDescent="0.2">
      <c r="A44" s="239" t="s">
        <v>12359</v>
      </c>
      <c r="B44" s="240"/>
      <c r="C44" s="241"/>
      <c r="D44" s="242" t="s">
        <v>21259</v>
      </c>
      <c r="E44" s="243"/>
      <c r="F44" s="244"/>
      <c r="G44" s="245" t="str">
        <f>IF($B44="","",VLOOKUP($C44,'[1]BOLETIM 161'!$A$7:$F$4000,6,0))</f>
        <v/>
      </c>
      <c r="H44" s="246"/>
      <c r="I44" s="247">
        <f>SUBTOTAL(9,I45:I49)</f>
        <v>66915.959999999992</v>
      </c>
      <c r="K44" s="615">
        <f t="shared" si="0"/>
        <v>4.1599999999999998E-2</v>
      </c>
    </row>
    <row r="45" spans="1:13" ht="25.5" x14ac:dyDescent="0.2">
      <c r="A45" s="44" t="s">
        <v>12360</v>
      </c>
      <c r="B45" s="37" t="s">
        <v>97</v>
      </c>
      <c r="C45" s="46" t="s">
        <v>13800</v>
      </c>
      <c r="D45" s="38" t="str">
        <f>IF($B45="","",VLOOKUP($C45,'200 ONERADO'!$A$3:$G$4201,2,0))</f>
        <v>Laje pré-fabricada unidirecional em viga treliçada/lajota em EPS LT 12 (8 + 4), com capa de concreto de 25 MPa</v>
      </c>
      <c r="E45" s="39" t="str">
        <f>IF($B45="","",VLOOKUP($C45,'200 ONERADO'!$A$3:$G$4201,3,0))</f>
        <v>m²</v>
      </c>
      <c r="F45" s="154">
        <f>LAJES!D40+LAJES!D41</f>
        <v>41.08</v>
      </c>
      <c r="G45" s="41">
        <f>IF($B45="","",VLOOKUP($C45,'200 ONERADO'!$A$3:$H$4201,6,0))</f>
        <v>180.63</v>
      </c>
      <c r="H45" s="42">
        <f>ROUND(G45*(1+$I$5),2)</f>
        <v>216.76</v>
      </c>
      <c r="I45" s="43">
        <f t="shared" ref="I45:I46" si="17">IF($B45="","",ROUND(F45*H45,2))</f>
        <v>8904.5</v>
      </c>
      <c r="K45" s="614">
        <f t="shared" si="0"/>
        <v>5.4999999999999997E-3</v>
      </c>
    </row>
    <row r="46" spans="1:13" ht="25.5" x14ac:dyDescent="0.2">
      <c r="A46" s="44" t="s">
        <v>12361</v>
      </c>
      <c r="B46" s="37" t="s">
        <v>97</v>
      </c>
      <c r="C46" s="46" t="s">
        <v>13802</v>
      </c>
      <c r="D46" s="38" t="str">
        <f>IF($B46="","",VLOOKUP($C46,'200 ONERADO'!$A$3:$G$4201,2,0))</f>
        <v>Laje pré-fabricada unidirecional em viga treliçada/lajota em EPS LT 16 (12 + 4), com capa de concreto de 25 MPa</v>
      </c>
      <c r="E46" s="39" t="str">
        <f>IF($B46="","",VLOOKUP($C46,'200 ONERADO'!$A$3:$G$4201,3,0))</f>
        <v>m²</v>
      </c>
      <c r="F46" s="154">
        <f>LAJES!D25-LAJES!D26</f>
        <v>159.946</v>
      </c>
      <c r="G46" s="41">
        <f>IF($B46="","",VLOOKUP($C46,'200 ONERADO'!$A$3:$H$4201,6,0))</f>
        <v>203.23</v>
      </c>
      <c r="H46" s="42">
        <f>ROUND(G46*(1+$I$5),2)</f>
        <v>243.88</v>
      </c>
      <c r="I46" s="43">
        <f t="shared" si="17"/>
        <v>39007.629999999997</v>
      </c>
      <c r="K46" s="614">
        <f t="shared" si="0"/>
        <v>2.4199999999999999E-2</v>
      </c>
    </row>
    <row r="47" spans="1:13" ht="25.5" x14ac:dyDescent="0.2">
      <c r="A47" s="44" t="s">
        <v>12362</v>
      </c>
      <c r="B47" s="37" t="s">
        <v>97</v>
      </c>
      <c r="C47" s="46" t="s">
        <v>13804</v>
      </c>
      <c r="D47" s="38" t="str">
        <f>IF($B47="","",VLOOKUP($C47,'200 ONERADO'!$A$3:$G$4201,2,0))</f>
        <v>Laje pré-fabricada unidirecional em viga treliçada/lajota em EPS LT 20 (16 + 4), com capa de concreto de 25 MPa</v>
      </c>
      <c r="E47" s="39" t="str">
        <f>IF($B47="","",VLOOKUP($C47,'200 ONERADO'!$A$3:$G$4201,3,0))</f>
        <v>m²</v>
      </c>
      <c r="F47" s="154">
        <f>LAJES!D26+LAJES!D42</f>
        <v>23.5</v>
      </c>
      <c r="G47" s="41">
        <f>IF($B47="","",VLOOKUP($C47,'200 ONERADO'!$A$3:$H$4201,6,0))</f>
        <v>245.19</v>
      </c>
      <c r="H47" s="42">
        <f>ROUND(G47*(1+$I$5),2)</f>
        <v>294.23</v>
      </c>
      <c r="I47" s="43">
        <f t="shared" ref="I47:I48" si="18">IF($B47="","",ROUND(F47*H47,2))</f>
        <v>6914.41</v>
      </c>
      <c r="K47" s="614">
        <f t="shared" si="0"/>
        <v>4.3E-3</v>
      </c>
      <c r="L47" s="617">
        <f>K45+K46+K47</f>
        <v>3.3999999999999996E-2</v>
      </c>
    </row>
    <row r="48" spans="1:13" x14ac:dyDescent="0.2">
      <c r="A48" s="44" t="s">
        <v>12363</v>
      </c>
      <c r="B48" s="37" t="s">
        <v>97</v>
      </c>
      <c r="C48" s="46" t="s">
        <v>13564</v>
      </c>
      <c r="D48" s="38" t="str">
        <f>IF($B48="","",VLOOKUP($C48,'200 ONERADO'!$A$3:$G$4201,2,0))</f>
        <v>Armadura em tela soldada de aço</v>
      </c>
      <c r="E48" s="39" t="str">
        <f>IF($B48="","",VLOOKUP($C48,'200 ONERADO'!$A$3:$G$4201,3,0))</f>
        <v>kg</v>
      </c>
      <c r="F48" s="154">
        <f>LAJES!L25+LAJES!L39</f>
        <v>731.5300000000002</v>
      </c>
      <c r="G48" s="41">
        <f>IF($B48="","",VLOOKUP($C48,'200 ONERADO'!$A$3:$H$4201,6,0))</f>
        <v>9.85</v>
      </c>
      <c r="H48" s="42">
        <f>ROUND(G48*(1+$I$5),2)</f>
        <v>11.82</v>
      </c>
      <c r="I48" s="43">
        <f t="shared" si="18"/>
        <v>8646.68</v>
      </c>
      <c r="K48" s="614">
        <f t="shared" si="0"/>
        <v>5.4000000000000003E-3</v>
      </c>
    </row>
    <row r="49" spans="1:14" x14ac:dyDescent="0.2">
      <c r="A49" s="44" t="s">
        <v>20578</v>
      </c>
      <c r="B49" s="37" t="s">
        <v>97</v>
      </c>
      <c r="C49" s="46" t="s">
        <v>14171</v>
      </c>
      <c r="D49" s="38" t="str">
        <f>IF($B49="","",VLOOKUP($C49,'200 ONERADO'!$A$3:$G$4201,2,0))</f>
        <v>Argamassa de regularização e/ou proteção</v>
      </c>
      <c r="E49" s="39" t="str">
        <f>IF($B49="","",VLOOKUP($C49,'200 ONERADO'!$A$3:$G$4201,3,0))</f>
        <v>m³</v>
      </c>
      <c r="F49" s="154">
        <f>LAJES!Q25</f>
        <v>3.4</v>
      </c>
      <c r="G49" s="41">
        <f>IF($B49="","",VLOOKUP($C49,'200 ONERADO'!$A$3:$H$4201,6,0))</f>
        <v>843.81</v>
      </c>
      <c r="H49" s="42">
        <f t="shared" ref="H49" si="19">ROUND(G49*(1+$I$5),2)</f>
        <v>1012.57</v>
      </c>
      <c r="I49" s="43">
        <f t="shared" si="9"/>
        <v>3442.74</v>
      </c>
      <c r="K49" s="614">
        <f t="shared" si="0"/>
        <v>2.0999999999999999E-3</v>
      </c>
    </row>
    <row r="50" spans="1:14" x14ac:dyDescent="0.2">
      <c r="A50" s="239" t="s">
        <v>20054</v>
      </c>
      <c r="B50" s="240"/>
      <c r="C50" s="241"/>
      <c r="D50" s="242" t="s">
        <v>20601</v>
      </c>
      <c r="E50" s="243"/>
      <c r="F50" s="244"/>
      <c r="G50" s="245" t="str">
        <f>IF($B50="","",VLOOKUP($C50,'[1]BOLETIM 161'!$A$7:$F$4000,6,0))</f>
        <v/>
      </c>
      <c r="H50" s="246"/>
      <c r="I50" s="247">
        <f>SUBTOTAL(9,I51:I60)</f>
        <v>217253.28</v>
      </c>
      <c r="K50" s="615">
        <f t="shared" si="0"/>
        <v>0.13500000000000001</v>
      </c>
    </row>
    <row r="51" spans="1:14" x14ac:dyDescent="0.2">
      <c r="A51" s="635" t="s">
        <v>20055</v>
      </c>
      <c r="B51" s="37" t="s">
        <v>97</v>
      </c>
      <c r="C51" s="46" t="s">
        <v>13984</v>
      </c>
      <c r="D51" s="38" t="str">
        <f>IF($B51="","",VLOOKUP($C51,'200 ONERADO'!$A$3:$G$4201,2,0))</f>
        <v>Estrutura de madeira tesourada para telha de barro - vãos até 7,00 m</v>
      </c>
      <c r="E51" s="39" t="str">
        <f>IF($B51="","",VLOOKUP($C51,'200 ONERADO'!$A$3:$G$4201,3,0))</f>
        <v>m²</v>
      </c>
      <c r="F51" s="625">
        <f>TELHADO!E10</f>
        <v>324.17</v>
      </c>
      <c r="G51" s="41">
        <f>IF($B51="","",VLOOKUP($C51,'200 ONERADO'!$A$3:$H$4201,6,0))</f>
        <v>175.12</v>
      </c>
      <c r="H51" s="42">
        <f>ROUND(G51*(1+$I$5),2)</f>
        <v>210.14</v>
      </c>
      <c r="I51" s="43">
        <f t="shared" ref="I51:I58" si="20">IF($B51="","",ROUND(F51*H51,2))</f>
        <v>68121.08</v>
      </c>
      <c r="K51" s="614">
        <f t="shared" si="0"/>
        <v>4.2299999999999997E-2</v>
      </c>
    </row>
    <row r="52" spans="1:14" x14ac:dyDescent="0.2">
      <c r="A52" s="44" t="s">
        <v>20056</v>
      </c>
      <c r="B52" s="37" t="s">
        <v>97</v>
      </c>
      <c r="C52" s="46" t="s">
        <v>14054</v>
      </c>
      <c r="D52" s="38" t="str">
        <f>IF($B52="","",VLOOKUP($C52,'200 ONERADO'!$A$3:$G$4201,2,0))</f>
        <v>Telha de barro colonial/paulista</v>
      </c>
      <c r="E52" s="39" t="str">
        <f>IF($B52="","",VLOOKUP($C52,'200 ONERADO'!$A$3:$G$4201,3,0))</f>
        <v>m²</v>
      </c>
      <c r="F52" s="154">
        <f>TELHADO!J12</f>
        <v>377.44</v>
      </c>
      <c r="G52" s="41">
        <f>IF($B52="","",VLOOKUP($C52,'200 ONERADO'!$A$3:$H$4201,6,0))</f>
        <v>143.09</v>
      </c>
      <c r="H52" s="42">
        <f>ROUND(G52*(1+$I$5),2)</f>
        <v>171.71</v>
      </c>
      <c r="I52" s="43">
        <f t="shared" si="20"/>
        <v>64810.22</v>
      </c>
      <c r="K52" s="616">
        <f t="shared" si="0"/>
        <v>4.0300000000000002E-2</v>
      </c>
    </row>
    <row r="53" spans="1:14" x14ac:dyDescent="0.2">
      <c r="A53" s="44" t="s">
        <v>20057</v>
      </c>
      <c r="B53" s="37" t="s">
        <v>97</v>
      </c>
      <c r="C53" s="46" t="s">
        <v>14058</v>
      </c>
      <c r="D53" s="38" t="str">
        <f>IF($B53="","",VLOOKUP($C53,'200 ONERADO'!$A$3:$G$4201,2,0))</f>
        <v>Emboçamento de beiral em telhas de barro</v>
      </c>
      <c r="E53" s="39" t="str">
        <f>IF($B53="","",VLOOKUP($C53,'200 ONERADO'!$A$3:$G$4201,3,0))</f>
        <v>m</v>
      </c>
      <c r="F53" s="154">
        <f>TELHADO!R46</f>
        <v>60.87</v>
      </c>
      <c r="G53" s="41">
        <f>IF($B53="","",VLOOKUP($C53,'200 ONERADO'!$A$3:$H$4201,6,0))</f>
        <v>17.11</v>
      </c>
      <c r="H53" s="42">
        <f t="shared" ref="H53:H58" si="21">ROUND(G53*(1+$I$5),2)</f>
        <v>20.53</v>
      </c>
      <c r="I53" s="43">
        <f t="shared" si="20"/>
        <v>1249.6600000000001</v>
      </c>
      <c r="K53" s="614">
        <f t="shared" si="0"/>
        <v>8.0000000000000004E-4</v>
      </c>
    </row>
    <row r="54" spans="1:14" ht="25.5" x14ac:dyDescent="0.2">
      <c r="A54" s="44" t="s">
        <v>20058</v>
      </c>
      <c r="B54" s="37" t="s">
        <v>97</v>
      </c>
      <c r="C54" s="46" t="s">
        <v>14060</v>
      </c>
      <c r="D54" s="38" t="str">
        <f>IF($B54="","",VLOOKUP($C54,'200 ONERADO'!$A$3:$G$4201,2,0))</f>
        <v>Cumeeira de barro emboçado tipos: plan, romana, italiana, francesa e paulistinha</v>
      </c>
      <c r="E54" s="39" t="str">
        <f>IF($B54="","",VLOOKUP($C54,'200 ONERADO'!$A$3:$G$4201,3,0))</f>
        <v>m</v>
      </c>
      <c r="F54" s="154">
        <v>11.53</v>
      </c>
      <c r="G54" s="41">
        <f>IF($B54="","",VLOOKUP($C54,'200 ONERADO'!$A$3:$H$4201,6,0))</f>
        <v>33.96</v>
      </c>
      <c r="H54" s="42">
        <f t="shared" si="21"/>
        <v>40.75</v>
      </c>
      <c r="I54" s="43">
        <f t="shared" si="20"/>
        <v>469.85</v>
      </c>
      <c r="K54" s="614">
        <f t="shared" si="0"/>
        <v>2.9999999999999997E-4</v>
      </c>
    </row>
    <row r="55" spans="1:14" x14ac:dyDescent="0.2">
      <c r="A55" s="44" t="s">
        <v>20059</v>
      </c>
      <c r="B55" s="37" t="s">
        <v>97</v>
      </c>
      <c r="C55" s="46" t="s">
        <v>14136</v>
      </c>
      <c r="D55" s="38" t="str">
        <f>IF($B55="","",VLOOKUP($C55,'200 ONERADO'!$A$3:$G$4201,2,0))</f>
        <v>Calha, rufo, afins em chapa galvanizada nº 24 - corte 0,50 m</v>
      </c>
      <c r="E55" s="39" t="str">
        <f>IF($B55="","",VLOOKUP($C55,'200 ONERADO'!$A$3:$G$4201,3,0))</f>
        <v>m</v>
      </c>
      <c r="F55" s="154">
        <f>TELHADO!U23</f>
        <v>110.83999999999999</v>
      </c>
      <c r="G55" s="41">
        <f>IF($B55="","",VLOOKUP($C55,'200 ONERADO'!$A$3:$H$4201,6,0))</f>
        <v>161.13</v>
      </c>
      <c r="H55" s="42">
        <f t="shared" si="21"/>
        <v>193.36</v>
      </c>
      <c r="I55" s="43">
        <f t="shared" si="20"/>
        <v>21432.02</v>
      </c>
      <c r="K55" s="614">
        <f t="shared" si="0"/>
        <v>1.3299999999999999E-2</v>
      </c>
      <c r="M55" s="1">
        <f>5.37*4.48</f>
        <v>24.057600000000004</v>
      </c>
    </row>
    <row r="56" spans="1:14" ht="25.5" x14ac:dyDescent="0.2">
      <c r="A56" s="44" t="s">
        <v>20060</v>
      </c>
      <c r="B56" s="37" t="s">
        <v>97</v>
      </c>
      <c r="C56" s="46" t="s">
        <v>18027</v>
      </c>
      <c r="D56" s="38" t="str">
        <f>IF($B56="","",VLOOKUP($C56,'200 ONERADO'!$A$3:$G$4201,2,0))</f>
        <v>Tubo de PVC rígido PxB com virola e anel de borracha, linha esgoto série reforçada ´R´, DN= 100 mm, inclusive conexões</v>
      </c>
      <c r="E56" s="39" t="str">
        <f>IF($B56="","",VLOOKUP($C56,'200 ONERADO'!$A$3:$G$4201,3,0))</f>
        <v>m</v>
      </c>
      <c r="F56" s="154">
        <f>TELHADO!Y26</f>
        <v>78.100000000000009</v>
      </c>
      <c r="G56" s="41">
        <f>IF($B56="","",VLOOKUP($C56,'200 ONERADO'!$A$3:$H$4201,6,0))</f>
        <v>120.58</v>
      </c>
      <c r="H56" s="42">
        <f t="shared" si="21"/>
        <v>144.69999999999999</v>
      </c>
      <c r="I56" s="43">
        <f t="shared" si="20"/>
        <v>11301.07</v>
      </c>
      <c r="K56" s="614">
        <f t="shared" si="0"/>
        <v>7.0000000000000001E-3</v>
      </c>
    </row>
    <row r="57" spans="1:14" x14ac:dyDescent="0.2">
      <c r="A57" s="44" t="s">
        <v>21730</v>
      </c>
      <c r="B57" s="37" t="s">
        <v>97</v>
      </c>
      <c r="C57" s="46" t="s">
        <v>14604</v>
      </c>
      <c r="D57" s="38" t="str">
        <f>IF($B57="","",VLOOKUP($C57,'200 ONERADO'!$A$3:$G$4201,2,0))</f>
        <v>Testeira em tábua aparelhada, largura até 20cm</v>
      </c>
      <c r="E57" s="39" t="str">
        <f>IF($B57="","",VLOOKUP($C57,'200 ONERADO'!$A$3:$G$4201,3,0))</f>
        <v>m</v>
      </c>
      <c r="F57" s="154">
        <f>TELHADO!R27</f>
        <v>135.44</v>
      </c>
      <c r="G57" s="41">
        <f>IF($B57="","",VLOOKUP($C57,'200 ONERADO'!$A$3:$H$4201,6,0))</f>
        <v>40.659999999999997</v>
      </c>
      <c r="H57" s="42">
        <f t="shared" si="21"/>
        <v>48.79</v>
      </c>
      <c r="I57" s="43">
        <f t="shared" si="20"/>
        <v>6608.12</v>
      </c>
      <c r="K57" s="614">
        <f t="shared" si="0"/>
        <v>4.1000000000000003E-3</v>
      </c>
    </row>
    <row r="58" spans="1:14" ht="25.5" x14ac:dyDescent="0.2">
      <c r="A58" s="44" t="s">
        <v>21731</v>
      </c>
      <c r="B58" s="37" t="s">
        <v>97</v>
      </c>
      <c r="C58" s="46" t="s">
        <v>14605</v>
      </c>
      <c r="D58" s="38" t="str">
        <f>IF($B58="","",VLOOKUP($C58,'200 ONERADO'!$A$3:$G$4201,2,0))</f>
        <v>Beiral em tábua de angelim-vermelho / bacuri / maçaranduba macho e fêmea com tarugamento</v>
      </c>
      <c r="E58" s="39" t="str">
        <f>IF($B58="","",VLOOKUP($C58,'200 ONERADO'!$A$3:$G$4201,3,0))</f>
        <v>m²</v>
      </c>
      <c r="F58" s="154">
        <f>TELHADO!M32</f>
        <v>65.440000000000012</v>
      </c>
      <c r="G58" s="41">
        <f>IF($B58="","",VLOOKUP($C58,'200 ONERADO'!$A$3:$H$4201,6,0))</f>
        <v>199.83</v>
      </c>
      <c r="H58" s="42">
        <f t="shared" si="21"/>
        <v>239.8</v>
      </c>
      <c r="I58" s="43">
        <f t="shared" si="20"/>
        <v>15692.51</v>
      </c>
      <c r="K58" s="614">
        <f t="shared" si="0"/>
        <v>9.7000000000000003E-3</v>
      </c>
    </row>
    <row r="59" spans="1:14" ht="25.5" customHeight="1" x14ac:dyDescent="0.2">
      <c r="A59" s="44" t="s">
        <v>21732</v>
      </c>
      <c r="B59" s="37" t="s">
        <v>97</v>
      </c>
      <c r="C59" s="46" t="s">
        <v>15463</v>
      </c>
      <c r="D59" s="38" t="str">
        <f>IF($B59="","",VLOOKUP($C59,'200 ONERADO'!$A$3:$G$4201,2,0))</f>
        <v>Lã de vidro e/ou lã de rocha com espessura de 2´</v>
      </c>
      <c r="E59" s="39" t="str">
        <f>IF($B59="","",VLOOKUP($C59,'200 ONERADO'!$A$3:$G$4201,3,0))</f>
        <v>m²</v>
      </c>
      <c r="F59" s="154">
        <f>TELHADO!O11</f>
        <v>112.41999999999999</v>
      </c>
      <c r="G59" s="41">
        <f>IF($B59="","",VLOOKUP($C59,'200 ONERADO'!$A$3:$H$4201,6,0))</f>
        <v>34.81</v>
      </c>
      <c r="H59" s="42">
        <f t="shared" ref="H59:H60" si="22">ROUND(G59*(1+$I$5),2)</f>
        <v>41.77</v>
      </c>
      <c r="I59" s="43">
        <f t="shared" ref="I59:I60" si="23">IF($B59="","",ROUND(F59*H59,2))</f>
        <v>4695.78</v>
      </c>
      <c r="K59" s="614">
        <f t="shared" si="0"/>
        <v>2.8999999999999998E-3</v>
      </c>
    </row>
    <row r="60" spans="1:14" ht="25.5" x14ac:dyDescent="0.2">
      <c r="A60" s="44" t="s">
        <v>21733</v>
      </c>
      <c r="B60" s="37" t="s">
        <v>97</v>
      </c>
      <c r="C60" s="46" t="s">
        <v>14602</v>
      </c>
      <c r="D60" s="38" t="str">
        <f>IF($B60="","",VLOOKUP($C60,'200 ONERADO'!$A$3:$G$4201,2,0))</f>
        <v>Forro xadrez em ripas de angelim-vermelho / bacuri / maçaranduba tarugado</v>
      </c>
      <c r="E60" s="39" t="str">
        <f>IF($B60="","",VLOOKUP($C60,'200 ONERADO'!$A$3:$G$4201,3,0))</f>
        <v>m²</v>
      </c>
      <c r="F60" s="154">
        <f>F59</f>
        <v>112.41999999999999</v>
      </c>
      <c r="G60" s="41">
        <f>IF($B60="","",VLOOKUP($C60,'200 ONERADO'!$A$3:$H$4201,6,0))</f>
        <v>169.55</v>
      </c>
      <c r="H60" s="42">
        <f t="shared" si="22"/>
        <v>203.46</v>
      </c>
      <c r="I60" s="43">
        <f t="shared" si="23"/>
        <v>22872.97</v>
      </c>
      <c r="K60" s="614">
        <f t="shared" si="0"/>
        <v>1.4200000000000001E-2</v>
      </c>
    </row>
    <row r="61" spans="1:14" x14ac:dyDescent="0.2">
      <c r="A61" s="239" t="s">
        <v>20427</v>
      </c>
      <c r="B61" s="240"/>
      <c r="C61" s="241"/>
      <c r="D61" s="242" t="s">
        <v>20425</v>
      </c>
      <c r="E61" s="243"/>
      <c r="F61" s="244"/>
      <c r="G61" s="245" t="str">
        <f>IF($B61="","",VLOOKUP($C61,'[1]BOLETIM 161'!$A$7:$F$4000,6,0))</f>
        <v/>
      </c>
      <c r="H61" s="246"/>
      <c r="I61" s="247">
        <f>SUBTOTAL(9,I63:I98)</f>
        <v>120223.53999999998</v>
      </c>
      <c r="K61" s="615">
        <f t="shared" si="0"/>
        <v>7.4700000000000003E-2</v>
      </c>
      <c r="M61" s="1">
        <f>0.0254*2</f>
        <v>5.0799999999999998E-2</v>
      </c>
      <c r="N61" s="40" t="s">
        <v>18735</v>
      </c>
    </row>
    <row r="62" spans="1:14" x14ac:dyDescent="0.2">
      <c r="A62" s="379" t="s">
        <v>21491</v>
      </c>
      <c r="B62" s="380"/>
      <c r="C62" s="381"/>
      <c r="D62" s="382" t="s">
        <v>21479</v>
      </c>
      <c r="E62" s="383"/>
      <c r="F62" s="384"/>
      <c r="G62" s="385"/>
      <c r="H62" s="386"/>
      <c r="I62" s="387">
        <f>SUBTOTAL(9,I63:I76)</f>
        <v>49150.729999999996</v>
      </c>
      <c r="K62" s="618">
        <f t="shared" si="0"/>
        <v>3.0499999999999999E-2</v>
      </c>
      <c r="N62" s="40"/>
    </row>
    <row r="63" spans="1:14" x14ac:dyDescent="0.2">
      <c r="A63" s="44" t="s">
        <v>21747</v>
      </c>
      <c r="B63" s="37" t="s">
        <v>97</v>
      </c>
      <c r="C63" s="46" t="s">
        <v>17952</v>
      </c>
      <c r="D63" s="38" t="str">
        <f>IF($B63="","",VLOOKUP($C63,'200 ONERADO'!$A$3:$G$4201,2,0))</f>
        <v>Entrada completa de água com abrigo e registro de gaveta, DN= 1´</v>
      </c>
      <c r="E63" s="39" t="str">
        <f>IF($B63="","",VLOOKUP($C63,'200 ONERADO'!$A$3:$G$4201,3,0))</f>
        <v>un</v>
      </c>
      <c r="F63" s="154">
        <v>1</v>
      </c>
      <c r="G63" s="41">
        <f>IF($B63="","",VLOOKUP($C63,'200 ONERADO'!$A$3:$H$4201,6,0))</f>
        <v>1573.93</v>
      </c>
      <c r="H63" s="42">
        <f t="shared" ref="H63:H68" si="24">ROUND(G63*(1+$I$5),2)</f>
        <v>1888.72</v>
      </c>
      <c r="I63" s="43">
        <f t="shared" ref="I63:I68" si="25">IF($B63="","",ROUND(F63*H63,2))</f>
        <v>1888.72</v>
      </c>
      <c r="K63" s="614">
        <f t="shared" si="0"/>
        <v>1.1999999999999999E-3</v>
      </c>
      <c r="N63" s="40" t="s">
        <v>19042</v>
      </c>
    </row>
    <row r="64" spans="1:14" ht="25.5" x14ac:dyDescent="0.2">
      <c r="A64" s="44" t="s">
        <v>21748</v>
      </c>
      <c r="B64" s="37" t="s">
        <v>97</v>
      </c>
      <c r="C64" s="46" t="s">
        <v>18992</v>
      </c>
      <c r="D64" s="38" t="str">
        <f>IF($B64="","",VLOOKUP($C64,'200 ONERADO'!$A$3:$G$4201,2,0))</f>
        <v>Reservatório em polietileno com tampa de rosca - capacidade de 1.000 litros</v>
      </c>
      <c r="E64" s="39" t="str">
        <f>IF($B64="","",VLOOKUP($C64,'200 ONERADO'!$A$3:$G$4201,3,0))</f>
        <v>un</v>
      </c>
      <c r="F64" s="154">
        <v>3</v>
      </c>
      <c r="G64" s="41">
        <f>IF($B64="","",VLOOKUP($C64,'200 ONERADO'!$A$3:$H$4201,6,0))</f>
        <v>978.9</v>
      </c>
      <c r="H64" s="42">
        <f t="shared" ref="H64:H65" si="26">ROUND(G64*(1+$I$5),2)</f>
        <v>1174.68</v>
      </c>
      <c r="I64" s="43">
        <f t="shared" ref="I64:I65" si="27">IF($B64="","",ROUND(F64*H64,2))</f>
        <v>3524.04</v>
      </c>
      <c r="K64" s="614">
        <f t="shared" si="0"/>
        <v>2.2000000000000001E-3</v>
      </c>
      <c r="N64" s="40"/>
    </row>
    <row r="65" spans="1:14" x14ac:dyDescent="0.2">
      <c r="A65" s="44" t="s">
        <v>21749</v>
      </c>
      <c r="B65" s="37" t="s">
        <v>97</v>
      </c>
      <c r="C65" s="46" t="s">
        <v>18994</v>
      </c>
      <c r="D65" s="38" t="str">
        <f>IF($B65="","",VLOOKUP($C65,'200 ONERADO'!$A$3:$G$4201,2,0))</f>
        <v>Reservatório em polietileno com tampa de rosca - capacidade de 500 litros</v>
      </c>
      <c r="E65" s="39" t="str">
        <f>IF($B65="","",VLOOKUP($C65,'200 ONERADO'!$A$3:$G$4201,3,0))</f>
        <v>un</v>
      </c>
      <c r="F65" s="154">
        <v>1</v>
      </c>
      <c r="G65" s="41">
        <f>IF($B65="","",VLOOKUP($C65,'200 ONERADO'!$A$3:$H$4201,6,0))</f>
        <v>626.16999999999996</v>
      </c>
      <c r="H65" s="42">
        <f t="shared" si="26"/>
        <v>751.4</v>
      </c>
      <c r="I65" s="43">
        <f t="shared" si="27"/>
        <v>751.4</v>
      </c>
      <c r="K65" s="614">
        <f t="shared" si="0"/>
        <v>5.0000000000000001E-4</v>
      </c>
      <c r="N65" s="40"/>
    </row>
    <row r="66" spans="1:14" x14ac:dyDescent="0.2">
      <c r="A66" s="44" t="s">
        <v>21750</v>
      </c>
      <c r="B66" s="37" t="s">
        <v>97</v>
      </c>
      <c r="C66" s="46" t="s">
        <v>19014</v>
      </c>
      <c r="D66" s="38" t="str">
        <f>IF($B66="","",VLOOKUP($C66,'200 ONERADO'!$A$3:$G$4201,2,0))</f>
        <v>Torneira de boia, DN= 1´</v>
      </c>
      <c r="E66" s="39" t="str">
        <f>IF($B66="","",VLOOKUP($C66,'200 ONERADO'!$A$3:$G$4201,3,0))</f>
        <v>un</v>
      </c>
      <c r="F66" s="154">
        <v>4</v>
      </c>
      <c r="G66" s="41">
        <f>IF($B66="","",VLOOKUP($C66,'200 ONERADO'!$A$3:$H$4201,6,0))</f>
        <v>138.21</v>
      </c>
      <c r="H66" s="42">
        <f t="shared" ref="H66" si="28">ROUND(G66*(1+$I$5),2)</f>
        <v>165.85</v>
      </c>
      <c r="I66" s="43">
        <f t="shared" ref="I66" si="29">IF($B66="","",ROUND(F66*H66,2))</f>
        <v>663.4</v>
      </c>
      <c r="K66" s="614">
        <f t="shared" si="0"/>
        <v>4.0000000000000002E-4</v>
      </c>
      <c r="N66" s="40"/>
    </row>
    <row r="67" spans="1:14" ht="25.5" x14ac:dyDescent="0.2">
      <c r="A67" s="44" t="s">
        <v>21751</v>
      </c>
      <c r="B67" s="37" t="s">
        <v>97</v>
      </c>
      <c r="C67" s="40" t="s">
        <v>18713</v>
      </c>
      <c r="D67" s="38" t="str">
        <f>IF($B67="","",VLOOKUP($C67,'200 ONERADO'!$A$3:$G$4201,2,0))</f>
        <v>Válvula de esfera monobloco em latão, passagem plena, acionamento com alavanca, DN= 1´</v>
      </c>
      <c r="E67" s="39" t="str">
        <f>IF($B67="","",VLOOKUP($C67,'200 ONERADO'!$A$3:$G$4201,3,0))</f>
        <v>un</v>
      </c>
      <c r="F67" s="154">
        <v>4</v>
      </c>
      <c r="G67" s="41">
        <f>IF($B67="","",VLOOKUP($C67,'200 ONERADO'!$A$3:$H$4201,6,0))</f>
        <v>95.35</v>
      </c>
      <c r="H67" s="42">
        <f t="shared" ref="H67" si="30">ROUND(G67*(1+$I$5),2)</f>
        <v>114.42</v>
      </c>
      <c r="I67" s="43">
        <f t="shared" ref="I67" si="31">IF($B67="","",ROUND(F67*H67,2))</f>
        <v>457.68</v>
      </c>
      <c r="K67" s="614">
        <f t="shared" si="0"/>
        <v>2.9999999999999997E-4</v>
      </c>
      <c r="N67" s="40"/>
    </row>
    <row r="68" spans="1:14" ht="25.35" customHeight="1" x14ac:dyDescent="0.2">
      <c r="A68" s="44" t="s">
        <v>21752</v>
      </c>
      <c r="B68" s="37" t="s">
        <v>97</v>
      </c>
      <c r="C68" s="40" t="s">
        <v>18735</v>
      </c>
      <c r="D68" s="38" t="str">
        <f>IF($B68="","",VLOOKUP($C68,'200 ONERADO'!$A$3:$G$4201,2,0))</f>
        <v>Registro de pressão em latão fundido cromado com canopla, DN= 3/4´ - linha especial</v>
      </c>
      <c r="E68" s="39" t="str">
        <f>IF($B68="","",VLOOKUP($C68,'200 ONERADO'!$A$3:$G$4201,3,0))</f>
        <v>un</v>
      </c>
      <c r="F68" s="154">
        <f>HIDRÁULICA!I66</f>
        <v>19</v>
      </c>
      <c r="G68" s="41">
        <f>IF($B68="","",VLOOKUP($C68,'200 ONERADO'!$A$3:$H$4201,6,0))</f>
        <v>71.66</v>
      </c>
      <c r="H68" s="42">
        <f t="shared" si="24"/>
        <v>85.99</v>
      </c>
      <c r="I68" s="43">
        <f t="shared" si="25"/>
        <v>1633.81</v>
      </c>
      <c r="K68" s="614">
        <f t="shared" si="0"/>
        <v>1E-3</v>
      </c>
      <c r="L68" s="1">
        <f>11.5/4</f>
        <v>2.875</v>
      </c>
      <c r="N68" s="40" t="s">
        <v>17807</v>
      </c>
    </row>
    <row r="69" spans="1:14" ht="25.5" x14ac:dyDescent="0.2">
      <c r="A69" s="44" t="s">
        <v>21753</v>
      </c>
      <c r="B69" s="37" t="s">
        <v>97</v>
      </c>
      <c r="C69" s="40" t="s">
        <v>18725</v>
      </c>
      <c r="D69" s="38" t="str">
        <f>IF($B69="","",VLOOKUP($C69,'200 ONERADO'!$A$3:$G$4201,2,0))</f>
        <v>Registro de gaveta em latão fundido cromado com canopla, DN= 3/4´ - linha especial</v>
      </c>
      <c r="E69" s="39" t="str">
        <f>IF($B69="","",VLOOKUP($C69,'200 ONERADO'!$A$3:$G$4201,3,0))</f>
        <v>un</v>
      </c>
      <c r="F69" s="154">
        <f>HIDRÁULICA!H66</f>
        <v>13</v>
      </c>
      <c r="G69" s="41">
        <f>IF($B69="","",VLOOKUP($C69,'200 ONERADO'!$A$3:$H$4201,6,0))</f>
        <v>69.56</v>
      </c>
      <c r="H69" s="42">
        <f t="shared" ref="H69:H71" si="32">ROUND(G69*(1+$I$5),2)</f>
        <v>83.47</v>
      </c>
      <c r="I69" s="43">
        <f t="shared" ref="I69:I71" si="33">IF($B69="","",ROUND(F69*H69,2))</f>
        <v>1085.1099999999999</v>
      </c>
      <c r="K69" s="614">
        <f t="shared" si="0"/>
        <v>6.9999999999999999E-4</v>
      </c>
      <c r="N69" s="40"/>
    </row>
    <row r="70" spans="1:14" x14ac:dyDescent="0.2">
      <c r="A70" s="44" t="s">
        <v>21754</v>
      </c>
      <c r="B70" s="37" t="s">
        <v>97</v>
      </c>
      <c r="C70" s="40" t="s">
        <v>19042</v>
      </c>
      <c r="D70" s="38" t="str">
        <f>IF($B70="","",VLOOKUP($C70,'200 ONERADO'!$A$3:$G$4201,2,0))</f>
        <v>Caixa sifonada de PVC rígido de 150 x 150 x 50 mm, com grelha</v>
      </c>
      <c r="E70" s="39" t="str">
        <f>IF($B70="","",VLOOKUP($C70,'200 ONERADO'!$A$3:$G$4201,3,0))</f>
        <v>un</v>
      </c>
      <c r="F70" s="154">
        <f>HIDRÁULICA!P66</f>
        <v>15</v>
      </c>
      <c r="G70" s="41">
        <f>IF($B70="","",VLOOKUP($C70,'200 ONERADO'!$A$3:$H$4201,6,0))</f>
        <v>123.4</v>
      </c>
      <c r="H70" s="42">
        <f t="shared" si="32"/>
        <v>148.08000000000001</v>
      </c>
      <c r="I70" s="43">
        <f t="shared" si="33"/>
        <v>2221.1999999999998</v>
      </c>
      <c r="K70" s="614">
        <f t="shared" si="0"/>
        <v>1.4E-3</v>
      </c>
      <c r="N70" s="40"/>
    </row>
    <row r="71" spans="1:14" x14ac:dyDescent="0.2">
      <c r="A71" s="44" t="s">
        <v>21755</v>
      </c>
      <c r="B71" s="37" t="s">
        <v>97</v>
      </c>
      <c r="C71" s="40" t="s">
        <v>17997</v>
      </c>
      <c r="D71" s="38" t="str">
        <f>IF($B71="","",VLOOKUP($C71,'200 ONERADO'!$A$3:$G$4201,2,0))</f>
        <v>Tubo de PVC rígido soldável marrom, DN= 32 mm, (1´), inclusive conexões</v>
      </c>
      <c r="E71" s="39" t="str">
        <f>IF($B71="","",VLOOKUP($C71,'200 ONERADO'!$A$3:$G$4201,3,0))</f>
        <v>m</v>
      </c>
      <c r="F71" s="154">
        <f>9*8</f>
        <v>72</v>
      </c>
      <c r="G71" s="41">
        <f>IF($B71="","",VLOOKUP($C71,'200 ONERADO'!$A$3:$H$4201,6,0))</f>
        <v>41.7</v>
      </c>
      <c r="H71" s="42">
        <f t="shared" si="32"/>
        <v>50.04</v>
      </c>
      <c r="I71" s="43">
        <f t="shared" si="33"/>
        <v>3602.88</v>
      </c>
      <c r="K71" s="614">
        <f t="shared" si="0"/>
        <v>2.2000000000000001E-3</v>
      </c>
      <c r="N71" s="40"/>
    </row>
    <row r="72" spans="1:14" x14ac:dyDescent="0.2">
      <c r="A72" s="44" t="s">
        <v>21756</v>
      </c>
      <c r="B72" s="37" t="s">
        <v>97</v>
      </c>
      <c r="C72" s="40" t="s">
        <v>17995</v>
      </c>
      <c r="D72" s="38" t="str">
        <f>IF($B72="","",VLOOKUP($C72,'200 ONERADO'!$A$3:$G$4201,2,0))</f>
        <v>Tubo de PVC rígido soldável marrom, DN= 25 mm, (3/4´), inclusive conexões</v>
      </c>
      <c r="E72" s="39" t="str">
        <f>IF($B72="","",VLOOKUP($C72,'200 ONERADO'!$A$3:$G$4201,3,0))</f>
        <v>m</v>
      </c>
      <c r="F72" s="154">
        <f>HIDRÁULICA!V66</f>
        <v>380</v>
      </c>
      <c r="G72" s="41">
        <f>IF($B72="","",VLOOKUP($C72,'200 ONERADO'!$A$3:$H$4201,6,0))</f>
        <v>33.909999999999997</v>
      </c>
      <c r="H72" s="42">
        <f t="shared" ref="H72:H81" si="34">ROUND(G72*(1+$I$5),2)</f>
        <v>40.69</v>
      </c>
      <c r="I72" s="43">
        <f t="shared" ref="I72:I81" si="35">IF($B72="","",ROUND(F72*H72,2))</f>
        <v>15462.2</v>
      </c>
      <c r="K72" s="614">
        <f t="shared" ref="K72" si="36">ROUND(I72/$I$210,4)</f>
        <v>9.5999999999999992E-3</v>
      </c>
      <c r="N72" s="40"/>
    </row>
    <row r="73" spans="1:14" ht="25.5" x14ac:dyDescent="0.2">
      <c r="A73" s="44" t="s">
        <v>21757</v>
      </c>
      <c r="B73" s="37" t="s">
        <v>97</v>
      </c>
      <c r="C73" s="40" t="s">
        <v>18015</v>
      </c>
      <c r="D73" s="38" t="str">
        <f>IF($B73="","",VLOOKUP($C73,'200 ONERADO'!$A$3:$G$4201,2,0))</f>
        <v>Tubo de PVC rígido branco PxB com virola e anel de borracha, linha esgoto série normal, DN= 50 mm, inclusive conexões</v>
      </c>
      <c r="E73" s="39" t="str">
        <f>IF($B73="","",VLOOKUP($C73,'200 ONERADO'!$A$3:$G$4201,3,0))</f>
        <v>m</v>
      </c>
      <c r="F73" s="154">
        <f>HIDRÁULICA!W66</f>
        <v>132</v>
      </c>
      <c r="G73" s="41">
        <f>IF($B73="","",VLOOKUP($C73,'200 ONERADO'!$A$3:$H$4201,6,0))</f>
        <v>49.89</v>
      </c>
      <c r="H73" s="42">
        <f t="shared" si="34"/>
        <v>59.87</v>
      </c>
      <c r="I73" s="43">
        <f t="shared" si="35"/>
        <v>7902.84</v>
      </c>
      <c r="K73" s="614">
        <f>ROUND(I73/$I$210,4)</f>
        <v>4.8999999999999998E-3</v>
      </c>
      <c r="L73" s="1" t="s">
        <v>19054</v>
      </c>
      <c r="N73" s="40"/>
    </row>
    <row r="74" spans="1:14" ht="25.5" x14ac:dyDescent="0.2">
      <c r="A74" s="44" t="s">
        <v>21758</v>
      </c>
      <c r="B74" s="37" t="s">
        <v>97</v>
      </c>
      <c r="C74" s="40" t="s">
        <v>18019</v>
      </c>
      <c r="D74" s="38" t="str">
        <f>IF($B74="","",VLOOKUP($C74,'200 ONERADO'!$A$3:$G$4201,2,0))</f>
        <v>Tubo de PVC rígido branco PxB com virola e anel de borracha, linha esgoto série normal, DN= 100 mm, inclusive conexões</v>
      </c>
      <c r="E74" s="39" t="str">
        <f>IF($B74="","",VLOOKUP($C74,'200 ONERADO'!$A$3:$G$4201,3,0))</f>
        <v>m</v>
      </c>
      <c r="F74" s="154">
        <f>HIDRÁULICA!X66</f>
        <v>72</v>
      </c>
      <c r="G74" s="41">
        <f>IF($B74="","",VLOOKUP($C74,'200 ONERADO'!$A$3:$H$4201,6,0))</f>
        <v>85.92</v>
      </c>
      <c r="H74" s="42">
        <f t="shared" si="34"/>
        <v>103.1</v>
      </c>
      <c r="I74" s="43">
        <f t="shared" si="35"/>
        <v>7423.2</v>
      </c>
      <c r="K74" s="614">
        <f t="shared" ref="K74:K137" si="37">ROUND(I74/$I$210,4)</f>
        <v>4.5999999999999999E-3</v>
      </c>
      <c r="M74" s="1">
        <f>1.24/2.78</f>
        <v>0.4460431654676259</v>
      </c>
      <c r="N74" s="40"/>
    </row>
    <row r="75" spans="1:14" x14ac:dyDescent="0.2">
      <c r="A75" s="44" t="s">
        <v>21759</v>
      </c>
      <c r="B75" s="37" t="s">
        <v>97</v>
      </c>
      <c r="C75" s="40" t="s">
        <v>19054</v>
      </c>
      <c r="D75" s="38" t="str">
        <f>IF($B75="","",VLOOKUP($C75,'200 ONERADO'!$A$3:$G$4201,2,0))</f>
        <v>Caixa de gordura premoldada com tampa - capacidade 18 litros</v>
      </c>
      <c r="E75" s="39" t="str">
        <f>IF($B75="","",VLOOKUP($C75,'200 ONERADO'!$A$3:$G$4201,3,0))</f>
        <v>un</v>
      </c>
      <c r="F75" s="154">
        <v>1</v>
      </c>
      <c r="G75" s="41">
        <f>IF($B75="","",VLOOKUP($C75,'200 ONERADO'!$A$3:$H$4201,6,0))</f>
        <v>145.34</v>
      </c>
      <c r="H75" s="42">
        <f t="shared" ref="H75:H76" si="38">ROUND(G75*(1+$I$5),2)</f>
        <v>174.41</v>
      </c>
      <c r="I75" s="43">
        <f t="shared" ref="I75:I76" si="39">IF($B75="","",ROUND(F75*H75,2))</f>
        <v>174.41</v>
      </c>
      <c r="K75" s="614">
        <f t="shared" si="37"/>
        <v>1E-4</v>
      </c>
      <c r="N75" s="40"/>
    </row>
    <row r="76" spans="1:14" x14ac:dyDescent="0.2">
      <c r="A76" s="44" t="s">
        <v>21760</v>
      </c>
      <c r="B76" s="570" t="s">
        <v>20424</v>
      </c>
      <c r="C76" s="40" t="s">
        <v>21889</v>
      </c>
      <c r="D76" s="38" t="s">
        <v>21890</v>
      </c>
      <c r="E76" s="39" t="s">
        <v>20385</v>
      </c>
      <c r="F76" s="154">
        <v>8</v>
      </c>
      <c r="G76" s="41">
        <v>245.82</v>
      </c>
      <c r="H76" s="42">
        <f t="shared" si="38"/>
        <v>294.98</v>
      </c>
      <c r="I76" s="43">
        <f t="shared" si="39"/>
        <v>2359.84</v>
      </c>
      <c r="K76" s="614">
        <f t="shared" si="37"/>
        <v>1.5E-3</v>
      </c>
      <c r="M76" s="210">
        <v>302.36</v>
      </c>
      <c r="N76" s="543">
        <f>M76/1.23</f>
        <v>245.82113821138213</v>
      </c>
    </row>
    <row r="77" spans="1:14" x14ac:dyDescent="0.2">
      <c r="A77" s="379" t="s">
        <v>21492</v>
      </c>
      <c r="B77" s="380"/>
      <c r="C77" s="381"/>
      <c r="D77" s="382" t="s">
        <v>21481</v>
      </c>
      <c r="E77" s="383"/>
      <c r="F77" s="384"/>
      <c r="G77" s="385"/>
      <c r="H77" s="386"/>
      <c r="I77" s="387">
        <f>SUBTOTAL(9,I78:I82)</f>
        <v>36439.879999999997</v>
      </c>
      <c r="K77" s="618">
        <f t="shared" si="37"/>
        <v>2.2599999999999999E-2</v>
      </c>
      <c r="N77" s="40"/>
    </row>
    <row r="78" spans="1:14" ht="12.95" customHeight="1" x14ac:dyDescent="0.2">
      <c r="A78" s="44" t="s">
        <v>21762</v>
      </c>
      <c r="B78" s="37" t="s">
        <v>97</v>
      </c>
      <c r="C78" s="389" t="s">
        <v>13914</v>
      </c>
      <c r="D78" s="38" t="str">
        <f>IF($B78="","",VLOOKUP($C78,'200 ONERADO'!$A$3:$G$4201,2,0))</f>
        <v>Divisória em placas de granito com espessura de 3 cm</v>
      </c>
      <c r="E78" s="39" t="str">
        <f>IF($B78="","",VLOOKUP($C78,'200 ONERADO'!$A$3:$G$4201,3,0))</f>
        <v>m²</v>
      </c>
      <c r="F78" s="154">
        <f>HIDRÁULICA!E6</f>
        <v>11.219999999999999</v>
      </c>
      <c r="G78" s="41">
        <f>IF($B78="","",VLOOKUP($C78,'200 ONERADO'!$A$3:$H$4201,6,0))</f>
        <v>1287.29</v>
      </c>
      <c r="H78" s="42">
        <f t="shared" si="34"/>
        <v>1544.75</v>
      </c>
      <c r="I78" s="43">
        <f t="shared" si="35"/>
        <v>17332.099999999999</v>
      </c>
      <c r="K78" s="614">
        <f t="shared" si="37"/>
        <v>1.0800000000000001E-2</v>
      </c>
      <c r="M78" s="1">
        <f>1.52/1.24</f>
        <v>1.2258064516129032</v>
      </c>
      <c r="N78" s="40"/>
    </row>
    <row r="79" spans="1:14" x14ac:dyDescent="0.2">
      <c r="A79" s="44" t="s">
        <v>21763</v>
      </c>
      <c r="B79" s="37" t="s">
        <v>97</v>
      </c>
      <c r="C79" s="389" t="s">
        <v>15182</v>
      </c>
      <c r="D79" s="38" t="str">
        <f>IF($B79="","",VLOOKUP($C79,'200 ONERADO'!$A$3:$G$4201,2,0))</f>
        <v>Vidro temperado serigrafado incolor de 8 mm</v>
      </c>
      <c r="E79" s="39" t="str">
        <f>IF($B79="","",VLOOKUP($C79,'200 ONERADO'!$A$3:$G$4201,3,0))</f>
        <v>m²</v>
      </c>
      <c r="F79" s="154">
        <f>HIDRÁULICA!E40</f>
        <v>13</v>
      </c>
      <c r="G79" s="41">
        <f>IF($B79="","",VLOOKUP($C79,'200 ONERADO'!$A$3:$H$4201,6,0))</f>
        <v>511.08</v>
      </c>
      <c r="H79" s="42">
        <f t="shared" si="34"/>
        <v>613.29999999999995</v>
      </c>
      <c r="I79" s="43">
        <f t="shared" si="35"/>
        <v>7972.9</v>
      </c>
      <c r="K79" s="614">
        <f t="shared" si="37"/>
        <v>5.0000000000000001E-3</v>
      </c>
      <c r="N79" s="40"/>
    </row>
    <row r="80" spans="1:14" x14ac:dyDescent="0.2">
      <c r="A80" s="44" t="s">
        <v>21764</v>
      </c>
      <c r="B80" s="37" t="s">
        <v>97</v>
      </c>
      <c r="C80" s="40" t="s">
        <v>15246</v>
      </c>
      <c r="D80" s="38" t="str">
        <f>IF($B80="","",VLOOKUP($C80,'200 ONERADO'!$A$3:$G$4201,2,0))</f>
        <v>Ferragem completa para porta de box de WC tipo livre/ocupado</v>
      </c>
      <c r="E80" s="39" t="str">
        <f>IF($B80="","",VLOOKUP($C80,'200 ONERADO'!$A$3:$G$4201,3,0))</f>
        <v>cj</v>
      </c>
      <c r="F80" s="154">
        <v>4</v>
      </c>
      <c r="G80" s="41">
        <f>IF($B80="","",VLOOKUP($C80,'200 ONERADO'!$A$3:$H$4201,6,0))</f>
        <v>352.26</v>
      </c>
      <c r="H80" s="42">
        <f t="shared" si="34"/>
        <v>422.71</v>
      </c>
      <c r="I80" s="43">
        <f t="shared" si="35"/>
        <v>1690.84</v>
      </c>
      <c r="K80" s="614">
        <f t="shared" si="37"/>
        <v>1.1000000000000001E-3</v>
      </c>
      <c r="N80" s="40"/>
    </row>
    <row r="81" spans="1:14" ht="25.5" x14ac:dyDescent="0.2">
      <c r="A81" s="44" t="s">
        <v>21765</v>
      </c>
      <c r="B81" s="37" t="s">
        <v>97</v>
      </c>
      <c r="C81" s="46" t="s">
        <v>17759</v>
      </c>
      <c r="D81" s="38" t="str">
        <f>IF($B81="","",VLOOKUP($C81,'200 ONERADO'!$A$3:$G$4201,2,0))</f>
        <v>Tampo/bancada em granito, com frontão, espessura de 2 cm, acabamento polido</v>
      </c>
      <c r="E81" s="39" t="str">
        <f>IF($B81="","",VLOOKUP($C81,'200 ONERADO'!$A$3:$G$4201,3,0))</f>
        <v>m²</v>
      </c>
      <c r="F81" s="154">
        <f>HIDRÁULICA!E28</f>
        <v>3.6799999999999997</v>
      </c>
      <c r="G81" s="41">
        <f>IF($B81="","",VLOOKUP($C81,'200 ONERADO'!$A$3:$H$4201,6,0))</f>
        <v>1040.3699999999999</v>
      </c>
      <c r="H81" s="42">
        <f t="shared" si="34"/>
        <v>1248.44</v>
      </c>
      <c r="I81" s="43">
        <f t="shared" si="35"/>
        <v>4594.26</v>
      </c>
      <c r="K81" s="614">
        <f t="shared" si="37"/>
        <v>2.8999999999999998E-3</v>
      </c>
      <c r="N81" s="40"/>
    </row>
    <row r="82" spans="1:14" x14ac:dyDescent="0.2">
      <c r="A82" s="44" t="s">
        <v>21766</v>
      </c>
      <c r="B82" s="37" t="s">
        <v>97</v>
      </c>
      <c r="C82" s="46" t="s">
        <v>17846</v>
      </c>
      <c r="D82" s="38" t="str">
        <f>IF($B82="","",VLOOKUP($C82,'200 ONERADO'!$A$3:$G$4201,2,0))</f>
        <v>Prateleira em granito com espessura de 2 cm</v>
      </c>
      <c r="E82" s="39" t="str">
        <f>IF($B82="","",VLOOKUP($C82,'200 ONERADO'!$A$3:$G$4201,3,0))</f>
        <v>m²</v>
      </c>
      <c r="F82" s="154">
        <f>HIDRÁULICA!L4</f>
        <v>6.5</v>
      </c>
      <c r="G82" s="41">
        <f>IF($B82="","",VLOOKUP($C82,'200 ONERADO'!$A$3:$H$4201,6,0))</f>
        <v>621.77</v>
      </c>
      <c r="H82" s="42">
        <f t="shared" ref="H82" si="40">ROUND(G82*(1+$I$5),2)</f>
        <v>746.12</v>
      </c>
      <c r="I82" s="43">
        <f t="shared" ref="I82" si="41">IF($B82="","",ROUND(F82*H82,2))</f>
        <v>4849.78</v>
      </c>
      <c r="K82" s="614">
        <f t="shared" si="37"/>
        <v>3.0000000000000001E-3</v>
      </c>
      <c r="L82" s="145"/>
      <c r="N82" s="40"/>
    </row>
    <row r="83" spans="1:14" x14ac:dyDescent="0.2">
      <c r="A83" s="379" t="s">
        <v>21493</v>
      </c>
      <c r="B83" s="380"/>
      <c r="C83" s="381"/>
      <c r="D83" s="382" t="s">
        <v>21862</v>
      </c>
      <c r="E83" s="383"/>
      <c r="F83" s="384"/>
      <c r="G83" s="385"/>
      <c r="H83" s="386"/>
      <c r="I83" s="387">
        <f>SUBTOTAL(9,I84:I98)</f>
        <v>34632.930000000008</v>
      </c>
      <c r="K83" s="618">
        <f t="shared" si="37"/>
        <v>2.1499999999999998E-2</v>
      </c>
      <c r="N83" s="40"/>
    </row>
    <row r="84" spans="1:14" ht="25.5" x14ac:dyDescent="0.2">
      <c r="A84" s="44" t="s">
        <v>21768</v>
      </c>
      <c r="B84" s="37" t="s">
        <v>97</v>
      </c>
      <c r="C84" s="46" t="s">
        <v>15381</v>
      </c>
      <c r="D84" s="38" t="str">
        <f>IF($B84="","",VLOOKUP($C84,'200 ONERADO'!$A$3:$G$4201,2,0))</f>
        <v>Barra de apoio reta, para pessoas com mobilidade reduzida, em tubo de aço inoxidável de 1 1/2´</v>
      </c>
      <c r="E84" s="39" t="str">
        <f>IF($B84="","",VLOOKUP($C84,'200 ONERADO'!$A$3:$G$4201,3,0))</f>
        <v>m</v>
      </c>
      <c r="F84" s="154">
        <f>HIDRÁULICA!W24</f>
        <v>6.2</v>
      </c>
      <c r="G84" s="41">
        <f>IF($B84="","",VLOOKUP($C84,'200 ONERADO'!$A$3:$H$4201,6,0))</f>
        <v>223.95</v>
      </c>
      <c r="H84" s="42">
        <f t="shared" ref="H84:H88" si="42">ROUND(G84*(1+$I$5),2)</f>
        <v>268.74</v>
      </c>
      <c r="I84" s="43">
        <f t="shared" ref="I84:I88" si="43">IF($B84="","",ROUND(F84*H84,2))</f>
        <v>1666.19</v>
      </c>
      <c r="K84" s="614">
        <f t="shared" si="37"/>
        <v>1E-3</v>
      </c>
      <c r="N84" s="40"/>
    </row>
    <row r="85" spans="1:14" x14ac:dyDescent="0.2">
      <c r="A85" s="44" t="s">
        <v>21769</v>
      </c>
      <c r="B85" s="37" t="s">
        <v>97</v>
      </c>
      <c r="C85" s="40" t="s">
        <v>21435</v>
      </c>
      <c r="D85" s="38" t="str">
        <f>IF($B85="","",VLOOKUP($C85,'200 ONERADO'!$A$3:$G$4201,2,0))</f>
        <v>Bacia sifonada de louça com tampa - 6 litros</v>
      </c>
      <c r="E85" s="39" t="str">
        <f>IF($B85="","",VLOOKUP($C85,'200 ONERADO'!$A$3:$G$4201,3,0))</f>
        <v>un</v>
      </c>
      <c r="F85" s="154">
        <f>HIDRÁULICA!J66</f>
        <v>9</v>
      </c>
      <c r="G85" s="41">
        <f>IF($B85="","",VLOOKUP($C85,'200 ONERADO'!$A$3:$H$4201,6,0))</f>
        <v>368.37</v>
      </c>
      <c r="H85" s="42">
        <f t="shared" si="42"/>
        <v>442.04</v>
      </c>
      <c r="I85" s="43">
        <f t="shared" si="43"/>
        <v>3978.36</v>
      </c>
      <c r="K85" s="614">
        <f t="shared" si="37"/>
        <v>2.5000000000000001E-3</v>
      </c>
      <c r="N85" s="40"/>
    </row>
    <row r="86" spans="1:14" x14ac:dyDescent="0.2">
      <c r="A86" s="44" t="s">
        <v>21770</v>
      </c>
      <c r="B86" s="37" t="s">
        <v>97</v>
      </c>
      <c r="C86" s="40" t="s">
        <v>17727</v>
      </c>
      <c r="D86" s="38" t="str">
        <f>IF($B86="","",VLOOKUP($C86,'200 ONERADO'!$A$3:$G$4201,2,0))</f>
        <v>Lavatório de louça sem coluna</v>
      </c>
      <c r="E86" s="39" t="str">
        <f>IF($B86="","",VLOOKUP($C86,'200 ONERADO'!$A$3:$G$4201,3,0))</f>
        <v>un</v>
      </c>
      <c r="F86" s="154">
        <v>2</v>
      </c>
      <c r="G86" s="41">
        <f>IF($B86="","",VLOOKUP($C86,'200 ONERADO'!$A$3:$H$4201,6,0))</f>
        <v>178.46</v>
      </c>
      <c r="H86" s="42">
        <f t="shared" si="42"/>
        <v>214.15</v>
      </c>
      <c r="I86" s="43">
        <f t="shared" si="43"/>
        <v>428.3</v>
      </c>
      <c r="K86" s="614">
        <f t="shared" si="37"/>
        <v>2.9999999999999997E-4</v>
      </c>
      <c r="N86" s="40"/>
    </row>
    <row r="87" spans="1:14" x14ac:dyDescent="0.2">
      <c r="A87" s="44" t="s">
        <v>21771</v>
      </c>
      <c r="B87" s="37" t="s">
        <v>97</v>
      </c>
      <c r="C87" s="46" t="s">
        <v>17739</v>
      </c>
      <c r="D87" s="38" t="str">
        <f>IF($B87="","",VLOOKUP($C87,'200 ONERADO'!$A$3:$G$4201,2,0))</f>
        <v>Cuba de louça de embutir oval</v>
      </c>
      <c r="E87" s="39" t="str">
        <f>IF($B87="","",VLOOKUP($C87,'200 ONERADO'!$A$3:$G$4201,3,0))</f>
        <v>un</v>
      </c>
      <c r="F87" s="154">
        <f>HIDRÁULICA!K66</f>
        <v>7</v>
      </c>
      <c r="G87" s="41">
        <f>IF($B87="","",VLOOKUP($C87,'200 ONERADO'!$A$3:$H$4201,6,0))</f>
        <v>144.72</v>
      </c>
      <c r="H87" s="42">
        <f t="shared" si="42"/>
        <v>173.66</v>
      </c>
      <c r="I87" s="43">
        <f t="shared" si="43"/>
        <v>1215.6199999999999</v>
      </c>
      <c r="K87" s="614">
        <f t="shared" si="37"/>
        <v>8.0000000000000004E-4</v>
      </c>
      <c r="N87" s="40"/>
    </row>
    <row r="88" spans="1:14" x14ac:dyDescent="0.2">
      <c r="A88" s="44" t="s">
        <v>21772</v>
      </c>
      <c r="B88" s="37" t="s">
        <v>97</v>
      </c>
      <c r="C88" s="40" t="s">
        <v>17741</v>
      </c>
      <c r="D88" s="38" t="str">
        <f>IF($B88="","",VLOOKUP($C88,'200 ONERADO'!$A$3:$G$4201,2,0))</f>
        <v>Tanque de louça com coluna de 30 litros</v>
      </c>
      <c r="E88" s="39" t="str">
        <f>IF($B88="","",VLOOKUP($C88,'200 ONERADO'!$A$3:$G$4201,3,0))</f>
        <v>un</v>
      </c>
      <c r="F88" s="154">
        <v>1</v>
      </c>
      <c r="G88" s="41">
        <f>IF($B88="","",VLOOKUP($C88,'200 ONERADO'!$A$3:$H$4201,6,0))</f>
        <v>1088.6199999999999</v>
      </c>
      <c r="H88" s="42">
        <f t="shared" si="42"/>
        <v>1306.3399999999999</v>
      </c>
      <c r="I88" s="43">
        <f t="shared" si="43"/>
        <v>1306.3399999999999</v>
      </c>
      <c r="K88" s="614">
        <f t="shared" si="37"/>
        <v>8.0000000000000004E-4</v>
      </c>
      <c r="N88" s="40"/>
    </row>
    <row r="89" spans="1:14" x14ac:dyDescent="0.2">
      <c r="A89" s="44" t="s">
        <v>21773</v>
      </c>
      <c r="B89" s="37" t="s">
        <v>97</v>
      </c>
      <c r="C89" s="46" t="s">
        <v>17896</v>
      </c>
      <c r="D89" s="38" t="str">
        <f>IF($B89="","",VLOOKUP($C89,'200 ONERADO'!$A$3:$G$4201,2,0))</f>
        <v>Sifão plástico sanfonado universal de 1´</v>
      </c>
      <c r="E89" s="39" t="str">
        <f>IF($B89="","",VLOOKUP($C89,'200 ONERADO'!$A$3:$G$4201,3,0))</f>
        <v>un</v>
      </c>
      <c r="F89" s="154">
        <f>HIDRÁULICA!O66</f>
        <v>11</v>
      </c>
      <c r="G89" s="41">
        <f>IF($B89="","",VLOOKUP($C89,'200 ONERADO'!$A$3:$H$4201,6,0))</f>
        <v>32.4</v>
      </c>
      <c r="H89" s="42">
        <f t="shared" ref="H89" si="44">ROUND(G89*(1+$I$5),2)</f>
        <v>38.880000000000003</v>
      </c>
      <c r="I89" s="43">
        <f t="shared" ref="I89" si="45">IF($B89="","",ROUND(F89*H89,2))</f>
        <v>427.68</v>
      </c>
      <c r="K89" s="614">
        <f t="shared" si="37"/>
        <v>2.9999999999999997E-4</v>
      </c>
      <c r="N89" s="40"/>
    </row>
    <row r="90" spans="1:14" ht="25.7" customHeight="1" x14ac:dyDescent="0.2">
      <c r="A90" s="44" t="s">
        <v>21858</v>
      </c>
      <c r="B90" s="37" t="s">
        <v>97</v>
      </c>
      <c r="C90" s="46" t="s">
        <v>17777</v>
      </c>
      <c r="D90" s="38" t="str">
        <f>IF($B90="","",VLOOKUP($C90,'200 ONERADO'!$A$3:$G$4201,2,0))</f>
        <v>Dispenser papel higiênico em ABS para rolão 300 / 600 m, com visor</v>
      </c>
      <c r="E90" s="39" t="str">
        <f>IF($B90="","",VLOOKUP($C90,'200 ONERADO'!$A$3:$G$4201,3,0))</f>
        <v>un</v>
      </c>
      <c r="F90" s="154">
        <f>HIDRÁULICA!AA64</f>
        <v>9</v>
      </c>
      <c r="G90" s="41">
        <f>IF($B90="","",VLOOKUP($C90,'200 ONERADO'!$A$3:$H$4201,6,0))</f>
        <v>76.08</v>
      </c>
      <c r="H90" s="42">
        <f t="shared" ref="H90:H98" si="46">ROUND(G90*(1+$I$5),2)</f>
        <v>91.3</v>
      </c>
      <c r="I90" s="43">
        <f t="shared" ref="I90:I98" si="47">IF($B90="","",ROUND(F90*H90,2))</f>
        <v>821.7</v>
      </c>
      <c r="K90" s="614">
        <f t="shared" si="37"/>
        <v>5.0000000000000001E-4</v>
      </c>
      <c r="N90" s="40"/>
    </row>
    <row r="91" spans="1:14" x14ac:dyDescent="0.2">
      <c r="A91" s="44" t="s">
        <v>21859</v>
      </c>
      <c r="B91" s="37" t="s">
        <v>97</v>
      </c>
      <c r="C91" s="392" t="s">
        <v>17785</v>
      </c>
      <c r="D91" s="38" t="str">
        <f>IF($B91="","",VLOOKUP($C91,'200 ONERADO'!$A$3:$G$4201,2,0))</f>
        <v>Dispenser toalheiro em ABS, para folhas</v>
      </c>
      <c r="E91" s="39" t="str">
        <f>IF($B91="","",VLOOKUP($C91,'200 ONERADO'!$A$3:$G$4201,3,0))</f>
        <v>un</v>
      </c>
      <c r="F91" s="154">
        <f>HIDRÁULICA!AB64</f>
        <v>11</v>
      </c>
      <c r="G91" s="41">
        <f>IF($B91="","",VLOOKUP($C91,'200 ONERADO'!$A$3:$H$4201,6,0))</f>
        <v>67.08</v>
      </c>
      <c r="H91" s="42">
        <f t="shared" si="46"/>
        <v>80.5</v>
      </c>
      <c r="I91" s="43">
        <f t="shared" si="47"/>
        <v>885.5</v>
      </c>
      <c r="K91" s="614">
        <f t="shared" si="37"/>
        <v>5.9999999999999995E-4</v>
      </c>
      <c r="N91" s="40"/>
    </row>
    <row r="92" spans="1:14" x14ac:dyDescent="0.2">
      <c r="A92" s="44" t="s">
        <v>21861</v>
      </c>
      <c r="B92" s="37" t="s">
        <v>97</v>
      </c>
      <c r="C92" s="46" t="s">
        <v>17783</v>
      </c>
      <c r="D92" s="38" t="str">
        <f>IF($B92="","",VLOOKUP($C92,'200 ONERADO'!$A$3:$G$4201,2,0))</f>
        <v>Saboneteira tipo dispenser, para refil de 800 ml</v>
      </c>
      <c r="E92" s="39" t="str">
        <f>IF($B92="","",VLOOKUP($C92,'200 ONERADO'!$A$3:$G$4201,3,0))</f>
        <v>un</v>
      </c>
      <c r="F92" s="154">
        <f>HIDRÁULICA!AC64</f>
        <v>8</v>
      </c>
      <c r="G92" s="41">
        <f>IF($B92="","",VLOOKUP($C92,'200 ONERADO'!$A$3:$H$4201,6,0))</f>
        <v>68.849999999999994</v>
      </c>
      <c r="H92" s="42">
        <f t="shared" si="46"/>
        <v>82.62</v>
      </c>
      <c r="I92" s="43">
        <f t="shared" si="47"/>
        <v>660.96</v>
      </c>
      <c r="K92" s="614">
        <f t="shared" si="37"/>
        <v>4.0000000000000002E-4</v>
      </c>
      <c r="N92" s="40"/>
    </row>
    <row r="93" spans="1:14" x14ac:dyDescent="0.2">
      <c r="A93" s="44" t="s">
        <v>21884</v>
      </c>
      <c r="B93" s="37" t="s">
        <v>97</v>
      </c>
      <c r="C93" s="46" t="s">
        <v>17836</v>
      </c>
      <c r="D93" s="38" t="str">
        <f>IF($B93="","",VLOOKUP($C93,'200 ONERADO'!$A$3:$G$4201,2,0))</f>
        <v>Ducha higiênica com registro</v>
      </c>
      <c r="E93" s="39" t="str">
        <f>IF($B93="","",VLOOKUP($C93,'200 ONERADO'!$A$3:$G$4201,3,0))</f>
        <v>un</v>
      </c>
      <c r="F93" s="154">
        <v>4</v>
      </c>
      <c r="G93" s="41">
        <f>IF($B93="","",VLOOKUP($C93,'200 ONERADO'!$A$3:$H$4201,6,0))</f>
        <v>259.5</v>
      </c>
      <c r="H93" s="42">
        <f t="shared" si="46"/>
        <v>311.39999999999998</v>
      </c>
      <c r="I93" s="43">
        <f t="shared" si="47"/>
        <v>1245.5999999999999</v>
      </c>
      <c r="K93" s="614">
        <f t="shared" si="37"/>
        <v>8.0000000000000004E-4</v>
      </c>
      <c r="N93" s="40"/>
    </row>
    <row r="94" spans="1:14" x14ac:dyDescent="0.2">
      <c r="A94" s="44" t="s">
        <v>21885</v>
      </c>
      <c r="B94" s="37" t="s">
        <v>97</v>
      </c>
      <c r="C94" s="46" t="s">
        <v>17521</v>
      </c>
      <c r="D94" s="38" t="str">
        <f>IF($B94="","",VLOOKUP($C94,'200 ONERADO'!$A$3:$G$4201,2,0))</f>
        <v>Chuveiro elétrico de 6.500W / 220V com resistência blindada</v>
      </c>
      <c r="E94" s="39" t="str">
        <f>IF($B94="","",VLOOKUP($C94,'200 ONERADO'!$A$3:$G$4201,3,0))</f>
        <v>un</v>
      </c>
      <c r="F94" s="154">
        <v>4</v>
      </c>
      <c r="G94" s="41">
        <f>IF($B94="","",VLOOKUP($C94,'200 ONERADO'!$A$3:$H$4201,6,0))</f>
        <v>349.78</v>
      </c>
      <c r="H94" s="42">
        <f t="shared" si="46"/>
        <v>419.74</v>
      </c>
      <c r="I94" s="43">
        <f t="shared" si="47"/>
        <v>1678.96</v>
      </c>
      <c r="K94" s="614">
        <f t="shared" si="37"/>
        <v>1E-3</v>
      </c>
      <c r="N94" s="40"/>
    </row>
    <row r="95" spans="1:14" ht="25.5" x14ac:dyDescent="0.2">
      <c r="A95" s="44" t="s">
        <v>21886</v>
      </c>
      <c r="B95" s="37" t="s">
        <v>97</v>
      </c>
      <c r="C95" s="46" t="s">
        <v>20107</v>
      </c>
      <c r="D95" s="38" t="str">
        <f>IF($B95="","",VLOOKUP($C95,'200 ONERADO'!$A$3:$G$4201,2,0))</f>
        <v>Torneira de mesa automática, acionamento hidromecânico, em latão cromado, DN= 1/2´ou 3/4´</v>
      </c>
      <c r="E95" s="39" t="str">
        <f>IF($B95="","",VLOOKUP($C95,'200 ONERADO'!$A$3:$G$4201,3,0))</f>
        <v>un</v>
      </c>
      <c r="F95" s="154">
        <f>HIDRÁULICA!M66</f>
        <v>2</v>
      </c>
      <c r="G95" s="41">
        <f>IF($B95="","",VLOOKUP($C95,'200 ONERADO'!$A$3:$H$4201,6,0))</f>
        <v>158.06</v>
      </c>
      <c r="H95" s="42">
        <f t="shared" ref="H95" si="48">ROUND(G95*(1+$I$5),2)</f>
        <v>189.67</v>
      </c>
      <c r="I95" s="43">
        <f t="shared" ref="I95" si="49">IF($B95="","",ROUND(F95*H95,2))</f>
        <v>379.34</v>
      </c>
      <c r="K95" s="614">
        <f t="shared" si="37"/>
        <v>2.0000000000000001E-4</v>
      </c>
      <c r="N95" s="40"/>
    </row>
    <row r="96" spans="1:14" ht="25.5" x14ac:dyDescent="0.2">
      <c r="A96" s="44" t="s">
        <v>21887</v>
      </c>
      <c r="B96" s="37" t="s">
        <v>97</v>
      </c>
      <c r="C96" s="46" t="s">
        <v>17816</v>
      </c>
      <c r="D96" s="38" t="str">
        <f>IF($B96="","",VLOOKUP($C96,'200 ONERADO'!$A$3:$G$4201,2,0))</f>
        <v>Torneira de mesa para pia com bica móvel e arejador em latão fundido cromado</v>
      </c>
      <c r="E96" s="39" t="str">
        <f>IF($B96="","",VLOOKUP($C96,'200 ONERADO'!$A$3:$G$4201,3,0))</f>
        <v>un</v>
      </c>
      <c r="F96" s="154">
        <f>HIDRÁULICA!N66</f>
        <v>9</v>
      </c>
      <c r="G96" s="41">
        <f>IF($B96="","",VLOOKUP($C96,'200 ONERADO'!$A$3:$H$4201,6,0))</f>
        <v>206.14</v>
      </c>
      <c r="H96" s="42">
        <f t="shared" ref="H96" si="50">ROUND(G96*(1+$I$5),2)</f>
        <v>247.37</v>
      </c>
      <c r="I96" s="43">
        <f t="shared" ref="I96" si="51">IF($B96="","",ROUND(F96*H96,2))</f>
        <v>2226.33</v>
      </c>
      <c r="K96" s="614">
        <f t="shared" si="37"/>
        <v>1.4E-3</v>
      </c>
      <c r="N96" s="40"/>
    </row>
    <row r="97" spans="1:14" x14ac:dyDescent="0.2">
      <c r="A97" s="44" t="s">
        <v>21888</v>
      </c>
      <c r="B97" s="37" t="s">
        <v>97</v>
      </c>
      <c r="C97" s="46" t="s">
        <v>17872</v>
      </c>
      <c r="D97" s="38" t="str">
        <f>IF($B97="","",VLOOKUP($C97,'200 ONERADO'!$A$3:$G$4201,2,0))</f>
        <v>Cuba em aço inoxidável simples de 500x400x250mm</v>
      </c>
      <c r="E97" s="39" t="str">
        <f>IF($B97="","",VLOOKUP($C97,'200 ONERADO'!$A$3:$G$4201,3,0))</f>
        <v>un</v>
      </c>
      <c r="F97" s="154">
        <v>1</v>
      </c>
      <c r="G97" s="41">
        <f>IF($B97="","",VLOOKUP($C97,'200 ONERADO'!$A$3:$H$4201,6,0))</f>
        <v>459.34</v>
      </c>
      <c r="H97" s="42">
        <f t="shared" ref="H97" si="52">ROUND(G97*(1+$I$5),2)</f>
        <v>551.21</v>
      </c>
      <c r="I97" s="43">
        <f t="shared" ref="I97" si="53">IF($B97="","",ROUND(F97*H97,2))</f>
        <v>551.21</v>
      </c>
      <c r="K97" s="614">
        <f t="shared" si="37"/>
        <v>2.9999999999999997E-4</v>
      </c>
      <c r="N97" s="40"/>
    </row>
    <row r="98" spans="1:14" ht="25.5" x14ac:dyDescent="0.2">
      <c r="A98" s="44" t="s">
        <v>21891</v>
      </c>
      <c r="B98" s="37" t="s">
        <v>97</v>
      </c>
      <c r="C98" s="46" t="s">
        <v>14707</v>
      </c>
      <c r="D98" s="38" t="str">
        <f>IF($B98="","",VLOOKUP($C98,'200 ONERADO'!$A$3:$G$4201,2,0))</f>
        <v>Armário/gabinete embutido em MDF sob medida, revestido em laminado melamínico, com portas e prateleiras</v>
      </c>
      <c r="E98" s="39" t="str">
        <f>IF($B98="","",VLOOKUP($C98,'200 ONERADO'!$A$3:$G$4201,3,0))</f>
        <v>m²</v>
      </c>
      <c r="F98" s="154">
        <f>HIDRÁULICA!E49</f>
        <v>5.28</v>
      </c>
      <c r="G98" s="41">
        <f>IF($B98="","",VLOOKUP($C98,'200 ONERADO'!$A$3:$H$4201,6,0))</f>
        <v>2708.47</v>
      </c>
      <c r="H98" s="42">
        <f t="shared" si="46"/>
        <v>3250.16</v>
      </c>
      <c r="I98" s="43">
        <f t="shared" si="47"/>
        <v>17160.84</v>
      </c>
      <c r="K98" s="614">
        <f t="shared" si="37"/>
        <v>1.0699999999999999E-2</v>
      </c>
      <c r="N98" s="40"/>
    </row>
    <row r="99" spans="1:14" x14ac:dyDescent="0.2">
      <c r="A99" s="239" t="s">
        <v>20428</v>
      </c>
      <c r="B99" s="240"/>
      <c r="C99" s="241"/>
      <c r="D99" s="242" t="s">
        <v>20576</v>
      </c>
      <c r="E99" s="243"/>
      <c r="F99" s="244"/>
      <c r="G99" s="245" t="str">
        <f>IF($B99="","",VLOOKUP($C99,'[1]BOLETIM 161'!$A$7:$F$4000,6,0))</f>
        <v/>
      </c>
      <c r="H99" s="246"/>
      <c r="I99" s="247">
        <f>SUBTOTAL(9,I100:I123)</f>
        <v>106892.1</v>
      </c>
      <c r="K99" s="615">
        <f t="shared" si="37"/>
        <v>6.6400000000000001E-2</v>
      </c>
      <c r="N99" s="40" t="s">
        <v>19055</v>
      </c>
    </row>
    <row r="100" spans="1:14" ht="25.5" x14ac:dyDescent="0.2">
      <c r="A100" s="44" t="s">
        <v>21494</v>
      </c>
      <c r="B100" s="570" t="s">
        <v>20424</v>
      </c>
      <c r="C100" s="40" t="s">
        <v>21678</v>
      </c>
      <c r="D100" s="38" t="s">
        <v>21679</v>
      </c>
      <c r="E100" s="39" t="s">
        <v>20385</v>
      </c>
      <c r="F100" s="154">
        <v>1</v>
      </c>
      <c r="G100" s="41">
        <v>10061.89</v>
      </c>
      <c r="H100" s="42">
        <f>ROUND(G100*(1+$I$5),2)</f>
        <v>12074.27</v>
      </c>
      <c r="I100" s="43">
        <f>IF($B100="","",ROUND(F100*H100,2))</f>
        <v>12074.27</v>
      </c>
      <c r="K100" s="614">
        <f t="shared" si="37"/>
        <v>7.4999999999999997E-3</v>
      </c>
      <c r="M100" s="210">
        <v>12376.12</v>
      </c>
      <c r="N100" s="441">
        <f>ROUND(M100/1.23,2)</f>
        <v>10061.89</v>
      </c>
    </row>
    <row r="101" spans="1:14" ht="25.5" x14ac:dyDescent="0.2">
      <c r="A101" s="44" t="s">
        <v>21495</v>
      </c>
      <c r="B101" s="37" t="s">
        <v>97</v>
      </c>
      <c r="C101" s="40" t="s">
        <v>16124</v>
      </c>
      <c r="D101" s="38" t="str">
        <f>IF($B101="","",VLOOKUP($C101,'200 ONERADO'!$A$3:$G$4201,2,0))</f>
        <v>Quadro de distribuição universal de embutir, para disjuntores 16 DIN / 12 Bolt-on - 150 A - sem componentes</v>
      </c>
      <c r="E101" s="39" t="str">
        <f>IF($B101="","",VLOOKUP($C101,'200 ONERADO'!$A$3:$G$4201,3,0))</f>
        <v>un</v>
      </c>
      <c r="F101" s="154">
        <v>2</v>
      </c>
      <c r="G101" s="41">
        <f>IF($B101="","",VLOOKUP($C101,'200 ONERADO'!$A$3:$H$4201,6,0))</f>
        <v>571.28</v>
      </c>
      <c r="H101" s="42">
        <f>ROUND(G101*(1+$I$5),2)</f>
        <v>685.54</v>
      </c>
      <c r="I101" s="43">
        <f>IF($B101="","",ROUND(F101*H101,2))</f>
        <v>1371.08</v>
      </c>
      <c r="K101" s="614">
        <f t="shared" si="37"/>
        <v>8.9999999999999998E-4</v>
      </c>
      <c r="L101"/>
      <c r="M101"/>
      <c r="N101" s="393"/>
    </row>
    <row r="102" spans="1:14" ht="25.5" x14ac:dyDescent="0.2">
      <c r="A102" s="44" t="s">
        <v>21496</v>
      </c>
      <c r="B102" s="37" t="s">
        <v>97</v>
      </c>
      <c r="C102" s="40" t="s">
        <v>16128</v>
      </c>
      <c r="D102" s="38" t="str">
        <f>IF($B102="","",VLOOKUP($C102,'200 ONERADO'!$A$3:$G$4201,2,0))</f>
        <v>Quadro de distribuição universal de embutir, para disjuntores 34 DIN / 24 Bolt-on - 150 A - sem componentes</v>
      </c>
      <c r="E102" s="39" t="str">
        <f>IF($B102="","",VLOOKUP($C102,'200 ONERADO'!$A$3:$G$4201,3,0))</f>
        <v>un</v>
      </c>
      <c r="F102" s="154">
        <v>1</v>
      </c>
      <c r="G102" s="41">
        <f>IF($B102="","",VLOOKUP($C102,'200 ONERADO'!$A$3:$H$4201,6,0))</f>
        <v>832.66</v>
      </c>
      <c r="H102" s="42">
        <f>ROUND(G102*(1+$I$5),2)</f>
        <v>999.19</v>
      </c>
      <c r="I102" s="43">
        <f>IF($B102="","",ROUND(F102*H102,2))</f>
        <v>999.19</v>
      </c>
      <c r="K102" s="614">
        <f t="shared" si="37"/>
        <v>5.9999999999999995E-4</v>
      </c>
      <c r="L102" s="1">
        <f>PI()*0.0508</f>
        <v>0.15959290680236149</v>
      </c>
      <c r="M102" s="1">
        <f>L102*7.4</f>
        <v>1.1809875103374752</v>
      </c>
    </row>
    <row r="103" spans="1:14" ht="25.5" x14ac:dyDescent="0.2">
      <c r="A103" s="44" t="s">
        <v>21497</v>
      </c>
      <c r="B103" s="37" t="s">
        <v>97</v>
      </c>
      <c r="C103" s="40" t="s">
        <v>16230</v>
      </c>
      <c r="D103" s="38" t="str">
        <f>IF($B103="","",VLOOKUP($C103,'200 ONERADO'!$A$3:$G$4201,2,0))</f>
        <v>Mini-disjuntor termomagnético, bipolar 220/380 V, corrente de 10 A até 32 A</v>
      </c>
      <c r="E103" s="39" t="str">
        <f>IF($B103="","",VLOOKUP($C103,'200 ONERADO'!$A$3:$G$4201,3,0))</f>
        <v>un</v>
      </c>
      <c r="F103" s="154">
        <f>ILUMINAÇÃO!C71</f>
        <v>31</v>
      </c>
      <c r="G103" s="41">
        <f>IF($B103="","",VLOOKUP($C103,'200 ONERADO'!$A$3:$H$4201,6,0))</f>
        <v>54.08</v>
      </c>
      <c r="H103" s="42">
        <f>ROUND(G103*(1+$I$5),2)</f>
        <v>64.900000000000006</v>
      </c>
      <c r="I103" s="43">
        <f>IF($B103="","",ROUND(F103*H103,2))</f>
        <v>2011.9</v>
      </c>
      <c r="K103" s="614">
        <f t="shared" si="37"/>
        <v>1.1999999999999999E-3</v>
      </c>
      <c r="L103" s="53"/>
      <c r="M103" s="1">
        <v>1.18</v>
      </c>
    </row>
    <row r="104" spans="1:14" ht="25.5" x14ac:dyDescent="0.2">
      <c r="A104" s="44" t="s">
        <v>21498</v>
      </c>
      <c r="B104" s="37" t="s">
        <v>97</v>
      </c>
      <c r="C104" s="40" t="s">
        <v>16232</v>
      </c>
      <c r="D104" s="38" t="str">
        <f>IF($B104="","",VLOOKUP($C104,'200 ONERADO'!$A$3:$G$4201,2,0))</f>
        <v>Mini-disjuntor termomagnético, bipolar 220/380 V, corrente de 40 A até 50 A</v>
      </c>
      <c r="E104" s="39" t="str">
        <f>IF($B104="","",VLOOKUP($C104,'200 ONERADO'!$A$3:$G$4201,3,0))</f>
        <v>un</v>
      </c>
      <c r="F104" s="154">
        <v>4</v>
      </c>
      <c r="G104" s="41">
        <f>IF($B104="","",VLOOKUP($C104,'200 ONERADO'!$A$3:$H$4201,6,0))</f>
        <v>54.53</v>
      </c>
      <c r="H104" s="42">
        <f t="shared" ref="H104:H121" si="54">ROUND(G104*(1+$I$5),2)</f>
        <v>65.44</v>
      </c>
      <c r="I104" s="43">
        <f t="shared" ref="I104:I121" si="55">IF($B104="","",ROUND(F104*H104,2))</f>
        <v>261.76</v>
      </c>
      <c r="K104" s="614">
        <f t="shared" si="37"/>
        <v>2.0000000000000001E-4</v>
      </c>
      <c r="L104" s="53"/>
    </row>
    <row r="105" spans="1:14" x14ac:dyDescent="0.2">
      <c r="A105" s="44" t="s">
        <v>21499</v>
      </c>
      <c r="B105" s="37" t="s">
        <v>97</v>
      </c>
      <c r="C105" s="40" t="s">
        <v>16236</v>
      </c>
      <c r="D105" s="38" t="str">
        <f>IF($B105="","",VLOOKUP($C105,'200 ONERADO'!$A$3:$G$4201,2,0))</f>
        <v>Mini-disjuntor termomagnético, bipolar 400 V, corrente de 80 A até 100 A</v>
      </c>
      <c r="E105" s="39" t="str">
        <f>IF($B105="","",VLOOKUP($C105,'200 ONERADO'!$A$3:$G$4201,3,0))</f>
        <v>un</v>
      </c>
      <c r="F105" s="154">
        <v>3</v>
      </c>
      <c r="G105" s="41">
        <f>IF($B105="","",VLOOKUP($C105,'200 ONERADO'!$A$3:$H$4201,6,0))</f>
        <v>148.09</v>
      </c>
      <c r="H105" s="42">
        <f t="shared" ref="H105" si="56">ROUND(G105*(1+$I$5),2)</f>
        <v>177.71</v>
      </c>
      <c r="I105" s="43">
        <f t="shared" ref="I105" si="57">IF($B105="","",ROUND(F105*H105,2))</f>
        <v>533.13</v>
      </c>
      <c r="K105" s="614">
        <f t="shared" si="37"/>
        <v>2.9999999999999997E-4</v>
      </c>
      <c r="L105" s="53"/>
    </row>
    <row r="106" spans="1:14" ht="25.5" x14ac:dyDescent="0.2">
      <c r="A106" s="44" t="s">
        <v>21500</v>
      </c>
      <c r="B106" s="37" t="s">
        <v>97</v>
      </c>
      <c r="C106" s="40" t="s">
        <v>16547</v>
      </c>
      <c r="D106" s="38" t="str">
        <f>IF($B106="","",VLOOKUP($C106,'200 ONERADO'!$A$3:$G$4201,2,0))</f>
        <v>Eletroduto corrugado em polietileno de alta densidade, DN= 75 mm, com acessórios</v>
      </c>
      <c r="E106" s="39" t="str">
        <f>IF($B106="","",VLOOKUP($C106,'200 ONERADO'!$A$3:$G$4201,3,0))</f>
        <v>m</v>
      </c>
      <c r="F106" s="154">
        <v>50</v>
      </c>
      <c r="G106" s="41">
        <f>IF($B106="","",VLOOKUP($C106,'200 ONERADO'!$A$3:$H$4201,6,0))</f>
        <v>17.07</v>
      </c>
      <c r="H106" s="42">
        <f t="shared" si="54"/>
        <v>20.48</v>
      </c>
      <c r="I106" s="43">
        <f t="shared" si="55"/>
        <v>1024</v>
      </c>
      <c r="K106" s="614">
        <f t="shared" si="37"/>
        <v>5.9999999999999995E-4</v>
      </c>
      <c r="L106" s="53"/>
    </row>
    <row r="107" spans="1:14" x14ac:dyDescent="0.2">
      <c r="A107" s="44" t="s">
        <v>21774</v>
      </c>
      <c r="B107" s="37" t="s">
        <v>97</v>
      </c>
      <c r="C107" s="40" t="s">
        <v>16605</v>
      </c>
      <c r="D107" s="38" t="str">
        <f>IF($B107="","",VLOOKUP($C107,'200 ONERADO'!$A$3:$G$4201,2,0))</f>
        <v>Eletroduto de PVC corrugado flexível leve, diâmetro externo de 32 mm</v>
      </c>
      <c r="E107" s="39" t="str">
        <f>IF($B107="","",VLOOKUP($C107,'200 ONERADO'!$A$3:$G$4201,3,0))</f>
        <v>m</v>
      </c>
      <c r="F107" s="154">
        <f>ILUMINAÇÃO!G36</f>
        <v>1422</v>
      </c>
      <c r="G107" s="41">
        <f>IF($B107="","",VLOOKUP($C107,'200 ONERADO'!$A$3:$H$4201,6,0))</f>
        <v>21.66</v>
      </c>
      <c r="H107" s="42">
        <f t="shared" si="54"/>
        <v>25.99</v>
      </c>
      <c r="I107" s="43">
        <f t="shared" si="55"/>
        <v>36957.78</v>
      </c>
      <c r="K107" s="614">
        <f t="shared" si="37"/>
        <v>2.3E-2</v>
      </c>
      <c r="L107" s="53"/>
    </row>
    <row r="108" spans="1:14" x14ac:dyDescent="0.2">
      <c r="A108" s="635" t="s">
        <v>21775</v>
      </c>
      <c r="B108" s="37" t="s">
        <v>97</v>
      </c>
      <c r="C108" s="40" t="s">
        <v>16694</v>
      </c>
      <c r="D108" s="38" t="str">
        <f>IF($B108="","",VLOOKUP($C108,'200 ONERADO'!$A$3:$G$4201,2,0))</f>
        <v>Cabo de cobre de 2,5 mm², isolamento 750 V - isolação em PVC 70°C</v>
      </c>
      <c r="E108" s="39" t="str">
        <f>IF($B108="","",VLOOKUP($C108,'200 ONERADO'!$A$3:$G$4201,3,0))</f>
        <v>m</v>
      </c>
      <c r="F108" s="625">
        <f>ILUMINAÇÃO!H36</f>
        <v>1686</v>
      </c>
      <c r="G108" s="41">
        <f>IF($B108="","",VLOOKUP($C108,'200 ONERADO'!$A$3:$H$4201,6,0))</f>
        <v>4.6500000000000004</v>
      </c>
      <c r="H108" s="42">
        <f t="shared" si="54"/>
        <v>5.58</v>
      </c>
      <c r="I108" s="43">
        <f t="shared" si="55"/>
        <v>9407.8799999999992</v>
      </c>
      <c r="K108" s="614">
        <f t="shared" si="37"/>
        <v>5.7999999999999996E-3</v>
      </c>
      <c r="L108" s="53"/>
    </row>
    <row r="109" spans="1:14" x14ac:dyDescent="0.2">
      <c r="A109" s="635" t="s">
        <v>21776</v>
      </c>
      <c r="B109" s="37" t="s">
        <v>97</v>
      </c>
      <c r="C109" s="40" t="s">
        <v>16696</v>
      </c>
      <c r="D109" s="38" t="str">
        <f>IF($B109="","",VLOOKUP($C109,'200 ONERADO'!$A$3:$G$4201,2,0))</f>
        <v>Cabo de cobre de 4 mm², isolamento 750 V - isolação em PVC 70°C</v>
      </c>
      <c r="E109" s="39" t="str">
        <f>IF($B109="","",VLOOKUP($C109,'200 ONERADO'!$A$3:$G$4201,3,0))</f>
        <v>m</v>
      </c>
      <c r="F109" s="625">
        <f>ILUMINAÇÃO!I36</f>
        <v>1404</v>
      </c>
      <c r="G109" s="41">
        <f>IF($B109="","",VLOOKUP($C109,'200 ONERADO'!$A$3:$H$4201,6,0))</f>
        <v>7.25</v>
      </c>
      <c r="H109" s="42">
        <f t="shared" si="54"/>
        <v>8.6999999999999993</v>
      </c>
      <c r="I109" s="43">
        <f t="shared" si="55"/>
        <v>12214.8</v>
      </c>
      <c r="K109" s="614">
        <f t="shared" si="37"/>
        <v>7.6E-3</v>
      </c>
      <c r="L109" s="53"/>
    </row>
    <row r="110" spans="1:14" x14ac:dyDescent="0.2">
      <c r="A110" s="635" t="s">
        <v>21777</v>
      </c>
      <c r="B110" s="37" t="s">
        <v>97</v>
      </c>
      <c r="C110" s="40" t="s">
        <v>16698</v>
      </c>
      <c r="D110" s="38" t="str">
        <f>IF($B110="","",VLOOKUP($C110,'200 ONERADO'!$A$3:$G$4201,2,0))</f>
        <v>Cabo de cobre de 6 mm², isolamento 750 V - isolação em PVC 70°C</v>
      </c>
      <c r="E110" s="39" t="str">
        <f>IF($B110="","",VLOOKUP($C110,'200 ONERADO'!$A$3:$G$4201,3,0))</f>
        <v>m</v>
      </c>
      <c r="F110" s="625">
        <f>ILUMINAÇÃO!J36</f>
        <v>450</v>
      </c>
      <c r="G110" s="41">
        <f>IF($B110="","",VLOOKUP($C110,'200 ONERADO'!$A$3:$H$4201,6,0))</f>
        <v>9.7200000000000006</v>
      </c>
      <c r="H110" s="42">
        <f t="shared" ref="H110" si="58">ROUND(G110*(1+$I$5),2)</f>
        <v>11.66</v>
      </c>
      <c r="I110" s="43">
        <f t="shared" ref="I110" si="59">IF($B110="","",ROUND(F110*H110,2))</f>
        <v>5247</v>
      </c>
      <c r="K110" s="614">
        <f t="shared" si="37"/>
        <v>3.3E-3</v>
      </c>
      <c r="L110" s="53"/>
    </row>
    <row r="111" spans="1:14" x14ac:dyDescent="0.2">
      <c r="A111" s="635" t="s">
        <v>21778</v>
      </c>
      <c r="B111" s="37" t="s">
        <v>97</v>
      </c>
      <c r="C111" s="40" t="s">
        <v>16700</v>
      </c>
      <c r="D111" s="38" t="str">
        <f>IF($B111="","",VLOOKUP($C111,'200 ONERADO'!$A$3:$G$4201,2,0))</f>
        <v>Cabo de cobre de 10 mm², isolamento 750 V - isolação em PVC 70°C</v>
      </c>
      <c r="E111" s="39" t="str">
        <f>IF($B111="","",VLOOKUP($C111,'200 ONERADO'!$A$3:$G$4201,3,0))</f>
        <v>m</v>
      </c>
      <c r="F111" s="625">
        <f>ILUMINAÇÃO!K36</f>
        <v>200</v>
      </c>
      <c r="G111" s="41">
        <f>IF($B111="","",VLOOKUP($C111,'200 ONERADO'!$A$3:$H$4201,6,0))</f>
        <v>14.2</v>
      </c>
      <c r="H111" s="42">
        <f t="shared" si="54"/>
        <v>17.04</v>
      </c>
      <c r="I111" s="43">
        <f t="shared" si="55"/>
        <v>3408</v>
      </c>
      <c r="K111" s="614">
        <f t="shared" si="37"/>
        <v>2.0999999999999999E-3</v>
      </c>
      <c r="L111" s="53"/>
    </row>
    <row r="112" spans="1:14" x14ac:dyDescent="0.2">
      <c r="A112" s="635" t="s">
        <v>21779</v>
      </c>
      <c r="B112" s="37" t="s">
        <v>97</v>
      </c>
      <c r="C112" s="40" t="s">
        <v>16872</v>
      </c>
      <c r="D112" s="38" t="str">
        <f>IF($B112="","",VLOOKUP($C112,'200 ONERADO'!$A$3:$G$4201,2,0))</f>
        <v>Cabo de cobre flexível de 25 mm², isolamento 0,6/1kV - isolação HEPR 90°C</v>
      </c>
      <c r="E112" s="39" t="str">
        <f>IF($B112="","",VLOOKUP($C112,'200 ONERADO'!$A$3:$G$4201,3,0))</f>
        <v>m</v>
      </c>
      <c r="F112" s="625">
        <f>2*F106</f>
        <v>100</v>
      </c>
      <c r="G112" s="41">
        <f>IF($B112="","",VLOOKUP($C112,'200 ONERADO'!$A$3:$H$4201,6,0))</f>
        <v>25.48</v>
      </c>
      <c r="H112" s="42">
        <f t="shared" si="54"/>
        <v>30.58</v>
      </c>
      <c r="I112" s="43">
        <f t="shared" si="55"/>
        <v>3058</v>
      </c>
      <c r="K112" s="614">
        <f t="shared" si="37"/>
        <v>1.9E-3</v>
      </c>
      <c r="L112" s="617">
        <f>K108+K109+K110+K111+K112</f>
        <v>2.07E-2</v>
      </c>
    </row>
    <row r="113" spans="1:14" x14ac:dyDescent="0.2">
      <c r="A113" s="44" t="s">
        <v>21780</v>
      </c>
      <c r="B113" s="37" t="s">
        <v>97</v>
      </c>
      <c r="C113" s="40" t="s">
        <v>16647</v>
      </c>
      <c r="D113" s="38" t="str">
        <f>IF($B113="","",VLOOKUP($C113,'200 ONERADO'!$A$3:$G$4201,2,0))</f>
        <v>Eletrocalha perfurada galvanizada a fogo, 150 x 50 mm, com acessórios</v>
      </c>
      <c r="E113" s="39" t="str">
        <f>IF($B113="","",VLOOKUP($C113,'200 ONERADO'!$A$3:$G$4201,3,0))</f>
        <v>m</v>
      </c>
      <c r="F113" s="154">
        <v>50</v>
      </c>
      <c r="G113" s="41">
        <f>IF($B113="","",VLOOKUP($C113,'200 ONERADO'!$A$3:$H$4201,6,0))</f>
        <v>102.9</v>
      </c>
      <c r="H113" s="42">
        <f t="shared" si="54"/>
        <v>123.48</v>
      </c>
      <c r="I113" s="43">
        <f t="shared" si="55"/>
        <v>6174</v>
      </c>
      <c r="K113" s="614">
        <f t="shared" si="37"/>
        <v>3.8E-3</v>
      </c>
      <c r="L113" s="53"/>
    </row>
    <row r="114" spans="1:14" x14ac:dyDescent="0.2">
      <c r="A114" s="44" t="s">
        <v>21781</v>
      </c>
      <c r="B114" s="37" t="s">
        <v>97</v>
      </c>
      <c r="C114" s="40" t="s">
        <v>16956</v>
      </c>
      <c r="D114" s="38" t="str">
        <f>IF($B114="","",VLOOKUP($C114,'200 ONERADO'!$A$3:$G$4201,2,0))</f>
        <v>Caixa de ferro estampada 4´ x 2´</v>
      </c>
      <c r="E114" s="39" t="str">
        <f>IF($B114="","",VLOOKUP($C114,'200 ONERADO'!$A$3:$G$4201,3,0))</f>
        <v>un</v>
      </c>
      <c r="F114" s="154">
        <f>ILUMINAÇÃO!K71</f>
        <v>273</v>
      </c>
      <c r="G114" s="41">
        <f>IF($B114="","",VLOOKUP($C114,'200 ONERADO'!$A$3:$H$4201,6,0))</f>
        <v>15.92</v>
      </c>
      <c r="H114" s="42">
        <f t="shared" ref="H114" si="60">ROUND(G114*(1+$I$5),2)</f>
        <v>19.100000000000001</v>
      </c>
      <c r="I114" s="43">
        <f t="shared" ref="I114" si="61">IF($B114="","",ROUND(F114*H114,2))</f>
        <v>5214.3</v>
      </c>
      <c r="K114" s="614">
        <f t="shared" si="37"/>
        <v>3.2000000000000002E-3</v>
      </c>
      <c r="L114" s="53"/>
    </row>
    <row r="115" spans="1:14" x14ac:dyDescent="0.2">
      <c r="A115" s="44" t="s">
        <v>21782</v>
      </c>
      <c r="B115" s="37" t="s">
        <v>97</v>
      </c>
      <c r="C115" s="40" t="s">
        <v>17003</v>
      </c>
      <c r="D115" s="38" t="str">
        <f>IF($B115="","",VLOOKUP($C115,'200 ONERADO'!$A$3:$G$4201,2,0))</f>
        <v>Tomada 2P+T de 10 A - 250 V, completa</v>
      </c>
      <c r="E115" s="39" t="str">
        <f>IF($B115="","",VLOOKUP($C115,'200 ONERADO'!$A$3:$G$4201,3,0))</f>
        <v>cj</v>
      </c>
      <c r="F115" s="154">
        <f>ILUMINAÇÃO!D71</f>
        <v>77</v>
      </c>
      <c r="G115" s="41">
        <f>IF($B115="","",VLOOKUP($C115,'200 ONERADO'!$A$3:$H$4201,6,0))</f>
        <v>29.59</v>
      </c>
      <c r="H115" s="42">
        <f t="shared" si="54"/>
        <v>35.51</v>
      </c>
      <c r="I115" s="43">
        <f t="shared" si="55"/>
        <v>2734.27</v>
      </c>
      <c r="K115" s="614">
        <f t="shared" si="37"/>
        <v>1.6999999999999999E-3</v>
      </c>
      <c r="L115" s="53"/>
    </row>
    <row r="116" spans="1:14" x14ac:dyDescent="0.2">
      <c r="A116" s="44" t="s">
        <v>21783</v>
      </c>
      <c r="B116" s="37" t="s">
        <v>97</v>
      </c>
      <c r="C116" s="40" t="s">
        <v>17005</v>
      </c>
      <c r="D116" s="38" t="str">
        <f>IF($B116="","",VLOOKUP($C116,'200 ONERADO'!$A$3:$G$4201,2,0))</f>
        <v>Tomada 2P+T de 20 A - 250 V, completa</v>
      </c>
      <c r="E116" s="39" t="str">
        <f>IF($B116="","",VLOOKUP($C116,'200 ONERADO'!$A$3:$G$4201,3,0))</f>
        <v>cj</v>
      </c>
      <c r="F116" s="154">
        <f>ILUMINAÇÃO!F71</f>
        <v>10</v>
      </c>
      <c r="G116" s="41">
        <f>IF($B116="","",VLOOKUP($C116,'200 ONERADO'!$A$3:$H$4201,6,0))</f>
        <v>30.67</v>
      </c>
      <c r="H116" s="42">
        <f t="shared" si="54"/>
        <v>36.799999999999997</v>
      </c>
      <c r="I116" s="43">
        <f t="shared" si="55"/>
        <v>368</v>
      </c>
      <c r="K116" s="614">
        <f t="shared" si="37"/>
        <v>2.0000000000000001E-4</v>
      </c>
      <c r="L116" s="53"/>
    </row>
    <row r="117" spans="1:14" x14ac:dyDescent="0.2">
      <c r="A117" s="44" t="s">
        <v>21784</v>
      </c>
      <c r="B117" s="37" t="s">
        <v>97</v>
      </c>
      <c r="C117" s="40" t="s">
        <v>17007</v>
      </c>
      <c r="D117" s="38" t="str">
        <f>IF($B117="","",VLOOKUP($C117,'200 ONERADO'!$A$3:$G$4201,2,0))</f>
        <v>Conjunto 2 tomadas 2P+T de 10 A, completo</v>
      </c>
      <c r="E117" s="39" t="str">
        <f>IF($B117="","",VLOOKUP($C117,'200 ONERADO'!$A$3:$G$4201,3,0))</f>
        <v>cj</v>
      </c>
      <c r="F117" s="154">
        <f>ILUMINAÇÃO!E71</f>
        <v>40</v>
      </c>
      <c r="G117" s="41">
        <f>IF($B117="","",VLOOKUP($C117,'200 ONERADO'!$A$3:$H$4201,6,0))</f>
        <v>49.52</v>
      </c>
      <c r="H117" s="42">
        <f t="shared" si="54"/>
        <v>59.42</v>
      </c>
      <c r="I117" s="43">
        <f t="shared" si="55"/>
        <v>2376.8000000000002</v>
      </c>
      <c r="K117" s="614">
        <f t="shared" si="37"/>
        <v>1.5E-3</v>
      </c>
      <c r="L117" s="53"/>
    </row>
    <row r="118" spans="1:14" x14ac:dyDescent="0.2">
      <c r="A118" s="44" t="s">
        <v>21785</v>
      </c>
      <c r="B118" s="37" t="s">
        <v>97</v>
      </c>
      <c r="C118" s="40" t="s">
        <v>17015</v>
      </c>
      <c r="D118" s="38" t="str">
        <f>IF($B118="","",VLOOKUP($C118,'200 ONERADO'!$A$3:$G$4201,2,0))</f>
        <v>Interruptor com 1 tecla simples e placa</v>
      </c>
      <c r="E118" s="39" t="str">
        <f>IF($B118="","",VLOOKUP($C118,'200 ONERADO'!$A$3:$G$4201,3,0))</f>
        <v>cj</v>
      </c>
      <c r="F118" s="154">
        <f>ILUMINAÇÃO!H71-F121</f>
        <v>12</v>
      </c>
      <c r="G118" s="41">
        <f>IF($B118="","",VLOOKUP($C118,'200 ONERADO'!$A$3:$H$4201,6,0))</f>
        <v>33.299999999999997</v>
      </c>
      <c r="H118" s="42">
        <f t="shared" si="54"/>
        <v>39.96</v>
      </c>
      <c r="I118" s="43">
        <f t="shared" si="55"/>
        <v>479.52</v>
      </c>
      <c r="K118" s="614">
        <f t="shared" si="37"/>
        <v>2.9999999999999997E-4</v>
      </c>
      <c r="L118" s="53"/>
    </row>
    <row r="119" spans="1:14" x14ac:dyDescent="0.2">
      <c r="A119" s="44" t="s">
        <v>21786</v>
      </c>
      <c r="B119" s="37" t="s">
        <v>97</v>
      </c>
      <c r="C119" s="40" t="s">
        <v>17017</v>
      </c>
      <c r="D119" s="38" t="str">
        <f>IF($B119="","",VLOOKUP($C119,'200 ONERADO'!$A$3:$G$4201,2,0))</f>
        <v>Interruptor com 2 teclas simples e placa</v>
      </c>
      <c r="E119" s="39" t="str">
        <f>IF($B119="","",VLOOKUP($C119,'200 ONERADO'!$A$3:$G$4201,3,0))</f>
        <v>cj</v>
      </c>
      <c r="F119" s="154">
        <f>ILUMINAÇÃO!I71-F122</f>
        <v>7</v>
      </c>
      <c r="G119" s="41">
        <f>IF($B119="","",VLOOKUP($C119,'200 ONERADO'!$A$3:$H$4201,6,0))</f>
        <v>44.2</v>
      </c>
      <c r="H119" s="42">
        <f t="shared" si="54"/>
        <v>53.04</v>
      </c>
      <c r="I119" s="43">
        <f t="shared" si="55"/>
        <v>371.28</v>
      </c>
      <c r="K119" s="614">
        <f t="shared" si="37"/>
        <v>2.0000000000000001E-4</v>
      </c>
      <c r="L119" s="53"/>
    </row>
    <row r="120" spans="1:14" x14ac:dyDescent="0.2">
      <c r="A120" s="44" t="s">
        <v>21787</v>
      </c>
      <c r="B120" s="37" t="s">
        <v>97</v>
      </c>
      <c r="C120" s="40" t="s">
        <v>17019</v>
      </c>
      <c r="D120" s="38" t="str">
        <f>IF($B120="","",VLOOKUP($C120,'200 ONERADO'!$A$3:$G$4201,2,0))</f>
        <v>Interruptor com 3 teclas simples e placa</v>
      </c>
      <c r="E120" s="39" t="str">
        <f>IF($B120="","",VLOOKUP($C120,'200 ONERADO'!$A$3:$G$4201,3,0))</f>
        <v>cj</v>
      </c>
      <c r="F120" s="154">
        <f>ILUMINAÇÃO!J71-F123</f>
        <v>4</v>
      </c>
      <c r="G120" s="41">
        <f>IF($B120="","",VLOOKUP($C120,'200 ONERADO'!$A$3:$H$4201,6,0))</f>
        <v>54.83</v>
      </c>
      <c r="H120" s="42">
        <f t="shared" si="54"/>
        <v>65.8</v>
      </c>
      <c r="I120" s="43">
        <f t="shared" si="55"/>
        <v>263.2</v>
      </c>
      <c r="K120" s="614">
        <f t="shared" si="37"/>
        <v>2.0000000000000001E-4</v>
      </c>
      <c r="L120" s="53"/>
    </row>
    <row r="121" spans="1:14" x14ac:dyDescent="0.2">
      <c r="A121" s="44" t="s">
        <v>21788</v>
      </c>
      <c r="B121" s="37" t="s">
        <v>97</v>
      </c>
      <c r="C121" s="40" t="s">
        <v>17021</v>
      </c>
      <c r="D121" s="38" t="str">
        <f>IF($B121="","",VLOOKUP($C121,'200 ONERADO'!$A$3:$G$4201,2,0))</f>
        <v>Interruptor com 1 tecla paralelo e placa</v>
      </c>
      <c r="E121" s="39" t="str">
        <f>IF($B121="","",VLOOKUP($C121,'200 ONERADO'!$A$3:$G$4201,3,0))</f>
        <v>cj</v>
      </c>
      <c r="F121" s="154">
        <v>6</v>
      </c>
      <c r="G121" s="41">
        <f>IF($B121="","",VLOOKUP($C121,'200 ONERADO'!$A$3:$H$4201,6,0))</f>
        <v>33.71</v>
      </c>
      <c r="H121" s="42">
        <f t="shared" si="54"/>
        <v>40.450000000000003</v>
      </c>
      <c r="I121" s="43">
        <f t="shared" si="55"/>
        <v>242.7</v>
      </c>
      <c r="K121" s="614">
        <f t="shared" si="37"/>
        <v>2.0000000000000001E-4</v>
      </c>
      <c r="L121" s="53"/>
    </row>
    <row r="122" spans="1:14" x14ac:dyDescent="0.2">
      <c r="A122" s="44" t="s">
        <v>21789</v>
      </c>
      <c r="B122" s="37" t="s">
        <v>97</v>
      </c>
      <c r="C122" s="40" t="s">
        <v>17025</v>
      </c>
      <c r="D122" s="38" t="str">
        <f>IF($B122="","",VLOOKUP($C122,'200 ONERADO'!$A$3:$G$4201,2,0))</f>
        <v>Interruptor com 2 teclas, 1 simples, 1 paralelo e placa</v>
      </c>
      <c r="E122" s="39" t="str">
        <f>IF($B122="","",VLOOKUP($C122,'200 ONERADO'!$A$3:$G$4201,3,0))</f>
        <v>cj</v>
      </c>
      <c r="F122" s="154">
        <v>1</v>
      </c>
      <c r="G122" s="41">
        <f>IF($B122="","",VLOOKUP($C122,'200 ONERADO'!$A$3:$H$4201,6,0))</f>
        <v>44.95</v>
      </c>
      <c r="H122" s="42">
        <f t="shared" ref="H122:H123" si="62">ROUND(G122*(1+$I$5),2)</f>
        <v>53.94</v>
      </c>
      <c r="I122" s="43">
        <f t="shared" ref="I122:I123" si="63">IF($B122="","",ROUND(F122*H122,2))</f>
        <v>53.94</v>
      </c>
      <c r="K122" s="614">
        <f t="shared" si="37"/>
        <v>0</v>
      </c>
      <c r="L122" s="53"/>
    </row>
    <row r="123" spans="1:14" x14ac:dyDescent="0.2">
      <c r="A123" s="44" t="s">
        <v>21790</v>
      </c>
      <c r="B123" s="37" t="s">
        <v>97</v>
      </c>
      <c r="C123" s="40" t="s">
        <v>17027</v>
      </c>
      <c r="D123" s="38" t="str">
        <f>IF($B123="","",VLOOKUP($C123,'200 ONERADO'!$A$3:$G$4201,2,0))</f>
        <v>Interruptor com 3 teclas, 2 simples, 1 paralelo e placa</v>
      </c>
      <c r="E123" s="39" t="str">
        <f>IF($B123="","",VLOOKUP($C123,'200 ONERADO'!$A$3:$G$4201,3,0))</f>
        <v>cj</v>
      </c>
      <c r="F123" s="154">
        <v>1</v>
      </c>
      <c r="G123" s="41">
        <f>IF($B123="","",VLOOKUP($C123,'200 ONERADO'!$A$3:$H$4201,6,0))</f>
        <v>37.75</v>
      </c>
      <c r="H123" s="42">
        <f t="shared" si="62"/>
        <v>45.3</v>
      </c>
      <c r="I123" s="43">
        <f t="shared" si="63"/>
        <v>45.3</v>
      </c>
      <c r="K123" s="614">
        <f t="shared" si="37"/>
        <v>0</v>
      </c>
      <c r="L123" s="53"/>
    </row>
    <row r="124" spans="1:14" x14ac:dyDescent="0.2">
      <c r="A124" s="239" t="s">
        <v>20429</v>
      </c>
      <c r="B124" s="240"/>
      <c r="C124" s="241"/>
      <c r="D124" s="242" t="s">
        <v>20426</v>
      </c>
      <c r="E124" s="243"/>
      <c r="F124" s="244"/>
      <c r="G124" s="245" t="str">
        <f>IF($B124="","",VLOOKUP($C124,'[1]BOLETIM 161'!$A$7:$F$4000,6,0))</f>
        <v/>
      </c>
      <c r="H124" s="246"/>
      <c r="I124" s="247">
        <f>SUBTOTAL(9,I125:I134)</f>
        <v>48322.05</v>
      </c>
      <c r="K124" s="615">
        <f t="shared" si="37"/>
        <v>0.03</v>
      </c>
    </row>
    <row r="125" spans="1:14" x14ac:dyDescent="0.2">
      <c r="A125" s="44" t="s">
        <v>21501</v>
      </c>
      <c r="B125" s="37" t="s">
        <v>97</v>
      </c>
      <c r="C125" s="40" t="s">
        <v>17278</v>
      </c>
      <c r="D125" s="38" t="str">
        <f>IF($B125="","",VLOOKUP($C125,'200 ONERADO'!$A$3:$G$4201,2,0))</f>
        <v>Luminária blindada tipo arandela de 45º e 90º, para lâmpada LED</v>
      </c>
      <c r="E125" s="39" t="str">
        <f>IF($B125="","",VLOOKUP($C125,'200 ONERADO'!$A$3:$G$4201,3,0))</f>
        <v>un</v>
      </c>
      <c r="F125" s="154">
        <f>ILUMINAÇÃO!M71</f>
        <v>21</v>
      </c>
      <c r="G125" s="41">
        <f>IF($B125="","",VLOOKUP($C125,'200 ONERADO'!$A$3:$H$4201,6,0))</f>
        <v>296.73</v>
      </c>
      <c r="H125" s="42">
        <f>ROUND(G125*(1+$I$5),2)</f>
        <v>356.08</v>
      </c>
      <c r="I125" s="43">
        <f t="shared" ref="I125:I134" si="64">IF($B125="","",ROUND(F125*H125,2))</f>
        <v>7477.68</v>
      </c>
      <c r="K125" s="614">
        <f t="shared" si="37"/>
        <v>4.5999999999999999E-3</v>
      </c>
      <c r="L125" s="45" t="s">
        <v>21661</v>
      </c>
    </row>
    <row r="126" spans="1:14" ht="25.5" x14ac:dyDescent="0.2">
      <c r="A126" s="44" t="s">
        <v>21502</v>
      </c>
      <c r="B126" s="37" t="s">
        <v>97</v>
      </c>
      <c r="C126" s="40" t="s">
        <v>17277</v>
      </c>
      <c r="D126" s="38" t="str">
        <f>IF($B126="","",VLOOKUP($C126,'200 ONERADO'!$A$3:$G$4201,2,0))</f>
        <v>Luminária blindada de sobrepor ou pendente em calha fechada, para 2 lâmpadas fluorescentes de 32 W/36 W/40 W</v>
      </c>
      <c r="E126" s="39" t="str">
        <f>IF($B126="","",VLOOKUP($C126,'200 ONERADO'!$A$3:$G$4201,3,0))</f>
        <v>un</v>
      </c>
      <c r="F126" s="154">
        <f>ILUMINAÇÃO!O71</f>
        <v>18</v>
      </c>
      <c r="G126" s="41">
        <f>IF($B126="","",VLOOKUP($C126,'200 ONERADO'!$A$3:$H$4201,6,0))</f>
        <v>258.69</v>
      </c>
      <c r="H126" s="42">
        <f t="shared" ref="H126:H134" si="65">ROUND(G126*(1+$I$5),2)</f>
        <v>310.43</v>
      </c>
      <c r="I126" s="43">
        <f t="shared" si="64"/>
        <v>5587.74</v>
      </c>
      <c r="K126" s="614">
        <f t="shared" si="37"/>
        <v>3.5000000000000001E-3</v>
      </c>
      <c r="L126" s="45" t="s">
        <v>21660</v>
      </c>
    </row>
    <row r="127" spans="1:14" x14ac:dyDescent="0.2">
      <c r="A127" s="44" t="s">
        <v>21503</v>
      </c>
      <c r="B127" s="570" t="s">
        <v>20424</v>
      </c>
      <c r="C127" s="40" t="s">
        <v>21982</v>
      </c>
      <c r="D127" s="38" t="s">
        <v>21658</v>
      </c>
      <c r="E127" s="39" t="s">
        <v>20385</v>
      </c>
      <c r="F127" s="154">
        <f>ILUMINAÇÃO!N71</f>
        <v>9</v>
      </c>
      <c r="G127" s="41">
        <v>127.33</v>
      </c>
      <c r="H127" s="42">
        <f t="shared" si="65"/>
        <v>152.80000000000001</v>
      </c>
      <c r="I127" s="43">
        <f t="shared" si="64"/>
        <v>1375.2</v>
      </c>
      <c r="K127" s="614">
        <f t="shared" si="37"/>
        <v>8.9999999999999998E-4</v>
      </c>
      <c r="L127" s="395" t="s">
        <v>21662</v>
      </c>
      <c r="M127" s="53">
        <v>156.61000000000001</v>
      </c>
      <c r="N127" s="53">
        <f>ROUND(M127/1.23,2)</f>
        <v>127.33</v>
      </c>
    </row>
    <row r="128" spans="1:14" ht="25.5" x14ac:dyDescent="0.2">
      <c r="A128" s="44" t="s">
        <v>21504</v>
      </c>
      <c r="B128" s="37" t="s">
        <v>97</v>
      </c>
      <c r="C128" s="40" t="s">
        <v>17274</v>
      </c>
      <c r="D128" s="38" t="str">
        <f>IF($B128="","",VLOOKUP($C128,'200 ONERADO'!$A$3:$G$4201,2,0))</f>
        <v>Projetor LED modular, fluxo luminoso de 26294 lm, eficiência mínima de 125 l/W - 150 W/200 W</v>
      </c>
      <c r="E128" s="39" t="str">
        <f>IF($B128="","",VLOOKUP($C128,'200 ONERADO'!$A$3:$G$4201,3,0))</f>
        <v>un</v>
      </c>
      <c r="F128" s="154">
        <f>ILUMINAÇÃO!T71</f>
        <v>15</v>
      </c>
      <c r="G128" s="41">
        <f>IF($B128="","",VLOOKUP($C128,'200 ONERADO'!$A$3:$H$4201,6,0))</f>
        <v>992.63</v>
      </c>
      <c r="H128" s="42">
        <f t="shared" si="65"/>
        <v>1191.1600000000001</v>
      </c>
      <c r="I128" s="43">
        <f t="shared" si="64"/>
        <v>17867.400000000001</v>
      </c>
      <c r="K128" s="614">
        <f t="shared" si="37"/>
        <v>1.11E-2</v>
      </c>
      <c r="L128" s="45" t="s">
        <v>21663</v>
      </c>
    </row>
    <row r="129" spans="1:12" ht="25.5" x14ac:dyDescent="0.2">
      <c r="A129" s="44" t="s">
        <v>21505</v>
      </c>
      <c r="B129" s="37" t="s">
        <v>97</v>
      </c>
      <c r="C129" s="40" t="s">
        <v>17320</v>
      </c>
      <c r="D129" s="38" t="str">
        <f>IF($B129="","",VLOOKUP($C129,'200 ONERADO'!$A$3:$G$4201,2,0))</f>
        <v>Luminária LED quadrada de sobrepor com difusor prismático translúcido, 4000 K, fluxo luminoso de 1363 a 1800 lm, potência de 15 W a 24 W</v>
      </c>
      <c r="E129" s="39" t="str">
        <f>IF($B129="","",VLOOKUP($C129,'200 ONERADO'!$A$3:$G$4201,3,0))</f>
        <v>un</v>
      </c>
      <c r="F129" s="154">
        <f>ILUMINAÇÃO!R71</f>
        <v>36</v>
      </c>
      <c r="G129" s="41">
        <f>IF($B129="","",VLOOKUP($C129,'200 ONERADO'!$A$3:$H$4201,6,0))</f>
        <v>228.05</v>
      </c>
      <c r="H129" s="42">
        <f t="shared" ref="H129" si="66">ROUND(G129*(1+$I$5),2)</f>
        <v>273.66000000000003</v>
      </c>
      <c r="I129" s="43">
        <f t="shared" ref="I129" si="67">IF($B129="","",ROUND(F129*H129,2))</f>
        <v>9851.76</v>
      </c>
      <c r="K129" s="614">
        <f t="shared" si="37"/>
        <v>6.1000000000000004E-3</v>
      </c>
      <c r="L129" s="45" t="s">
        <v>21664</v>
      </c>
    </row>
    <row r="130" spans="1:12" ht="25.5" x14ac:dyDescent="0.2">
      <c r="A130" s="44" t="s">
        <v>21506</v>
      </c>
      <c r="B130" s="37" t="s">
        <v>97</v>
      </c>
      <c r="C130" s="40" t="s">
        <v>20105</v>
      </c>
      <c r="D130" s="38" t="str">
        <f>IF($B130="","",VLOOKUP($C130,'200 ONERADO'!$A$3:$G$4201,2,0))</f>
        <v>Projetor LED retangular, potência de 30 W, fluxo luminoso de 2250 a 2400 lm, temperatura cor 6.500 K, bivolt</v>
      </c>
      <c r="E130" s="39" t="str">
        <f>IF($B130="","",VLOOKUP($C130,'200 ONERADO'!$A$3:$G$4201,3,0))</f>
        <v>un</v>
      </c>
      <c r="F130" s="154">
        <f>ILUMINAÇÃO!Q71</f>
        <v>2</v>
      </c>
      <c r="G130" s="41">
        <f>IF($B130="","",VLOOKUP($C130,'200 ONERADO'!$A$3:$H$4201,6,0))</f>
        <v>106.59</v>
      </c>
      <c r="H130" s="42">
        <f t="shared" ref="H130" si="68">ROUND(G130*(1+$I$5),2)</f>
        <v>127.91</v>
      </c>
      <c r="I130" s="43">
        <f t="shared" ref="I130" si="69">IF($B130="","",ROUND(F130*H130,2))</f>
        <v>255.82</v>
      </c>
      <c r="K130" s="614">
        <f t="shared" si="37"/>
        <v>2.0000000000000001E-4</v>
      </c>
      <c r="L130" s="45" t="s">
        <v>21665</v>
      </c>
    </row>
    <row r="131" spans="1:12" ht="25.5" x14ac:dyDescent="0.2">
      <c r="A131" s="44" t="s">
        <v>21507</v>
      </c>
      <c r="B131" s="37" t="s">
        <v>97</v>
      </c>
      <c r="C131" s="40" t="s">
        <v>17270</v>
      </c>
      <c r="D131" s="38" t="str">
        <f>IF($B131="","",VLOOKUP($C131,'200 ONERADO'!$A$3:$G$4201,2,0))</f>
        <v>Luminária LED redonda de embutir para parede ou piso, área interna ou externa, bivolt - potência 6 W</v>
      </c>
      <c r="E131" s="39" t="str">
        <f>IF($B131="","",VLOOKUP($C131,'200 ONERADO'!$A$3:$G$4201,3,0))</f>
        <v>un</v>
      </c>
      <c r="F131" s="154">
        <f>ILUMINAÇÃO!P71</f>
        <v>8</v>
      </c>
      <c r="G131" s="41">
        <f>IF($B131="","",VLOOKUP($C131,'200 ONERADO'!$A$3:$H$4201,6,0))</f>
        <v>101.34</v>
      </c>
      <c r="H131" s="42">
        <f t="shared" ref="H131" si="70">ROUND(G131*(1+$I$5),2)</f>
        <v>121.61</v>
      </c>
      <c r="I131" s="43">
        <f t="shared" ref="I131" si="71">IF($B131="","",ROUND(F131*H131,2))</f>
        <v>972.88</v>
      </c>
      <c r="K131" s="614">
        <f t="shared" si="37"/>
        <v>5.9999999999999995E-4</v>
      </c>
      <c r="L131" s="45" t="s">
        <v>21666</v>
      </c>
    </row>
    <row r="132" spans="1:12" x14ac:dyDescent="0.2">
      <c r="A132" s="44" t="s">
        <v>21508</v>
      </c>
      <c r="B132" s="37" t="s">
        <v>97</v>
      </c>
      <c r="C132" s="40" t="s">
        <v>17177</v>
      </c>
      <c r="D132" s="38" t="str">
        <f>IF($B132="","",VLOOKUP($C132,'200 ONERADO'!$A$3:$G$4201,2,0))</f>
        <v>Lâmpada LED tubular T8 com base G13, de 900 até 1050 Im - 9 a 10 W</v>
      </c>
      <c r="E132" s="39" t="str">
        <f>IF($B132="","",VLOOKUP($C132,'200 ONERADO'!$A$3:$G$4201,3,0))</f>
        <v>un</v>
      </c>
      <c r="F132" s="154">
        <v>6</v>
      </c>
      <c r="G132" s="41">
        <f>IF($B132="","",VLOOKUP($C132,'200 ONERADO'!$A$3:$H$4201,6,0))</f>
        <v>20.47</v>
      </c>
      <c r="H132" s="42">
        <f t="shared" si="65"/>
        <v>24.56</v>
      </c>
      <c r="I132" s="43">
        <f t="shared" si="64"/>
        <v>147.36000000000001</v>
      </c>
      <c r="K132" s="614">
        <f t="shared" si="37"/>
        <v>1E-4</v>
      </c>
    </row>
    <row r="133" spans="1:12" x14ac:dyDescent="0.2">
      <c r="A133" s="44" t="s">
        <v>21509</v>
      </c>
      <c r="B133" s="37" t="s">
        <v>97</v>
      </c>
      <c r="C133" s="40" t="s">
        <v>17178</v>
      </c>
      <c r="D133" s="38" t="str">
        <f>IF($B133="","",VLOOKUP($C133,'200 ONERADO'!$A$3:$G$4201,2,0))</f>
        <v>Lâmpada LED tubular T8 com base G13, de 1850 até 2000 Im - 18 a 20 W</v>
      </c>
      <c r="E133" s="39" t="str">
        <f>IF($B133="","",VLOOKUP($C133,'200 ONERADO'!$A$3:$G$4201,3,0))</f>
        <v>un</v>
      </c>
      <c r="F133" s="154">
        <f>ILUMINAÇÃO!N71+2*ILUMINAÇÃO!O71-F132</f>
        <v>39</v>
      </c>
      <c r="G133" s="41">
        <f>IF($B133="","",VLOOKUP($C133,'200 ONERADO'!$A$3:$H$4201,6,0))</f>
        <v>22.86</v>
      </c>
      <c r="H133" s="42">
        <f t="shared" si="65"/>
        <v>27.43</v>
      </c>
      <c r="I133" s="43">
        <f t="shared" si="64"/>
        <v>1069.77</v>
      </c>
      <c r="K133" s="614">
        <f t="shared" si="37"/>
        <v>6.9999999999999999E-4</v>
      </c>
    </row>
    <row r="134" spans="1:12" ht="38.25" x14ac:dyDescent="0.2">
      <c r="A134" s="44" t="s">
        <v>21510</v>
      </c>
      <c r="B134" s="37" t="s">
        <v>97</v>
      </c>
      <c r="C134" s="40" t="s">
        <v>19244</v>
      </c>
      <c r="D134" s="38" t="str">
        <f>IF($B134="","",VLOOKUP($C134,'200 ONERADO'!$A$3:$G$4201,2,0))</f>
        <v>Bloco autônomo de iluminação de emergência LED, com autonomia mínima de 3 horas, fluxo luminoso de 2.000 até 3.000 lúmens, equipado com 2 faróis</v>
      </c>
      <c r="E134" s="39" t="str">
        <f>IF($B134="","",VLOOKUP($C134,'200 ONERADO'!$A$3:$G$4201,3,0))</f>
        <v>un</v>
      </c>
      <c r="F134" s="154">
        <v>14</v>
      </c>
      <c r="G134" s="41">
        <f>IF($B134="","",VLOOKUP($C134,'200 ONERADO'!$A$3:$H$4201,6,0))</f>
        <v>221.22</v>
      </c>
      <c r="H134" s="42">
        <f t="shared" si="65"/>
        <v>265.45999999999998</v>
      </c>
      <c r="I134" s="43">
        <f t="shared" si="64"/>
        <v>3716.44</v>
      </c>
      <c r="K134" s="614">
        <f t="shared" si="37"/>
        <v>2.3E-3</v>
      </c>
    </row>
    <row r="135" spans="1:12" x14ac:dyDescent="0.2">
      <c r="A135" s="239" t="s">
        <v>20430</v>
      </c>
      <c r="B135" s="240"/>
      <c r="C135" s="241"/>
      <c r="D135" s="242" t="s">
        <v>20603</v>
      </c>
      <c r="E135" s="243"/>
      <c r="F135" s="244"/>
      <c r="G135" s="245" t="str">
        <f>IF($B135="","",VLOOKUP($C135,'[1]BOLETIM 161'!$A$7:$F$4000,6,0))</f>
        <v/>
      </c>
      <c r="H135" s="246"/>
      <c r="I135" s="247">
        <f>SUBTOTAL(9,I136:I150)</f>
        <v>97023.380000000019</v>
      </c>
      <c r="K135" s="615">
        <f t="shared" si="37"/>
        <v>6.0299999999999999E-2</v>
      </c>
    </row>
    <row r="136" spans="1:12" x14ac:dyDescent="0.2">
      <c r="A136" s="44" t="s">
        <v>21551</v>
      </c>
      <c r="B136" s="37" t="s">
        <v>97</v>
      </c>
      <c r="C136" s="46" t="s">
        <v>14653</v>
      </c>
      <c r="D136" s="38" t="str">
        <f>IF($B136="","",VLOOKUP($C136,'200 ONERADO'!$A$3:$G$4201,2,0))</f>
        <v>Caixilho em madeira maxim-ar</v>
      </c>
      <c r="E136" s="39" t="str">
        <f>IF($B136="","",VLOOKUP($C136,'200 ONERADO'!$A$3:$G$4201,3,0))</f>
        <v>m²</v>
      </c>
      <c r="F136" s="154">
        <f>ESQUADRIAS!H37</f>
        <v>4</v>
      </c>
      <c r="G136" s="41">
        <f>IF($B136="","",VLOOKUP($C136,'200 ONERADO'!$A$3:$H$4201,6,0))</f>
        <v>1079.76</v>
      </c>
      <c r="H136" s="42">
        <f>ROUND(G136*(1+$I$5),2)</f>
        <v>1295.71</v>
      </c>
      <c r="I136" s="43">
        <f t="shared" ref="I136:I150" si="72">IF($B136="","",ROUND(F136*H136,2))</f>
        <v>5182.84</v>
      </c>
      <c r="K136" s="614">
        <f t="shared" si="37"/>
        <v>3.2000000000000002E-3</v>
      </c>
    </row>
    <row r="137" spans="1:12" x14ac:dyDescent="0.2">
      <c r="A137" s="44" t="s">
        <v>21552</v>
      </c>
      <c r="B137" s="37" t="s">
        <v>97</v>
      </c>
      <c r="C137" s="46" t="s">
        <v>14655</v>
      </c>
      <c r="D137" s="38" t="str">
        <f>IF($B137="","",VLOOKUP($C137,'200 ONERADO'!$A$3:$G$4201,2,0))</f>
        <v>Caixilho em madeira tipo veneziana de correr</v>
      </c>
      <c r="E137" s="39" t="str">
        <f>IF($B137="","",VLOOKUP($C137,'200 ONERADO'!$A$3:$G$4201,3,0))</f>
        <v>m²</v>
      </c>
      <c r="F137" s="154">
        <f>ESQUADRIAS!H36</f>
        <v>3.2</v>
      </c>
      <c r="G137" s="41">
        <f>IF($B137="","",VLOOKUP($C137,'200 ONERADO'!$A$3:$H$4201,6,0))</f>
        <v>971.25</v>
      </c>
      <c r="H137" s="42">
        <f>ROUND(G137*(1+$I$5),2)</f>
        <v>1165.5</v>
      </c>
      <c r="I137" s="43">
        <f t="shared" si="72"/>
        <v>3729.6</v>
      </c>
      <c r="K137" s="614">
        <f t="shared" si="37"/>
        <v>2.3E-3</v>
      </c>
    </row>
    <row r="138" spans="1:12" x14ac:dyDescent="0.2">
      <c r="A138" s="44" t="s">
        <v>21553</v>
      </c>
      <c r="B138" s="37" t="s">
        <v>97</v>
      </c>
      <c r="C138" s="46" t="s">
        <v>14661</v>
      </c>
      <c r="D138" s="38" t="str">
        <f>IF($B138="","",VLOOKUP($C138,'200 ONERADO'!$A$3:$G$4201,2,0))</f>
        <v>Porta macho e fêmea com batente de madeira - 70 x 210 cm</v>
      </c>
      <c r="E138" s="39" t="str">
        <f>IF($B138="","",VLOOKUP($C138,'200 ONERADO'!$A$3:$G$4201,3,0))</f>
        <v>un</v>
      </c>
      <c r="F138" s="154">
        <f>ESQUADRIAS!E8</f>
        <v>4</v>
      </c>
      <c r="G138" s="41">
        <f>IF($B138="","",VLOOKUP($C138,'200 ONERADO'!$A$3:$H$4201,6,0))</f>
        <v>1482.36</v>
      </c>
      <c r="H138" s="42">
        <f t="shared" ref="H138:H150" si="73">ROUND(G138*(1+$I$5),2)</f>
        <v>1778.83</v>
      </c>
      <c r="I138" s="43">
        <f t="shared" si="72"/>
        <v>7115.32</v>
      </c>
      <c r="K138" s="614">
        <f t="shared" ref="K138:K140" si="74">ROUND(I138/$I$210,4)</f>
        <v>4.4000000000000003E-3</v>
      </c>
    </row>
    <row r="139" spans="1:12" x14ac:dyDescent="0.2">
      <c r="A139" s="44" t="s">
        <v>21554</v>
      </c>
      <c r="B139" s="37" t="s">
        <v>97</v>
      </c>
      <c r="C139" s="46" t="s">
        <v>14663</v>
      </c>
      <c r="D139" s="38" t="str">
        <f>IF($B139="","",VLOOKUP($C139,'200 ONERADO'!$A$3:$G$4201,2,0))</f>
        <v>Porta macho e fêmea com batente de madeira - 80 x 210 cm</v>
      </c>
      <c r="E139" s="39" t="str">
        <f>IF($B139="","",VLOOKUP($C139,'200 ONERADO'!$A$3:$G$4201,3,0))</f>
        <v>un</v>
      </c>
      <c r="F139" s="154">
        <f>ESQUADRIAS!E7</f>
        <v>10</v>
      </c>
      <c r="G139" s="41">
        <f>IF($B139="","",VLOOKUP($C139,'200 ONERADO'!$A$3:$H$4201,6,0))</f>
        <v>1492.7</v>
      </c>
      <c r="H139" s="42">
        <f t="shared" si="73"/>
        <v>1791.24</v>
      </c>
      <c r="I139" s="43">
        <f t="shared" si="72"/>
        <v>17912.400000000001</v>
      </c>
      <c r="K139" s="614">
        <f t="shared" si="74"/>
        <v>1.11E-2</v>
      </c>
    </row>
    <row r="140" spans="1:12" x14ac:dyDescent="0.2">
      <c r="A140" s="44" t="s">
        <v>21555</v>
      </c>
      <c r="B140" s="37" t="s">
        <v>97</v>
      </c>
      <c r="C140" s="46" t="s">
        <v>14665</v>
      </c>
      <c r="D140" s="38" t="str">
        <f>IF($B140="","",VLOOKUP($C140,'200 ONERADO'!$A$3:$G$4201,2,0))</f>
        <v>Porta macho e fêmea com batente de madeira - 90 x 210 cm</v>
      </c>
      <c r="E140" s="39" t="str">
        <f>IF($B140="","",VLOOKUP($C140,'200 ONERADO'!$A$3:$G$4201,3,0))</f>
        <v>un</v>
      </c>
      <c r="F140" s="154">
        <f>ESQUADRIAS!E6</f>
        <v>4</v>
      </c>
      <c r="G140" s="41">
        <f>IF($B140="","",VLOOKUP($C140,'200 ONERADO'!$A$3:$H$4201,6,0))</f>
        <v>1593.92</v>
      </c>
      <c r="H140" s="42">
        <f t="shared" ref="H140" si="75">ROUND(G140*(1+$I$5),2)</f>
        <v>1912.7</v>
      </c>
      <c r="I140" s="43">
        <f t="shared" ref="I140" si="76">IF($B140="","",ROUND(F140*H140,2))</f>
        <v>7650.8</v>
      </c>
      <c r="K140" s="614">
        <f t="shared" si="74"/>
        <v>4.7999999999999996E-3</v>
      </c>
    </row>
    <row r="141" spans="1:12" ht="51" x14ac:dyDescent="0.2">
      <c r="A141" s="44" t="s">
        <v>21556</v>
      </c>
      <c r="B141" s="37" t="s">
        <v>97</v>
      </c>
      <c r="C141" s="46" t="s">
        <v>14799</v>
      </c>
      <c r="D141" s="38" t="str">
        <f>IF($B141="","",VLOOKUP($C141,'200 ONERADO'!$A$3:$G$4201,2,0))</f>
        <v>Porta lisa de madeira, interna, resistente a umidade "PIM RU", para acabamento em pintura, de correr ou deslizante, tipo acessível, padrão dimensional pesado, com sistema deslizante e ferragens, completo - 100 x 210 cm</v>
      </c>
      <c r="E141" s="39" t="str">
        <f>IF($B141="","",VLOOKUP($C141,'200 ONERADO'!$A$3:$G$4201,3,0))</f>
        <v>un</v>
      </c>
      <c r="F141" s="154">
        <f>ESQUADRIAS!E9</f>
        <v>2</v>
      </c>
      <c r="G141" s="41">
        <f>IF($B141="","",VLOOKUP($C141,'200 ONERADO'!$A$3:$H$4201,6,0))</f>
        <v>908.56</v>
      </c>
      <c r="H141" s="42">
        <f t="shared" ref="H141" si="77">ROUND(G141*(1+$I$5),2)</f>
        <v>1090.27</v>
      </c>
      <c r="I141" s="43">
        <f t="shared" ref="I141" si="78">IF($B141="","",ROUND(F141*H141,2))</f>
        <v>2180.54</v>
      </c>
      <c r="K141" s="614">
        <f>ROUND(I141/$I$210,4)</f>
        <v>1.4E-3</v>
      </c>
    </row>
    <row r="142" spans="1:12" ht="25.5" x14ac:dyDescent="0.2">
      <c r="A142" s="44" t="s">
        <v>21557</v>
      </c>
      <c r="B142" s="37" t="s">
        <v>97</v>
      </c>
      <c r="C142" s="46" t="s">
        <v>14871</v>
      </c>
      <c r="D142" s="38" t="str">
        <f>IF($B142="","",VLOOKUP($C142,'200 ONERADO'!$A$3:$G$4201,2,0))</f>
        <v>Porta corta-fogo classe P.90 de 90 x 210 cm, completa, com maçaneta tipo alavanca</v>
      </c>
      <c r="E142" s="39" t="str">
        <f>IF($B142="","",VLOOKUP($C142,'200 ONERADO'!$A$3:$G$4201,3,0))</f>
        <v>un</v>
      </c>
      <c r="F142" s="154">
        <v>1</v>
      </c>
      <c r="G142" s="41">
        <f>IF($B142="","",VLOOKUP($C142,'200 ONERADO'!$A$3:$H$4201,6,0))</f>
        <v>1573.52</v>
      </c>
      <c r="H142" s="42">
        <f t="shared" si="73"/>
        <v>1888.22</v>
      </c>
      <c r="I142" s="43">
        <f t="shared" si="72"/>
        <v>1888.22</v>
      </c>
      <c r="K142" s="614">
        <f t="shared" ref="K142:K205" si="79">ROUND(I142/$I$210,4)</f>
        <v>1.1999999999999999E-3</v>
      </c>
    </row>
    <row r="143" spans="1:12" ht="25.5" x14ac:dyDescent="0.2">
      <c r="A143" s="44" t="s">
        <v>21584</v>
      </c>
      <c r="B143" s="37" t="s">
        <v>97</v>
      </c>
      <c r="C143" s="46" t="s">
        <v>14877</v>
      </c>
      <c r="D143" s="38" t="str">
        <f>IF($B143="","",VLOOKUP($C143,'200 ONERADO'!$A$3:$G$4201,2,0))</f>
        <v>Porta corta-fogo classe P.120 de 80 x 210 cm, com uma folha de abrir, completa</v>
      </c>
      <c r="E143" s="39" t="str">
        <f>IF($B143="","",VLOOKUP($C143,'200 ONERADO'!$A$3:$G$4201,3,0))</f>
        <v>un</v>
      </c>
      <c r="F143" s="154">
        <v>1</v>
      </c>
      <c r="G143" s="41">
        <f>IF($B143="","",VLOOKUP($C143,'200 ONERADO'!$A$3:$H$4201,6,0))</f>
        <v>2629.01</v>
      </c>
      <c r="H143" s="42">
        <f>ROUND(G143*(1+$I$5),2)</f>
        <v>3154.81</v>
      </c>
      <c r="I143" s="43">
        <f>IF($B143="","",ROUND(F143*H143,2))</f>
        <v>3154.81</v>
      </c>
      <c r="K143" s="614">
        <f t="shared" si="79"/>
        <v>2E-3</v>
      </c>
    </row>
    <row r="144" spans="1:12" x14ac:dyDescent="0.2">
      <c r="A144" s="44" t="s">
        <v>21585</v>
      </c>
      <c r="B144" s="37" t="s">
        <v>97</v>
      </c>
      <c r="C144" s="46" t="s">
        <v>15114</v>
      </c>
      <c r="D144" s="38" t="str">
        <f>IF($B144="","",VLOOKUP($C144,'200 ONERADO'!$A$3:$G$4201,2,0))</f>
        <v>Portinhola tipo veneziana de abrir em alumínio, linha comercial</v>
      </c>
      <c r="E144" s="39" t="str">
        <f>IF($B144="","",VLOOKUP($C144,'200 ONERADO'!$A$3:$G$4201,3,0))</f>
        <v>m²</v>
      </c>
      <c r="F144" s="154">
        <f>0.6*0.8</f>
        <v>0.48</v>
      </c>
      <c r="G144" s="41">
        <f>IF($B144="","",VLOOKUP($C144,'200 ONERADO'!$A$3:$H$4201,6,0))</f>
        <v>683.22</v>
      </c>
      <c r="H144" s="42">
        <f>ROUND(G144*(1+$I$5),2)</f>
        <v>819.86</v>
      </c>
      <c r="I144" s="43">
        <f>IF($B144="","",ROUND(F144*H144,2))</f>
        <v>393.53</v>
      </c>
      <c r="K144" s="614">
        <f t="shared" si="79"/>
        <v>2.0000000000000001E-4</v>
      </c>
    </row>
    <row r="145" spans="1:12" x14ac:dyDescent="0.2">
      <c r="A145" s="44" t="s">
        <v>21792</v>
      </c>
      <c r="B145" s="37" t="s">
        <v>97</v>
      </c>
      <c r="C145" s="46" t="s">
        <v>14845</v>
      </c>
      <c r="D145" s="38" t="str">
        <f>IF($B145="","",VLOOKUP($C145,'200 ONERADO'!$A$3:$G$4201,2,0))</f>
        <v>Caixilho em ferro basculante, sob medida</v>
      </c>
      <c r="E145" s="39" t="str">
        <f>IF($B145="","",VLOOKUP($C145,'200 ONERADO'!$A$3:$G$4201,3,0))</f>
        <v>m²</v>
      </c>
      <c r="F145" s="154">
        <f>ESQUADRIAS!H41</f>
        <v>0.8</v>
      </c>
      <c r="G145" s="41">
        <f>IF($B145="","",VLOOKUP($C145,'200 ONERADO'!$A$3:$H$4201,6,0))</f>
        <v>1531.22</v>
      </c>
      <c r="H145" s="42">
        <f t="shared" ref="H145:H147" si="80">ROUND(G145*(1+$I$5),2)</f>
        <v>1837.46</v>
      </c>
      <c r="I145" s="43">
        <f t="shared" ref="I145:I146" si="81">IF($B145="","",ROUND(F145*H145,2))</f>
        <v>1469.97</v>
      </c>
      <c r="K145" s="614">
        <f t="shared" si="79"/>
        <v>8.9999999999999998E-4</v>
      </c>
    </row>
    <row r="146" spans="1:12" x14ac:dyDescent="0.2">
      <c r="A146" s="44" t="s">
        <v>13623</v>
      </c>
      <c r="B146" s="37" t="s">
        <v>97</v>
      </c>
      <c r="C146" s="46" t="s">
        <v>14847</v>
      </c>
      <c r="D146" s="38" t="str">
        <f>IF($B146="","",VLOOKUP($C146,'200 ONERADO'!$A$3:$G$4201,2,0))</f>
        <v>Caixilho em ferro de correr, sob medida</v>
      </c>
      <c r="E146" s="39" t="str">
        <f>IF($B146="","",VLOOKUP($C146,'200 ONERADO'!$A$3:$G$4201,3,0))</f>
        <v>m²</v>
      </c>
      <c r="F146" s="154">
        <f>ESQUADRIAS!H40</f>
        <v>11.989999999999998</v>
      </c>
      <c r="G146" s="41">
        <f>IF($B146="","",VLOOKUP($C146,'200 ONERADO'!$A$3:$H$4201,6,0))</f>
        <v>941.95</v>
      </c>
      <c r="H146" s="42">
        <f t="shared" si="80"/>
        <v>1130.3399999999999</v>
      </c>
      <c r="I146" s="43">
        <f t="shared" si="81"/>
        <v>13552.78</v>
      </c>
      <c r="K146" s="614">
        <f t="shared" si="79"/>
        <v>8.3999999999999995E-3</v>
      </c>
    </row>
    <row r="147" spans="1:12" x14ac:dyDescent="0.2">
      <c r="A147" s="44" t="s">
        <v>21793</v>
      </c>
      <c r="B147" s="37" t="s">
        <v>97</v>
      </c>
      <c r="C147" s="46" t="s">
        <v>14861</v>
      </c>
      <c r="D147" s="38" t="str">
        <f>IF($B147="","",VLOOKUP($C147,'200 ONERADO'!$A$3:$G$4201,2,0))</f>
        <v>Caixilho fixo em aço SAE 1010/1020 para vidro à prova de bala, sob medida</v>
      </c>
      <c r="E147" s="39" t="str">
        <f>IF($B147="","",VLOOKUP($C147,'200 ONERADO'!$A$3:$G$4201,3,0))</f>
        <v>m²</v>
      </c>
      <c r="F147" s="154">
        <f>ESQUADRIAS!I32</f>
        <v>2.8</v>
      </c>
      <c r="G147" s="41">
        <f>IF($B147="","",VLOOKUP($C147,'200 ONERADO'!$A$3:$H$4201,6,0))</f>
        <v>2217.9899999999998</v>
      </c>
      <c r="H147" s="42">
        <f t="shared" si="80"/>
        <v>2661.59</v>
      </c>
      <c r="I147" s="43">
        <f t="shared" ref="I147" si="82">IF($B147="","",ROUND(F147*H147,2))</f>
        <v>7452.45</v>
      </c>
      <c r="K147" s="614">
        <f t="shared" si="79"/>
        <v>4.5999999999999999E-3</v>
      </c>
    </row>
    <row r="148" spans="1:12" x14ac:dyDescent="0.2">
      <c r="A148" s="44" t="s">
        <v>21794</v>
      </c>
      <c r="B148" s="37" t="s">
        <v>97</v>
      </c>
      <c r="C148" s="46" t="s">
        <v>15143</v>
      </c>
      <c r="D148" s="38" t="str">
        <f>IF($B148="","",VLOOKUP($C148,'200 ONERADO'!$A$3:$G$4201,2,0))</f>
        <v>Vidro liso transparente de 4 mm</v>
      </c>
      <c r="E148" s="39" t="str">
        <f>IF($B148="","",VLOOKUP($C148,'200 ONERADO'!$A$3:$G$4201,3,0))</f>
        <v>m²</v>
      </c>
      <c r="F148" s="154">
        <f>ESQUADRIAS!I33</f>
        <v>46.11999999999999</v>
      </c>
      <c r="G148" s="41">
        <f>IF($B148="","",VLOOKUP($C148,'200 ONERADO'!$A$3:$H$4201,6,0))</f>
        <v>168.71</v>
      </c>
      <c r="H148" s="42">
        <f t="shared" si="73"/>
        <v>202.45</v>
      </c>
      <c r="I148" s="43">
        <f t="shared" si="72"/>
        <v>9336.99</v>
      </c>
      <c r="K148" s="614">
        <f t="shared" si="79"/>
        <v>5.7999999999999996E-3</v>
      </c>
    </row>
    <row r="149" spans="1:12" x14ac:dyDescent="0.2">
      <c r="A149" s="44" t="s">
        <v>21795</v>
      </c>
      <c r="B149" s="37" t="s">
        <v>97</v>
      </c>
      <c r="C149" s="46" t="s">
        <v>15163</v>
      </c>
      <c r="D149" s="38" t="str">
        <f>IF($B149="","",VLOOKUP($C149,'200 ONERADO'!$A$3:$G$4201,2,0))</f>
        <v>Vidro multilaminado de alta segurança, proteção balística nível III</v>
      </c>
      <c r="E149" s="39" t="str">
        <f>IF($B149="","",VLOOKUP($C149,'200 ONERADO'!$A$3:$G$4201,3,0))</f>
        <v>m²</v>
      </c>
      <c r="F149" s="154">
        <f>F147</f>
        <v>2.8</v>
      </c>
      <c r="G149" s="41">
        <f>IF($B149="","",VLOOKUP($C149,'200 ONERADO'!$A$3:$H$4201,6,0))</f>
        <v>4221.6499999999996</v>
      </c>
      <c r="H149" s="42">
        <f t="shared" si="73"/>
        <v>5065.9799999999996</v>
      </c>
      <c r="I149" s="43">
        <f t="shared" si="72"/>
        <v>14184.74</v>
      </c>
      <c r="K149" s="614">
        <f t="shared" si="79"/>
        <v>8.8000000000000005E-3</v>
      </c>
      <c r="L149" s="53">
        <f>I149+I147</f>
        <v>21637.19</v>
      </c>
    </row>
    <row r="150" spans="1:12" x14ac:dyDescent="0.2">
      <c r="A150" s="44" t="s">
        <v>21796</v>
      </c>
      <c r="B150" s="37" t="s">
        <v>97</v>
      </c>
      <c r="C150" s="46" t="s">
        <v>14898</v>
      </c>
      <c r="D150" s="38" t="str">
        <f>IF($B150="","",VLOOKUP($C150,'200 ONERADO'!$A$3:$G$4201,2,0))</f>
        <v>Grade de proteção para caixilhos</v>
      </c>
      <c r="E150" s="39" t="str">
        <f>IF($B150="","",VLOOKUP($C150,'200 ONERADO'!$A$3:$G$4201,3,0))</f>
        <v>m²</v>
      </c>
      <c r="F150" s="154">
        <f>ROUND(1.1*0.9,2)</f>
        <v>0.99</v>
      </c>
      <c r="G150" s="41">
        <f>IF($B150="","",VLOOKUP($C150,'200 ONERADO'!$A$3:$H$4201,6,0))</f>
        <v>1530.63</v>
      </c>
      <c r="H150" s="42">
        <f t="shared" si="73"/>
        <v>1836.76</v>
      </c>
      <c r="I150" s="43">
        <f t="shared" si="72"/>
        <v>1818.39</v>
      </c>
      <c r="K150" s="614">
        <f t="shared" si="79"/>
        <v>1.1000000000000001E-3</v>
      </c>
      <c r="L150" s="1" t="s">
        <v>15694</v>
      </c>
    </row>
    <row r="151" spans="1:12" x14ac:dyDescent="0.2">
      <c r="A151" s="239" t="s">
        <v>20535</v>
      </c>
      <c r="B151" s="240"/>
      <c r="C151" s="241"/>
      <c r="D151" s="242" t="s">
        <v>21511</v>
      </c>
      <c r="E151" s="243"/>
      <c r="F151" s="244"/>
      <c r="G151" s="245" t="str">
        <f>IF($B151="","",VLOOKUP($C151,'[1]BOLETIM 161'!$A$7:$F$4000,6,0))</f>
        <v/>
      </c>
      <c r="H151" s="246"/>
      <c r="I151" s="247">
        <f>SUBTOTAL(9,I152:I159)</f>
        <v>227294.97999999998</v>
      </c>
      <c r="K151" s="615">
        <f t="shared" si="79"/>
        <v>0.14119999999999999</v>
      </c>
    </row>
    <row r="152" spans="1:12" x14ac:dyDescent="0.2">
      <c r="A152" s="568" t="s">
        <v>21558</v>
      </c>
      <c r="B152" s="37" t="s">
        <v>97</v>
      </c>
      <c r="C152" s="46" t="s">
        <v>14182</v>
      </c>
      <c r="D152" s="38" t="str">
        <f>IF($B152="","",VLOOKUP($C152,'200 ONERADO'!$A$3:$G$4201,2,0))</f>
        <v>Chapisco</v>
      </c>
      <c r="E152" s="39" t="str">
        <f>IF($B152="","",VLOOKUP($C152,'200 ONERADO'!$A$3:$G$4201,3,0))</f>
        <v>m²</v>
      </c>
      <c r="F152" s="154">
        <f>REVESTIMENTOS!R179</f>
        <v>835.13999999999987</v>
      </c>
      <c r="G152" s="41">
        <f>IF($B152="","",VLOOKUP($C152,'200 ONERADO'!$A$3:$H$4201,6,0))</f>
        <v>7.73</v>
      </c>
      <c r="H152" s="42">
        <f t="shared" ref="H152:H154" si="83">ROUND(G152*(1+$I$5),2)</f>
        <v>9.2799999999999994</v>
      </c>
      <c r="I152" s="43">
        <f t="shared" ref="I152:I153" si="84">IF($B152="","",ROUND(F152*H152,2))</f>
        <v>7750.1</v>
      </c>
      <c r="K152" s="614">
        <f t="shared" si="79"/>
        <v>4.7999999999999996E-3</v>
      </c>
    </row>
    <row r="153" spans="1:12" x14ac:dyDescent="0.2">
      <c r="A153" s="568" t="s">
        <v>21560</v>
      </c>
      <c r="B153" s="37" t="s">
        <v>97</v>
      </c>
      <c r="C153" s="46" t="s">
        <v>14193</v>
      </c>
      <c r="D153" s="38" t="str">
        <f>IF($B153="","",VLOOKUP($C153,'200 ONERADO'!$A$3:$G$4201,2,0))</f>
        <v>Emboço desempenado com espuma de poliéster</v>
      </c>
      <c r="E153" s="39" t="str">
        <f>IF($B153="","",VLOOKUP($C153,'200 ONERADO'!$A$3:$G$4201,3,0))</f>
        <v>m²</v>
      </c>
      <c r="F153" s="154">
        <f>F152</f>
        <v>835.13999999999987</v>
      </c>
      <c r="G153" s="41">
        <f>IF($B153="","",VLOOKUP($C153,'200 ONERADO'!$A$3:$H$4201,6,0))</f>
        <v>30.22</v>
      </c>
      <c r="H153" s="42">
        <f t="shared" si="83"/>
        <v>36.26</v>
      </c>
      <c r="I153" s="43">
        <f t="shared" si="84"/>
        <v>30282.18</v>
      </c>
      <c r="K153" s="614">
        <f t="shared" si="79"/>
        <v>1.8800000000000001E-2</v>
      </c>
    </row>
    <row r="154" spans="1:12" x14ac:dyDescent="0.2">
      <c r="A154" s="568" t="s">
        <v>21561</v>
      </c>
      <c r="B154" s="37" t="s">
        <v>97</v>
      </c>
      <c r="C154" s="46" t="s">
        <v>14227</v>
      </c>
      <c r="D154" s="38" t="str">
        <f>IF($B154="","",VLOOKUP($C154,'200 ONERADO'!$A$3:$G$4201,2,0))</f>
        <v>Revestimento em gesso liso desempenado sobre bloco</v>
      </c>
      <c r="E154" s="39" t="str">
        <f>IF($B154="","",VLOOKUP($C154,'200 ONERADO'!$A$3:$G$4201,3,0))</f>
        <v>m²</v>
      </c>
      <c r="F154" s="154">
        <f>REVESTIMENTOS!R149</f>
        <v>786.08999999999992</v>
      </c>
      <c r="G154" s="41">
        <f>IF($B154="","",VLOOKUP($C154,'200 ONERADO'!$A$3:$H$4201,6,0))</f>
        <v>23.88</v>
      </c>
      <c r="H154" s="42">
        <f t="shared" si="83"/>
        <v>28.66</v>
      </c>
      <c r="I154" s="43">
        <f t="shared" ref="I154" si="85">IF($B154="","",ROUND(F154*H154,2))</f>
        <v>22529.34</v>
      </c>
      <c r="K154" s="614">
        <f t="shared" si="79"/>
        <v>1.4E-2</v>
      </c>
    </row>
    <row r="155" spans="1:12" x14ac:dyDescent="0.2">
      <c r="A155" s="568" t="s">
        <v>21562</v>
      </c>
      <c r="B155" s="37" t="s">
        <v>97</v>
      </c>
      <c r="C155" s="46" t="s">
        <v>14171</v>
      </c>
      <c r="D155" s="38" t="str">
        <f>IF($B155="","",VLOOKUP($C155,'200 ONERADO'!$A$3:$G$4201,2,0))</f>
        <v>Argamassa de regularização e/ou proteção</v>
      </c>
      <c r="E155" s="39" t="str">
        <f>IF($B155="","",VLOOKUP($C155,'200 ONERADO'!$A$3:$G$4201,3,0))</f>
        <v>m³</v>
      </c>
      <c r="F155" s="154">
        <f>REVESTIMENTOS!J45</f>
        <v>11.600000000000001</v>
      </c>
      <c r="G155" s="41">
        <f>IF($B155="","",VLOOKUP($C155,'200 ONERADO'!$A$3:$H$4201,6,0))</f>
        <v>843.81</v>
      </c>
      <c r="H155" s="42">
        <f t="shared" ref="H155" si="86">ROUND(G155*(1+$I$5),2)</f>
        <v>1012.57</v>
      </c>
      <c r="I155" s="43">
        <f t="shared" ref="I155" si="87">IF($B155="","",ROUND(F155*H155,2))</f>
        <v>11745.81</v>
      </c>
      <c r="K155" s="614">
        <f t="shared" si="79"/>
        <v>7.3000000000000001E-3</v>
      </c>
    </row>
    <row r="156" spans="1:12" ht="38.25" x14ac:dyDescent="0.2">
      <c r="A156" s="636" t="s">
        <v>21563</v>
      </c>
      <c r="B156" s="37" t="s">
        <v>97</v>
      </c>
      <c r="C156" s="46" t="s">
        <v>14371</v>
      </c>
      <c r="D156" s="38" t="str">
        <f>IF($B156="","",VLOOKUP($C156,'200 ONERADO'!$A$3:$G$4201,2,0))</f>
        <v>Revestimento em porcelanato esmaltado polido para área interna e ambiente com tráfego médio, grupo de absorção BIa, assentado com argamassa colante industrializada, rejuntado</v>
      </c>
      <c r="E156" s="39" t="str">
        <f>IF($B156="","",VLOOKUP($C156,'200 ONERADO'!$A$3:$G$4201,3,0))</f>
        <v>m²</v>
      </c>
      <c r="F156" s="625">
        <f>REVESTIMENTOS!E45</f>
        <v>578.84</v>
      </c>
      <c r="G156" s="41">
        <f>IF($B156="","",VLOOKUP($C156,'200 ONERADO'!$A$3:$H$4201,6,0))</f>
        <v>190.37</v>
      </c>
      <c r="H156" s="42">
        <f>ROUND(G156*(1+$I$5),2)</f>
        <v>228.44</v>
      </c>
      <c r="I156" s="43">
        <f>IF($B156="","",ROUND(F156*H156,2))</f>
        <v>132230.21</v>
      </c>
      <c r="K156" s="616">
        <f>ROUND(I156/$I$210,4)</f>
        <v>8.2199999999999995E-2</v>
      </c>
    </row>
    <row r="157" spans="1:12" ht="38.25" x14ac:dyDescent="0.2">
      <c r="A157" s="568" t="s">
        <v>21564</v>
      </c>
      <c r="B157" s="37" t="s">
        <v>97</v>
      </c>
      <c r="C157" s="46" t="s">
        <v>14373</v>
      </c>
      <c r="D157" s="38" t="str">
        <f>IF($B157="","",VLOOKUP($C157,'200 ONERADO'!$A$3:$G$4201,2,0))</f>
        <v>Rodapé em porcelanato esmaltado polido para área interna e ambiente com tráfego médio, grupo de absorção BIa, assentado com argamassa colante industrializada, rejuntado</v>
      </c>
      <c r="E157" s="39" t="str">
        <f>IF($B157="","",VLOOKUP($C157,'200 ONERADO'!$A$3:$G$4201,3,0))</f>
        <v>m</v>
      </c>
      <c r="F157" s="154">
        <f>REVESTIMENTOS!M25</f>
        <v>218.87</v>
      </c>
      <c r="G157" s="41">
        <f>IF($B157="","",VLOOKUP($C157,'200 ONERADO'!$A$3:$H$4201,6,0))</f>
        <v>38.33</v>
      </c>
      <c r="H157" s="42">
        <f>ROUND(G157*(1+$I$5),2)</f>
        <v>46</v>
      </c>
      <c r="I157" s="43">
        <f>IF($B157="","",ROUND(F157*H157,2))</f>
        <v>10068.02</v>
      </c>
      <c r="K157" s="614">
        <f t="shared" si="79"/>
        <v>6.3E-3</v>
      </c>
    </row>
    <row r="158" spans="1:12" ht="38.25" x14ac:dyDescent="0.2">
      <c r="A158" s="568" t="s">
        <v>21797</v>
      </c>
      <c r="B158" s="37" t="s">
        <v>97</v>
      </c>
      <c r="C158" s="46" t="s">
        <v>14383</v>
      </c>
      <c r="D158" s="38" t="str">
        <f>IF($B158="","",VLOOKUP($C158,'200 ONERADO'!$A$3:$G$4201,2,0))</f>
        <v>Revestimento em porcelanato técnico natural para área interna e ambiente com acesso ao exterior, grupo de absorção BIa, assentado com argamassa colante industrializada, rejuntado</v>
      </c>
      <c r="E158" s="39" t="str">
        <f>IF($B158="","",VLOOKUP($C158,'200 ONERADO'!$A$3:$G$4201,3,0))</f>
        <v>m²</v>
      </c>
      <c r="F158" s="154">
        <f>REVESTIMENTOS!E51</f>
        <v>25.65</v>
      </c>
      <c r="G158" s="41">
        <f>IF($B158="","",VLOOKUP($C158,'200 ONERADO'!$A$3:$H$4201,6,0))</f>
        <v>197.01</v>
      </c>
      <c r="H158" s="42">
        <f>ROUND(G158*(1+$I$5),2)</f>
        <v>236.41</v>
      </c>
      <c r="I158" s="43">
        <f>IF($B158="","",ROUND(F158*H158,2))</f>
        <v>6063.92</v>
      </c>
      <c r="K158" s="614">
        <f t="shared" si="79"/>
        <v>3.8E-3</v>
      </c>
    </row>
    <row r="159" spans="1:12" ht="25.5" x14ac:dyDescent="0.2">
      <c r="A159" s="568" t="s">
        <v>21798</v>
      </c>
      <c r="B159" s="37" t="s">
        <v>97</v>
      </c>
      <c r="C159" s="46" t="s">
        <v>14421</v>
      </c>
      <c r="D159" s="38" t="str">
        <f>IF($B159="","",VLOOKUP($C159,'200 ONERADO'!$A$3:$G$4201,2,0))</f>
        <v>Peitoril e/ou soleira em granito, espessura de 2 cm e largura até 20 cm, acabamento polido</v>
      </c>
      <c r="E159" s="39" t="str">
        <f>IF($B159="","",VLOOKUP($C159,'200 ONERADO'!$A$3:$G$4201,3,0))</f>
        <v>m</v>
      </c>
      <c r="F159" s="154">
        <f>REVESTIMENTOS!M80</f>
        <v>30.75</v>
      </c>
      <c r="G159" s="41">
        <f>IF($B159="","",VLOOKUP($C159,'200 ONERADO'!$A$3:$H$4201,6,0))</f>
        <v>179.55</v>
      </c>
      <c r="H159" s="42">
        <f>ROUND(G159*(1+$I$5),2)</f>
        <v>215.46</v>
      </c>
      <c r="I159" s="43">
        <f>IF($B159="","",ROUND(F159*H159,2))</f>
        <v>6625.4</v>
      </c>
      <c r="K159" s="614">
        <f t="shared" si="79"/>
        <v>4.1000000000000003E-3</v>
      </c>
    </row>
    <row r="160" spans="1:12" x14ac:dyDescent="0.2">
      <c r="A160" s="239" t="s">
        <v>20536</v>
      </c>
      <c r="B160" s="240"/>
      <c r="C160" s="241"/>
      <c r="D160" s="242" t="s">
        <v>15649</v>
      </c>
      <c r="E160" s="243"/>
      <c r="F160" s="244"/>
      <c r="G160" s="245" t="str">
        <f>IF($B160="","",VLOOKUP($C160,'[1]BOLETIM 161'!$A$7:$F$4000,6,0))</f>
        <v/>
      </c>
      <c r="H160" s="246"/>
      <c r="I160" s="247">
        <f>SUBTOTAL(9,I161:I166)</f>
        <v>86639.92</v>
      </c>
      <c r="K160" s="615">
        <f t="shared" si="79"/>
        <v>5.3800000000000001E-2</v>
      </c>
    </row>
    <row r="161" spans="1:14" x14ac:dyDescent="0.2">
      <c r="A161" s="44" t="s">
        <v>20566</v>
      </c>
      <c r="B161" s="37" t="s">
        <v>97</v>
      </c>
      <c r="C161" s="46" t="s">
        <v>15656</v>
      </c>
      <c r="D161" s="38" t="str">
        <f>IF($B161="","",VLOOKUP($C161,'200 ONERADO'!$A$3:$G$4201,2,0))</f>
        <v>Imunizante para madeira</v>
      </c>
      <c r="E161" s="39" t="str">
        <f>IF($B161="","",VLOOKUP($C161,'200 ONERADO'!$A$3:$G$4201,3,0))</f>
        <v>m²</v>
      </c>
      <c r="F161" s="154">
        <f>TELHADO!E10</f>
        <v>324.17</v>
      </c>
      <c r="G161" s="41">
        <f>IF($B161="","",VLOOKUP($C161,'200 ONERADO'!$A$3:$H$4201,6,0))</f>
        <v>17.2</v>
      </c>
      <c r="H161" s="42">
        <f t="shared" ref="H161:H166" si="88">ROUND(G161*(1+$I$5),2)</f>
        <v>20.64</v>
      </c>
      <c r="I161" s="43">
        <f t="shared" ref="I161:I166" si="89">IF($B161="","",ROUND(F161*H161,2))</f>
        <v>6690.87</v>
      </c>
      <c r="K161" s="614">
        <f t="shared" si="79"/>
        <v>4.1999999999999997E-3</v>
      </c>
      <c r="L161" s="45" t="s">
        <v>21538</v>
      </c>
    </row>
    <row r="162" spans="1:14" x14ac:dyDescent="0.2">
      <c r="A162" s="635" t="s">
        <v>20567</v>
      </c>
      <c r="B162" s="37" t="s">
        <v>97</v>
      </c>
      <c r="C162" s="46" t="s">
        <v>15714</v>
      </c>
      <c r="D162" s="38" t="str">
        <f>IF($B162="","",VLOOKUP($C162,'200 ONERADO'!$A$3:$G$4201,2,0))</f>
        <v>Tinta látex em massa, inclusive preparo</v>
      </c>
      <c r="E162" s="39" t="str">
        <f>IF($B162="","",VLOOKUP($C162,'200 ONERADO'!$A$3:$G$4201,3,0))</f>
        <v>m²</v>
      </c>
      <c r="F162" s="625">
        <f>PINTURA!J91</f>
        <v>786.08999999999992</v>
      </c>
      <c r="G162" s="41">
        <f>IF($B162="","",VLOOKUP($C162,'200 ONERADO'!$A$3:$H$4201,6,0))</f>
        <v>31.94</v>
      </c>
      <c r="H162" s="42">
        <f t="shared" si="88"/>
        <v>38.33</v>
      </c>
      <c r="I162" s="43">
        <f t="shared" si="89"/>
        <v>30130.83</v>
      </c>
      <c r="K162" s="614">
        <f t="shared" si="79"/>
        <v>1.8700000000000001E-2</v>
      </c>
    </row>
    <row r="163" spans="1:14" x14ac:dyDescent="0.2">
      <c r="A163" s="635" t="s">
        <v>20568</v>
      </c>
      <c r="B163" s="37" t="s">
        <v>97</v>
      </c>
      <c r="C163" s="46" t="s">
        <v>15716</v>
      </c>
      <c r="D163" s="38" t="str">
        <f>IF($B163="","",VLOOKUP($C163,'200 ONERADO'!$A$3:$G$4201,2,0))</f>
        <v>Tinta acrílica antimofo em massa, inclusive preparo</v>
      </c>
      <c r="E163" s="39" t="str">
        <f>IF($B163="","",VLOOKUP($C163,'200 ONERADO'!$A$3:$G$4201,3,0))</f>
        <v>m²</v>
      </c>
      <c r="F163" s="625">
        <f>PINTURA!J100</f>
        <v>750.08999999999992</v>
      </c>
      <c r="G163" s="41">
        <f>IF($B163="","",VLOOKUP($C163,'200 ONERADO'!$A$3:$H$4201,6,0))</f>
        <v>37.53</v>
      </c>
      <c r="H163" s="42">
        <f t="shared" si="88"/>
        <v>45.04</v>
      </c>
      <c r="I163" s="43">
        <f t="shared" si="89"/>
        <v>33784.050000000003</v>
      </c>
      <c r="K163" s="614">
        <f t="shared" si="79"/>
        <v>2.1000000000000001E-2</v>
      </c>
    </row>
    <row r="164" spans="1:14" x14ac:dyDescent="0.2">
      <c r="A164" s="44" t="s">
        <v>20569</v>
      </c>
      <c r="B164" s="37" t="s">
        <v>97</v>
      </c>
      <c r="C164" s="46" t="s">
        <v>15684</v>
      </c>
      <c r="D164" s="38" t="str">
        <f>IF($B164="","",VLOOKUP($C164,'200 ONERADO'!$A$3:$G$4201,2,0))</f>
        <v>Verniz fungicida para madeira</v>
      </c>
      <c r="E164" s="39" t="str">
        <f>IF($B164="","",VLOOKUP($C164,'200 ONERADO'!$A$3:$G$4201,3,0))</f>
        <v>m²</v>
      </c>
      <c r="F164" s="154">
        <f>ESQUADRIAS!J35</f>
        <v>101.96000000000002</v>
      </c>
      <c r="G164" s="41">
        <f>IF($B164="","",VLOOKUP($C164,'200 ONERADO'!$A$3:$H$4201,6,0))</f>
        <v>26.18</v>
      </c>
      <c r="H164" s="42">
        <f t="shared" si="88"/>
        <v>31.42</v>
      </c>
      <c r="I164" s="43">
        <f t="shared" si="89"/>
        <v>3203.58</v>
      </c>
      <c r="K164" s="614">
        <f t="shared" si="79"/>
        <v>2E-3</v>
      </c>
      <c r="L164" s="45" t="s">
        <v>21108</v>
      </c>
      <c r="N164" s="5">
        <f>F164+F165</f>
        <v>194.41000000000003</v>
      </c>
    </row>
    <row r="165" spans="1:14" x14ac:dyDescent="0.2">
      <c r="A165" s="44" t="s">
        <v>20570</v>
      </c>
      <c r="B165" s="37" t="s">
        <v>97</v>
      </c>
      <c r="C165" s="46" t="s">
        <v>15688</v>
      </c>
      <c r="D165" s="38" t="str">
        <f>IF($B165="","",VLOOKUP($C165,'200 ONERADO'!$A$3:$G$4201,2,0))</f>
        <v>Verniz em superfície de madeira</v>
      </c>
      <c r="E165" s="39" t="str">
        <f>IF($B165="","",VLOOKUP($C165,'200 ONERADO'!$A$3:$G$4201,3,0))</f>
        <v>m²</v>
      </c>
      <c r="F165" s="154">
        <f>PINTURA!E50</f>
        <v>92.450000000000017</v>
      </c>
      <c r="G165" s="41">
        <f>IF($B165="","",VLOOKUP($C165,'200 ONERADO'!$A$3:$H$4201,6,0))</f>
        <v>30.99</v>
      </c>
      <c r="H165" s="42">
        <f t="shared" ref="H165" si="90">ROUND(G165*(1+$I$5),2)</f>
        <v>37.19</v>
      </c>
      <c r="I165" s="43">
        <f t="shared" ref="I165" si="91">IF($B165="","",ROUND(F165*H165,2))</f>
        <v>3438.22</v>
      </c>
      <c r="K165" s="614">
        <f t="shared" si="79"/>
        <v>2.0999999999999999E-3</v>
      </c>
      <c r="L165" s="45" t="s">
        <v>21539</v>
      </c>
    </row>
    <row r="166" spans="1:14" x14ac:dyDescent="0.2">
      <c r="A166" s="44" t="s">
        <v>20571</v>
      </c>
      <c r="B166" s="37" t="s">
        <v>97</v>
      </c>
      <c r="C166" s="46" t="s">
        <v>15734</v>
      </c>
      <c r="D166" s="38" t="str">
        <f>IF($B166="","",VLOOKUP($C166,'200 ONERADO'!$A$3:$G$4201,2,0))</f>
        <v>Esmalte à base água em superfície metálica, inclusive preparo</v>
      </c>
      <c r="E166" s="39" t="str">
        <f>IF($B166="","",VLOOKUP($C166,'200 ONERADO'!$A$3:$G$4201,3,0))</f>
        <v>m²</v>
      </c>
      <c r="F166" s="154">
        <f>PINTURA!O57</f>
        <v>149.56</v>
      </c>
      <c r="G166" s="41">
        <f>IF($B166="","",VLOOKUP($C166,'200 ONERADO'!$A$3:$H$4201,6,0))</f>
        <v>52.33</v>
      </c>
      <c r="H166" s="42">
        <f t="shared" si="88"/>
        <v>62.8</v>
      </c>
      <c r="I166" s="43">
        <f t="shared" si="89"/>
        <v>9392.3700000000008</v>
      </c>
      <c r="K166" s="614">
        <f t="shared" si="79"/>
        <v>5.7999999999999996E-3</v>
      </c>
      <c r="L166" s="45" t="s">
        <v>21540</v>
      </c>
    </row>
    <row r="167" spans="1:14" x14ac:dyDescent="0.2">
      <c r="A167" s="239" t="s">
        <v>20565</v>
      </c>
      <c r="B167" s="240"/>
      <c r="C167" s="241"/>
      <c r="D167" s="242" t="s">
        <v>21350</v>
      </c>
      <c r="E167" s="243"/>
      <c r="F167" s="244"/>
      <c r="G167" s="245" t="str">
        <f>IF($B167="","",VLOOKUP($C167,'[1]BOLETIM 161'!$A$7:$F$4000,6,0))</f>
        <v/>
      </c>
      <c r="H167" s="246"/>
      <c r="I167" s="247">
        <f>SUBTOTAL(9,I168:I171)</f>
        <v>34449.97</v>
      </c>
      <c r="K167" s="615">
        <f t="shared" si="79"/>
        <v>2.1399999999999999E-2</v>
      </c>
    </row>
    <row r="168" spans="1:14" x14ac:dyDescent="0.2">
      <c r="A168" s="44" t="s">
        <v>21559</v>
      </c>
      <c r="B168" s="37" t="s">
        <v>97</v>
      </c>
      <c r="C168" s="46" t="s">
        <v>14012</v>
      </c>
      <c r="D168" s="38" t="str">
        <f>IF($B168="","",VLOOKUP($C168,'200 ONERADO'!$A$3:$G$4201,2,0))</f>
        <v>Fornecimento e montagem de estrutura em aço ASTM-A36, sem pintura</v>
      </c>
      <c r="E168" s="39" t="str">
        <f>IF($B168="","",VLOOKUP($C168,'200 ONERADO'!$A$3:$G$4201,3,0))</f>
        <v>kg</v>
      </c>
      <c r="F168" s="154">
        <f>13.24*50</f>
        <v>662</v>
      </c>
      <c r="G168" s="41">
        <f>IF($B168="","",VLOOKUP($C168,'200 ONERADO'!$A$3:$H$4201,6,0))</f>
        <v>28.72</v>
      </c>
      <c r="H168" s="42">
        <f>ROUND(G168*(1+$I$5),2)</f>
        <v>34.46</v>
      </c>
      <c r="I168" s="43">
        <f>IF($B168="","",ROUND(F168*H168,2))</f>
        <v>22812.52</v>
      </c>
      <c r="K168" s="614">
        <f t="shared" si="79"/>
        <v>1.4200000000000001E-2</v>
      </c>
      <c r="L168" s="1">
        <v>36</v>
      </c>
    </row>
    <row r="169" spans="1:14" x14ac:dyDescent="0.2">
      <c r="A169" s="44" t="s">
        <v>21565</v>
      </c>
      <c r="B169" s="37" t="s">
        <v>97</v>
      </c>
      <c r="C169" s="46" t="s">
        <v>15734</v>
      </c>
      <c r="D169" s="38" t="str">
        <f>IF($B169="","",VLOOKUP($C169,'200 ONERADO'!$A$3:$G$4201,2,0))</f>
        <v>Esmalte à base água em superfície metálica, inclusive preparo</v>
      </c>
      <c r="E169" s="39" t="str">
        <f>IF($B169="","",VLOOKUP($C169,'200 ONERADO'!$A$3:$G$4201,3,0))</f>
        <v>m²</v>
      </c>
      <c r="F169" s="154">
        <f>2*13.24</f>
        <v>26.48</v>
      </c>
      <c r="G169" s="41">
        <f>IF($B169="","",VLOOKUP($C169,'200 ONERADO'!$A$3:$H$4201,6,0))</f>
        <v>52.33</v>
      </c>
      <c r="H169" s="42">
        <f>ROUND(G169*(1+$I$5),2)</f>
        <v>62.8</v>
      </c>
      <c r="I169" s="43">
        <f>IF($B169="","",ROUND(F169*H169,2))</f>
        <v>1662.94</v>
      </c>
      <c r="K169" s="614">
        <f t="shared" si="79"/>
        <v>1E-3</v>
      </c>
      <c r="L169" s="1">
        <v>35</v>
      </c>
    </row>
    <row r="170" spans="1:14" ht="25.5" x14ac:dyDescent="0.2">
      <c r="A170" s="44" t="s">
        <v>21566</v>
      </c>
      <c r="B170" s="37" t="s">
        <v>97</v>
      </c>
      <c r="C170" s="46" t="s">
        <v>15001</v>
      </c>
      <c r="D170" s="38" t="str">
        <f>IF($B170="","",VLOOKUP($C170,'200 ONERADO'!$A$3:$G$4201,2,0))</f>
        <v>Guarda-corpo com vidro de 8 mm, em tubo de aço galvanizado, diâmetro 1 1/2´</v>
      </c>
      <c r="E170" s="39" t="str">
        <f>IF($B170="","",VLOOKUP($C170,'200 ONERADO'!$A$3:$G$4201,3,0))</f>
        <v>m</v>
      </c>
      <c r="F170" s="154">
        <f>1.9+2.81+1.08</f>
        <v>5.79</v>
      </c>
      <c r="G170" s="41">
        <f>IF($B170="","",VLOOKUP($C170,'200 ONERADO'!$A$3:$H$4201,6,0))</f>
        <v>971.63</v>
      </c>
      <c r="H170" s="42">
        <f>ROUND(G170*(1+$I$5),2)</f>
        <v>1165.96</v>
      </c>
      <c r="I170" s="43">
        <f>IF($B170="","",ROUND(F170*H170,2))</f>
        <v>6750.91</v>
      </c>
      <c r="K170" s="614">
        <f t="shared" si="79"/>
        <v>4.1999999999999997E-3</v>
      </c>
      <c r="L170" s="567">
        <v>34</v>
      </c>
      <c r="M170" s="53"/>
    </row>
    <row r="171" spans="1:14" x14ac:dyDescent="0.2">
      <c r="A171" s="44" t="s">
        <v>21895</v>
      </c>
      <c r="B171" s="37" t="s">
        <v>97</v>
      </c>
      <c r="C171" s="46" t="s">
        <v>14939</v>
      </c>
      <c r="D171" s="38" t="str">
        <f>IF($B171="","",VLOOKUP($C171,'200 ONERADO'!$A$3:$G$4201,2,0))</f>
        <v>Corrimão tubular em aço galvanizado, diâmetro 2´</v>
      </c>
      <c r="E171" s="39" t="str">
        <f>IF($B171="","",VLOOKUP($C171,'200 ONERADO'!$A$3:$G$4201,3,0))</f>
        <v>m</v>
      </c>
      <c r="F171" s="154">
        <v>9.5500000000000007</v>
      </c>
      <c r="G171" s="41">
        <f>IF($B171="","",VLOOKUP($C171,'200 ONERADO'!$A$3:$H$4201,6,0))</f>
        <v>281.29000000000002</v>
      </c>
      <c r="H171" s="42">
        <f>ROUND(G171*(1+$I$5),2)</f>
        <v>337.55</v>
      </c>
      <c r="I171" s="43">
        <f>IF($B171="","",ROUND(F171*H171,2))</f>
        <v>3223.6</v>
      </c>
      <c r="K171" s="614">
        <f t="shared" si="79"/>
        <v>2E-3</v>
      </c>
      <c r="L171" s="567">
        <v>33</v>
      </c>
      <c r="M171" s="53"/>
      <c r="N171" s="1">
        <f>734.54</f>
        <v>734.54</v>
      </c>
    </row>
    <row r="172" spans="1:14" x14ac:dyDescent="0.2">
      <c r="A172" s="239" t="s">
        <v>20572</v>
      </c>
      <c r="B172" s="240"/>
      <c r="C172" s="241"/>
      <c r="D172" s="242" t="s">
        <v>21349</v>
      </c>
      <c r="E172" s="243"/>
      <c r="F172" s="244"/>
      <c r="G172" s="245" t="str">
        <f>IF($B172="","",VLOOKUP($C172,'[1]BOLETIM 161'!$A$7:$F$4000,6,0))</f>
        <v/>
      </c>
      <c r="H172" s="246"/>
      <c r="I172" s="247">
        <f>SUBTOTAL(9,I173:I181)</f>
        <v>13431.32</v>
      </c>
      <c r="K172" s="615">
        <f t="shared" si="79"/>
        <v>8.3000000000000001E-3</v>
      </c>
      <c r="N172" s="1">
        <f>N171/1.23</f>
        <v>597.18699186991864</v>
      </c>
    </row>
    <row r="173" spans="1:14" x14ac:dyDescent="0.2">
      <c r="A173" s="44" t="s">
        <v>21567</v>
      </c>
      <c r="B173" s="37" t="s">
        <v>97</v>
      </c>
      <c r="C173" s="46" t="s">
        <v>13641</v>
      </c>
      <c r="D173" s="38" t="str">
        <f>IF($B173="","",VLOOKUP($C173,'200 ONERADO'!$A$3:$G$4201,2,0))</f>
        <v>Lastro de pedra britada</v>
      </c>
      <c r="E173" s="39" t="str">
        <f>IF($B173="","",VLOOKUP($C173,'200 ONERADO'!$A$3:$G$4201,3,0))</f>
        <v>m³</v>
      </c>
      <c r="F173" s="154">
        <f>'PISO EXTERNO'!D6</f>
        <v>2.62</v>
      </c>
      <c r="G173" s="41">
        <f>IF($B173="","",VLOOKUP($C173,'200 ONERADO'!$A$3:$H$4201,6,0))</f>
        <v>219.03</v>
      </c>
      <c r="H173" s="42">
        <f>ROUND(G173*(1+$I$5),2)</f>
        <v>262.83999999999997</v>
      </c>
      <c r="I173" s="43">
        <f>IF($B173="","",ROUND(F173*H173,2))</f>
        <v>688.64</v>
      </c>
      <c r="K173" s="614">
        <f t="shared" si="79"/>
        <v>4.0000000000000002E-4</v>
      </c>
      <c r="L173" s="1">
        <v>32</v>
      </c>
      <c r="M173" s="46" t="s">
        <v>15656</v>
      </c>
    </row>
    <row r="174" spans="1:14" x14ac:dyDescent="0.2">
      <c r="A174" s="635" t="s">
        <v>21568</v>
      </c>
      <c r="B174" s="37" t="s">
        <v>97</v>
      </c>
      <c r="C174" s="46" t="s">
        <v>12353</v>
      </c>
      <c r="D174" s="38" t="str">
        <f>IF($B174="","",VLOOKUP($C174,'200 ONERADO'!$A$3:$G$4201,2,0))</f>
        <v>Concreto usinado, fck = 30 MPa</v>
      </c>
      <c r="E174" s="39" t="str">
        <f>IF($B174="","",VLOOKUP($C174,'200 ONERADO'!$A$3:$G$4201,3,0))</f>
        <v>m³</v>
      </c>
      <c r="F174" s="625">
        <f>'PISO EXTERNO'!F6</f>
        <v>5.25</v>
      </c>
      <c r="G174" s="41">
        <f>IF($B174="","",VLOOKUP($C174,'200 ONERADO'!$A$3:$H$4201,6,0))</f>
        <v>544.1</v>
      </c>
      <c r="H174" s="42">
        <f>ROUND(G174*(1+$I$5),2)</f>
        <v>652.91999999999996</v>
      </c>
      <c r="I174" s="43">
        <f>IF($B174="","",ROUND(F174*H174,2))</f>
        <v>3427.83</v>
      </c>
      <c r="K174" s="614">
        <f t="shared" si="79"/>
        <v>2.0999999999999999E-3</v>
      </c>
      <c r="L174" s="1">
        <v>31</v>
      </c>
      <c r="M174" s="46"/>
    </row>
    <row r="175" spans="1:14" x14ac:dyDescent="0.2">
      <c r="A175" s="44" t="s">
        <v>21569</v>
      </c>
      <c r="B175" s="37" t="s">
        <v>97</v>
      </c>
      <c r="C175" s="46" t="s">
        <v>20321</v>
      </c>
      <c r="D175" s="38" t="str">
        <f>IF($B175="","",VLOOKUP($C175,'200 ONERADO'!$A$3:$G$4201,2,0))</f>
        <v>Fibra em polipropileno (macrofibra), resistência residual 4,3+-0,3 Mpa</v>
      </c>
      <c r="E175" s="39" t="str">
        <f>IF($B175="","",VLOOKUP($C175,'200 ONERADO'!$A$3:$G$4201,3,0))</f>
        <v>kg</v>
      </c>
      <c r="F175" s="154">
        <f>ROUND(F174*4,2)</f>
        <v>21</v>
      </c>
      <c r="G175" s="41">
        <f>IF($B175="","",VLOOKUP($C175,'200 ONERADO'!$A$3:$H$4201,6,0))</f>
        <v>43.47</v>
      </c>
      <c r="H175" s="42">
        <f t="shared" ref="H175:H176" si="92">ROUND(G175*(1+$I$5),2)</f>
        <v>52.16</v>
      </c>
      <c r="I175" s="43">
        <f t="shared" ref="I175:I176" si="93">IF($B175="","",ROUND(F175*H175,2))</f>
        <v>1095.3599999999999</v>
      </c>
      <c r="K175" s="614">
        <f t="shared" si="79"/>
        <v>6.9999999999999999E-4</v>
      </c>
      <c r="M175" s="46"/>
    </row>
    <row r="176" spans="1:14" x14ac:dyDescent="0.2">
      <c r="A176" s="44" t="s">
        <v>21570</v>
      </c>
      <c r="B176" s="37" t="s">
        <v>97</v>
      </c>
      <c r="C176" s="46" t="s">
        <v>20323</v>
      </c>
      <c r="D176" s="38" t="str">
        <f>IF($B176="","",VLOOKUP($C176,'200 ONERADO'!$A$3:$G$4201,2,0))</f>
        <v>Fibra polimérica (microfibra anticrack), tenacidade mínima 5cN/dtex</v>
      </c>
      <c r="E176" s="39" t="str">
        <f>IF($B176="","",VLOOKUP($C176,'200 ONERADO'!$A$3:$G$4201,3,0))</f>
        <v>kg</v>
      </c>
      <c r="F176" s="154">
        <f>ROUND(F174*1.2,2)</f>
        <v>6.3</v>
      </c>
      <c r="G176" s="41">
        <f>IF($B176="","",VLOOKUP($C176,'200 ONERADO'!$A$3:$H$4201,6,0))</f>
        <v>32.799999999999997</v>
      </c>
      <c r="H176" s="42">
        <f t="shared" si="92"/>
        <v>39.36</v>
      </c>
      <c r="I176" s="43">
        <f t="shared" si="93"/>
        <v>247.97</v>
      </c>
      <c r="K176" s="614">
        <f t="shared" si="79"/>
        <v>2.0000000000000001E-4</v>
      </c>
      <c r="M176" s="46"/>
    </row>
    <row r="177" spans="1:14" x14ac:dyDescent="0.2">
      <c r="A177" s="44" t="s">
        <v>21571</v>
      </c>
      <c r="B177" s="37" t="s">
        <v>97</v>
      </c>
      <c r="C177" s="46" t="s">
        <v>13629</v>
      </c>
      <c r="D177" s="38" t="str">
        <f>IF($B177="","",VLOOKUP($C177,'200 ONERADO'!$A$3:$G$4201,2,0))</f>
        <v>Lançamento e adensamento de concreto ou massa em fundação</v>
      </c>
      <c r="E177" s="39" t="str">
        <f>IF($B177="","",VLOOKUP($C177,'200 ONERADO'!$A$3:$G$4201,3,0))</f>
        <v>m³</v>
      </c>
      <c r="F177" s="154">
        <f>F174</f>
        <v>5.25</v>
      </c>
      <c r="G177" s="569">
        <f>IF($B177="","",VLOOKUP($C177,'200 ONERADO'!$A$3:$H$4201,6,0))</f>
        <v>191.54</v>
      </c>
      <c r="H177" s="42">
        <f>ROUND(G177*(1+$I$5),2)</f>
        <v>229.85</v>
      </c>
      <c r="I177" s="43">
        <f>IF($B177="","",ROUND(F177*H177,2))</f>
        <v>1206.71</v>
      </c>
      <c r="K177" s="614">
        <f t="shared" si="79"/>
        <v>6.9999999999999999E-4</v>
      </c>
      <c r="L177" s="1">
        <v>30</v>
      </c>
      <c r="M177" s="46" t="s">
        <v>15684</v>
      </c>
    </row>
    <row r="178" spans="1:14" x14ac:dyDescent="0.2">
      <c r="A178" s="44" t="s">
        <v>21572</v>
      </c>
      <c r="B178" s="37" t="s">
        <v>97</v>
      </c>
      <c r="C178" s="46" t="s">
        <v>13635</v>
      </c>
      <c r="D178" s="38" t="str">
        <f>IF($B178="","",VLOOKUP($C178,'200 ONERADO'!$A$3:$G$4201,2,0))</f>
        <v>Nivelamento de piso em concreto com acabadora de superfície</v>
      </c>
      <c r="E178" s="39" t="str">
        <f>IF($B178="","",VLOOKUP($C178,'200 ONERADO'!$A$3:$G$4201,3,0))</f>
        <v>m²</v>
      </c>
      <c r="F178" s="154">
        <f>'PISO EXTERNO'!C6</f>
        <v>52.48</v>
      </c>
      <c r="G178" s="41">
        <f>IF($B178="","",VLOOKUP($C178,'200 ONERADO'!$A$3:$H$4201,6,0))</f>
        <v>16.170000000000002</v>
      </c>
      <c r="H178" s="42">
        <f t="shared" ref="H178:H180" si="94">ROUND(G178*(1+$I$5),2)</f>
        <v>19.399999999999999</v>
      </c>
      <c r="I178" s="43">
        <f t="shared" ref="I178:I180" si="95">IF($B178="","",ROUND(F178*H178,2))</f>
        <v>1018.11</v>
      </c>
      <c r="K178" s="614">
        <f t="shared" si="79"/>
        <v>5.9999999999999995E-4</v>
      </c>
      <c r="L178" s="1">
        <v>29</v>
      </c>
      <c r="M178" s="390"/>
    </row>
    <row r="179" spans="1:14" x14ac:dyDescent="0.2">
      <c r="A179" s="44" t="s">
        <v>21573</v>
      </c>
      <c r="B179" s="37" t="s">
        <v>97</v>
      </c>
      <c r="C179" s="46" t="s">
        <v>13662</v>
      </c>
      <c r="D179" s="38" t="str">
        <f>IF($B179="","",VLOOKUP($C179,'200 ONERADO'!$A$3:$G$4201,2,0))</f>
        <v>Cura química de concreto, membrana líquida</v>
      </c>
      <c r="E179" s="39" t="str">
        <f>IF($B179="","",VLOOKUP($C179,'200 ONERADO'!$A$3:$G$4201,3,0))</f>
        <v>m²</v>
      </c>
      <c r="F179" s="154">
        <f>F178</f>
        <v>52.48</v>
      </c>
      <c r="G179" s="41">
        <f>IF($B179="","",VLOOKUP($C179,'200 ONERADO'!$A$3:$H$4201,6,0))</f>
        <v>8.4499999999999993</v>
      </c>
      <c r="H179" s="42">
        <f t="shared" si="94"/>
        <v>10.14</v>
      </c>
      <c r="I179" s="43">
        <f t="shared" si="95"/>
        <v>532.15</v>
      </c>
      <c r="K179" s="614">
        <f t="shared" si="79"/>
        <v>2.9999999999999997E-4</v>
      </c>
      <c r="L179" s="1">
        <v>28</v>
      </c>
      <c r="M179" s="390"/>
    </row>
    <row r="180" spans="1:14" x14ac:dyDescent="0.2">
      <c r="A180" s="44" t="s">
        <v>21896</v>
      </c>
      <c r="B180" s="37" t="s">
        <v>97</v>
      </c>
      <c r="C180" s="46" t="s">
        <v>13564</v>
      </c>
      <c r="D180" s="38" t="str">
        <f>IF($B180="","",VLOOKUP($C180,'200 ONERADO'!$A$3:$G$4201,2,0))</f>
        <v>Armadura em tela soldada de aço</v>
      </c>
      <c r="E180" s="39" t="str">
        <f>IF($B180="","",VLOOKUP($C180,'200 ONERADO'!$A$3:$G$4201,3,0))</f>
        <v>kg</v>
      </c>
      <c r="F180" s="154">
        <f>'PISO EXTERNO'!I6</f>
        <v>138.01999999999998</v>
      </c>
      <c r="G180" s="41">
        <f>IF($B180="","",VLOOKUP($C180,'200 ONERADO'!$A$3:$H$4201,6,0))</f>
        <v>9.85</v>
      </c>
      <c r="H180" s="42">
        <f t="shared" si="94"/>
        <v>11.82</v>
      </c>
      <c r="I180" s="43">
        <f t="shared" si="95"/>
        <v>1631.4</v>
      </c>
      <c r="K180" s="614">
        <f t="shared" si="79"/>
        <v>1E-3</v>
      </c>
      <c r="L180" s="1">
        <v>27</v>
      </c>
      <c r="M180" s="390"/>
    </row>
    <row r="181" spans="1:14" x14ac:dyDescent="0.2">
      <c r="A181" s="44" t="s">
        <v>21897</v>
      </c>
      <c r="B181" s="570" t="s">
        <v>20424</v>
      </c>
      <c r="C181" s="46" t="s">
        <v>20533</v>
      </c>
      <c r="D181" s="38" t="s">
        <v>20534</v>
      </c>
      <c r="E181" s="39" t="s">
        <v>20385</v>
      </c>
      <c r="F181" s="154">
        <v>5</v>
      </c>
      <c r="G181" s="41">
        <v>597.19000000000005</v>
      </c>
      <c r="H181" s="42">
        <f>ROUND(G181*(1+$I$5),2)</f>
        <v>716.63</v>
      </c>
      <c r="I181" s="43">
        <f>IF($B181="","",ROUND(F181*H181,2))</f>
        <v>3583.15</v>
      </c>
      <c r="K181" s="614">
        <f t="shared" si="79"/>
        <v>2.2000000000000001E-3</v>
      </c>
      <c r="L181" s="1">
        <v>26</v>
      </c>
      <c r="M181" s="624" t="s">
        <v>21983</v>
      </c>
      <c r="N181" s="623">
        <v>597.19000000000005</v>
      </c>
    </row>
    <row r="182" spans="1:14" x14ac:dyDescent="0.2">
      <c r="A182" s="239" t="s">
        <v>20573</v>
      </c>
      <c r="B182" s="240"/>
      <c r="C182" s="241"/>
      <c r="D182" s="242" t="s">
        <v>20602</v>
      </c>
      <c r="E182" s="243"/>
      <c r="F182" s="244"/>
      <c r="G182" s="245" t="str">
        <f>IF($B182="","",VLOOKUP($C182,'[1]BOLETIM 161'!$A$7:$F$4000,6,0))</f>
        <v/>
      </c>
      <c r="H182" s="246"/>
      <c r="I182" s="247">
        <f>SUBTOTAL(9,I183:I190)</f>
        <v>55723.62</v>
      </c>
      <c r="K182" s="615">
        <f t="shared" si="79"/>
        <v>3.4599999999999999E-2</v>
      </c>
      <c r="M182" s="390"/>
    </row>
    <row r="183" spans="1:14" x14ac:dyDescent="0.2">
      <c r="A183" s="44" t="s">
        <v>20574</v>
      </c>
      <c r="B183" s="37" t="s">
        <v>97</v>
      </c>
      <c r="C183" s="46" t="s">
        <v>13359</v>
      </c>
      <c r="D183" s="38" t="str">
        <f>IF($B183="","",VLOOKUP($C183,'200 ONERADO'!$A$3:$G$4201,2,0))</f>
        <v>Escavação manual em solo de 1ª e 2ª categoria em vala ou cava até 1,5 m</v>
      </c>
      <c r="E183" s="39" t="str">
        <f>IF($B183="","",VLOOKUP($C183,'200 ONERADO'!$A$3:$G$4201,3,0))</f>
        <v>m³</v>
      </c>
      <c r="F183" s="154">
        <f>DIVISA!O8</f>
        <v>8.18</v>
      </c>
      <c r="G183" s="41">
        <f>IF($B183="","",VLOOKUP($C183,'200 ONERADO'!$A$3:$H$4201,6,0))</f>
        <v>68.13</v>
      </c>
      <c r="H183" s="42">
        <f>ROUND(G183*(1+$I$5),2)</f>
        <v>81.760000000000005</v>
      </c>
      <c r="I183" s="43">
        <f>IF($B183="","",ROUND(F183*H183,2))</f>
        <v>668.8</v>
      </c>
      <c r="K183" s="614">
        <f t="shared" si="79"/>
        <v>4.0000000000000002E-4</v>
      </c>
      <c r="L183" s="1">
        <v>25</v>
      </c>
      <c r="M183" s="390"/>
    </row>
    <row r="184" spans="1:14" x14ac:dyDescent="0.2">
      <c r="A184" s="44" t="s">
        <v>20575</v>
      </c>
      <c r="B184" s="37" t="s">
        <v>97</v>
      </c>
      <c r="C184" s="46" t="s">
        <v>13675</v>
      </c>
      <c r="D184" s="38" t="str">
        <f>IF($B184="","",VLOOKUP($C184,'200 ONERADO'!$A$3:$G$4201,2,0))</f>
        <v>Broca em concreto armado diâmetro de 20 cm - completa</v>
      </c>
      <c r="E184" s="39" t="str">
        <f>IF($B184="","",VLOOKUP($C184,'200 ONERADO'!$A$3:$G$4201,3,0))</f>
        <v>m</v>
      </c>
      <c r="F184" s="154">
        <f>DIVISA!M59</f>
        <v>141</v>
      </c>
      <c r="G184" s="41">
        <f>IF($B184="","",VLOOKUP($C184,'200 ONERADO'!$A$3:$H$4201,6,0))</f>
        <v>71.88</v>
      </c>
      <c r="H184" s="42">
        <f>ROUND(G184*(1+$I$5),2)</f>
        <v>86.26</v>
      </c>
      <c r="I184" s="43">
        <f>IF($B184="","",ROUND(F184*H184,2))</f>
        <v>12162.66</v>
      </c>
      <c r="K184" s="614">
        <f t="shared" si="79"/>
        <v>7.6E-3</v>
      </c>
      <c r="L184" s="1">
        <v>24</v>
      </c>
      <c r="M184" s="390"/>
    </row>
    <row r="185" spans="1:14" x14ac:dyDescent="0.2">
      <c r="A185" s="44" t="s">
        <v>21800</v>
      </c>
      <c r="B185" s="37" t="s">
        <v>97</v>
      </c>
      <c r="C185" s="46" t="s">
        <v>13882</v>
      </c>
      <c r="D185" s="38" t="str">
        <f>IF($B185="","",VLOOKUP($C185,'200 ONERADO'!$A$3:$G$4201,2,0))</f>
        <v>Alvenaria de bloco de concreto estrutural 14 cm - classe B</v>
      </c>
      <c r="E185" s="39" t="str">
        <f>IF($B185="","",VLOOKUP($C185,'200 ONERADO'!$A$3:$G$4201,3,0))</f>
        <v>m²</v>
      </c>
      <c r="F185" s="154">
        <f>DIVISA!T8</f>
        <v>102.09</v>
      </c>
      <c r="G185" s="41">
        <f>IF($B185="","",VLOOKUP($C185,'200 ONERADO'!$A$3:$H$4201,6,0))</f>
        <v>119.14</v>
      </c>
      <c r="H185" s="42">
        <f>ROUND(G185*(1+$I$5),2)</f>
        <v>142.97</v>
      </c>
      <c r="I185" s="43">
        <f>IF($B185="","",ROUND(F185*H185,2))</f>
        <v>14595.81</v>
      </c>
      <c r="K185" s="614">
        <f t="shared" si="79"/>
        <v>9.1000000000000004E-3</v>
      </c>
      <c r="L185" s="1">
        <v>23</v>
      </c>
      <c r="M185" s="390"/>
    </row>
    <row r="186" spans="1:14" x14ac:dyDescent="0.2">
      <c r="A186" s="44" t="s">
        <v>21801</v>
      </c>
      <c r="B186" s="37" t="s">
        <v>97</v>
      </c>
      <c r="C186" s="46" t="s">
        <v>13900</v>
      </c>
      <c r="D186" s="38" t="str">
        <f>IF($B186="","",VLOOKUP($C186,'200 ONERADO'!$A$3:$G$4201,2,0))</f>
        <v>Cimalha em concreto com pingadeira</v>
      </c>
      <c r="E186" s="39" t="str">
        <f>IF($B186="","",VLOOKUP($C186,'200 ONERADO'!$A$3:$G$4201,3,0))</f>
        <v>m</v>
      </c>
      <c r="F186" s="154">
        <f>DIVISA!R8</f>
        <v>90.89</v>
      </c>
      <c r="G186" s="41">
        <f>IF($B186="","",VLOOKUP($C186,'200 ONERADO'!$A$3:$H$4201,6,0))</f>
        <v>12.85</v>
      </c>
      <c r="H186" s="42">
        <f t="shared" ref="H186:H190" si="96">ROUND(G186*(1+$I$5),2)</f>
        <v>15.42</v>
      </c>
      <c r="I186" s="43">
        <f t="shared" ref="I186:I187" si="97">IF($B186="","",ROUND(F186*H186,2))</f>
        <v>1401.52</v>
      </c>
      <c r="K186" s="614">
        <f t="shared" si="79"/>
        <v>8.9999999999999998E-4</v>
      </c>
      <c r="L186" s="1">
        <v>22</v>
      </c>
      <c r="M186" s="390"/>
    </row>
    <row r="187" spans="1:14" x14ac:dyDescent="0.2">
      <c r="A187" s="44" t="s">
        <v>21802</v>
      </c>
      <c r="B187" s="37" t="s">
        <v>97</v>
      </c>
      <c r="C187" s="46" t="s">
        <v>15807</v>
      </c>
      <c r="D187" s="38" t="str">
        <f>IF($B187="","",VLOOKUP($C187,'200 ONERADO'!$A$3:$G$4201,2,0))</f>
        <v>Barreira de proteção perimetral em aço inoxidável AISI 430, dupla</v>
      </c>
      <c r="E187" s="39" t="str">
        <f>IF($B187="","",VLOOKUP($C187,'200 ONERADO'!$A$3:$G$4201,3,0))</f>
        <v>m</v>
      </c>
      <c r="F187" s="154">
        <f>16+30.55</f>
        <v>46.55</v>
      </c>
      <c r="G187" s="41">
        <f>IF($B187="","",VLOOKUP($C187,'200 ONERADO'!$A$3:$H$4201,6,0))</f>
        <v>46.11</v>
      </c>
      <c r="H187" s="42">
        <f t="shared" si="96"/>
        <v>55.33</v>
      </c>
      <c r="I187" s="43">
        <f t="shared" si="97"/>
        <v>2575.61</v>
      </c>
      <c r="K187" s="614">
        <f t="shared" si="79"/>
        <v>1.6000000000000001E-3</v>
      </c>
      <c r="L187" s="1">
        <v>21</v>
      </c>
      <c r="M187" s="390"/>
    </row>
    <row r="188" spans="1:14" x14ac:dyDescent="0.2">
      <c r="A188" s="44" t="s">
        <v>21803</v>
      </c>
      <c r="B188" s="37" t="s">
        <v>97</v>
      </c>
      <c r="C188" s="46" t="s">
        <v>15819</v>
      </c>
      <c r="D188" s="38" t="str">
        <f>IF($B188="","",VLOOKUP($C188,'200 ONERADO'!$A$3:$G$4201,2,0))</f>
        <v>Gradil de ferro perfilado, tipo parque</v>
      </c>
      <c r="E188" s="39" t="str">
        <f>IF($B188="","",VLOOKUP($C188,'200 ONERADO'!$A$3:$G$4201,3,0))</f>
        <v>m²</v>
      </c>
      <c r="F188" s="154">
        <f>ROUND(5.4*1.6,2)</f>
        <v>8.64</v>
      </c>
      <c r="G188" s="41">
        <f>IF($B188="","",VLOOKUP($C188,'200 ONERADO'!$A$3:$H$4201,6,0))</f>
        <v>594</v>
      </c>
      <c r="H188" s="42">
        <f t="shared" si="96"/>
        <v>712.8</v>
      </c>
      <c r="I188" s="43">
        <f t="shared" ref="I188:I190" si="98">IF($B188="","",ROUND(F188*H188,2))</f>
        <v>6158.59</v>
      </c>
      <c r="K188" s="614">
        <f t="shared" si="79"/>
        <v>3.8E-3</v>
      </c>
      <c r="L188" s="1">
        <v>20</v>
      </c>
      <c r="M188" s="390"/>
    </row>
    <row r="189" spans="1:14" x14ac:dyDescent="0.2">
      <c r="A189" s="44" t="s">
        <v>21804</v>
      </c>
      <c r="B189" s="37" t="s">
        <v>97</v>
      </c>
      <c r="C189" s="37" t="s">
        <v>14881</v>
      </c>
      <c r="D189" s="38" t="str">
        <f>IF($B189="","",VLOOKUP($C189,'200 ONERADO'!$A$3:$G$4201,2,0))</f>
        <v>Porta/portão de abrir em chapa, sob medida</v>
      </c>
      <c r="E189" s="39" t="str">
        <f>IF($B189="","",VLOOKUP($C189,'200 ONERADO'!$A$3:$G$4201,3,0))</f>
        <v>m²</v>
      </c>
      <c r="F189" s="154">
        <f>ESQUADRIAS!H31+0.9*2.6</f>
        <v>12.74</v>
      </c>
      <c r="G189" s="41">
        <f>IF($B189="","",VLOOKUP($C189,'200 ONERADO'!$A$3:$H$4201,6,0))</f>
        <v>1039</v>
      </c>
      <c r="H189" s="42">
        <f t="shared" si="96"/>
        <v>1246.8</v>
      </c>
      <c r="I189" s="43">
        <f t="shared" ref="I189" si="99">IF($B189="","",ROUND(F189*H189,2))</f>
        <v>15884.23</v>
      </c>
      <c r="K189" s="614">
        <f t="shared" si="79"/>
        <v>9.9000000000000008E-3</v>
      </c>
      <c r="L189" s="1">
        <v>19</v>
      </c>
      <c r="M189" s="390"/>
    </row>
    <row r="190" spans="1:14" x14ac:dyDescent="0.2">
      <c r="A190" s="44" t="s">
        <v>21807</v>
      </c>
      <c r="B190" s="37" t="s">
        <v>97</v>
      </c>
      <c r="C190" s="37" t="s">
        <v>14038</v>
      </c>
      <c r="D190" s="38" t="str">
        <f>IF($B190="","",VLOOKUP($C190,'200 ONERADO'!$A$3:$G$4201,2,0))</f>
        <v>Fornecimento de peças diversas para estrutura em madeira</v>
      </c>
      <c r="E190" s="39" t="str">
        <f>IF($B190="","",VLOOKUP($C190,'200 ONERADO'!$A$3:$G$4201,3,0))</f>
        <v>m³</v>
      </c>
      <c r="F190" s="154">
        <f>ROUND((3.8+0.9)*2.5*0.03,2)</f>
        <v>0.35</v>
      </c>
      <c r="G190" s="41">
        <f>IF($B190="","",VLOOKUP($C190,'200 ONERADO'!$A$3:$H$4201,6,0))</f>
        <v>5420</v>
      </c>
      <c r="H190" s="42">
        <f t="shared" si="96"/>
        <v>6504</v>
      </c>
      <c r="I190" s="43">
        <f t="shared" si="98"/>
        <v>2276.4</v>
      </c>
      <c r="K190" s="614">
        <f t="shared" si="79"/>
        <v>1.4E-3</v>
      </c>
      <c r="L190" s="1">
        <v>18</v>
      </c>
      <c r="M190" s="390"/>
    </row>
    <row r="191" spans="1:14" x14ac:dyDescent="0.2">
      <c r="A191" s="239" t="s">
        <v>21805</v>
      </c>
      <c r="B191" s="240"/>
      <c r="C191" s="241"/>
      <c r="D191" s="242" t="s">
        <v>21574</v>
      </c>
      <c r="E191" s="243"/>
      <c r="F191" s="244"/>
      <c r="G191" s="245" t="str">
        <f>IF($B191="","",VLOOKUP($C191,'[1]BOLETIM 161'!$A$7:$F$4000,6,0))</f>
        <v/>
      </c>
      <c r="H191" s="246"/>
      <c r="I191" s="247">
        <f>SUBTOTAL(9,I192:I203)</f>
        <v>48458.039999999994</v>
      </c>
      <c r="K191" s="615">
        <f t="shared" si="79"/>
        <v>3.0099999999999998E-2</v>
      </c>
      <c r="M191" s="390"/>
    </row>
    <row r="192" spans="1:14" x14ac:dyDescent="0.2">
      <c r="A192" s="44" t="s">
        <v>21806</v>
      </c>
      <c r="B192" s="37" t="s">
        <v>97</v>
      </c>
      <c r="C192" s="46" t="s">
        <v>13690</v>
      </c>
      <c r="D192" s="38" t="str">
        <f>IF($B192="","",VLOOKUP($C192,'200 ONERADO'!$A$3:$G$4201,2,0))</f>
        <v>Estaca escavada mecanicamente, diâmetro de 30 cm até 30 t</v>
      </c>
      <c r="E192" s="39" t="str">
        <f>IF($B192="","",VLOOKUP($C192,'200 ONERADO'!$A$3:$G$4201,3,0))</f>
        <v>m</v>
      </c>
      <c r="F192" s="154">
        <f>'GARAGEM F.'!M10</f>
        <v>18</v>
      </c>
      <c r="G192" s="41">
        <f>IF($B192="","",VLOOKUP($C192,'200 ONERADO'!$A$3:$H$4201,6,0))</f>
        <v>83.17</v>
      </c>
      <c r="H192" s="42">
        <f t="shared" ref="H192:H197" si="100">ROUND(G192*(1+$I$5),2)</f>
        <v>99.8</v>
      </c>
      <c r="I192" s="43">
        <f t="shared" ref="I192:I197" si="101">IF($B192="","",ROUND(F192*H192,2))</f>
        <v>1796.4</v>
      </c>
      <c r="K192" s="614">
        <f t="shared" si="79"/>
        <v>1.1000000000000001E-3</v>
      </c>
      <c r="L192" s="1">
        <v>17</v>
      </c>
      <c r="M192" s="390"/>
    </row>
    <row r="193" spans="1:14" x14ac:dyDescent="0.2">
      <c r="A193" s="44" t="s">
        <v>21809</v>
      </c>
      <c r="B193" s="37" t="s">
        <v>97</v>
      </c>
      <c r="C193" s="46" t="s">
        <v>13641</v>
      </c>
      <c r="D193" s="38" t="str">
        <f>IF($B193="","",VLOOKUP($C193,'200 ONERADO'!$A$3:$G$4201,2,0))</f>
        <v>Lastro de pedra britada</v>
      </c>
      <c r="E193" s="39" t="str">
        <f>IF($B193="","",VLOOKUP($C193,'200 ONERADO'!$A$3:$G$4201,3,0))</f>
        <v>m³</v>
      </c>
      <c r="F193" s="154">
        <f>'GARAGEM F.'!G10</f>
        <v>6.0000000000000005E-2</v>
      </c>
      <c r="G193" s="41">
        <f>IF($B193="","",VLOOKUP($C193,'200 ONERADO'!$A$3:$H$4201,6,0))</f>
        <v>219.03</v>
      </c>
      <c r="H193" s="42">
        <f t="shared" si="100"/>
        <v>262.83999999999997</v>
      </c>
      <c r="I193" s="43">
        <f t="shared" si="101"/>
        <v>15.77</v>
      </c>
      <c r="K193" s="614">
        <f t="shared" si="79"/>
        <v>0</v>
      </c>
      <c r="L193" s="1">
        <v>16</v>
      </c>
      <c r="M193" s="390"/>
    </row>
    <row r="194" spans="1:14" x14ac:dyDescent="0.2">
      <c r="A194" s="635" t="s">
        <v>21810</v>
      </c>
      <c r="B194" s="37" t="s">
        <v>97</v>
      </c>
      <c r="C194" s="46" t="s">
        <v>13506</v>
      </c>
      <c r="D194" s="38" t="str">
        <f>IF($B194="","",VLOOKUP($C194,'200 ONERADO'!$A$3:$G$4201,2,0))</f>
        <v>Forma em madeira comum para fundação</v>
      </c>
      <c r="E194" s="39" t="str">
        <f>IF($B194="","",VLOOKUP($C194,'200 ONERADO'!$A$3:$G$4201,3,0))</f>
        <v>m²</v>
      </c>
      <c r="F194" s="625">
        <f>'GARAGEM F.'!F10</f>
        <v>6</v>
      </c>
      <c r="G194" s="41">
        <f>IF($B194="","",VLOOKUP($C194,'200 ONERADO'!$A$3:$H$4201,6,0))</f>
        <v>110.06</v>
      </c>
      <c r="H194" s="42">
        <f t="shared" si="100"/>
        <v>132.07</v>
      </c>
      <c r="I194" s="43">
        <f t="shared" si="101"/>
        <v>792.42</v>
      </c>
      <c r="K194" s="614">
        <f t="shared" si="79"/>
        <v>5.0000000000000001E-4</v>
      </c>
      <c r="L194" s="1">
        <v>15</v>
      </c>
      <c r="M194" s="390"/>
    </row>
    <row r="195" spans="1:14" x14ac:dyDescent="0.2">
      <c r="A195" s="635" t="s">
        <v>21811</v>
      </c>
      <c r="B195" s="37" t="s">
        <v>97</v>
      </c>
      <c r="C195" s="46" t="s">
        <v>12353</v>
      </c>
      <c r="D195" s="38" t="str">
        <f>IF($B195="","",VLOOKUP($C195,'200 ONERADO'!$A$3:$G$4201,2,0))</f>
        <v>Concreto usinado, fck = 30 MPa</v>
      </c>
      <c r="E195" s="39" t="str">
        <f>IF($B195="","",VLOOKUP($C195,'200 ONERADO'!$A$3:$G$4201,3,0))</f>
        <v>m³</v>
      </c>
      <c r="F195" s="625">
        <f>'GARAGEM F.'!H10</f>
        <v>0.78</v>
      </c>
      <c r="G195" s="41">
        <f>IF($B195="","",VLOOKUP($C195,'200 ONERADO'!$A$3:$H$4201,6,0))</f>
        <v>544.1</v>
      </c>
      <c r="H195" s="42">
        <f t="shared" si="100"/>
        <v>652.91999999999996</v>
      </c>
      <c r="I195" s="43">
        <f t="shared" si="101"/>
        <v>509.28</v>
      </c>
      <c r="K195" s="614">
        <f t="shared" si="79"/>
        <v>2.9999999999999997E-4</v>
      </c>
      <c r="L195" s="1">
        <v>14</v>
      </c>
      <c r="M195" s="390"/>
    </row>
    <row r="196" spans="1:14" x14ac:dyDescent="0.2">
      <c r="A196" s="44" t="s">
        <v>21812</v>
      </c>
      <c r="B196" s="37" t="s">
        <v>97</v>
      </c>
      <c r="C196" s="46" t="s">
        <v>13629</v>
      </c>
      <c r="D196" s="38" t="str">
        <f>IF($B196="","",VLOOKUP($C196,'200 ONERADO'!$A$3:$G$4201,2,0))</f>
        <v>Lançamento e adensamento de concreto ou massa em fundação</v>
      </c>
      <c r="E196" s="39" t="str">
        <f>IF($B196="","",VLOOKUP($C196,'200 ONERADO'!$A$3:$G$4201,3,0))</f>
        <v>m³</v>
      </c>
      <c r="F196" s="154">
        <f>F195</f>
        <v>0.78</v>
      </c>
      <c r="G196" s="41">
        <f>IF($B196="","",VLOOKUP($C196,'200 ONERADO'!$A$3:$H$4201,6,0))</f>
        <v>191.54</v>
      </c>
      <c r="H196" s="42">
        <f t="shared" si="100"/>
        <v>229.85</v>
      </c>
      <c r="I196" s="43">
        <f t="shared" si="101"/>
        <v>179.28</v>
      </c>
      <c r="K196" s="614">
        <f t="shared" si="79"/>
        <v>1E-4</v>
      </c>
      <c r="L196" s="1">
        <v>13</v>
      </c>
      <c r="M196" s="390"/>
    </row>
    <row r="197" spans="1:14" x14ac:dyDescent="0.2">
      <c r="A197" s="635" t="s">
        <v>21813</v>
      </c>
      <c r="B197" s="37" t="s">
        <v>97</v>
      </c>
      <c r="C197" s="46" t="s">
        <v>13558</v>
      </c>
      <c r="D197" s="38" t="str">
        <f>IF($B197="","",VLOOKUP($C197,'200 ONERADO'!$A$3:$G$4201,2,0))</f>
        <v>Armadura em barra de aço CA-50 (A ou B) fyk = 500 MPa</v>
      </c>
      <c r="E197" s="39" t="str">
        <f>IF($B197="","",VLOOKUP($C197,'200 ONERADO'!$A$3:$G$4201,3,0))</f>
        <v>kg</v>
      </c>
      <c r="F197" s="625">
        <f>'GARAGEM F.'!J10</f>
        <v>62.4</v>
      </c>
      <c r="G197" s="41">
        <f>IF($B197="","",VLOOKUP($C197,'200 ONERADO'!$A$3:$H$4201,6,0))</f>
        <v>10.14</v>
      </c>
      <c r="H197" s="42">
        <f t="shared" si="100"/>
        <v>12.17</v>
      </c>
      <c r="I197" s="43">
        <f t="shared" si="101"/>
        <v>759.41</v>
      </c>
      <c r="K197" s="614">
        <f t="shared" si="79"/>
        <v>5.0000000000000001E-4</v>
      </c>
      <c r="L197" s="1">
        <v>12</v>
      </c>
      <c r="M197" s="390"/>
    </row>
    <row r="198" spans="1:14" x14ac:dyDescent="0.2">
      <c r="A198" s="44" t="s">
        <v>21814</v>
      </c>
      <c r="B198" s="37" t="s">
        <v>97</v>
      </c>
      <c r="C198" s="46" t="s">
        <v>13508</v>
      </c>
      <c r="D198" s="38" t="str">
        <f>IF($B198="","",VLOOKUP($C198,'200 ONERADO'!$A$3:$G$4201,2,0))</f>
        <v>Forma em madeira comum para estrutura</v>
      </c>
      <c r="E198" s="39" t="str">
        <f>IF($B198="","",VLOOKUP($C198,'200 ONERADO'!$A$3:$G$4201,3,0))</f>
        <v>m²</v>
      </c>
      <c r="F198" s="154">
        <f>'GARAGEM F.'!V10</f>
        <v>23.520000000000003</v>
      </c>
      <c r="G198" s="41">
        <f>IF($B198="","",VLOOKUP($C198,'200 ONERADO'!$A$3:$H$4201,6,0))</f>
        <v>252.88</v>
      </c>
      <c r="H198" s="42">
        <f t="shared" ref="H198:H201" si="102">ROUND(G198*(1+$I$5),2)</f>
        <v>303.45999999999998</v>
      </c>
      <c r="I198" s="43">
        <f t="shared" ref="I198:I201" si="103">IF($B198="","",ROUND(F198*H198,2))</f>
        <v>7137.38</v>
      </c>
      <c r="K198" s="614">
        <f t="shared" si="79"/>
        <v>4.4000000000000003E-3</v>
      </c>
      <c r="L198" s="1">
        <v>11</v>
      </c>
      <c r="M198" s="390"/>
    </row>
    <row r="199" spans="1:14" x14ac:dyDescent="0.2">
      <c r="A199" s="635" t="s">
        <v>21815</v>
      </c>
      <c r="B199" s="37" t="s">
        <v>97</v>
      </c>
      <c r="C199" s="46" t="s">
        <v>12353</v>
      </c>
      <c r="D199" s="38" t="str">
        <f>IF($B199="","",VLOOKUP($C199,'200 ONERADO'!$A$3:$G$4201,2,0))</f>
        <v>Concreto usinado, fck = 30 MPa</v>
      </c>
      <c r="E199" s="39" t="str">
        <f>IF($B199="","",VLOOKUP($C199,'200 ONERADO'!$A$3:$G$4201,3,0))</f>
        <v>m³</v>
      </c>
      <c r="F199" s="625">
        <f>'GARAGEM F.'!W10</f>
        <v>1.6800000000000002</v>
      </c>
      <c r="G199" s="41">
        <f>IF($B199="","",VLOOKUP($C199,'200 ONERADO'!$A$3:$H$4201,6,0))</f>
        <v>544.1</v>
      </c>
      <c r="H199" s="42">
        <f t="shared" si="102"/>
        <v>652.91999999999996</v>
      </c>
      <c r="I199" s="43">
        <f t="shared" si="103"/>
        <v>1096.9100000000001</v>
      </c>
      <c r="K199" s="614">
        <f t="shared" si="79"/>
        <v>6.9999999999999999E-4</v>
      </c>
      <c r="L199" s="1">
        <v>10</v>
      </c>
      <c r="M199" s="390"/>
    </row>
    <row r="200" spans="1:14" x14ac:dyDescent="0.2">
      <c r="A200" s="44" t="s">
        <v>21823</v>
      </c>
      <c r="B200" s="37" t="s">
        <v>97</v>
      </c>
      <c r="C200" s="46" t="s">
        <v>13631</v>
      </c>
      <c r="D200" s="38" t="str">
        <f>IF($B200="","",VLOOKUP($C200,'200 ONERADO'!$A$3:$G$4201,2,0))</f>
        <v>Lançamento e adensamento de concreto ou massa em estrutura</v>
      </c>
      <c r="E200" s="39" t="str">
        <f>IF($B200="","",VLOOKUP($C200,'200 ONERADO'!$A$3:$G$4201,3,0))</f>
        <v>m³</v>
      </c>
      <c r="F200" s="154">
        <f>F199</f>
        <v>1.6800000000000002</v>
      </c>
      <c r="G200" s="41">
        <f>IF($B200="","",VLOOKUP($C200,'200 ONERADO'!$A$3:$H$4201,6,0))</f>
        <v>132.30000000000001</v>
      </c>
      <c r="H200" s="42">
        <f t="shared" si="102"/>
        <v>158.76</v>
      </c>
      <c r="I200" s="43">
        <f t="shared" si="103"/>
        <v>266.72000000000003</v>
      </c>
      <c r="K200" s="614">
        <f t="shared" si="79"/>
        <v>2.0000000000000001E-4</v>
      </c>
      <c r="L200" s="1">
        <v>9</v>
      </c>
      <c r="M200" s="390"/>
    </row>
    <row r="201" spans="1:14" x14ac:dyDescent="0.2">
      <c r="A201" s="635" t="s">
        <v>14241</v>
      </c>
      <c r="B201" s="37" t="s">
        <v>97</v>
      </c>
      <c r="C201" s="46" t="s">
        <v>13558</v>
      </c>
      <c r="D201" s="38" t="str">
        <f>IF($B201="","",VLOOKUP($C201,'200 ONERADO'!$A$3:$G$4201,2,0))</f>
        <v>Armadura em barra de aço CA-50 (A ou B) fyk = 500 MPa</v>
      </c>
      <c r="E201" s="39" t="str">
        <f>IF($B201="","",VLOOKUP($C201,'200 ONERADO'!$A$3:$G$4201,3,0))</f>
        <v>kg</v>
      </c>
      <c r="F201" s="625">
        <f>'GARAGEM F.'!Y10</f>
        <v>126</v>
      </c>
      <c r="G201" s="41">
        <f>IF($B201="","",VLOOKUP($C201,'200 ONERADO'!$A$3:$H$4201,6,0))</f>
        <v>10.14</v>
      </c>
      <c r="H201" s="42">
        <f t="shared" si="102"/>
        <v>12.17</v>
      </c>
      <c r="I201" s="43">
        <f t="shared" si="103"/>
        <v>1533.42</v>
      </c>
      <c r="K201" s="614">
        <f t="shared" si="79"/>
        <v>1E-3</v>
      </c>
      <c r="L201" s="1">
        <v>8</v>
      </c>
      <c r="M201" s="390"/>
    </row>
    <row r="202" spans="1:14" x14ac:dyDescent="0.2">
      <c r="A202" s="44" t="s">
        <v>21824</v>
      </c>
      <c r="B202" s="37" t="s">
        <v>97</v>
      </c>
      <c r="C202" s="46" t="s">
        <v>14012</v>
      </c>
      <c r="D202" s="38" t="str">
        <f>IF($B202="","",VLOOKUP($C202,'200 ONERADO'!$A$3:$G$4201,2,0))</f>
        <v>Fornecimento e montagem de estrutura em aço ASTM-A36, sem pintura</v>
      </c>
      <c r="E202" s="39" t="str">
        <f>IF($B202="","",VLOOKUP($C202,'200 ONERADO'!$A$3:$G$4201,3,0))</f>
        <v>kg</v>
      </c>
      <c r="F202" s="154">
        <f>ROUND(10*67.52,2)</f>
        <v>675.2</v>
      </c>
      <c r="G202" s="41">
        <f>IF($B202="","",VLOOKUP($C202,'200 ONERADO'!$A$3:$H$4201,6,0))</f>
        <v>28.72</v>
      </c>
      <c r="H202" s="42">
        <f t="shared" ref="H202:H203" si="104">ROUND(G202*(1+$I$5),2)</f>
        <v>34.46</v>
      </c>
      <c r="I202" s="43">
        <f t="shared" ref="I202:I203" si="105">IF($B202="","",ROUND(F202*H202,2))</f>
        <v>23267.39</v>
      </c>
      <c r="K202" s="614">
        <f t="shared" si="79"/>
        <v>1.4500000000000001E-2</v>
      </c>
      <c r="L202" s="1">
        <v>7</v>
      </c>
      <c r="M202" s="390"/>
    </row>
    <row r="203" spans="1:14" ht="25.5" x14ac:dyDescent="0.2">
      <c r="A203" s="44" t="s">
        <v>14255</v>
      </c>
      <c r="B203" s="37" t="s">
        <v>97</v>
      </c>
      <c r="C203" s="46" t="s">
        <v>14105</v>
      </c>
      <c r="D203" s="38" t="str">
        <f>IF($B203="","",VLOOKUP($C203,'200 ONERADO'!$A$3:$G$4201,2,0))</f>
        <v>Telhamento em chapa de aço galvanizado autoportante, perfil trapezoidal, com espessura de 0,80mm e altura de 120mm</v>
      </c>
      <c r="E203" s="39" t="str">
        <f>IF($B203="","",VLOOKUP($C203,'200 ONERADO'!$A$3:$G$4201,3,0))</f>
        <v>m²</v>
      </c>
      <c r="F203" s="154">
        <v>67.52</v>
      </c>
      <c r="G203" s="41">
        <f>IF($B203="","",VLOOKUP($C203,'200 ONERADO'!$A$3:$H$4201,6,0))</f>
        <v>137.04</v>
      </c>
      <c r="H203" s="42">
        <f t="shared" si="104"/>
        <v>164.45</v>
      </c>
      <c r="I203" s="43">
        <f t="shared" si="105"/>
        <v>11103.66</v>
      </c>
      <c r="K203" s="614">
        <f t="shared" si="79"/>
        <v>6.8999999999999999E-3</v>
      </c>
      <c r="L203" s="1">
        <v>6</v>
      </c>
      <c r="M203" s="390"/>
    </row>
    <row r="204" spans="1:14" x14ac:dyDescent="0.2">
      <c r="A204" s="239" t="s">
        <v>21827</v>
      </c>
      <c r="B204" s="240"/>
      <c r="C204" s="241"/>
      <c r="D204" s="242" t="s">
        <v>20577</v>
      </c>
      <c r="E204" s="243"/>
      <c r="F204" s="244"/>
      <c r="G204" s="245" t="str">
        <f>IF($B204="","",VLOOKUP($C204,'[1]BOLETIM 161'!$A$7:$F$4000,6,0))</f>
        <v/>
      </c>
      <c r="H204" s="246"/>
      <c r="I204" s="247">
        <f>SUBTOTAL(9,I205:I209)</f>
        <v>9565.43</v>
      </c>
      <c r="K204" s="614">
        <f t="shared" si="79"/>
        <v>5.8999999999999999E-3</v>
      </c>
    </row>
    <row r="205" spans="1:14" ht="25.5" x14ac:dyDescent="0.2">
      <c r="A205" s="44" t="s">
        <v>21828</v>
      </c>
      <c r="B205" s="37" t="s">
        <v>97</v>
      </c>
      <c r="C205" s="46" t="s">
        <v>13840</v>
      </c>
      <c r="D205" s="38" t="str">
        <f>IF($B205="","",VLOOKUP($C205,'200 ONERADO'!$A$3:$G$4201,2,0))</f>
        <v>Alvenaria de embasamento em bloco de concreto de 14 x 19 x 39 cm - classe A</v>
      </c>
      <c r="E205" s="39" t="str">
        <f>IF($B205="","",VLOOKUP($C205,'200 ONERADO'!$A$3:$G$4201,3,0))</f>
        <v>m²</v>
      </c>
      <c r="F205" s="154">
        <f>'GARAGEM F.'!AD9</f>
        <v>4.7900000000000009</v>
      </c>
      <c r="G205" s="41">
        <f>IF($B205="","",VLOOKUP($C205,'200 ONERADO'!$A$3:$H$4201,6,0))</f>
        <v>116.97</v>
      </c>
      <c r="H205" s="42">
        <f>ROUND(G205*(1+$I$5),2)</f>
        <v>140.36000000000001</v>
      </c>
      <c r="I205" s="43">
        <f>IF($B205="","",ROUND(F205*H205,2))</f>
        <v>672.32</v>
      </c>
      <c r="K205" s="614">
        <f t="shared" si="79"/>
        <v>4.0000000000000002E-4</v>
      </c>
      <c r="L205" s="1">
        <v>5</v>
      </c>
    </row>
    <row r="206" spans="1:14" x14ac:dyDescent="0.2">
      <c r="A206" s="44" t="s">
        <v>21829</v>
      </c>
      <c r="B206" s="37" t="s">
        <v>97</v>
      </c>
      <c r="C206" s="46" t="s">
        <v>14182</v>
      </c>
      <c r="D206" s="38" t="str">
        <f>IF($B206="","",VLOOKUP($C206,'200 ONERADO'!$A$3:$G$4201,2,0))</f>
        <v>Chapisco</v>
      </c>
      <c r="E206" s="39" t="str">
        <f>IF($B206="","",VLOOKUP($C206,'200 ONERADO'!$A$3:$G$4201,3,0))</f>
        <v>m²</v>
      </c>
      <c r="F206" s="154">
        <f>ROUND(F205*2,2)</f>
        <v>9.58</v>
      </c>
      <c r="G206" s="41">
        <f>IF($B206="","",VLOOKUP($C206,'200 ONERADO'!$A$3:$H$4201,6,0))</f>
        <v>7.73</v>
      </c>
      <c r="H206" s="42">
        <f>ROUND(G206*(1+$I$5),2)</f>
        <v>9.2799999999999994</v>
      </c>
      <c r="I206" s="43">
        <f>IF($B206="","",ROUND(F206*H206,2))</f>
        <v>88.9</v>
      </c>
      <c r="K206" s="614">
        <f t="shared" ref="K206:K210" si="106">ROUND(I206/$I$210,4)</f>
        <v>1E-4</v>
      </c>
      <c r="L206" s="1">
        <v>4</v>
      </c>
    </row>
    <row r="207" spans="1:14" x14ac:dyDescent="0.2">
      <c r="A207" s="44" t="s">
        <v>21830</v>
      </c>
      <c r="B207" s="37" t="s">
        <v>97</v>
      </c>
      <c r="C207" s="46" t="s">
        <v>14193</v>
      </c>
      <c r="D207" s="38" t="str">
        <f>IF($B207="","",VLOOKUP($C207,'200 ONERADO'!$A$3:$G$4201,2,0))</f>
        <v>Emboço desempenado com espuma de poliéster</v>
      </c>
      <c r="E207" s="39" t="str">
        <f>IF($B207="","",VLOOKUP($C207,'200 ONERADO'!$A$3:$G$4201,3,0))</f>
        <v>m²</v>
      </c>
      <c r="F207" s="154">
        <f>F206</f>
        <v>9.58</v>
      </c>
      <c r="G207" s="41">
        <f>IF($B207="","",VLOOKUP($C207,'200 ONERADO'!$A$3:$H$4201,6,0))</f>
        <v>30.22</v>
      </c>
      <c r="H207" s="42">
        <f t="shared" ref="H207:H209" si="107">ROUND(G207*(1+$I$5),2)</f>
        <v>36.26</v>
      </c>
      <c r="I207" s="43">
        <f t="shared" ref="I207:I209" si="108">IF($B207="","",ROUND(F207*H207,2))</f>
        <v>347.37</v>
      </c>
      <c r="K207" s="614">
        <f t="shared" si="106"/>
        <v>2.0000000000000001E-4</v>
      </c>
      <c r="L207" s="1">
        <v>3</v>
      </c>
    </row>
    <row r="208" spans="1:14" x14ac:dyDescent="0.2">
      <c r="A208" s="44" t="s">
        <v>21831</v>
      </c>
      <c r="B208" s="570" t="s">
        <v>20424</v>
      </c>
      <c r="C208" s="46" t="s">
        <v>21844</v>
      </c>
      <c r="D208" s="38" t="s">
        <v>21845</v>
      </c>
      <c r="E208" s="39" t="s">
        <v>20358</v>
      </c>
      <c r="F208" s="154">
        <f>'GARAGEM F.'!AB19</f>
        <v>25.77</v>
      </c>
      <c r="G208" s="41">
        <v>54.81</v>
      </c>
      <c r="H208" s="42">
        <f t="shared" si="107"/>
        <v>65.77</v>
      </c>
      <c r="I208" s="43">
        <f t="shared" si="108"/>
        <v>1694.89</v>
      </c>
      <c r="K208" s="614">
        <f t="shared" si="106"/>
        <v>1.1000000000000001E-3</v>
      </c>
      <c r="L208" s="1">
        <v>2</v>
      </c>
      <c r="M208" s="53">
        <v>67.42</v>
      </c>
      <c r="N208" s="53">
        <f>ROUND(M208/1.23,2)</f>
        <v>54.81</v>
      </c>
    </row>
    <row r="209" spans="1:15" ht="13.5" thickBot="1" x14ac:dyDescent="0.25">
      <c r="A209" s="44" t="s">
        <v>21832</v>
      </c>
      <c r="B209" s="37" t="s">
        <v>97</v>
      </c>
      <c r="C209" s="46" t="s">
        <v>19394</v>
      </c>
      <c r="D209" s="38" t="str">
        <f>IF($B209="","",VLOOKUP($C209,'200 ONERADO'!$A$3:$G$4201,2,0))</f>
        <v>Limpeza final da obra</v>
      </c>
      <c r="E209" s="39" t="str">
        <f>IF($B209="","",VLOOKUP($C209,'200 ONERADO'!$A$3:$G$4201,3,0))</f>
        <v>m²</v>
      </c>
      <c r="F209" s="154">
        <f>210.99+55.26+88.15</f>
        <v>354.4</v>
      </c>
      <c r="G209" s="41">
        <f>IF($B209="","",VLOOKUP($C209,'200 ONERADO'!$A$3:$H$4201,6,0))</f>
        <v>15.9</v>
      </c>
      <c r="H209" s="42">
        <f t="shared" si="107"/>
        <v>19.079999999999998</v>
      </c>
      <c r="I209" s="43">
        <f t="shared" si="108"/>
        <v>6761.95</v>
      </c>
      <c r="K209" s="614">
        <f t="shared" si="106"/>
        <v>4.1999999999999997E-3</v>
      </c>
      <c r="L209" s="1">
        <v>1</v>
      </c>
      <c r="O209" s="1">
        <f>206-8-17</f>
        <v>181</v>
      </c>
    </row>
    <row r="210" spans="1:15" ht="15.75" thickBot="1" x14ac:dyDescent="0.3">
      <c r="A210" s="764"/>
      <c r="B210" s="765"/>
      <c r="C210" s="766" t="s">
        <v>9</v>
      </c>
      <c r="D210" s="766"/>
      <c r="E210" s="766"/>
      <c r="F210" s="766"/>
      <c r="G210" s="766"/>
      <c r="H210" s="766"/>
      <c r="I210" s="179">
        <f>SUBTOTAL(9,I8:I209)</f>
        <v>1609605.0899999992</v>
      </c>
      <c r="K210" s="614">
        <f t="shared" si="106"/>
        <v>1</v>
      </c>
      <c r="L210" s="395" t="s">
        <v>21575</v>
      </c>
      <c r="M210" s="396">
        <f>210.99+58.87+88.15+64.96</f>
        <v>422.96999999999997</v>
      </c>
      <c r="N210" s="45"/>
    </row>
    <row r="211" spans="1:15" ht="15" x14ac:dyDescent="0.25">
      <c r="A211" s="155"/>
      <c r="B211" s="155"/>
      <c r="C211" s="156"/>
      <c r="D211" s="156"/>
      <c r="E211" s="156"/>
      <c r="F211" s="156"/>
      <c r="G211" s="156"/>
      <c r="H211" s="156"/>
      <c r="I211" s="157"/>
      <c r="L211" s="395" t="s">
        <v>21576</v>
      </c>
      <c r="M211" s="53">
        <f>I210/M210</f>
        <v>3805.48287112561</v>
      </c>
      <c r="N211" s="397"/>
    </row>
    <row r="212" spans="1:15" x14ac:dyDescent="0.2">
      <c r="I212" s="13" t="s">
        <v>21984</v>
      </c>
      <c r="M212" s="160"/>
    </row>
    <row r="213" spans="1:15" ht="32.25" customHeight="1" x14ac:dyDescent="0.2">
      <c r="I213" s="13"/>
      <c r="M213" s="160"/>
    </row>
    <row r="214" spans="1:15" ht="15.75" x14ac:dyDescent="0.2">
      <c r="A214" s="768" t="s">
        <v>99</v>
      </c>
      <c r="B214" s="768"/>
      <c r="C214" s="768"/>
      <c r="D214" s="768"/>
      <c r="E214" s="768"/>
      <c r="F214" s="768"/>
      <c r="G214" s="768"/>
      <c r="H214" s="768"/>
      <c r="I214" s="768"/>
      <c r="M214" s="160"/>
    </row>
    <row r="215" spans="1:15" ht="15" x14ac:dyDescent="0.2">
      <c r="A215" s="769" t="s">
        <v>20591</v>
      </c>
      <c r="B215" s="769"/>
      <c r="C215" s="769"/>
      <c r="D215" s="769"/>
      <c r="E215" s="769"/>
      <c r="F215" s="769"/>
      <c r="G215" s="769"/>
      <c r="H215" s="769"/>
      <c r="I215" s="769"/>
      <c r="M215" s="160"/>
    </row>
    <row r="216" spans="1:15" x14ac:dyDescent="0.2">
      <c r="A216" s="763" t="s">
        <v>100</v>
      </c>
      <c r="B216" s="763"/>
      <c r="C216" s="763"/>
      <c r="D216" s="763"/>
      <c r="E216" s="763"/>
      <c r="F216" s="763"/>
      <c r="G216" s="763"/>
      <c r="H216" s="763"/>
      <c r="I216" s="763"/>
      <c r="M216" s="160"/>
    </row>
    <row r="217" spans="1:15" ht="39.75" customHeight="1" x14ac:dyDescent="0.2">
      <c r="A217" s="144"/>
      <c r="B217" s="145"/>
      <c r="C217" s="146"/>
      <c r="D217" s="147"/>
      <c r="E217" s="767"/>
      <c r="F217" s="767"/>
      <c r="G217" s="767"/>
      <c r="H217" s="767"/>
      <c r="I217" s="767"/>
      <c r="M217" s="227" t="s">
        <v>20585</v>
      </c>
    </row>
    <row r="218" spans="1:15" ht="15.75" x14ac:dyDescent="0.2">
      <c r="A218" s="768" t="s">
        <v>20052</v>
      </c>
      <c r="B218" s="768"/>
      <c r="C218" s="768"/>
      <c r="D218" s="768"/>
      <c r="E218" s="768"/>
      <c r="F218" s="768"/>
      <c r="G218" s="768"/>
      <c r="H218" s="768"/>
      <c r="I218" s="768"/>
      <c r="M218" s="226">
        <f>I210/F10</f>
        <v>5964.593085303487</v>
      </c>
    </row>
    <row r="219" spans="1:15" ht="15" x14ac:dyDescent="0.2">
      <c r="A219" s="769" t="s">
        <v>42</v>
      </c>
      <c r="B219" s="769"/>
      <c r="C219" s="769"/>
      <c r="D219" s="769"/>
      <c r="E219" s="769"/>
      <c r="F219" s="769"/>
      <c r="G219" s="769"/>
      <c r="H219" s="769"/>
      <c r="I219" s="769"/>
    </row>
    <row r="220" spans="1:15" x14ac:dyDescent="0.2">
      <c r="A220" s="763" t="s">
        <v>116</v>
      </c>
      <c r="B220" s="763"/>
      <c r="C220" s="763"/>
      <c r="D220" s="763"/>
      <c r="E220" s="763"/>
      <c r="F220" s="763"/>
      <c r="G220" s="763"/>
      <c r="H220" s="763"/>
      <c r="I220" s="763"/>
    </row>
    <row r="227" spans="1:11" x14ac:dyDescent="0.2">
      <c r="A227" s="44" t="s">
        <v>45</v>
      </c>
      <c r="B227" s="37" t="s">
        <v>97</v>
      </c>
      <c r="C227" s="46" t="s">
        <v>13690</v>
      </c>
      <c r="D227" s="38" t="str">
        <f>IF($B227="","",VLOOKUP($C227,'200 ONERADO'!$A$3:$G$4201,2,0))</f>
        <v>Estaca escavada mecanicamente, diâmetro de 30 cm até 30 t</v>
      </c>
      <c r="E227" s="39" t="str">
        <f>IF($B227="","",VLOOKUP($C227,'200 ONERADO'!$A$3:$G$4201,3,0))</f>
        <v>m</v>
      </c>
      <c r="F227" s="154">
        <f>F16</f>
        <v>408</v>
      </c>
      <c r="G227" s="41">
        <f>IF($B227="","",VLOOKUP($C227,'200 ONERADO'!$A$3:$H$4201,6,0))</f>
        <v>83.17</v>
      </c>
      <c r="H227" s="42">
        <f t="shared" ref="H227" si="109">ROUND(G227*(1+$I$5),2)</f>
        <v>99.8</v>
      </c>
      <c r="I227" s="43">
        <f t="shared" ref="I227" si="110">IF($B227="","",ROUND(F227*H227,2))</f>
        <v>40718.400000000001</v>
      </c>
      <c r="K227" s="616">
        <f t="shared" ref="K227" si="111">ROUND(I227/$I$210,4)</f>
        <v>2.53E-2</v>
      </c>
    </row>
    <row r="229" spans="1:11" ht="29.45" customHeight="1" x14ac:dyDescent="0.2">
      <c r="A229" s="619" t="s">
        <v>49</v>
      </c>
      <c r="B229" s="762" t="s">
        <v>21974</v>
      </c>
      <c r="C229" s="762"/>
      <c r="D229" s="620" t="s">
        <v>21975</v>
      </c>
      <c r="E229" s="619" t="s">
        <v>21050</v>
      </c>
      <c r="F229" s="621" t="s">
        <v>21976</v>
      </c>
      <c r="G229" s="622" t="s">
        <v>21977</v>
      </c>
    </row>
  </sheetData>
  <mergeCells count="16">
    <mergeCell ref="B229:C229"/>
    <mergeCell ref="A220:I220"/>
    <mergeCell ref="A1:C5"/>
    <mergeCell ref="D1:I1"/>
    <mergeCell ref="D2:I2"/>
    <mergeCell ref="D3:I3"/>
    <mergeCell ref="D4:H4"/>
    <mergeCell ref="D5:H5"/>
    <mergeCell ref="A210:B210"/>
    <mergeCell ref="C210:H210"/>
    <mergeCell ref="E217:I217"/>
    <mergeCell ref="A218:I218"/>
    <mergeCell ref="A219:I219"/>
    <mergeCell ref="A214:I214"/>
    <mergeCell ref="A215:I215"/>
    <mergeCell ref="A216:I216"/>
  </mergeCells>
  <phoneticPr fontId="82" type="noConversion"/>
  <conditionalFormatting sqref="C91">
    <cfRule type="expression" dxfId="3" priority="1" stopIfTrue="1">
      <formula>I91&lt;6</formula>
    </cfRule>
  </conditionalFormatting>
  <pageMargins left="0.51181102362204722" right="0.51181102362204722" top="0.59055118110236227" bottom="0.59055118110236227" header="0.31496062992125984" footer="0.31496062992125984"/>
  <pageSetup paperSize="9" scale="65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-0.499984740745262"/>
    <pageSetUpPr fitToPage="1"/>
  </sheetPr>
  <dimension ref="A1:Q4154"/>
  <sheetViews>
    <sheetView topLeftCell="B19" workbookViewId="0">
      <selection activeCell="L79" sqref="L79"/>
    </sheetView>
  </sheetViews>
  <sheetFormatPr defaultRowHeight="12.75" x14ac:dyDescent="0.2"/>
  <cols>
    <col min="1" max="1" width="7.85546875" customWidth="1"/>
    <col min="2" max="2" width="15.42578125" customWidth="1"/>
    <col min="3" max="3" width="15.5703125" customWidth="1"/>
    <col min="4" max="4" width="14.140625" customWidth="1"/>
    <col min="5" max="15" width="15.140625" customWidth="1"/>
    <col min="17" max="18" width="10.7109375" bestFit="1" customWidth="1"/>
  </cols>
  <sheetData>
    <row r="1" spans="1:15" x14ac:dyDescent="0.2">
      <c r="A1" s="658"/>
      <c r="B1" s="658"/>
      <c r="C1" s="658"/>
      <c r="D1" s="658"/>
      <c r="E1" s="658"/>
      <c r="F1" s="658"/>
      <c r="G1" s="658"/>
      <c r="H1" s="658"/>
      <c r="I1" s="658"/>
      <c r="J1" s="658"/>
      <c r="K1" s="658"/>
      <c r="L1" s="658"/>
      <c r="M1" s="658"/>
      <c r="N1" s="658"/>
      <c r="O1" s="658"/>
    </row>
    <row r="6" spans="1:15" ht="26.25" customHeight="1" x14ac:dyDescent="0.4">
      <c r="A6" s="662" t="s">
        <v>30</v>
      </c>
      <c r="B6" s="662"/>
      <c r="C6" s="662"/>
      <c r="D6" s="662"/>
      <c r="E6" s="662"/>
      <c r="F6" s="662"/>
      <c r="G6" s="662"/>
      <c r="H6" s="662"/>
      <c r="I6" s="662"/>
      <c r="J6" s="662"/>
      <c r="K6" s="662"/>
      <c r="L6" s="662"/>
      <c r="M6" s="662"/>
      <c r="N6" s="662"/>
      <c r="O6" s="662"/>
    </row>
    <row r="7" spans="1:15" ht="18.75" customHeight="1" x14ac:dyDescent="0.3">
      <c r="A7" s="663" t="s">
        <v>31</v>
      </c>
      <c r="B7" s="663"/>
      <c r="C7" s="663"/>
      <c r="D7" s="663"/>
      <c r="E7" s="663"/>
      <c r="F7" s="663"/>
      <c r="G7" s="663"/>
      <c r="H7" s="663"/>
      <c r="I7" s="663"/>
      <c r="J7" s="663"/>
      <c r="K7" s="663"/>
      <c r="L7" s="663"/>
      <c r="M7" s="663"/>
      <c r="N7" s="663"/>
      <c r="O7" s="663"/>
    </row>
    <row r="8" spans="1:15" ht="8.25" customHeight="1" x14ac:dyDescent="0.2"/>
    <row r="9" spans="1:15" ht="18.75" x14ac:dyDescent="0.2">
      <c r="A9" s="664" t="s">
        <v>32</v>
      </c>
      <c r="B9" s="664"/>
      <c r="C9" s="664"/>
      <c r="D9" s="664"/>
      <c r="E9" s="664"/>
      <c r="F9" s="664"/>
      <c r="G9" s="664"/>
      <c r="H9" s="664"/>
      <c r="I9" s="664"/>
      <c r="J9" s="664"/>
      <c r="K9" s="664"/>
      <c r="L9" s="664"/>
      <c r="M9" s="664"/>
      <c r="N9" s="664"/>
      <c r="O9" s="664"/>
    </row>
    <row r="10" spans="1:15" ht="9" customHeight="1" x14ac:dyDescent="0.2">
      <c r="A10" s="8"/>
      <c r="B10" s="9"/>
      <c r="C10" s="9"/>
      <c r="D10" s="9"/>
      <c r="E10" s="9"/>
      <c r="F10" s="9"/>
    </row>
    <row r="11" spans="1:15" ht="15.95" customHeight="1" x14ac:dyDescent="0.2">
      <c r="A11" s="661" t="s">
        <v>21904</v>
      </c>
      <c r="B11" s="661"/>
      <c r="C11" s="661"/>
      <c r="D11" s="661"/>
      <c r="E11" s="661"/>
      <c r="F11" s="661"/>
      <c r="G11" s="661"/>
      <c r="H11" s="661"/>
      <c r="I11" s="661"/>
      <c r="J11" s="661"/>
      <c r="K11" s="661"/>
      <c r="L11" s="661"/>
      <c r="M11" s="661"/>
      <c r="N11" s="661"/>
      <c r="O11" s="661"/>
    </row>
    <row r="12" spans="1:15" ht="15.95" customHeight="1" x14ac:dyDescent="0.2">
      <c r="A12" s="660" t="s">
        <v>21903</v>
      </c>
      <c r="B12" s="660"/>
      <c r="C12" s="660"/>
      <c r="D12" s="660"/>
      <c r="E12" s="660"/>
      <c r="F12" s="660"/>
      <c r="G12" s="660"/>
      <c r="H12" s="660"/>
      <c r="I12" s="660"/>
      <c r="J12" s="660"/>
      <c r="K12" s="660"/>
      <c r="L12" s="660"/>
      <c r="M12" s="660"/>
      <c r="N12" s="660"/>
      <c r="O12" s="660"/>
    </row>
    <row r="13" spans="1:15" ht="14.1" customHeight="1" thickBot="1" x14ac:dyDescent="0.25">
      <c r="A13" s="659"/>
      <c r="B13" s="659"/>
      <c r="C13" s="659"/>
      <c r="D13" s="659"/>
      <c r="E13" s="659"/>
      <c r="F13" s="659"/>
    </row>
    <row r="14" spans="1:15" ht="13.5" thickBot="1" x14ac:dyDescent="0.25">
      <c r="A14" s="186" t="s">
        <v>33</v>
      </c>
      <c r="B14" s="187" t="s">
        <v>34</v>
      </c>
      <c r="C14" s="188" t="s">
        <v>7</v>
      </c>
      <c r="D14" s="189" t="s">
        <v>1</v>
      </c>
      <c r="E14" s="190" t="s">
        <v>12364</v>
      </c>
      <c r="F14" s="190" t="s">
        <v>12365</v>
      </c>
      <c r="G14" s="190" t="s">
        <v>12366</v>
      </c>
      <c r="H14" s="190" t="s">
        <v>94</v>
      </c>
      <c r="I14" s="190" t="s">
        <v>113</v>
      </c>
      <c r="J14" s="190" t="s">
        <v>20581</v>
      </c>
      <c r="K14" s="190" t="s">
        <v>21898</v>
      </c>
      <c r="L14" s="190" t="s">
        <v>21899</v>
      </c>
      <c r="M14" s="190" t="s">
        <v>21900</v>
      </c>
      <c r="N14" s="190" t="s">
        <v>21901</v>
      </c>
      <c r="O14" s="190" t="s">
        <v>21902</v>
      </c>
    </row>
    <row r="15" spans="1:15" ht="15" customHeight="1" x14ac:dyDescent="0.2">
      <c r="A15" s="645" t="s">
        <v>8</v>
      </c>
      <c r="B15" s="648" t="s">
        <v>35</v>
      </c>
      <c r="C15" s="642">
        <f>P.O.!I7</f>
        <v>45279.93</v>
      </c>
      <c r="D15" s="148" t="s">
        <v>36</v>
      </c>
      <c r="E15" s="665" t="s">
        <v>114</v>
      </c>
      <c r="F15" s="149">
        <v>1</v>
      </c>
      <c r="G15" s="149">
        <v>0</v>
      </c>
      <c r="H15" s="149">
        <v>0</v>
      </c>
      <c r="I15" s="149">
        <v>0</v>
      </c>
      <c r="J15" s="149">
        <v>0</v>
      </c>
      <c r="K15" s="149">
        <v>0</v>
      </c>
      <c r="L15" s="149">
        <v>0</v>
      </c>
      <c r="M15" s="149">
        <v>0</v>
      </c>
      <c r="N15" s="149">
        <v>0</v>
      </c>
      <c r="O15" s="667" t="s">
        <v>20362</v>
      </c>
    </row>
    <row r="16" spans="1:15" x14ac:dyDescent="0.2">
      <c r="A16" s="646"/>
      <c r="B16" s="649"/>
      <c r="C16" s="643"/>
      <c r="D16" s="150" t="s">
        <v>37</v>
      </c>
      <c r="E16" s="666"/>
      <c r="F16" s="151">
        <f>E16+F15</f>
        <v>1</v>
      </c>
      <c r="G16" s="151">
        <f>F16+G15</f>
        <v>1</v>
      </c>
      <c r="H16" s="151">
        <f>G16+H15</f>
        <v>1</v>
      </c>
      <c r="I16" s="151">
        <f>H16+I15</f>
        <v>1</v>
      </c>
      <c r="J16" s="151">
        <f>I16+J15</f>
        <v>1</v>
      </c>
      <c r="K16" s="151">
        <f t="shared" ref="K16:N16" si="0">J16+K15</f>
        <v>1</v>
      </c>
      <c r="L16" s="151">
        <f t="shared" si="0"/>
        <v>1</v>
      </c>
      <c r="M16" s="151">
        <f t="shared" si="0"/>
        <v>1</v>
      </c>
      <c r="N16" s="151">
        <f t="shared" si="0"/>
        <v>1</v>
      </c>
      <c r="O16" s="668"/>
    </row>
    <row r="17" spans="1:17" x14ac:dyDescent="0.2">
      <c r="A17" s="646"/>
      <c r="B17" s="649"/>
      <c r="C17" s="643"/>
      <c r="D17" s="150" t="s">
        <v>38</v>
      </c>
      <c r="E17" s="666"/>
      <c r="F17" s="191"/>
      <c r="G17" s="152"/>
      <c r="H17" s="152"/>
      <c r="I17" s="152"/>
      <c r="J17" s="152"/>
      <c r="K17" s="152"/>
      <c r="L17" s="152"/>
      <c r="M17" s="152"/>
      <c r="N17" s="152"/>
      <c r="O17" s="668"/>
    </row>
    <row r="18" spans="1:17" ht="13.5" thickBot="1" x14ac:dyDescent="0.25">
      <c r="A18" s="647"/>
      <c r="B18" s="650"/>
      <c r="C18" s="644"/>
      <c r="D18" s="192" t="s">
        <v>39</v>
      </c>
      <c r="E18" s="666"/>
      <c r="F18" s="193">
        <f>+F15*$C15</f>
        <v>45279.93</v>
      </c>
      <c r="G18" s="193">
        <f>+G15*$C15</f>
        <v>0</v>
      </c>
      <c r="H18" s="193">
        <f>+H15*$C15</f>
        <v>0</v>
      </c>
      <c r="I18" s="193">
        <f>+I15*$C15</f>
        <v>0</v>
      </c>
      <c r="J18" s="193">
        <f>+J15*$C15</f>
        <v>0</v>
      </c>
      <c r="K18" s="193">
        <f t="shared" ref="K18:N18" si="1">+K15*$C15</f>
        <v>0</v>
      </c>
      <c r="L18" s="193">
        <f t="shared" si="1"/>
        <v>0</v>
      </c>
      <c r="M18" s="193">
        <f t="shared" si="1"/>
        <v>0</v>
      </c>
      <c r="N18" s="193">
        <f t="shared" si="1"/>
        <v>0</v>
      </c>
      <c r="O18" s="668"/>
    </row>
    <row r="19" spans="1:17" x14ac:dyDescent="0.2">
      <c r="A19" s="645" t="s">
        <v>20</v>
      </c>
      <c r="B19" s="648" t="str">
        <f>P.O.!D13</f>
        <v>FUNDAÇÃO</v>
      </c>
      <c r="C19" s="642">
        <f>P.O.!I13</f>
        <v>154616.38999999998</v>
      </c>
      <c r="D19" s="148" t="s">
        <v>36</v>
      </c>
      <c r="E19" s="666"/>
      <c r="F19" s="149">
        <v>1</v>
      </c>
      <c r="G19" s="149">
        <v>0</v>
      </c>
      <c r="H19" s="149">
        <v>0</v>
      </c>
      <c r="I19" s="149">
        <v>0</v>
      </c>
      <c r="J19" s="149">
        <v>0</v>
      </c>
      <c r="K19" s="149">
        <v>0</v>
      </c>
      <c r="L19" s="149">
        <v>0</v>
      </c>
      <c r="M19" s="149">
        <v>0</v>
      </c>
      <c r="N19" s="149">
        <v>0</v>
      </c>
      <c r="O19" s="668"/>
    </row>
    <row r="20" spans="1:17" x14ac:dyDescent="0.2">
      <c r="A20" s="646"/>
      <c r="B20" s="649"/>
      <c r="C20" s="643"/>
      <c r="D20" s="150" t="s">
        <v>37</v>
      </c>
      <c r="E20" s="666"/>
      <c r="F20" s="151">
        <f>E20+F19</f>
        <v>1</v>
      </c>
      <c r="G20" s="151">
        <f>F20+G19</f>
        <v>1</v>
      </c>
      <c r="H20" s="151">
        <f>G20+H19</f>
        <v>1</v>
      </c>
      <c r="I20" s="151">
        <f>H20+I19</f>
        <v>1</v>
      </c>
      <c r="J20" s="151">
        <f>I20+J19</f>
        <v>1</v>
      </c>
      <c r="K20" s="151">
        <f t="shared" ref="K20:N20" si="2">J20+K19</f>
        <v>1</v>
      </c>
      <c r="L20" s="151">
        <f t="shared" si="2"/>
        <v>1</v>
      </c>
      <c r="M20" s="151">
        <f t="shared" si="2"/>
        <v>1</v>
      </c>
      <c r="N20" s="151">
        <f t="shared" si="2"/>
        <v>1</v>
      </c>
      <c r="O20" s="668"/>
    </row>
    <row r="21" spans="1:17" x14ac:dyDescent="0.2">
      <c r="A21" s="646"/>
      <c r="B21" s="649"/>
      <c r="C21" s="643"/>
      <c r="D21" s="150" t="s">
        <v>38</v>
      </c>
      <c r="E21" s="666"/>
      <c r="F21" s="191"/>
      <c r="G21" s="152"/>
      <c r="H21" s="152"/>
      <c r="I21" s="152"/>
      <c r="J21" s="152"/>
      <c r="K21" s="152"/>
      <c r="L21" s="152"/>
      <c r="M21" s="152"/>
      <c r="N21" s="152"/>
      <c r="O21" s="668"/>
    </row>
    <row r="22" spans="1:17" ht="13.5" thickBot="1" x14ac:dyDescent="0.25">
      <c r="A22" s="647"/>
      <c r="B22" s="650"/>
      <c r="C22" s="644"/>
      <c r="D22" s="192" t="s">
        <v>39</v>
      </c>
      <c r="E22" s="666"/>
      <c r="F22" s="193">
        <f>+F19*$C19</f>
        <v>154616.38999999998</v>
      </c>
      <c r="G22" s="193">
        <f>+G19*$C19</f>
        <v>0</v>
      </c>
      <c r="H22" s="193">
        <f>+H19*$C19</f>
        <v>0</v>
      </c>
      <c r="I22" s="193">
        <f>+I19*$C19</f>
        <v>0</v>
      </c>
      <c r="J22" s="193">
        <f>+J19*$C19</f>
        <v>0</v>
      </c>
      <c r="K22" s="193">
        <f t="shared" ref="K22:N22" si="3">+K19*$C19</f>
        <v>0</v>
      </c>
      <c r="L22" s="193">
        <f t="shared" si="3"/>
        <v>0</v>
      </c>
      <c r="M22" s="193">
        <f t="shared" si="3"/>
        <v>0</v>
      </c>
      <c r="N22" s="193">
        <f t="shared" si="3"/>
        <v>0</v>
      </c>
      <c r="O22" s="668"/>
    </row>
    <row r="23" spans="1:17" x14ac:dyDescent="0.2">
      <c r="A23" s="645" t="s">
        <v>21</v>
      </c>
      <c r="B23" s="648" t="str">
        <f>P.O.!D22</f>
        <v>CONTRAPISO</v>
      </c>
      <c r="C23" s="642">
        <f>P.O.!I22</f>
        <v>29668.43</v>
      </c>
      <c r="D23" s="148" t="s">
        <v>36</v>
      </c>
      <c r="E23" s="666"/>
      <c r="F23" s="149">
        <v>0</v>
      </c>
      <c r="G23" s="149">
        <v>1</v>
      </c>
      <c r="H23" s="149">
        <v>0</v>
      </c>
      <c r="I23" s="149">
        <v>0</v>
      </c>
      <c r="J23" s="149">
        <v>0</v>
      </c>
      <c r="K23" s="149">
        <v>0</v>
      </c>
      <c r="L23" s="149">
        <v>0</v>
      </c>
      <c r="M23" s="149">
        <v>0</v>
      </c>
      <c r="N23" s="149">
        <v>0</v>
      </c>
      <c r="O23" s="668"/>
    </row>
    <row r="24" spans="1:17" x14ac:dyDescent="0.2">
      <c r="A24" s="646"/>
      <c r="B24" s="649"/>
      <c r="C24" s="643"/>
      <c r="D24" s="150" t="s">
        <v>37</v>
      </c>
      <c r="E24" s="666"/>
      <c r="F24" s="151">
        <f>E24+F23</f>
        <v>0</v>
      </c>
      <c r="G24" s="151">
        <f>F24+G23</f>
        <v>1</v>
      </c>
      <c r="H24" s="151">
        <f>G24+H23</f>
        <v>1</v>
      </c>
      <c r="I24" s="151">
        <f>H24+I23</f>
        <v>1</v>
      </c>
      <c r="J24" s="151">
        <f>I24+J23</f>
        <v>1</v>
      </c>
      <c r="K24" s="151">
        <f t="shared" ref="K24:N24" si="4">J24+K23</f>
        <v>1</v>
      </c>
      <c r="L24" s="151">
        <f t="shared" si="4"/>
        <v>1</v>
      </c>
      <c r="M24" s="151">
        <f t="shared" si="4"/>
        <v>1</v>
      </c>
      <c r="N24" s="151">
        <f t="shared" si="4"/>
        <v>1</v>
      </c>
      <c r="O24" s="668"/>
    </row>
    <row r="25" spans="1:17" x14ac:dyDescent="0.2">
      <c r="A25" s="646"/>
      <c r="B25" s="649"/>
      <c r="C25" s="643"/>
      <c r="D25" s="150" t="s">
        <v>38</v>
      </c>
      <c r="E25" s="666"/>
      <c r="F25" s="152"/>
      <c r="G25" s="191"/>
      <c r="H25" s="152"/>
      <c r="I25" s="152"/>
      <c r="J25" s="152"/>
      <c r="K25" s="152"/>
      <c r="L25" s="152"/>
      <c r="M25" s="152"/>
      <c r="N25" s="152"/>
      <c r="O25" s="668"/>
    </row>
    <row r="26" spans="1:17" ht="13.5" thickBot="1" x14ac:dyDescent="0.25">
      <c r="A26" s="647"/>
      <c r="B26" s="650"/>
      <c r="C26" s="644"/>
      <c r="D26" s="192" t="s">
        <v>39</v>
      </c>
      <c r="E26" s="666"/>
      <c r="F26" s="193">
        <f>+F23*$C23</f>
        <v>0</v>
      </c>
      <c r="G26" s="193">
        <f>+G23*$C23</f>
        <v>29668.43</v>
      </c>
      <c r="H26" s="193">
        <f>+H23*$C23</f>
        <v>0</v>
      </c>
      <c r="I26" s="193">
        <f>+I23*$C23</f>
        <v>0</v>
      </c>
      <c r="J26" s="193">
        <f>+J23*$C23</f>
        <v>0</v>
      </c>
      <c r="K26" s="193">
        <f t="shared" ref="K26:N26" si="5">+K23*$C23</f>
        <v>0</v>
      </c>
      <c r="L26" s="193">
        <f t="shared" si="5"/>
        <v>0</v>
      </c>
      <c r="M26" s="193">
        <f t="shared" si="5"/>
        <v>0</v>
      </c>
      <c r="N26" s="193">
        <f t="shared" si="5"/>
        <v>0</v>
      </c>
      <c r="O26" s="668"/>
    </row>
    <row r="27" spans="1:17" x14ac:dyDescent="0.2">
      <c r="A27" s="645" t="s">
        <v>109</v>
      </c>
      <c r="B27" s="648" t="str">
        <f>P.O.!D28</f>
        <v>ALVENARIA ESTRUTURAL</v>
      </c>
      <c r="C27" s="642">
        <f>P.O.!I28</f>
        <v>165753.1</v>
      </c>
      <c r="D27" s="148" t="s">
        <v>36</v>
      </c>
      <c r="E27" s="666"/>
      <c r="F27" s="149">
        <v>0</v>
      </c>
      <c r="G27" s="149">
        <v>0.3</v>
      </c>
      <c r="H27" s="149">
        <v>0.5</v>
      </c>
      <c r="I27" s="149">
        <v>0.2</v>
      </c>
      <c r="J27" s="149">
        <v>0</v>
      </c>
      <c r="K27" s="149">
        <v>0</v>
      </c>
      <c r="L27" s="149">
        <v>0</v>
      </c>
      <c r="M27" s="149">
        <v>0</v>
      </c>
      <c r="N27" s="149">
        <v>0</v>
      </c>
      <c r="O27" s="668"/>
    </row>
    <row r="28" spans="1:17" x14ac:dyDescent="0.2">
      <c r="A28" s="646"/>
      <c r="B28" s="649"/>
      <c r="C28" s="643"/>
      <c r="D28" s="150" t="s">
        <v>37</v>
      </c>
      <c r="E28" s="666"/>
      <c r="F28" s="151">
        <f>E28+F27</f>
        <v>0</v>
      </c>
      <c r="G28" s="151">
        <f>F28+G27</f>
        <v>0.3</v>
      </c>
      <c r="H28" s="151">
        <f>G28+H27</f>
        <v>0.8</v>
      </c>
      <c r="I28" s="151">
        <f>H28+I27</f>
        <v>1</v>
      </c>
      <c r="J28" s="151">
        <f>I28+J27</f>
        <v>1</v>
      </c>
      <c r="K28" s="151">
        <f t="shared" ref="K28:N28" si="6">J28+K27</f>
        <v>1</v>
      </c>
      <c r="L28" s="151">
        <f t="shared" si="6"/>
        <v>1</v>
      </c>
      <c r="M28" s="151">
        <f t="shared" si="6"/>
        <v>1</v>
      </c>
      <c r="N28" s="151">
        <f t="shared" si="6"/>
        <v>1</v>
      </c>
      <c r="O28" s="668"/>
      <c r="Q28" t="b">
        <f>Q13=126*0.3</f>
        <v>0</v>
      </c>
    </row>
    <row r="29" spans="1:17" x14ac:dyDescent="0.2">
      <c r="A29" s="646"/>
      <c r="B29" s="649"/>
      <c r="C29" s="643"/>
      <c r="D29" s="150" t="s">
        <v>38</v>
      </c>
      <c r="E29" s="666"/>
      <c r="F29" s="152"/>
      <c r="G29" s="191"/>
      <c r="H29" s="191"/>
      <c r="I29" s="191"/>
      <c r="J29" s="152"/>
      <c r="K29" s="152"/>
      <c r="L29" s="152"/>
      <c r="M29" s="152"/>
      <c r="N29" s="152"/>
      <c r="O29" s="668"/>
    </row>
    <row r="30" spans="1:17" ht="13.5" thickBot="1" x14ac:dyDescent="0.25">
      <c r="A30" s="647"/>
      <c r="B30" s="650"/>
      <c r="C30" s="644"/>
      <c r="D30" s="192" t="s">
        <v>39</v>
      </c>
      <c r="E30" s="666"/>
      <c r="F30" s="193">
        <f>+F27*$C27</f>
        <v>0</v>
      </c>
      <c r="G30" s="193">
        <f>+G27*$C27</f>
        <v>49725.93</v>
      </c>
      <c r="H30" s="193">
        <f>+H27*$C27</f>
        <v>82876.55</v>
      </c>
      <c r="I30" s="193">
        <f>+I27*$C27</f>
        <v>33150.620000000003</v>
      </c>
      <c r="J30" s="193">
        <f>+J27*$C27</f>
        <v>0</v>
      </c>
      <c r="K30" s="193">
        <f t="shared" ref="K30:N30" si="7">+K27*$C27</f>
        <v>0</v>
      </c>
      <c r="L30" s="193">
        <f t="shared" si="7"/>
        <v>0</v>
      </c>
      <c r="M30" s="193">
        <f t="shared" si="7"/>
        <v>0</v>
      </c>
      <c r="N30" s="193">
        <f t="shared" si="7"/>
        <v>0</v>
      </c>
      <c r="O30" s="668"/>
    </row>
    <row r="31" spans="1:17" x14ac:dyDescent="0.2">
      <c r="A31" s="645" t="s">
        <v>12348</v>
      </c>
      <c r="B31" s="648" t="str">
        <f>P.O.!D33</f>
        <v>VIGAS EM CONCRETO ARMADO</v>
      </c>
      <c r="C31" s="642">
        <f>P.O.!I33</f>
        <v>82093.650000000023</v>
      </c>
      <c r="D31" s="148" t="s">
        <v>36</v>
      </c>
      <c r="E31" s="666"/>
      <c r="F31" s="149">
        <v>0</v>
      </c>
      <c r="G31" s="149">
        <v>0</v>
      </c>
      <c r="H31" s="149">
        <v>0.75</v>
      </c>
      <c r="I31" s="149">
        <v>0.25</v>
      </c>
      <c r="J31" s="149">
        <v>0</v>
      </c>
      <c r="K31" s="149">
        <v>0</v>
      </c>
      <c r="L31" s="149">
        <v>0</v>
      </c>
      <c r="M31" s="149">
        <v>0</v>
      </c>
      <c r="N31" s="149">
        <v>0</v>
      </c>
      <c r="O31" s="668"/>
    </row>
    <row r="32" spans="1:17" x14ac:dyDescent="0.2">
      <c r="A32" s="646"/>
      <c r="B32" s="649"/>
      <c r="C32" s="643"/>
      <c r="D32" s="150" t="s">
        <v>37</v>
      </c>
      <c r="E32" s="666"/>
      <c r="F32" s="151">
        <f>E32+F31</f>
        <v>0</v>
      </c>
      <c r="G32" s="151">
        <f>F32+G31</f>
        <v>0</v>
      </c>
      <c r="H32" s="151">
        <f>G32+H31</f>
        <v>0.75</v>
      </c>
      <c r="I32" s="151">
        <f>H32+I31</f>
        <v>1</v>
      </c>
      <c r="J32" s="151">
        <f>I32+J31</f>
        <v>1</v>
      </c>
      <c r="K32" s="151">
        <f t="shared" ref="K32:N32" si="8">J32+K31</f>
        <v>1</v>
      </c>
      <c r="L32" s="151">
        <f t="shared" si="8"/>
        <v>1</v>
      </c>
      <c r="M32" s="151">
        <f t="shared" si="8"/>
        <v>1</v>
      </c>
      <c r="N32" s="151">
        <f t="shared" si="8"/>
        <v>1</v>
      </c>
      <c r="O32" s="668"/>
    </row>
    <row r="33" spans="1:15" x14ac:dyDescent="0.2">
      <c r="A33" s="646"/>
      <c r="B33" s="649"/>
      <c r="C33" s="643"/>
      <c r="D33" s="150" t="s">
        <v>38</v>
      </c>
      <c r="E33" s="666"/>
      <c r="F33" s="152"/>
      <c r="G33" s="152"/>
      <c r="H33" s="191"/>
      <c r="I33" s="191"/>
      <c r="J33" s="152"/>
      <c r="K33" s="152"/>
      <c r="L33" s="152"/>
      <c r="M33" s="152"/>
      <c r="N33" s="152"/>
      <c r="O33" s="668"/>
    </row>
    <row r="34" spans="1:15" ht="13.5" thickBot="1" x14ac:dyDescent="0.25">
      <c r="A34" s="647"/>
      <c r="B34" s="650"/>
      <c r="C34" s="644"/>
      <c r="D34" s="192" t="s">
        <v>39</v>
      </c>
      <c r="E34" s="666"/>
      <c r="F34" s="193">
        <f>+F31*$C31</f>
        <v>0</v>
      </c>
      <c r="G34" s="193">
        <f>+G31*$C31</f>
        <v>0</v>
      </c>
      <c r="H34" s="193">
        <f>+H31*$C31</f>
        <v>61570.237500000017</v>
      </c>
      <c r="I34" s="193">
        <f>+I31*$C31</f>
        <v>20523.412500000006</v>
      </c>
      <c r="J34" s="193">
        <f>+J31*$C31</f>
        <v>0</v>
      </c>
      <c r="K34" s="193">
        <f t="shared" ref="K34:N34" si="9">+K31*$C31</f>
        <v>0</v>
      </c>
      <c r="L34" s="193">
        <f t="shared" si="9"/>
        <v>0</v>
      </c>
      <c r="M34" s="193">
        <f t="shared" si="9"/>
        <v>0</v>
      </c>
      <c r="N34" s="193">
        <f t="shared" si="9"/>
        <v>0</v>
      </c>
      <c r="O34" s="668"/>
    </row>
    <row r="35" spans="1:15" x14ac:dyDescent="0.2">
      <c r="A35" s="645" t="s">
        <v>12359</v>
      </c>
      <c r="B35" s="651" t="str">
        <f>P.O.!D44</f>
        <v>LAJES</v>
      </c>
      <c r="C35" s="642">
        <f>P.O.!I44</f>
        <v>66915.959999999992</v>
      </c>
      <c r="D35" s="148" t="s">
        <v>36</v>
      </c>
      <c r="E35" s="666"/>
      <c r="F35" s="149">
        <v>0</v>
      </c>
      <c r="G35" s="149">
        <v>0</v>
      </c>
      <c r="H35" s="149">
        <v>0</v>
      </c>
      <c r="I35" s="149">
        <v>1</v>
      </c>
      <c r="J35" s="149">
        <v>0</v>
      </c>
      <c r="K35" s="149">
        <v>0</v>
      </c>
      <c r="L35" s="149">
        <v>0</v>
      </c>
      <c r="M35" s="149">
        <v>0</v>
      </c>
      <c r="N35" s="149">
        <v>0</v>
      </c>
      <c r="O35" s="668"/>
    </row>
    <row r="36" spans="1:15" x14ac:dyDescent="0.2">
      <c r="A36" s="646"/>
      <c r="B36" s="649"/>
      <c r="C36" s="643"/>
      <c r="D36" s="150" t="s">
        <v>37</v>
      </c>
      <c r="E36" s="666"/>
      <c r="F36" s="151">
        <f>E36+F35</f>
        <v>0</v>
      </c>
      <c r="G36" s="151">
        <f>F36+G35</f>
        <v>0</v>
      </c>
      <c r="H36" s="151">
        <f>G36+H35</f>
        <v>0</v>
      </c>
      <c r="I36" s="151">
        <f>H36+I35</f>
        <v>1</v>
      </c>
      <c r="J36" s="151">
        <f>I36+J35</f>
        <v>1</v>
      </c>
      <c r="K36" s="151">
        <f t="shared" ref="K36:N36" si="10">J36+K35</f>
        <v>1</v>
      </c>
      <c r="L36" s="151">
        <f t="shared" si="10"/>
        <v>1</v>
      </c>
      <c r="M36" s="151">
        <f t="shared" si="10"/>
        <v>1</v>
      </c>
      <c r="N36" s="151">
        <f t="shared" si="10"/>
        <v>1</v>
      </c>
      <c r="O36" s="668"/>
    </row>
    <row r="37" spans="1:15" x14ac:dyDescent="0.2">
      <c r="A37" s="646"/>
      <c r="B37" s="649"/>
      <c r="C37" s="643"/>
      <c r="D37" s="150" t="s">
        <v>38</v>
      </c>
      <c r="E37" s="666"/>
      <c r="F37" s="152"/>
      <c r="G37" s="152"/>
      <c r="H37" s="152"/>
      <c r="I37" s="191"/>
      <c r="J37" s="152"/>
      <c r="K37" s="152"/>
      <c r="L37" s="152"/>
      <c r="M37" s="152"/>
      <c r="N37" s="152"/>
      <c r="O37" s="668"/>
    </row>
    <row r="38" spans="1:15" ht="13.5" thickBot="1" x14ac:dyDescent="0.25">
      <c r="A38" s="647"/>
      <c r="B38" s="650"/>
      <c r="C38" s="644"/>
      <c r="D38" s="192" t="s">
        <v>39</v>
      </c>
      <c r="E38" s="666"/>
      <c r="F38" s="193">
        <f>+F35*$C35</f>
        <v>0</v>
      </c>
      <c r="G38" s="193">
        <f>+G35*$C35</f>
        <v>0</v>
      </c>
      <c r="H38" s="193">
        <f>+H35*$C35</f>
        <v>0</v>
      </c>
      <c r="I38" s="193">
        <f>+I35*$C35</f>
        <v>66915.959999999992</v>
      </c>
      <c r="J38" s="193">
        <f>+J35*$C35</f>
        <v>0</v>
      </c>
      <c r="K38" s="193">
        <f t="shared" ref="K38:N38" si="11">+K35*$C35</f>
        <v>0</v>
      </c>
      <c r="L38" s="193">
        <f t="shared" si="11"/>
        <v>0</v>
      </c>
      <c r="M38" s="193">
        <f t="shared" si="11"/>
        <v>0</v>
      </c>
      <c r="N38" s="193">
        <f t="shared" si="11"/>
        <v>0</v>
      </c>
      <c r="O38" s="668"/>
    </row>
    <row r="39" spans="1:15" x14ac:dyDescent="0.2">
      <c r="A39" s="645" t="s">
        <v>20054</v>
      </c>
      <c r="B39" s="648" t="str">
        <f>P.O.!D50</f>
        <v>COBERTURA</v>
      </c>
      <c r="C39" s="642">
        <f>P.O.!I50</f>
        <v>217253.28</v>
      </c>
      <c r="D39" s="148" t="s">
        <v>36</v>
      </c>
      <c r="E39" s="666"/>
      <c r="F39" s="149">
        <v>0</v>
      </c>
      <c r="G39" s="149">
        <v>0</v>
      </c>
      <c r="H39" s="149">
        <v>0</v>
      </c>
      <c r="I39" s="149">
        <v>0</v>
      </c>
      <c r="J39" s="149">
        <v>1</v>
      </c>
      <c r="K39" s="149">
        <v>0</v>
      </c>
      <c r="L39" s="149">
        <v>0</v>
      </c>
      <c r="M39" s="149">
        <v>0</v>
      </c>
      <c r="N39" s="149">
        <v>0</v>
      </c>
      <c r="O39" s="668"/>
    </row>
    <row r="40" spans="1:15" x14ac:dyDescent="0.2">
      <c r="A40" s="646"/>
      <c r="B40" s="649"/>
      <c r="C40" s="643"/>
      <c r="D40" s="150" t="s">
        <v>37</v>
      </c>
      <c r="E40" s="666"/>
      <c r="F40" s="151">
        <f>E40+F39</f>
        <v>0</v>
      </c>
      <c r="G40" s="151">
        <f>F40+G39</f>
        <v>0</v>
      </c>
      <c r="H40" s="151">
        <f>G40+H39</f>
        <v>0</v>
      </c>
      <c r="I40" s="151">
        <f>H40+I39</f>
        <v>0</v>
      </c>
      <c r="J40" s="151">
        <f>I40+J39</f>
        <v>1</v>
      </c>
      <c r="K40" s="151">
        <f t="shared" ref="K40:N40" si="12">J40+K39</f>
        <v>1</v>
      </c>
      <c r="L40" s="151">
        <f t="shared" si="12"/>
        <v>1</v>
      </c>
      <c r="M40" s="151">
        <f t="shared" si="12"/>
        <v>1</v>
      </c>
      <c r="N40" s="151">
        <f t="shared" si="12"/>
        <v>1</v>
      </c>
      <c r="O40" s="668"/>
    </row>
    <row r="41" spans="1:15" x14ac:dyDescent="0.2">
      <c r="A41" s="646"/>
      <c r="B41" s="649"/>
      <c r="C41" s="643"/>
      <c r="D41" s="150" t="s">
        <v>38</v>
      </c>
      <c r="E41" s="666"/>
      <c r="F41" s="152"/>
      <c r="G41" s="152"/>
      <c r="H41" s="152"/>
      <c r="I41" s="152"/>
      <c r="J41" s="191"/>
      <c r="K41" s="152"/>
      <c r="L41" s="152"/>
      <c r="M41" s="152"/>
      <c r="N41" s="152"/>
      <c r="O41" s="668"/>
    </row>
    <row r="42" spans="1:15" ht="13.5" thickBot="1" x14ac:dyDescent="0.25">
      <c r="A42" s="647"/>
      <c r="B42" s="650"/>
      <c r="C42" s="644"/>
      <c r="D42" s="192" t="s">
        <v>39</v>
      </c>
      <c r="E42" s="666"/>
      <c r="F42" s="193">
        <f>+F39*$C39</f>
        <v>0</v>
      </c>
      <c r="G42" s="193">
        <f>+G39*$C39</f>
        <v>0</v>
      </c>
      <c r="H42" s="193">
        <f>+H39*$C39</f>
        <v>0</v>
      </c>
      <c r="I42" s="193">
        <f>+I39*$C39</f>
        <v>0</v>
      </c>
      <c r="J42" s="193">
        <f>+J39*$C39</f>
        <v>217253.28</v>
      </c>
      <c r="K42" s="193">
        <f t="shared" ref="K42:N42" si="13">+K39*$C39</f>
        <v>0</v>
      </c>
      <c r="L42" s="193">
        <f t="shared" si="13"/>
        <v>0</v>
      </c>
      <c r="M42" s="193">
        <f t="shared" si="13"/>
        <v>0</v>
      </c>
      <c r="N42" s="193">
        <f t="shared" si="13"/>
        <v>0</v>
      </c>
      <c r="O42" s="668"/>
    </row>
    <row r="43" spans="1:15" x14ac:dyDescent="0.2">
      <c r="A43" s="645" t="s">
        <v>20427</v>
      </c>
      <c r="B43" s="648" t="str">
        <f>P.O.!D61</f>
        <v>HIDRÁULICA</v>
      </c>
      <c r="C43" s="642">
        <f>P.O.!I61</f>
        <v>120223.53999999998</v>
      </c>
      <c r="D43" s="148" t="s">
        <v>36</v>
      </c>
      <c r="E43" s="666"/>
      <c r="F43" s="149">
        <v>0</v>
      </c>
      <c r="G43" s="149">
        <v>0</v>
      </c>
      <c r="H43" s="149">
        <v>0.5</v>
      </c>
      <c r="I43" s="149">
        <v>0.25</v>
      </c>
      <c r="J43" s="149">
        <v>0</v>
      </c>
      <c r="K43" s="149">
        <v>0</v>
      </c>
      <c r="L43" s="149">
        <v>0.25</v>
      </c>
      <c r="M43" s="149">
        <v>0</v>
      </c>
      <c r="N43" s="149">
        <v>0</v>
      </c>
      <c r="O43" s="668"/>
    </row>
    <row r="44" spans="1:15" x14ac:dyDescent="0.2">
      <c r="A44" s="646"/>
      <c r="B44" s="649"/>
      <c r="C44" s="643"/>
      <c r="D44" s="150" t="s">
        <v>37</v>
      </c>
      <c r="E44" s="666"/>
      <c r="F44" s="151">
        <f>E44+F43</f>
        <v>0</v>
      </c>
      <c r="G44" s="151">
        <f>F44+G43</f>
        <v>0</v>
      </c>
      <c r="H44" s="151">
        <f>G44+H43</f>
        <v>0.5</v>
      </c>
      <c r="I44" s="151">
        <f>H44+I43</f>
        <v>0.75</v>
      </c>
      <c r="J44" s="151">
        <f>I44+J43</f>
        <v>0.75</v>
      </c>
      <c r="K44" s="151">
        <f t="shared" ref="K44:N44" si="14">J44+K43</f>
        <v>0.75</v>
      </c>
      <c r="L44" s="151">
        <f t="shared" si="14"/>
        <v>1</v>
      </c>
      <c r="M44" s="151">
        <f t="shared" si="14"/>
        <v>1</v>
      </c>
      <c r="N44" s="151">
        <f t="shared" si="14"/>
        <v>1</v>
      </c>
      <c r="O44" s="668"/>
    </row>
    <row r="45" spans="1:15" x14ac:dyDescent="0.2">
      <c r="A45" s="646"/>
      <c r="B45" s="649"/>
      <c r="C45" s="643"/>
      <c r="D45" s="150" t="s">
        <v>38</v>
      </c>
      <c r="E45" s="666"/>
      <c r="F45" s="152"/>
      <c r="G45" s="152"/>
      <c r="H45" s="191"/>
      <c r="I45" s="191"/>
      <c r="J45" s="152"/>
      <c r="K45" s="152"/>
      <c r="L45" s="191"/>
      <c r="M45" s="152"/>
      <c r="N45" s="152"/>
      <c r="O45" s="668"/>
    </row>
    <row r="46" spans="1:15" ht="13.5" thickBot="1" x14ac:dyDescent="0.25">
      <c r="A46" s="647"/>
      <c r="B46" s="650"/>
      <c r="C46" s="644"/>
      <c r="D46" s="192" t="s">
        <v>39</v>
      </c>
      <c r="E46" s="666"/>
      <c r="F46" s="193">
        <f>+F43*$C43</f>
        <v>0</v>
      </c>
      <c r="G46" s="193">
        <f>+G43*$C43</f>
        <v>0</v>
      </c>
      <c r="H46" s="193">
        <f>+H43*$C43</f>
        <v>60111.76999999999</v>
      </c>
      <c r="I46" s="193">
        <f>+I43*$C43</f>
        <v>30055.884999999995</v>
      </c>
      <c r="J46" s="193">
        <f>+J43*$C43</f>
        <v>0</v>
      </c>
      <c r="K46" s="193">
        <f t="shared" ref="K46:N46" si="15">+K43*$C43</f>
        <v>0</v>
      </c>
      <c r="L46" s="193">
        <f t="shared" si="15"/>
        <v>30055.884999999995</v>
      </c>
      <c r="M46" s="193">
        <f t="shared" si="15"/>
        <v>0</v>
      </c>
      <c r="N46" s="193">
        <f t="shared" si="15"/>
        <v>0</v>
      </c>
      <c r="O46" s="668"/>
    </row>
    <row r="47" spans="1:15" x14ac:dyDescent="0.2">
      <c r="A47" s="645" t="s">
        <v>20428</v>
      </c>
      <c r="B47" s="648" t="str">
        <f>P.O.!D99</f>
        <v>ELÉTRICA</v>
      </c>
      <c r="C47" s="642">
        <f>P.O.!I99</f>
        <v>106892.1</v>
      </c>
      <c r="D47" s="148" t="s">
        <v>36</v>
      </c>
      <c r="E47" s="666"/>
      <c r="F47" s="149">
        <v>0</v>
      </c>
      <c r="G47" s="149">
        <v>0</v>
      </c>
      <c r="H47" s="149">
        <v>0</v>
      </c>
      <c r="I47" s="149">
        <v>0</v>
      </c>
      <c r="J47" s="149">
        <v>0</v>
      </c>
      <c r="K47" s="149">
        <v>1</v>
      </c>
      <c r="L47" s="149">
        <v>0</v>
      </c>
      <c r="M47" s="149">
        <v>0</v>
      </c>
      <c r="N47" s="149">
        <v>0</v>
      </c>
      <c r="O47" s="668"/>
    </row>
    <row r="48" spans="1:15" x14ac:dyDescent="0.2">
      <c r="A48" s="646"/>
      <c r="B48" s="649"/>
      <c r="C48" s="643"/>
      <c r="D48" s="150" t="s">
        <v>37</v>
      </c>
      <c r="E48" s="666"/>
      <c r="F48" s="151">
        <f>E48+F47</f>
        <v>0</v>
      </c>
      <c r="G48" s="151">
        <f>F48+G47</f>
        <v>0</v>
      </c>
      <c r="H48" s="151">
        <f>G48+H47</f>
        <v>0</v>
      </c>
      <c r="I48" s="151">
        <f>H48+I47</f>
        <v>0</v>
      </c>
      <c r="J48" s="151">
        <f>I48+J47</f>
        <v>0</v>
      </c>
      <c r="K48" s="151">
        <f t="shared" ref="K48:N48" si="16">J48+K47</f>
        <v>1</v>
      </c>
      <c r="L48" s="151">
        <f t="shared" si="16"/>
        <v>1</v>
      </c>
      <c r="M48" s="151">
        <f t="shared" si="16"/>
        <v>1</v>
      </c>
      <c r="N48" s="151">
        <f t="shared" si="16"/>
        <v>1</v>
      </c>
      <c r="O48" s="668"/>
    </row>
    <row r="49" spans="1:15" x14ac:dyDescent="0.2">
      <c r="A49" s="646"/>
      <c r="B49" s="649"/>
      <c r="C49" s="643"/>
      <c r="D49" s="150" t="s">
        <v>38</v>
      </c>
      <c r="E49" s="666"/>
      <c r="F49" s="152"/>
      <c r="G49" s="152"/>
      <c r="H49" s="152"/>
      <c r="I49" s="152"/>
      <c r="J49" s="152"/>
      <c r="K49" s="191"/>
      <c r="L49" s="152"/>
      <c r="M49" s="152"/>
      <c r="N49" s="152"/>
      <c r="O49" s="668"/>
    </row>
    <row r="50" spans="1:15" ht="13.5" thickBot="1" x14ac:dyDescent="0.25">
      <c r="A50" s="647"/>
      <c r="B50" s="650"/>
      <c r="C50" s="644"/>
      <c r="D50" s="192" t="s">
        <v>39</v>
      </c>
      <c r="E50" s="666"/>
      <c r="F50" s="193">
        <f>+F47*$C47</f>
        <v>0</v>
      </c>
      <c r="G50" s="193">
        <f>+G47*$C47</f>
        <v>0</v>
      </c>
      <c r="H50" s="193">
        <f>+H47*$C47</f>
        <v>0</v>
      </c>
      <c r="I50" s="193">
        <f>+I47*$C47</f>
        <v>0</v>
      </c>
      <c r="J50" s="193">
        <f>+J47*$C47</f>
        <v>0</v>
      </c>
      <c r="K50" s="193">
        <f t="shared" ref="K50:N50" si="17">+K47*$C47</f>
        <v>106892.1</v>
      </c>
      <c r="L50" s="193">
        <f t="shared" si="17"/>
        <v>0</v>
      </c>
      <c r="M50" s="193">
        <f t="shared" si="17"/>
        <v>0</v>
      </c>
      <c r="N50" s="193">
        <f t="shared" si="17"/>
        <v>0</v>
      </c>
      <c r="O50" s="668"/>
    </row>
    <row r="51" spans="1:15" x14ac:dyDescent="0.2">
      <c r="A51" s="645" t="s">
        <v>20429</v>
      </c>
      <c r="B51" s="651" t="str">
        <f>P.O.!D124</f>
        <v>ILUMINAÇÃO</v>
      </c>
      <c r="C51" s="642">
        <f>P.O.!I124</f>
        <v>48322.05</v>
      </c>
      <c r="D51" s="148" t="s">
        <v>36</v>
      </c>
      <c r="E51" s="666"/>
      <c r="F51" s="149">
        <v>0</v>
      </c>
      <c r="G51" s="149">
        <v>0</v>
      </c>
      <c r="H51" s="149">
        <v>0</v>
      </c>
      <c r="I51" s="149">
        <v>0</v>
      </c>
      <c r="J51" s="149">
        <v>0</v>
      </c>
      <c r="K51" s="149">
        <v>0</v>
      </c>
      <c r="L51" s="149">
        <v>1</v>
      </c>
      <c r="M51" s="149">
        <v>0</v>
      </c>
      <c r="N51" s="149">
        <v>0</v>
      </c>
      <c r="O51" s="668"/>
    </row>
    <row r="52" spans="1:15" x14ac:dyDescent="0.2">
      <c r="A52" s="646"/>
      <c r="B52" s="649"/>
      <c r="C52" s="643"/>
      <c r="D52" s="150" t="s">
        <v>37</v>
      </c>
      <c r="E52" s="666"/>
      <c r="F52" s="151">
        <f>E52+F51</f>
        <v>0</v>
      </c>
      <c r="G52" s="151">
        <f>F52+G51</f>
        <v>0</v>
      </c>
      <c r="H52" s="151">
        <f>G52+H51</f>
        <v>0</v>
      </c>
      <c r="I52" s="151">
        <f>H52+I51</f>
        <v>0</v>
      </c>
      <c r="J52" s="151">
        <f>I52+J51</f>
        <v>0</v>
      </c>
      <c r="K52" s="151">
        <f t="shared" ref="K52:N52" si="18">J52+K51</f>
        <v>0</v>
      </c>
      <c r="L52" s="151">
        <f t="shared" si="18"/>
        <v>1</v>
      </c>
      <c r="M52" s="151">
        <f t="shared" si="18"/>
        <v>1</v>
      </c>
      <c r="N52" s="151">
        <f t="shared" si="18"/>
        <v>1</v>
      </c>
      <c r="O52" s="668"/>
    </row>
    <row r="53" spans="1:15" x14ac:dyDescent="0.2">
      <c r="A53" s="646"/>
      <c r="B53" s="649"/>
      <c r="C53" s="643"/>
      <c r="D53" s="150" t="s">
        <v>38</v>
      </c>
      <c r="E53" s="666"/>
      <c r="F53" s="152"/>
      <c r="G53" s="152"/>
      <c r="H53" s="152"/>
      <c r="I53" s="152"/>
      <c r="J53" s="152"/>
      <c r="K53" s="152"/>
      <c r="L53" s="191"/>
      <c r="M53" s="152"/>
      <c r="N53" s="152"/>
      <c r="O53" s="668"/>
    </row>
    <row r="54" spans="1:15" ht="13.5" thickBot="1" x14ac:dyDescent="0.25">
      <c r="A54" s="647"/>
      <c r="B54" s="650"/>
      <c r="C54" s="644"/>
      <c r="D54" s="192" t="s">
        <v>39</v>
      </c>
      <c r="E54" s="666"/>
      <c r="F54" s="193">
        <f>+F51*$C51</f>
        <v>0</v>
      </c>
      <c r="G54" s="193">
        <f>+G51*$C51</f>
        <v>0</v>
      </c>
      <c r="H54" s="193">
        <f>+H51*$C51</f>
        <v>0</v>
      </c>
      <c r="I54" s="193">
        <f>+I51*$C51</f>
        <v>0</v>
      </c>
      <c r="J54" s="193">
        <f>+J51*$C51</f>
        <v>0</v>
      </c>
      <c r="K54" s="193">
        <f t="shared" ref="K54:N54" si="19">+K51*$C51</f>
        <v>0</v>
      </c>
      <c r="L54" s="193">
        <f t="shared" si="19"/>
        <v>48322.05</v>
      </c>
      <c r="M54" s="193">
        <f t="shared" si="19"/>
        <v>0</v>
      </c>
      <c r="N54" s="193">
        <f t="shared" si="19"/>
        <v>0</v>
      </c>
      <c r="O54" s="668"/>
    </row>
    <row r="55" spans="1:15" x14ac:dyDescent="0.2">
      <c r="A55" s="645" t="s">
        <v>20430</v>
      </c>
      <c r="B55" s="648" t="str">
        <f>P.O.!D135</f>
        <v>ESQUADRIAS</v>
      </c>
      <c r="C55" s="642">
        <f>P.O.!I135</f>
        <v>97023.380000000019</v>
      </c>
      <c r="D55" s="148" t="s">
        <v>36</v>
      </c>
      <c r="E55" s="666"/>
      <c r="F55" s="149">
        <v>0</v>
      </c>
      <c r="G55" s="149">
        <v>0</v>
      </c>
      <c r="H55" s="149">
        <v>0</v>
      </c>
      <c r="I55" s="149">
        <v>0</v>
      </c>
      <c r="J55" s="149">
        <v>1</v>
      </c>
      <c r="K55" s="149">
        <v>0</v>
      </c>
      <c r="L55" s="149">
        <v>0</v>
      </c>
      <c r="M55" s="149">
        <v>0</v>
      </c>
      <c r="N55" s="149">
        <v>0</v>
      </c>
      <c r="O55" s="668"/>
    </row>
    <row r="56" spans="1:15" x14ac:dyDescent="0.2">
      <c r="A56" s="646"/>
      <c r="B56" s="649"/>
      <c r="C56" s="643"/>
      <c r="D56" s="150" t="s">
        <v>37</v>
      </c>
      <c r="E56" s="666"/>
      <c r="F56" s="151">
        <f>E56+F55</f>
        <v>0</v>
      </c>
      <c r="G56" s="151">
        <f>F56+G55</f>
        <v>0</v>
      </c>
      <c r="H56" s="151">
        <f>G56+H55</f>
        <v>0</v>
      </c>
      <c r="I56" s="151">
        <f>H56+I55</f>
        <v>0</v>
      </c>
      <c r="J56" s="151">
        <f>I56+J55</f>
        <v>1</v>
      </c>
      <c r="K56" s="151">
        <f t="shared" ref="K56:N56" si="20">J56+K55</f>
        <v>1</v>
      </c>
      <c r="L56" s="151">
        <f t="shared" si="20"/>
        <v>1</v>
      </c>
      <c r="M56" s="151">
        <f t="shared" si="20"/>
        <v>1</v>
      </c>
      <c r="N56" s="151">
        <f t="shared" si="20"/>
        <v>1</v>
      </c>
      <c r="O56" s="668"/>
    </row>
    <row r="57" spans="1:15" x14ac:dyDescent="0.2">
      <c r="A57" s="646"/>
      <c r="B57" s="649"/>
      <c r="C57" s="643"/>
      <c r="D57" s="150" t="s">
        <v>38</v>
      </c>
      <c r="E57" s="666"/>
      <c r="F57" s="152"/>
      <c r="G57" s="152"/>
      <c r="H57" s="152"/>
      <c r="I57" s="152"/>
      <c r="J57" s="191"/>
      <c r="K57" s="152"/>
      <c r="L57" s="152"/>
      <c r="M57" s="152"/>
      <c r="N57" s="152"/>
      <c r="O57" s="668"/>
    </row>
    <row r="58" spans="1:15" ht="13.5" thickBot="1" x14ac:dyDescent="0.25">
      <c r="A58" s="647"/>
      <c r="B58" s="650"/>
      <c r="C58" s="644"/>
      <c r="D58" s="192" t="s">
        <v>39</v>
      </c>
      <c r="E58" s="666"/>
      <c r="F58" s="193">
        <f>+F55*$C55</f>
        <v>0</v>
      </c>
      <c r="G58" s="193">
        <f>+G55*$C55</f>
        <v>0</v>
      </c>
      <c r="H58" s="193">
        <f>+H55*$C55</f>
        <v>0</v>
      </c>
      <c r="I58" s="193">
        <f>+I55*$C55</f>
        <v>0</v>
      </c>
      <c r="J58" s="193">
        <f>+J55*$C55</f>
        <v>97023.380000000019</v>
      </c>
      <c r="K58" s="193">
        <f t="shared" ref="K58:N58" si="21">+K55*$C55</f>
        <v>0</v>
      </c>
      <c r="L58" s="193">
        <f t="shared" si="21"/>
        <v>0</v>
      </c>
      <c r="M58" s="193">
        <f t="shared" si="21"/>
        <v>0</v>
      </c>
      <c r="N58" s="193">
        <f t="shared" si="21"/>
        <v>0</v>
      </c>
      <c r="O58" s="668"/>
    </row>
    <row r="59" spans="1:15" x14ac:dyDescent="0.2">
      <c r="A59" s="645" t="s">
        <v>20535</v>
      </c>
      <c r="B59" s="648" t="str">
        <f>P.O.!D151</f>
        <v>REVESTIMENTO</v>
      </c>
      <c r="C59" s="642">
        <f>P.O.!I151</f>
        <v>227294.97999999998</v>
      </c>
      <c r="D59" s="148" t="s">
        <v>36</v>
      </c>
      <c r="E59" s="666"/>
      <c r="F59" s="149">
        <v>0</v>
      </c>
      <c r="G59" s="149">
        <v>0</v>
      </c>
      <c r="H59" s="149">
        <v>0</v>
      </c>
      <c r="I59" s="149">
        <v>0</v>
      </c>
      <c r="J59" s="149">
        <v>0</v>
      </c>
      <c r="K59" s="149">
        <v>0.75</v>
      </c>
      <c r="L59" s="149">
        <v>0.25</v>
      </c>
      <c r="M59" s="149">
        <v>0</v>
      </c>
      <c r="N59" s="149">
        <v>0</v>
      </c>
      <c r="O59" s="668"/>
    </row>
    <row r="60" spans="1:15" x14ac:dyDescent="0.2">
      <c r="A60" s="646"/>
      <c r="B60" s="649"/>
      <c r="C60" s="643"/>
      <c r="D60" s="150" t="s">
        <v>37</v>
      </c>
      <c r="E60" s="666"/>
      <c r="F60" s="151">
        <f>E60+F59</f>
        <v>0</v>
      </c>
      <c r="G60" s="151">
        <f>F60+G59</f>
        <v>0</v>
      </c>
      <c r="H60" s="151">
        <f>G60+H59</f>
        <v>0</v>
      </c>
      <c r="I60" s="151">
        <f>H60+I59</f>
        <v>0</v>
      </c>
      <c r="J60" s="151">
        <f>I60+J59</f>
        <v>0</v>
      </c>
      <c r="K60" s="151">
        <f t="shared" ref="K60:N60" si="22">J60+K59</f>
        <v>0.75</v>
      </c>
      <c r="L60" s="151">
        <f t="shared" si="22"/>
        <v>1</v>
      </c>
      <c r="M60" s="151">
        <f t="shared" si="22"/>
        <v>1</v>
      </c>
      <c r="N60" s="151">
        <f t="shared" si="22"/>
        <v>1</v>
      </c>
      <c r="O60" s="668"/>
    </row>
    <row r="61" spans="1:15" x14ac:dyDescent="0.2">
      <c r="A61" s="646"/>
      <c r="B61" s="649"/>
      <c r="C61" s="643"/>
      <c r="D61" s="150" t="s">
        <v>38</v>
      </c>
      <c r="E61" s="666"/>
      <c r="F61" s="152"/>
      <c r="G61" s="152"/>
      <c r="H61" s="152"/>
      <c r="I61" s="152"/>
      <c r="J61" s="152"/>
      <c r="K61" s="191"/>
      <c r="L61" s="191"/>
      <c r="M61" s="152"/>
      <c r="N61" s="152"/>
      <c r="O61" s="668"/>
    </row>
    <row r="62" spans="1:15" ht="13.5" thickBot="1" x14ac:dyDescent="0.25">
      <c r="A62" s="647"/>
      <c r="B62" s="650"/>
      <c r="C62" s="644"/>
      <c r="D62" s="192" t="s">
        <v>39</v>
      </c>
      <c r="E62" s="666"/>
      <c r="F62" s="193">
        <f>+F59*$C59</f>
        <v>0</v>
      </c>
      <c r="G62" s="193">
        <f>+G59*$C59</f>
        <v>0</v>
      </c>
      <c r="H62" s="193">
        <f>+H59*$C59</f>
        <v>0</v>
      </c>
      <c r="I62" s="193">
        <f>+I59*$C59</f>
        <v>0</v>
      </c>
      <c r="J62" s="193">
        <f>+J59*$C59</f>
        <v>0</v>
      </c>
      <c r="K62" s="193">
        <f t="shared" ref="K62:N62" si="23">+K59*$C59</f>
        <v>170471.23499999999</v>
      </c>
      <c r="L62" s="193">
        <f t="shared" si="23"/>
        <v>56823.744999999995</v>
      </c>
      <c r="M62" s="193">
        <f t="shared" si="23"/>
        <v>0</v>
      </c>
      <c r="N62" s="193">
        <f t="shared" si="23"/>
        <v>0</v>
      </c>
      <c r="O62" s="668"/>
    </row>
    <row r="63" spans="1:15" x14ac:dyDescent="0.2">
      <c r="A63" s="645" t="s">
        <v>20536</v>
      </c>
      <c r="B63" s="648" t="str">
        <f>P.O.!D160</f>
        <v>PINTURA</v>
      </c>
      <c r="C63" s="642">
        <f>P.O.!I160</f>
        <v>86639.92</v>
      </c>
      <c r="D63" s="148" t="s">
        <v>36</v>
      </c>
      <c r="E63" s="666"/>
      <c r="F63" s="149">
        <v>0</v>
      </c>
      <c r="G63" s="149">
        <v>0</v>
      </c>
      <c r="H63" s="149">
        <v>0</v>
      </c>
      <c r="I63" s="149">
        <v>0</v>
      </c>
      <c r="J63" s="149">
        <v>0</v>
      </c>
      <c r="K63" s="149">
        <v>0</v>
      </c>
      <c r="L63" s="149">
        <v>0</v>
      </c>
      <c r="M63" s="149">
        <v>0.75</v>
      </c>
      <c r="N63" s="149">
        <v>0.25</v>
      </c>
      <c r="O63" s="668"/>
    </row>
    <row r="64" spans="1:15" x14ac:dyDescent="0.2">
      <c r="A64" s="646"/>
      <c r="B64" s="649"/>
      <c r="C64" s="643"/>
      <c r="D64" s="150" t="s">
        <v>37</v>
      </c>
      <c r="E64" s="666"/>
      <c r="F64" s="151">
        <f>E64+F63</f>
        <v>0</v>
      </c>
      <c r="G64" s="151">
        <f>F64+G63</f>
        <v>0</v>
      </c>
      <c r="H64" s="151">
        <f>G64+H63</f>
        <v>0</v>
      </c>
      <c r="I64" s="151">
        <f>H64+I63</f>
        <v>0</v>
      </c>
      <c r="J64" s="151">
        <f>I64+J63</f>
        <v>0</v>
      </c>
      <c r="K64" s="151">
        <f t="shared" ref="K64:N64" si="24">J64+K63</f>
        <v>0</v>
      </c>
      <c r="L64" s="151">
        <f t="shared" si="24"/>
        <v>0</v>
      </c>
      <c r="M64" s="151">
        <f t="shared" si="24"/>
        <v>0.75</v>
      </c>
      <c r="N64" s="151">
        <f t="shared" si="24"/>
        <v>1</v>
      </c>
      <c r="O64" s="668"/>
    </row>
    <row r="65" spans="1:15" x14ac:dyDescent="0.2">
      <c r="A65" s="646"/>
      <c r="B65" s="649"/>
      <c r="C65" s="643"/>
      <c r="D65" s="150" t="s">
        <v>38</v>
      </c>
      <c r="E65" s="666"/>
      <c r="F65" s="152"/>
      <c r="G65" s="152"/>
      <c r="H65" s="152"/>
      <c r="I65" s="152"/>
      <c r="J65" s="152"/>
      <c r="K65" s="152"/>
      <c r="L65" s="152"/>
      <c r="M65" s="191"/>
      <c r="N65" s="191"/>
      <c r="O65" s="668"/>
    </row>
    <row r="66" spans="1:15" ht="13.5" thickBot="1" x14ac:dyDescent="0.25">
      <c r="A66" s="647"/>
      <c r="B66" s="650"/>
      <c r="C66" s="644"/>
      <c r="D66" s="192" t="s">
        <v>39</v>
      </c>
      <c r="E66" s="666"/>
      <c r="F66" s="193">
        <f>+F63*$C63</f>
        <v>0</v>
      </c>
      <c r="G66" s="193">
        <f>+G63*$C63</f>
        <v>0</v>
      </c>
      <c r="H66" s="193">
        <f>+H63*$C63</f>
        <v>0</v>
      </c>
      <c r="I66" s="193">
        <f>+I63*$C63</f>
        <v>0</v>
      </c>
      <c r="J66" s="193">
        <f>+J63*$C63</f>
        <v>0</v>
      </c>
      <c r="K66" s="193">
        <f t="shared" ref="K66:N66" si="25">+K63*$C63</f>
        <v>0</v>
      </c>
      <c r="L66" s="193">
        <f t="shared" si="25"/>
        <v>0</v>
      </c>
      <c r="M66" s="193">
        <f t="shared" si="25"/>
        <v>64979.94</v>
      </c>
      <c r="N66" s="193">
        <f t="shared" si="25"/>
        <v>21659.98</v>
      </c>
      <c r="O66" s="668"/>
    </row>
    <row r="67" spans="1:15" x14ac:dyDescent="0.2">
      <c r="A67" s="645" t="s">
        <v>20565</v>
      </c>
      <c r="B67" s="648" t="str">
        <f>P.O.!D167</f>
        <v>ESCADA</v>
      </c>
      <c r="C67" s="642">
        <f>P.O.!I167</f>
        <v>34449.97</v>
      </c>
      <c r="D67" s="148" t="s">
        <v>36</v>
      </c>
      <c r="E67" s="666"/>
      <c r="F67" s="149">
        <v>0</v>
      </c>
      <c r="G67" s="149">
        <v>0</v>
      </c>
      <c r="H67" s="149">
        <v>0</v>
      </c>
      <c r="I67" s="149">
        <v>1</v>
      </c>
      <c r="J67" s="149">
        <v>0</v>
      </c>
      <c r="K67" s="149">
        <v>0</v>
      </c>
      <c r="L67" s="149">
        <v>0</v>
      </c>
      <c r="M67" s="149">
        <v>0</v>
      </c>
      <c r="N67" s="149">
        <v>0</v>
      </c>
      <c r="O67" s="668"/>
    </row>
    <row r="68" spans="1:15" x14ac:dyDescent="0.2">
      <c r="A68" s="646"/>
      <c r="B68" s="649"/>
      <c r="C68" s="643"/>
      <c r="D68" s="150" t="s">
        <v>37</v>
      </c>
      <c r="E68" s="666"/>
      <c r="F68" s="151">
        <f>E68+F67</f>
        <v>0</v>
      </c>
      <c r="G68" s="151">
        <f>F68+G67</f>
        <v>0</v>
      </c>
      <c r="H68" s="151">
        <f>G68+H67</f>
        <v>0</v>
      </c>
      <c r="I68" s="151">
        <f>H68+I67</f>
        <v>1</v>
      </c>
      <c r="J68" s="151">
        <f>I68+J67</f>
        <v>1</v>
      </c>
      <c r="K68" s="151">
        <f t="shared" ref="K68:N68" si="26">J68+K67</f>
        <v>1</v>
      </c>
      <c r="L68" s="151">
        <f t="shared" si="26"/>
        <v>1</v>
      </c>
      <c r="M68" s="151">
        <f t="shared" si="26"/>
        <v>1</v>
      </c>
      <c r="N68" s="151">
        <f t="shared" si="26"/>
        <v>1</v>
      </c>
      <c r="O68" s="668"/>
    </row>
    <row r="69" spans="1:15" x14ac:dyDescent="0.2">
      <c r="A69" s="646"/>
      <c r="B69" s="649"/>
      <c r="C69" s="643"/>
      <c r="D69" s="150" t="s">
        <v>38</v>
      </c>
      <c r="E69" s="666"/>
      <c r="F69" s="152"/>
      <c r="G69" s="152"/>
      <c r="H69" s="152"/>
      <c r="I69" s="191"/>
      <c r="J69" s="152"/>
      <c r="K69" s="152"/>
      <c r="L69" s="152"/>
      <c r="M69" s="152"/>
      <c r="N69" s="152"/>
      <c r="O69" s="668"/>
    </row>
    <row r="70" spans="1:15" ht="13.5" thickBot="1" x14ac:dyDescent="0.25">
      <c r="A70" s="647"/>
      <c r="B70" s="650"/>
      <c r="C70" s="644"/>
      <c r="D70" s="192" t="s">
        <v>39</v>
      </c>
      <c r="E70" s="666"/>
      <c r="F70" s="193">
        <f>+F67*$C67</f>
        <v>0</v>
      </c>
      <c r="G70" s="193">
        <f>+G67*$C67</f>
        <v>0</v>
      </c>
      <c r="H70" s="193">
        <f>+H67*$C67</f>
        <v>0</v>
      </c>
      <c r="I70" s="193">
        <f>+I67*$C67</f>
        <v>34449.97</v>
      </c>
      <c r="J70" s="193">
        <f>+J67*$C67</f>
        <v>0</v>
      </c>
      <c r="K70" s="193">
        <f t="shared" ref="K70:N70" si="27">+K67*$C67</f>
        <v>0</v>
      </c>
      <c r="L70" s="193">
        <f t="shared" si="27"/>
        <v>0</v>
      </c>
      <c r="M70" s="193">
        <f t="shared" si="27"/>
        <v>0</v>
      </c>
      <c r="N70" s="193">
        <f t="shared" si="27"/>
        <v>0</v>
      </c>
      <c r="O70" s="668"/>
    </row>
    <row r="71" spans="1:15" x14ac:dyDescent="0.2">
      <c r="A71" s="645" t="s">
        <v>20572</v>
      </c>
      <c r="B71" s="648" t="str">
        <f>P.O.!D172</f>
        <v>PISO DE CONCRETO</v>
      </c>
      <c r="C71" s="642">
        <f>P.O.!I172</f>
        <v>13431.32</v>
      </c>
      <c r="D71" s="148" t="s">
        <v>36</v>
      </c>
      <c r="E71" s="666"/>
      <c r="F71" s="149">
        <v>0</v>
      </c>
      <c r="G71" s="149">
        <v>0</v>
      </c>
      <c r="H71" s="149">
        <v>0</v>
      </c>
      <c r="I71" s="149">
        <v>0</v>
      </c>
      <c r="J71" s="149">
        <v>1</v>
      </c>
      <c r="K71" s="149">
        <v>0</v>
      </c>
      <c r="L71" s="149">
        <v>0</v>
      </c>
      <c r="M71" s="149">
        <v>0</v>
      </c>
      <c r="N71" s="149">
        <v>0</v>
      </c>
      <c r="O71" s="668"/>
    </row>
    <row r="72" spans="1:15" x14ac:dyDescent="0.2">
      <c r="A72" s="646"/>
      <c r="B72" s="649"/>
      <c r="C72" s="643"/>
      <c r="D72" s="150" t="s">
        <v>37</v>
      </c>
      <c r="E72" s="666"/>
      <c r="F72" s="151">
        <f>E72+F71</f>
        <v>0</v>
      </c>
      <c r="G72" s="151">
        <f>F72+G71</f>
        <v>0</v>
      </c>
      <c r="H72" s="151">
        <f>G72+H71</f>
        <v>0</v>
      </c>
      <c r="I72" s="151">
        <f>H72+I71</f>
        <v>0</v>
      </c>
      <c r="J72" s="151">
        <f>I72+J71</f>
        <v>1</v>
      </c>
      <c r="K72" s="151">
        <f t="shared" ref="K72:N72" si="28">J72+K71</f>
        <v>1</v>
      </c>
      <c r="L72" s="151">
        <f t="shared" si="28"/>
        <v>1</v>
      </c>
      <c r="M72" s="151">
        <f t="shared" si="28"/>
        <v>1</v>
      </c>
      <c r="N72" s="151">
        <f t="shared" si="28"/>
        <v>1</v>
      </c>
      <c r="O72" s="668"/>
    </row>
    <row r="73" spans="1:15" x14ac:dyDescent="0.2">
      <c r="A73" s="646"/>
      <c r="B73" s="649"/>
      <c r="C73" s="643"/>
      <c r="D73" s="150" t="s">
        <v>38</v>
      </c>
      <c r="E73" s="666"/>
      <c r="F73" s="152"/>
      <c r="G73" s="152"/>
      <c r="H73" s="152"/>
      <c r="I73" s="152"/>
      <c r="J73" s="191"/>
      <c r="K73" s="152"/>
      <c r="L73" s="152"/>
      <c r="M73" s="152"/>
      <c r="N73" s="152"/>
      <c r="O73" s="668"/>
    </row>
    <row r="74" spans="1:15" ht="13.5" thickBot="1" x14ac:dyDescent="0.25">
      <c r="A74" s="647"/>
      <c r="B74" s="650"/>
      <c r="C74" s="644"/>
      <c r="D74" s="192" t="s">
        <v>39</v>
      </c>
      <c r="E74" s="666"/>
      <c r="F74" s="193">
        <f>+F71*$C71</f>
        <v>0</v>
      </c>
      <c r="G74" s="193">
        <f>+G71*$C71</f>
        <v>0</v>
      </c>
      <c r="H74" s="193">
        <f>+H71*$C71</f>
        <v>0</v>
      </c>
      <c r="I74" s="193">
        <f>+I71*$C71</f>
        <v>0</v>
      </c>
      <c r="J74" s="193">
        <f>+J71*$C71</f>
        <v>13431.32</v>
      </c>
      <c r="K74" s="193">
        <f t="shared" ref="K74:N74" si="29">+K71*$C71</f>
        <v>0</v>
      </c>
      <c r="L74" s="193">
        <f t="shared" si="29"/>
        <v>0</v>
      </c>
      <c r="M74" s="193">
        <f t="shared" si="29"/>
        <v>0</v>
      </c>
      <c r="N74" s="193">
        <f t="shared" si="29"/>
        <v>0</v>
      </c>
      <c r="O74" s="668"/>
    </row>
    <row r="75" spans="1:15" x14ac:dyDescent="0.2">
      <c r="A75" s="645" t="s">
        <v>20573</v>
      </c>
      <c r="B75" s="648" t="str">
        <f>P.O.!D182</f>
        <v>CERCAMENTO</v>
      </c>
      <c r="C75" s="642">
        <f>P.O.!I182</f>
        <v>55723.62</v>
      </c>
      <c r="D75" s="148" t="s">
        <v>36</v>
      </c>
      <c r="E75" s="666"/>
      <c r="F75" s="149">
        <v>0</v>
      </c>
      <c r="G75" s="149">
        <v>0</v>
      </c>
      <c r="H75" s="149">
        <v>0</v>
      </c>
      <c r="I75" s="149">
        <v>0</v>
      </c>
      <c r="J75" s="149">
        <v>0</v>
      </c>
      <c r="K75" s="149">
        <v>0</v>
      </c>
      <c r="L75" s="149">
        <v>0</v>
      </c>
      <c r="M75" s="149">
        <v>0</v>
      </c>
      <c r="N75" s="149">
        <v>1</v>
      </c>
      <c r="O75" s="668"/>
    </row>
    <row r="76" spans="1:15" x14ac:dyDescent="0.2">
      <c r="A76" s="646"/>
      <c r="B76" s="649"/>
      <c r="C76" s="643"/>
      <c r="D76" s="150" t="s">
        <v>37</v>
      </c>
      <c r="E76" s="666"/>
      <c r="F76" s="151">
        <f>E76+F75</f>
        <v>0</v>
      </c>
      <c r="G76" s="151">
        <f>F76+G75</f>
        <v>0</v>
      </c>
      <c r="H76" s="151">
        <f>G76+H75</f>
        <v>0</v>
      </c>
      <c r="I76" s="151">
        <f>H76+I75</f>
        <v>0</v>
      </c>
      <c r="J76" s="151">
        <f>I76+J75</f>
        <v>0</v>
      </c>
      <c r="K76" s="151">
        <f t="shared" ref="K76:N76" si="30">J76+K75</f>
        <v>0</v>
      </c>
      <c r="L76" s="151">
        <f t="shared" si="30"/>
        <v>0</v>
      </c>
      <c r="M76" s="151">
        <f t="shared" si="30"/>
        <v>0</v>
      </c>
      <c r="N76" s="151">
        <f t="shared" si="30"/>
        <v>1</v>
      </c>
      <c r="O76" s="668"/>
    </row>
    <row r="77" spans="1:15" x14ac:dyDescent="0.2">
      <c r="A77" s="646"/>
      <c r="B77" s="649"/>
      <c r="C77" s="643"/>
      <c r="D77" s="150" t="s">
        <v>38</v>
      </c>
      <c r="E77" s="666"/>
      <c r="F77" s="152"/>
      <c r="G77" s="152"/>
      <c r="H77" s="152"/>
      <c r="I77" s="152"/>
      <c r="J77" s="152"/>
      <c r="K77" s="152"/>
      <c r="L77" s="152"/>
      <c r="M77" s="152"/>
      <c r="N77" s="191"/>
      <c r="O77" s="668"/>
    </row>
    <row r="78" spans="1:15" ht="13.5" thickBot="1" x14ac:dyDescent="0.25">
      <c r="A78" s="647"/>
      <c r="B78" s="650"/>
      <c r="C78" s="644"/>
      <c r="D78" s="192" t="s">
        <v>39</v>
      </c>
      <c r="E78" s="666"/>
      <c r="F78" s="207">
        <f>+F75*$C75</f>
        <v>0</v>
      </c>
      <c r="G78" s="207">
        <f>+G75*$C75</f>
        <v>0</v>
      </c>
      <c r="H78" s="207">
        <f>+H75*$C75</f>
        <v>0</v>
      </c>
      <c r="I78" s="207">
        <f>+I75*$C75</f>
        <v>0</v>
      </c>
      <c r="J78" s="207">
        <f>+J75*$C75</f>
        <v>0</v>
      </c>
      <c r="K78" s="207">
        <f t="shared" ref="K78:N78" si="31">+K75*$C75</f>
        <v>0</v>
      </c>
      <c r="L78" s="207">
        <f t="shared" si="31"/>
        <v>0</v>
      </c>
      <c r="M78" s="207">
        <f t="shared" si="31"/>
        <v>0</v>
      </c>
      <c r="N78" s="207">
        <f t="shared" si="31"/>
        <v>55723.62</v>
      </c>
      <c r="O78" s="668"/>
    </row>
    <row r="79" spans="1:15" x14ac:dyDescent="0.2">
      <c r="A79" s="645" t="s">
        <v>21805</v>
      </c>
      <c r="B79" s="648" t="str">
        <f>P.O.!D191</f>
        <v>GARAGEM DOS FUNDOS</v>
      </c>
      <c r="C79" s="642">
        <f>P.O.!I191</f>
        <v>48458.039999999994</v>
      </c>
      <c r="D79" s="148" t="s">
        <v>36</v>
      </c>
      <c r="E79" s="565"/>
      <c r="F79" s="149">
        <v>0</v>
      </c>
      <c r="G79" s="149">
        <v>0.2</v>
      </c>
      <c r="H79" s="149">
        <v>0</v>
      </c>
      <c r="I79" s="149">
        <v>0</v>
      </c>
      <c r="J79" s="149">
        <v>0</v>
      </c>
      <c r="K79" s="149">
        <v>0</v>
      </c>
      <c r="L79" s="149">
        <v>0</v>
      </c>
      <c r="M79" s="149">
        <v>0</v>
      </c>
      <c r="N79" s="149">
        <v>0.8</v>
      </c>
      <c r="O79" s="668"/>
    </row>
    <row r="80" spans="1:15" x14ac:dyDescent="0.2">
      <c r="A80" s="646"/>
      <c r="B80" s="649"/>
      <c r="C80" s="643"/>
      <c r="D80" s="150" t="s">
        <v>37</v>
      </c>
      <c r="E80" s="565"/>
      <c r="F80" s="151">
        <f t="shared" ref="F80:J80" si="32">E80+F79</f>
        <v>0</v>
      </c>
      <c r="G80" s="151">
        <f t="shared" si="32"/>
        <v>0.2</v>
      </c>
      <c r="H80" s="151">
        <f t="shared" si="32"/>
        <v>0.2</v>
      </c>
      <c r="I80" s="151">
        <f t="shared" si="32"/>
        <v>0.2</v>
      </c>
      <c r="J80" s="151">
        <f t="shared" si="32"/>
        <v>0.2</v>
      </c>
      <c r="K80" s="151">
        <f t="shared" ref="K80" si="33">J80+K79</f>
        <v>0.2</v>
      </c>
      <c r="L80" s="151">
        <f t="shared" ref="L80" si="34">K80+L79</f>
        <v>0.2</v>
      </c>
      <c r="M80" s="151">
        <f t="shared" ref="M80" si="35">L80+M79</f>
        <v>0.2</v>
      </c>
      <c r="N80" s="151">
        <f t="shared" ref="N80" si="36">M80+N79</f>
        <v>1</v>
      </c>
      <c r="O80" s="668"/>
    </row>
    <row r="81" spans="1:15" x14ac:dyDescent="0.2">
      <c r="A81" s="646"/>
      <c r="B81" s="649"/>
      <c r="C81" s="643"/>
      <c r="D81" s="150" t="s">
        <v>38</v>
      </c>
      <c r="E81" s="565"/>
      <c r="F81" s="152"/>
      <c r="G81" s="152"/>
      <c r="H81" s="152"/>
      <c r="I81" s="152"/>
      <c r="J81" s="152"/>
      <c r="K81" s="152"/>
      <c r="L81" s="152"/>
      <c r="M81" s="152"/>
      <c r="N81" s="191"/>
      <c r="O81" s="668"/>
    </row>
    <row r="82" spans="1:15" ht="13.5" thickBot="1" x14ac:dyDescent="0.25">
      <c r="A82" s="647"/>
      <c r="B82" s="650"/>
      <c r="C82" s="644"/>
      <c r="D82" s="192" t="s">
        <v>39</v>
      </c>
      <c r="E82" s="565"/>
      <c r="F82" s="207">
        <f t="shared" ref="F82:J82" si="37">+F79*$C79</f>
        <v>0</v>
      </c>
      <c r="G82" s="207">
        <f t="shared" si="37"/>
        <v>9691.6079999999984</v>
      </c>
      <c r="H82" s="207">
        <f t="shared" si="37"/>
        <v>0</v>
      </c>
      <c r="I82" s="207">
        <f t="shared" si="37"/>
        <v>0</v>
      </c>
      <c r="J82" s="207">
        <f t="shared" si="37"/>
        <v>0</v>
      </c>
      <c r="K82" s="207">
        <f t="shared" ref="K82:N82" si="38">+K79*$C79</f>
        <v>0</v>
      </c>
      <c r="L82" s="207">
        <f t="shared" si="38"/>
        <v>0</v>
      </c>
      <c r="M82" s="207">
        <f t="shared" si="38"/>
        <v>0</v>
      </c>
      <c r="N82" s="207">
        <f t="shared" si="38"/>
        <v>38766.431999999993</v>
      </c>
      <c r="O82" s="668"/>
    </row>
    <row r="83" spans="1:15" x14ac:dyDescent="0.2">
      <c r="A83" s="645" t="s">
        <v>21827</v>
      </c>
      <c r="B83" s="648" t="str">
        <f>P.O.!D204</f>
        <v>SERVIÇOS COMPLEMENTARES</v>
      </c>
      <c r="C83" s="642">
        <f>P.O.!I204</f>
        <v>9565.43</v>
      </c>
      <c r="D83" s="148" t="s">
        <v>36</v>
      </c>
      <c r="E83" s="565"/>
      <c r="F83" s="149">
        <v>0</v>
      </c>
      <c r="G83" s="149">
        <v>0</v>
      </c>
      <c r="H83" s="149">
        <v>0</v>
      </c>
      <c r="I83" s="149">
        <v>0</v>
      </c>
      <c r="J83" s="149">
        <v>0</v>
      </c>
      <c r="K83" s="149">
        <v>0</v>
      </c>
      <c r="L83" s="149">
        <v>0</v>
      </c>
      <c r="M83" s="149">
        <v>0</v>
      </c>
      <c r="N83" s="149">
        <v>1</v>
      </c>
      <c r="O83" s="668"/>
    </row>
    <row r="84" spans="1:15" x14ac:dyDescent="0.2">
      <c r="A84" s="646"/>
      <c r="B84" s="649"/>
      <c r="C84" s="643"/>
      <c r="D84" s="150" t="s">
        <v>37</v>
      </c>
      <c r="E84" s="565"/>
      <c r="F84" s="151">
        <f t="shared" ref="F84:J84" si="39">E84+F83</f>
        <v>0</v>
      </c>
      <c r="G84" s="151">
        <f t="shared" si="39"/>
        <v>0</v>
      </c>
      <c r="H84" s="151">
        <f t="shared" si="39"/>
        <v>0</v>
      </c>
      <c r="I84" s="151">
        <f t="shared" si="39"/>
        <v>0</v>
      </c>
      <c r="J84" s="151">
        <f t="shared" si="39"/>
        <v>0</v>
      </c>
      <c r="K84" s="151">
        <f t="shared" ref="K84" si="40">J84+K83</f>
        <v>0</v>
      </c>
      <c r="L84" s="151">
        <f t="shared" ref="L84" si="41">K84+L83</f>
        <v>0</v>
      </c>
      <c r="M84" s="151">
        <f t="shared" ref="M84" si="42">L84+M83</f>
        <v>0</v>
      </c>
      <c r="N84" s="151">
        <f t="shared" ref="N84" si="43">M84+N83</f>
        <v>1</v>
      </c>
      <c r="O84" s="668"/>
    </row>
    <row r="85" spans="1:15" x14ac:dyDescent="0.2">
      <c r="A85" s="646"/>
      <c r="B85" s="649"/>
      <c r="C85" s="643"/>
      <c r="D85" s="150" t="s">
        <v>38</v>
      </c>
      <c r="E85" s="565"/>
      <c r="F85" s="152"/>
      <c r="G85" s="152"/>
      <c r="H85" s="152"/>
      <c r="I85" s="152"/>
      <c r="J85" s="152"/>
      <c r="K85" s="152"/>
      <c r="L85" s="152"/>
      <c r="M85" s="152"/>
      <c r="N85" s="191"/>
      <c r="O85" s="668"/>
    </row>
    <row r="86" spans="1:15" ht="13.5" thickBot="1" x14ac:dyDescent="0.25">
      <c r="A86" s="647"/>
      <c r="B86" s="650"/>
      <c r="C86" s="644"/>
      <c r="D86" s="192" t="s">
        <v>39</v>
      </c>
      <c r="E86" s="565"/>
      <c r="F86" s="207">
        <f t="shared" ref="F86:J86" si="44">+F83*$C83</f>
        <v>0</v>
      </c>
      <c r="G86" s="207">
        <f t="shared" si="44"/>
        <v>0</v>
      </c>
      <c r="H86" s="207">
        <f t="shared" si="44"/>
        <v>0</v>
      </c>
      <c r="I86" s="207">
        <f t="shared" si="44"/>
        <v>0</v>
      </c>
      <c r="J86" s="207">
        <f t="shared" si="44"/>
        <v>0</v>
      </c>
      <c r="K86" s="207">
        <f t="shared" ref="K86:N86" si="45">+K83*$C83</f>
        <v>0</v>
      </c>
      <c r="L86" s="207">
        <f t="shared" si="45"/>
        <v>0</v>
      </c>
      <c r="M86" s="207">
        <f t="shared" si="45"/>
        <v>0</v>
      </c>
      <c r="N86" s="207">
        <f t="shared" si="45"/>
        <v>9565.43</v>
      </c>
      <c r="O86" s="669"/>
    </row>
    <row r="87" spans="1:15" x14ac:dyDescent="0.2">
      <c r="A87" s="656" t="s">
        <v>7</v>
      </c>
      <c r="B87" s="657"/>
      <c r="C87" s="194">
        <f>SUM(C15:C86)</f>
        <v>1609605.09</v>
      </c>
      <c r="D87" s="195"/>
      <c r="E87" s="194">
        <v>0</v>
      </c>
      <c r="F87" s="194">
        <f>F18+F22+F26+F30+F34+F38+F42+F46+F50+F54+F58+F62+F66+F70+F74+F78+F82+F86</f>
        <v>199896.31999999998</v>
      </c>
      <c r="G87" s="194">
        <f t="shared" ref="G87:N87" si="46">G18+G22+G26+G30+G34+G38+G42+G46+G50+G54+G58+G62+G66+G70+G74+G78+G82+G86</f>
        <v>89085.967999999993</v>
      </c>
      <c r="H87" s="194">
        <f t="shared" si="46"/>
        <v>204558.55750000002</v>
      </c>
      <c r="I87" s="194">
        <f t="shared" si="46"/>
        <v>185095.8475</v>
      </c>
      <c r="J87" s="194">
        <f t="shared" si="46"/>
        <v>327707.98000000004</v>
      </c>
      <c r="K87" s="194">
        <f t="shared" si="46"/>
        <v>277363.33499999996</v>
      </c>
      <c r="L87" s="194">
        <f t="shared" si="46"/>
        <v>135201.68</v>
      </c>
      <c r="M87" s="194">
        <f t="shared" si="46"/>
        <v>64979.94</v>
      </c>
      <c r="N87" s="194">
        <f t="shared" si="46"/>
        <v>125715.462</v>
      </c>
      <c r="O87" s="194">
        <f>N87</f>
        <v>125715.462</v>
      </c>
    </row>
    <row r="88" spans="1:15" x14ac:dyDescent="0.2">
      <c r="A88" s="652" t="s">
        <v>95</v>
      </c>
      <c r="B88" s="653"/>
      <c r="C88" s="196">
        <v>0</v>
      </c>
      <c r="D88" s="197"/>
      <c r="E88" s="196">
        <f t="shared" ref="E88:O88" si="47">ROUND(E87/$C$87,4)</f>
        <v>0</v>
      </c>
      <c r="F88" s="197">
        <f t="shared" si="47"/>
        <v>0.1242</v>
      </c>
      <c r="G88" s="196">
        <f t="shared" si="47"/>
        <v>5.5300000000000002E-2</v>
      </c>
      <c r="H88" s="197">
        <f t="shared" si="47"/>
        <v>0.12709999999999999</v>
      </c>
      <c r="I88" s="196">
        <f t="shared" si="47"/>
        <v>0.115</v>
      </c>
      <c r="J88" s="196">
        <f t="shared" si="47"/>
        <v>0.2036</v>
      </c>
      <c r="K88" s="196">
        <f t="shared" ref="K88:N88" si="48">ROUND(K87/$C$87,4)</f>
        <v>0.17230000000000001</v>
      </c>
      <c r="L88" s="196">
        <f t="shared" si="48"/>
        <v>8.4000000000000005E-2</v>
      </c>
      <c r="M88" s="196">
        <f t="shared" si="48"/>
        <v>4.0399999999999998E-2</v>
      </c>
      <c r="N88" s="196">
        <f t="shared" si="48"/>
        <v>7.8100000000000003E-2</v>
      </c>
      <c r="O88" s="197">
        <f t="shared" si="47"/>
        <v>7.8100000000000003E-2</v>
      </c>
    </row>
    <row r="89" spans="1:15" x14ac:dyDescent="0.2">
      <c r="A89" s="652" t="s">
        <v>40</v>
      </c>
      <c r="B89" s="653"/>
      <c r="C89" s="198">
        <v>0</v>
      </c>
      <c r="D89" s="199"/>
      <c r="E89" s="200">
        <f>E87</f>
        <v>0</v>
      </c>
      <c r="F89" s="201">
        <f>+E89+F87</f>
        <v>199896.31999999998</v>
      </c>
      <c r="G89" s="200">
        <f>+F89+G87</f>
        <v>288982.28799999994</v>
      </c>
      <c r="H89" s="201">
        <f>+G89+H87</f>
        <v>493540.84549999994</v>
      </c>
      <c r="I89" s="200">
        <f>+H89+I87</f>
        <v>678636.69299999997</v>
      </c>
      <c r="J89" s="200">
        <f>+I89+J87</f>
        <v>1006344.673</v>
      </c>
      <c r="K89" s="200">
        <f t="shared" ref="K89:N89" si="49">+J89+K87</f>
        <v>1283708.0079999999</v>
      </c>
      <c r="L89" s="200">
        <f t="shared" si="49"/>
        <v>1418909.6879999998</v>
      </c>
      <c r="M89" s="200">
        <f t="shared" si="49"/>
        <v>1483889.6279999998</v>
      </c>
      <c r="N89" s="200">
        <f t="shared" si="49"/>
        <v>1609605.0899999999</v>
      </c>
      <c r="O89" s="201">
        <f>N89</f>
        <v>1609605.0899999999</v>
      </c>
    </row>
    <row r="90" spans="1:15" ht="13.5" thickBot="1" x14ac:dyDescent="0.25">
      <c r="A90" s="654" t="s">
        <v>41</v>
      </c>
      <c r="B90" s="655"/>
      <c r="C90" s="202">
        <v>0</v>
      </c>
      <c r="D90" s="203"/>
      <c r="E90" s="204">
        <f t="shared" ref="E90:O90" si="50">+E89/$C$87</f>
        <v>0</v>
      </c>
      <c r="F90" s="205">
        <f t="shared" si="50"/>
        <v>0.12418966692010149</v>
      </c>
      <c r="G90" s="204">
        <f t="shared" si="50"/>
        <v>0.17953614199865628</v>
      </c>
      <c r="H90" s="205">
        <f t="shared" si="50"/>
        <v>0.30662231908076282</v>
      </c>
      <c r="I90" s="204">
        <f t="shared" si="50"/>
        <v>0.4216168905131879</v>
      </c>
      <c r="J90" s="204">
        <f t="shared" si="50"/>
        <v>0.62521215871652092</v>
      </c>
      <c r="K90" s="204">
        <f t="shared" ref="K90:N90" si="51">+K89/$C$87</f>
        <v>0.79752978912361661</v>
      </c>
      <c r="L90" s="204">
        <f t="shared" si="51"/>
        <v>0.8815265910969502</v>
      </c>
      <c r="M90" s="204">
        <f t="shared" si="51"/>
        <v>0.9218967044891736</v>
      </c>
      <c r="N90" s="204">
        <f t="shared" si="51"/>
        <v>0.99999999999999989</v>
      </c>
      <c r="O90" s="205">
        <f t="shared" si="50"/>
        <v>0.99999999999999989</v>
      </c>
    </row>
    <row r="92" spans="1:15" x14ac:dyDescent="0.2">
      <c r="A92" s="11"/>
      <c r="B92" s="11"/>
      <c r="C92" s="206"/>
      <c r="D92" s="11"/>
      <c r="E92" s="11"/>
      <c r="O92" s="153" t="s">
        <v>21984</v>
      </c>
    </row>
    <row r="93" spans="1:15" ht="66" customHeight="1" x14ac:dyDescent="0.2">
      <c r="A93" s="33"/>
      <c r="B93" s="33"/>
      <c r="C93" s="33"/>
      <c r="D93" s="33"/>
      <c r="E93" s="208"/>
      <c r="F93" s="208"/>
    </row>
    <row r="94" spans="1:15" ht="15.75" x14ac:dyDescent="0.25">
      <c r="C94" s="229"/>
      <c r="D94" s="670" t="s">
        <v>99</v>
      </c>
      <c r="E94" s="670"/>
      <c r="F94" s="670"/>
      <c r="H94" s="229"/>
      <c r="I94" s="670" t="s">
        <v>115</v>
      </c>
      <c r="J94" s="670"/>
      <c r="K94" s="670"/>
      <c r="L94" s="670"/>
      <c r="M94" s="563"/>
      <c r="N94" s="563"/>
      <c r="O94" s="229"/>
    </row>
    <row r="95" spans="1:15" ht="14.25" x14ac:dyDescent="0.2">
      <c r="C95" s="57"/>
      <c r="D95" s="671" t="s">
        <v>20591</v>
      </c>
      <c r="E95" s="671"/>
      <c r="F95" s="671"/>
      <c r="H95" s="57"/>
      <c r="I95" s="671" t="s">
        <v>42</v>
      </c>
      <c r="J95" s="671"/>
      <c r="K95" s="671"/>
      <c r="L95" s="671"/>
      <c r="M95" s="564"/>
      <c r="N95" s="564"/>
      <c r="O95" s="57"/>
    </row>
    <row r="96" spans="1:15" x14ac:dyDescent="0.2">
      <c r="C96" s="33"/>
      <c r="D96" s="658" t="s">
        <v>100</v>
      </c>
      <c r="E96" s="658"/>
      <c r="F96" s="658"/>
      <c r="H96" s="33"/>
      <c r="I96" s="658" t="s">
        <v>116</v>
      </c>
      <c r="J96" s="658"/>
      <c r="K96" s="658"/>
      <c r="L96" s="658"/>
      <c r="M96" s="180"/>
      <c r="N96" s="180"/>
      <c r="O96" s="33"/>
    </row>
    <row r="790" spans="1:5" ht="78.75" x14ac:dyDescent="0.2">
      <c r="A790" s="65" t="s">
        <v>438</v>
      </c>
      <c r="B790" s="66" t="s">
        <v>439</v>
      </c>
      <c r="C790" s="74" t="s">
        <v>204</v>
      </c>
      <c r="D790" s="69" t="s">
        <v>440</v>
      </c>
      <c r="E790" s="69" t="s">
        <v>442</v>
      </c>
    </row>
    <row r="791" spans="1:5" ht="78.75" x14ac:dyDescent="0.2">
      <c r="A791" s="65" t="s">
        <v>443</v>
      </c>
      <c r="B791" s="66" t="s">
        <v>444</v>
      </c>
      <c r="C791" s="74" t="s">
        <v>204</v>
      </c>
      <c r="D791" s="69" t="s">
        <v>445</v>
      </c>
      <c r="E791" s="69" t="s">
        <v>447</v>
      </c>
    </row>
    <row r="792" spans="1:5" ht="67.5" x14ac:dyDescent="0.2">
      <c r="A792" s="65" t="s">
        <v>448</v>
      </c>
      <c r="B792" s="66" t="s">
        <v>449</v>
      </c>
      <c r="C792" s="74" t="s">
        <v>204</v>
      </c>
      <c r="D792" s="69" t="s">
        <v>450</v>
      </c>
      <c r="E792" s="69" t="s">
        <v>451</v>
      </c>
    </row>
    <row r="793" spans="1:5" ht="67.5" x14ac:dyDescent="0.2">
      <c r="A793" s="65" t="s">
        <v>452</v>
      </c>
      <c r="B793" s="66" t="s">
        <v>453</v>
      </c>
      <c r="C793" s="74" t="s">
        <v>204</v>
      </c>
      <c r="D793" s="69" t="s">
        <v>454</v>
      </c>
      <c r="E793" s="69" t="s">
        <v>455</v>
      </c>
    </row>
    <row r="794" spans="1:5" ht="67.5" x14ac:dyDescent="0.2">
      <c r="A794" s="65" t="s">
        <v>456</v>
      </c>
      <c r="B794" s="66" t="s">
        <v>457</v>
      </c>
      <c r="C794" s="74" t="s">
        <v>204</v>
      </c>
      <c r="D794" s="69" t="s">
        <v>458</v>
      </c>
      <c r="E794" s="69" t="s">
        <v>459</v>
      </c>
    </row>
    <row r="795" spans="1:5" ht="67.5" x14ac:dyDescent="0.2">
      <c r="A795" s="65" t="s">
        <v>460</v>
      </c>
      <c r="B795" s="66" t="s">
        <v>461</v>
      </c>
      <c r="C795" s="74" t="s">
        <v>204</v>
      </c>
      <c r="D795" s="69" t="s">
        <v>462</v>
      </c>
      <c r="E795" s="69" t="s">
        <v>463</v>
      </c>
    </row>
    <row r="796" spans="1:5" ht="67.5" x14ac:dyDescent="0.2">
      <c r="A796" s="65" t="s">
        <v>464</v>
      </c>
      <c r="B796" s="66" t="s">
        <v>465</v>
      </c>
      <c r="C796" s="74" t="s">
        <v>204</v>
      </c>
      <c r="D796" s="69" t="s">
        <v>466</v>
      </c>
      <c r="E796" s="69" t="s">
        <v>467</v>
      </c>
    </row>
    <row r="797" spans="1:5" ht="45" x14ac:dyDescent="0.2">
      <c r="A797" s="50">
        <v>13.02</v>
      </c>
      <c r="B797" s="64" t="s">
        <v>468</v>
      </c>
      <c r="C797" s="47"/>
      <c r="D797" s="47"/>
      <c r="E797" s="47"/>
    </row>
    <row r="798" spans="1:5" ht="78.75" x14ac:dyDescent="0.2">
      <c r="A798" s="65" t="s">
        <v>469</v>
      </c>
      <c r="B798" s="66" t="s">
        <v>470</v>
      </c>
      <c r="C798" s="74" t="s">
        <v>204</v>
      </c>
      <c r="D798" s="69" t="s">
        <v>471</v>
      </c>
      <c r="E798" s="69" t="s">
        <v>472</v>
      </c>
    </row>
    <row r="799" spans="1:5" ht="78.75" x14ac:dyDescent="0.2">
      <c r="A799" s="65" t="s">
        <v>473</v>
      </c>
      <c r="B799" s="66" t="s">
        <v>474</v>
      </c>
      <c r="C799" s="74" t="s">
        <v>204</v>
      </c>
      <c r="D799" s="69" t="s">
        <v>475</v>
      </c>
      <c r="E799" s="69" t="s">
        <v>476</v>
      </c>
    </row>
    <row r="800" spans="1:5" ht="78.75" x14ac:dyDescent="0.2">
      <c r="A800" s="65" t="s">
        <v>477</v>
      </c>
      <c r="B800" s="66" t="s">
        <v>478</v>
      </c>
      <c r="C800" s="74" t="s">
        <v>204</v>
      </c>
      <c r="D800" s="69" t="s">
        <v>479</v>
      </c>
      <c r="E800" s="69" t="s">
        <v>480</v>
      </c>
    </row>
    <row r="801" spans="1:5" ht="78.75" x14ac:dyDescent="0.2">
      <c r="A801" s="65" t="s">
        <v>481</v>
      </c>
      <c r="B801" s="66" t="s">
        <v>482</v>
      </c>
      <c r="C801" s="74" t="s">
        <v>204</v>
      </c>
      <c r="D801" s="69" t="s">
        <v>483</v>
      </c>
      <c r="E801" s="69" t="s">
        <v>484</v>
      </c>
    </row>
    <row r="802" spans="1:5" x14ac:dyDescent="0.2">
      <c r="A802" s="50">
        <v>13.05</v>
      </c>
      <c r="B802" s="64" t="s">
        <v>485</v>
      </c>
      <c r="C802" s="47"/>
      <c r="D802" s="47"/>
      <c r="E802" s="47"/>
    </row>
    <row r="803" spans="1:5" ht="45" x14ac:dyDescent="0.2">
      <c r="A803" s="65" t="s">
        <v>486</v>
      </c>
      <c r="B803" s="65" t="s">
        <v>487</v>
      </c>
      <c r="C803" s="74" t="s">
        <v>204</v>
      </c>
      <c r="D803" s="69" t="s">
        <v>488</v>
      </c>
      <c r="E803" s="69" t="s">
        <v>490</v>
      </c>
    </row>
    <row r="804" spans="1:5" ht="45" x14ac:dyDescent="0.2">
      <c r="A804" s="65" t="s">
        <v>491</v>
      </c>
      <c r="B804" s="65" t="s">
        <v>492</v>
      </c>
      <c r="C804" s="74" t="s">
        <v>204</v>
      </c>
      <c r="D804" s="69" t="s">
        <v>493</v>
      </c>
      <c r="E804" s="69" t="s">
        <v>420</v>
      </c>
    </row>
    <row r="805" spans="1:5" ht="45" x14ac:dyDescent="0.2">
      <c r="A805" s="65" t="s">
        <v>495</v>
      </c>
      <c r="B805" s="65" t="s">
        <v>496</v>
      </c>
      <c r="C805" s="74" t="s">
        <v>204</v>
      </c>
      <c r="D805" s="69" t="s">
        <v>497</v>
      </c>
      <c r="E805" s="69" t="s">
        <v>499</v>
      </c>
    </row>
    <row r="806" spans="1:5" ht="45" x14ac:dyDescent="0.2">
      <c r="A806" s="65" t="s">
        <v>500</v>
      </c>
      <c r="B806" s="65" t="s">
        <v>501</v>
      </c>
      <c r="C806" s="74" t="s">
        <v>204</v>
      </c>
      <c r="D806" s="69" t="s">
        <v>502</v>
      </c>
      <c r="E806" s="69" t="s">
        <v>503</v>
      </c>
    </row>
    <row r="807" spans="1:5" ht="33.75" x14ac:dyDescent="0.2">
      <c r="A807" s="65" t="s">
        <v>504</v>
      </c>
      <c r="B807" s="65" t="s">
        <v>505</v>
      </c>
      <c r="C807" s="74" t="s">
        <v>204</v>
      </c>
      <c r="D807" s="69" t="s">
        <v>506</v>
      </c>
      <c r="E807" s="69" t="s">
        <v>507</v>
      </c>
    </row>
    <row r="808" spans="1:5" ht="33.75" x14ac:dyDescent="0.2">
      <c r="A808" s="65" t="s">
        <v>508</v>
      </c>
      <c r="B808" s="65" t="s">
        <v>509</v>
      </c>
      <c r="C808" s="74" t="s">
        <v>204</v>
      </c>
      <c r="D808" s="69" t="s">
        <v>510</v>
      </c>
      <c r="E808" s="69" t="s">
        <v>511</v>
      </c>
    </row>
    <row r="809" spans="1:5" ht="22.5" x14ac:dyDescent="0.2">
      <c r="A809" s="49">
        <v>14</v>
      </c>
      <c r="B809" s="64" t="s">
        <v>512</v>
      </c>
      <c r="C809" s="47"/>
      <c r="D809" s="47"/>
      <c r="E809" s="47"/>
    </row>
    <row r="810" spans="1:5" ht="33.75" x14ac:dyDescent="0.2">
      <c r="A810" s="50">
        <v>14.01</v>
      </c>
      <c r="B810" s="64" t="s">
        <v>513</v>
      </c>
      <c r="C810" s="47"/>
      <c r="D810" s="47"/>
      <c r="E810" s="47"/>
    </row>
    <row r="811" spans="1:5" ht="33.75" x14ac:dyDescent="0.2">
      <c r="A811" s="65" t="s">
        <v>514</v>
      </c>
      <c r="B811" s="65" t="s">
        <v>515</v>
      </c>
      <c r="C811" s="74" t="s">
        <v>228</v>
      </c>
      <c r="D811" s="69" t="s">
        <v>516</v>
      </c>
      <c r="E811" s="69" t="s">
        <v>518</v>
      </c>
    </row>
    <row r="812" spans="1:5" ht="56.25" x14ac:dyDescent="0.2">
      <c r="A812" s="65" t="s">
        <v>519</v>
      </c>
      <c r="B812" s="66" t="s">
        <v>520</v>
      </c>
      <c r="C812" s="74" t="s">
        <v>204</v>
      </c>
      <c r="D812" s="69" t="s">
        <v>521</v>
      </c>
      <c r="E812" s="69" t="s">
        <v>523</v>
      </c>
    </row>
    <row r="813" spans="1:5" ht="56.25" x14ac:dyDescent="0.2">
      <c r="A813" s="65" t="s">
        <v>524</v>
      </c>
      <c r="B813" s="66" t="s">
        <v>525</v>
      </c>
      <c r="C813" s="74" t="s">
        <v>204</v>
      </c>
      <c r="D813" s="69" t="s">
        <v>526</v>
      </c>
      <c r="E813" s="69" t="s">
        <v>528</v>
      </c>
    </row>
    <row r="814" spans="1:5" ht="33.75" x14ac:dyDescent="0.2">
      <c r="A814" s="50">
        <v>14.02</v>
      </c>
      <c r="B814" s="64" t="s">
        <v>529</v>
      </c>
      <c r="C814" s="47"/>
      <c r="D814" s="47"/>
      <c r="E814" s="47"/>
    </row>
    <row r="815" spans="1:5" ht="33.75" x14ac:dyDescent="0.2">
      <c r="A815" s="65" t="s">
        <v>530</v>
      </c>
      <c r="B815" s="65" t="s">
        <v>531</v>
      </c>
      <c r="C815" s="74" t="s">
        <v>204</v>
      </c>
      <c r="D815" s="69" t="s">
        <v>532</v>
      </c>
      <c r="E815" s="69" t="s">
        <v>534</v>
      </c>
    </row>
    <row r="816" spans="1:5" ht="33.75" x14ac:dyDescent="0.2">
      <c r="A816" s="65" t="s">
        <v>535</v>
      </c>
      <c r="B816" s="65" t="s">
        <v>536</v>
      </c>
      <c r="C816" s="74" t="s">
        <v>204</v>
      </c>
      <c r="D816" s="69" t="s">
        <v>537</v>
      </c>
      <c r="E816" s="69" t="s">
        <v>539</v>
      </c>
    </row>
    <row r="817" spans="1:5" ht="33.75" x14ac:dyDescent="0.2">
      <c r="A817" s="65" t="s">
        <v>540</v>
      </c>
      <c r="B817" s="65" t="s">
        <v>541</v>
      </c>
      <c r="C817" s="74" t="s">
        <v>204</v>
      </c>
      <c r="D817" s="69" t="s">
        <v>542</v>
      </c>
      <c r="E817" s="69" t="s">
        <v>544</v>
      </c>
    </row>
    <row r="818" spans="1:5" ht="33.75" x14ac:dyDescent="0.2">
      <c r="A818" s="65" t="s">
        <v>545</v>
      </c>
      <c r="B818" s="65" t="s">
        <v>546</v>
      </c>
      <c r="C818" s="74" t="s">
        <v>204</v>
      </c>
      <c r="D818" s="69" t="s">
        <v>547</v>
      </c>
      <c r="E818" s="69" t="s">
        <v>549</v>
      </c>
    </row>
    <row r="819" spans="1:5" ht="45" x14ac:dyDescent="0.2">
      <c r="A819" s="65" t="s">
        <v>550</v>
      </c>
      <c r="B819" s="65" t="s">
        <v>551</v>
      </c>
      <c r="C819" s="74" t="s">
        <v>204</v>
      </c>
      <c r="D819" s="69" t="s">
        <v>552</v>
      </c>
      <c r="E819" s="69" t="s">
        <v>553</v>
      </c>
    </row>
    <row r="820" spans="1:5" ht="33.75" x14ac:dyDescent="0.2">
      <c r="A820" s="65" t="s">
        <v>554</v>
      </c>
      <c r="B820" s="65" t="s">
        <v>555</v>
      </c>
      <c r="C820" s="74" t="s">
        <v>204</v>
      </c>
      <c r="D820" s="69" t="s">
        <v>556</v>
      </c>
      <c r="E820" s="69" t="s">
        <v>557</v>
      </c>
    </row>
    <row r="821" spans="1:5" ht="22.5" x14ac:dyDescent="0.2">
      <c r="A821" s="50">
        <v>14.03</v>
      </c>
      <c r="B821" s="64" t="s">
        <v>558</v>
      </c>
      <c r="C821" s="47"/>
      <c r="D821" s="47"/>
      <c r="E821" s="47"/>
    </row>
    <row r="822" spans="1:5" ht="33.75" x14ac:dyDescent="0.2">
      <c r="A822" s="65" t="s">
        <v>559</v>
      </c>
      <c r="B822" s="65" t="s">
        <v>560</v>
      </c>
      <c r="C822" s="74" t="s">
        <v>204</v>
      </c>
      <c r="D822" s="69" t="s">
        <v>561</v>
      </c>
      <c r="E822" s="69" t="s">
        <v>563</v>
      </c>
    </row>
    <row r="823" spans="1:5" ht="33.75" x14ac:dyDescent="0.2">
      <c r="A823" s="65" t="s">
        <v>564</v>
      </c>
      <c r="B823" s="65" t="s">
        <v>565</v>
      </c>
      <c r="C823" s="74" t="s">
        <v>204</v>
      </c>
      <c r="D823" s="69" t="s">
        <v>566</v>
      </c>
      <c r="E823" s="69" t="s">
        <v>568</v>
      </c>
    </row>
    <row r="824" spans="1:5" ht="33.75" x14ac:dyDescent="0.2">
      <c r="A824" s="65" t="s">
        <v>569</v>
      </c>
      <c r="B824" s="65" t="s">
        <v>570</v>
      </c>
      <c r="C824" s="74" t="s">
        <v>204</v>
      </c>
      <c r="D824" s="69" t="s">
        <v>571</v>
      </c>
      <c r="E824" s="69" t="s">
        <v>573</v>
      </c>
    </row>
    <row r="825" spans="1:5" ht="22.5" x14ac:dyDescent="0.2">
      <c r="A825" s="50">
        <v>14.04</v>
      </c>
      <c r="B825" s="64" t="s">
        <v>574</v>
      </c>
      <c r="C825" s="47"/>
      <c r="D825" s="47"/>
      <c r="E825" s="47"/>
    </row>
    <row r="826" spans="1:5" ht="45" x14ac:dyDescent="0.2">
      <c r="A826" s="65" t="s">
        <v>575</v>
      </c>
      <c r="B826" s="65" t="s">
        <v>576</v>
      </c>
      <c r="C826" s="74" t="s">
        <v>204</v>
      </c>
      <c r="D826" s="69" t="s">
        <v>577</v>
      </c>
      <c r="E826" s="69" t="s">
        <v>579</v>
      </c>
    </row>
    <row r="827" spans="1:5" ht="45" x14ac:dyDescent="0.2">
      <c r="A827" s="65" t="s">
        <v>580</v>
      </c>
      <c r="B827" s="65" t="s">
        <v>581</v>
      </c>
      <c r="C827" s="74" t="s">
        <v>204</v>
      </c>
      <c r="D827" s="69" t="s">
        <v>582</v>
      </c>
      <c r="E827" s="69" t="s">
        <v>583</v>
      </c>
    </row>
    <row r="828" spans="1:5" ht="45" x14ac:dyDescent="0.2">
      <c r="A828" s="65" t="s">
        <v>584</v>
      </c>
      <c r="B828" s="65" t="s">
        <v>585</v>
      </c>
      <c r="C828" s="74" t="s">
        <v>204</v>
      </c>
      <c r="D828" s="69" t="s">
        <v>586</v>
      </c>
      <c r="E828" s="69" t="s">
        <v>588</v>
      </c>
    </row>
    <row r="829" spans="1:5" ht="22.5" x14ac:dyDescent="0.2">
      <c r="A829" s="50">
        <v>14.05</v>
      </c>
      <c r="B829" s="64" t="s">
        <v>589</v>
      </c>
      <c r="C829" s="47"/>
      <c r="D829" s="47"/>
      <c r="E829" s="47"/>
    </row>
    <row r="830" spans="1:5" ht="45" x14ac:dyDescent="0.2">
      <c r="A830" s="65" t="s">
        <v>590</v>
      </c>
      <c r="B830" s="65" t="s">
        <v>591</v>
      </c>
      <c r="C830" s="74" t="s">
        <v>204</v>
      </c>
      <c r="D830" s="69" t="s">
        <v>592</v>
      </c>
      <c r="E830" s="69" t="s">
        <v>593</v>
      </c>
    </row>
    <row r="831" spans="1:5" ht="45" x14ac:dyDescent="0.2">
      <c r="A831" s="65" t="s">
        <v>594</v>
      </c>
      <c r="B831" s="65" t="s">
        <v>595</v>
      </c>
      <c r="C831" s="67" t="s">
        <v>204</v>
      </c>
      <c r="D831" s="69" t="s">
        <v>596</v>
      </c>
      <c r="E831" s="69" t="s">
        <v>597</v>
      </c>
    </row>
    <row r="832" spans="1:5" ht="33.75" x14ac:dyDescent="0.2">
      <c r="A832" s="50">
        <v>14.1</v>
      </c>
      <c r="B832" s="64" t="s">
        <v>598</v>
      </c>
      <c r="C832" s="47"/>
      <c r="D832" s="47"/>
      <c r="E832" s="47"/>
    </row>
    <row r="833" spans="1:5" ht="45" x14ac:dyDescent="0.2">
      <c r="A833" s="65" t="s">
        <v>599</v>
      </c>
      <c r="B833" s="65" t="s">
        <v>600</v>
      </c>
      <c r="C833" s="67" t="s">
        <v>204</v>
      </c>
      <c r="D833" s="69" t="s">
        <v>601</v>
      </c>
      <c r="E833" s="69" t="s">
        <v>602</v>
      </c>
    </row>
    <row r="834" spans="1:5" ht="45" x14ac:dyDescent="0.2">
      <c r="A834" s="65" t="s">
        <v>603</v>
      </c>
      <c r="B834" s="65" t="s">
        <v>604</v>
      </c>
      <c r="C834" s="67" t="s">
        <v>204</v>
      </c>
      <c r="D834" s="69" t="s">
        <v>605</v>
      </c>
      <c r="E834" s="69" t="s">
        <v>606</v>
      </c>
    </row>
    <row r="835" spans="1:5" ht="45" x14ac:dyDescent="0.2">
      <c r="A835" s="65" t="s">
        <v>607</v>
      </c>
      <c r="B835" s="65" t="s">
        <v>608</v>
      </c>
      <c r="C835" s="67" t="s">
        <v>204</v>
      </c>
      <c r="D835" s="69" t="s">
        <v>609</v>
      </c>
      <c r="E835" s="69" t="s">
        <v>610</v>
      </c>
    </row>
    <row r="836" spans="1:5" ht="33.75" x14ac:dyDescent="0.2">
      <c r="A836" s="50">
        <v>14.11</v>
      </c>
      <c r="B836" s="64" t="s">
        <v>611</v>
      </c>
      <c r="C836" s="47"/>
      <c r="D836" s="47"/>
      <c r="E836" s="47"/>
    </row>
    <row r="837" spans="1:5" ht="45" x14ac:dyDescent="0.2">
      <c r="A837" s="65" t="s">
        <v>612</v>
      </c>
      <c r="B837" s="65" t="s">
        <v>613</v>
      </c>
      <c r="C837" s="67" t="s">
        <v>204</v>
      </c>
      <c r="D837" s="69" t="s">
        <v>614</v>
      </c>
      <c r="E837" s="69" t="s">
        <v>616</v>
      </c>
    </row>
    <row r="838" spans="1:5" ht="45" x14ac:dyDescent="0.2">
      <c r="A838" s="65" t="s">
        <v>617</v>
      </c>
      <c r="B838" s="65" t="s">
        <v>618</v>
      </c>
      <c r="C838" s="67" t="s">
        <v>204</v>
      </c>
      <c r="D838" s="69" t="s">
        <v>619</v>
      </c>
      <c r="E838" s="69" t="s">
        <v>621</v>
      </c>
    </row>
    <row r="839" spans="1:5" ht="45" x14ac:dyDescent="0.2">
      <c r="A839" s="65" t="s">
        <v>622</v>
      </c>
      <c r="B839" s="65" t="s">
        <v>623</v>
      </c>
      <c r="C839" s="67" t="s">
        <v>204</v>
      </c>
      <c r="D839" s="69" t="s">
        <v>624</v>
      </c>
      <c r="E839" s="69" t="s">
        <v>626</v>
      </c>
    </row>
    <row r="840" spans="1:5" ht="45" x14ac:dyDescent="0.2">
      <c r="A840" s="65" t="s">
        <v>627</v>
      </c>
      <c r="B840" s="65" t="s">
        <v>628</v>
      </c>
      <c r="C840" s="67" t="s">
        <v>204</v>
      </c>
      <c r="D840" s="69" t="s">
        <v>629</v>
      </c>
      <c r="E840" s="69" t="s">
        <v>631</v>
      </c>
    </row>
    <row r="841" spans="1:5" ht="33.75" x14ac:dyDescent="0.2">
      <c r="A841" s="50">
        <v>14.15</v>
      </c>
      <c r="B841" s="64" t="s">
        <v>632</v>
      </c>
      <c r="C841" s="47"/>
      <c r="D841" s="47"/>
      <c r="E841" s="47"/>
    </row>
    <row r="842" spans="1:5" ht="67.5" x14ac:dyDescent="0.2">
      <c r="A842" s="65" t="s">
        <v>633</v>
      </c>
      <c r="B842" s="66" t="s">
        <v>634</v>
      </c>
      <c r="C842" s="67" t="s">
        <v>204</v>
      </c>
      <c r="D842" s="69" t="s">
        <v>635</v>
      </c>
      <c r="E842" s="69" t="s">
        <v>637</v>
      </c>
    </row>
    <row r="843" spans="1:5" ht="67.5" x14ac:dyDescent="0.2">
      <c r="A843" s="65" t="s">
        <v>638</v>
      </c>
      <c r="B843" s="66" t="s">
        <v>639</v>
      </c>
      <c r="C843" s="67" t="s">
        <v>204</v>
      </c>
      <c r="D843" s="69" t="s">
        <v>640</v>
      </c>
      <c r="E843" s="69" t="s">
        <v>642</v>
      </c>
    </row>
    <row r="844" spans="1:5" ht="67.5" x14ac:dyDescent="0.2">
      <c r="A844" s="65" t="s">
        <v>643</v>
      </c>
      <c r="B844" s="66" t="s">
        <v>644</v>
      </c>
      <c r="C844" s="67" t="s">
        <v>204</v>
      </c>
      <c r="D844" s="69" t="s">
        <v>645</v>
      </c>
      <c r="E844" s="69" t="s">
        <v>647</v>
      </c>
    </row>
    <row r="845" spans="1:5" ht="67.5" x14ac:dyDescent="0.2">
      <c r="A845" s="65" t="s">
        <v>648</v>
      </c>
      <c r="B845" s="66" t="s">
        <v>649</v>
      </c>
      <c r="C845" s="67" t="s">
        <v>204</v>
      </c>
      <c r="D845" s="69" t="s">
        <v>650</v>
      </c>
      <c r="E845" s="69" t="s">
        <v>651</v>
      </c>
    </row>
    <row r="846" spans="1:5" ht="33.75" x14ac:dyDescent="0.2">
      <c r="A846" s="50">
        <v>14.2</v>
      </c>
      <c r="B846" s="64" t="s">
        <v>652</v>
      </c>
      <c r="C846" s="47"/>
      <c r="D846" s="47"/>
      <c r="E846" s="47"/>
    </row>
    <row r="847" spans="1:5" ht="33.75" x14ac:dyDescent="0.2">
      <c r="A847" s="65" t="s">
        <v>653</v>
      </c>
      <c r="B847" s="65" t="s">
        <v>654</v>
      </c>
      <c r="C847" s="67" t="s">
        <v>228</v>
      </c>
      <c r="D847" s="69" t="s">
        <v>655</v>
      </c>
      <c r="E847" s="69" t="s">
        <v>657</v>
      </c>
    </row>
    <row r="848" spans="1:5" ht="22.5" x14ac:dyDescent="0.2">
      <c r="A848" s="65" t="s">
        <v>658</v>
      </c>
      <c r="B848" s="65" t="s">
        <v>659</v>
      </c>
      <c r="C848" s="67" t="s">
        <v>221</v>
      </c>
      <c r="D848" s="69" t="s">
        <v>660</v>
      </c>
      <c r="E848" s="69" t="s">
        <v>287</v>
      </c>
    </row>
    <row r="849" spans="1:5" ht="33.75" x14ac:dyDescent="0.2">
      <c r="A849" s="50">
        <v>14.28</v>
      </c>
      <c r="B849" s="64" t="s">
        <v>662</v>
      </c>
      <c r="C849" s="47"/>
      <c r="D849" s="47"/>
      <c r="E849" s="47"/>
    </row>
    <row r="850" spans="1:5" ht="45" x14ac:dyDescent="0.2">
      <c r="A850" s="65" t="s">
        <v>663</v>
      </c>
      <c r="B850" s="65" t="s">
        <v>664</v>
      </c>
      <c r="C850" s="67" t="s">
        <v>204</v>
      </c>
      <c r="D850" s="69" t="s">
        <v>665</v>
      </c>
      <c r="E850" s="69" t="s">
        <v>667</v>
      </c>
    </row>
    <row r="851" spans="1:5" ht="45" x14ac:dyDescent="0.2">
      <c r="A851" s="65" t="s">
        <v>668</v>
      </c>
      <c r="B851" s="65" t="s">
        <v>669</v>
      </c>
      <c r="C851" s="67" t="s">
        <v>204</v>
      </c>
      <c r="D851" s="69" t="s">
        <v>670</v>
      </c>
      <c r="E851" s="69" t="s">
        <v>671</v>
      </c>
    </row>
    <row r="852" spans="1:5" ht="45" x14ac:dyDescent="0.2">
      <c r="A852" s="65" t="s">
        <v>672</v>
      </c>
      <c r="B852" s="65" t="s">
        <v>673</v>
      </c>
      <c r="C852" s="67" t="s">
        <v>204</v>
      </c>
      <c r="D852" s="69" t="s">
        <v>674</v>
      </c>
      <c r="E852" s="69" t="s">
        <v>676</v>
      </c>
    </row>
    <row r="853" spans="1:5" ht="33.75" x14ac:dyDescent="0.2">
      <c r="A853" s="65" t="s">
        <v>677</v>
      </c>
      <c r="B853" s="65" t="s">
        <v>678</v>
      </c>
      <c r="C853" s="67" t="s">
        <v>204</v>
      </c>
      <c r="D853" s="69" t="s">
        <v>679</v>
      </c>
      <c r="E853" s="69" t="s">
        <v>681</v>
      </c>
    </row>
    <row r="854" spans="1:5" ht="22.5" x14ac:dyDescent="0.2">
      <c r="A854" s="50">
        <v>14.3</v>
      </c>
      <c r="B854" s="64" t="s">
        <v>682</v>
      </c>
      <c r="C854" s="47"/>
      <c r="D854" s="47"/>
      <c r="E854" s="47"/>
    </row>
    <row r="855" spans="1:5" ht="33.75" x14ac:dyDescent="0.2">
      <c r="A855" s="65" t="s">
        <v>683</v>
      </c>
      <c r="B855" s="65" t="s">
        <v>684</v>
      </c>
      <c r="C855" s="67" t="s">
        <v>204</v>
      </c>
      <c r="D855" s="69" t="s">
        <v>685</v>
      </c>
      <c r="E855" s="69" t="s">
        <v>687</v>
      </c>
    </row>
    <row r="856" spans="1:5" ht="33.75" x14ac:dyDescent="0.2">
      <c r="A856" s="65" t="s">
        <v>688</v>
      </c>
      <c r="B856" s="65" t="s">
        <v>689</v>
      </c>
      <c r="C856" s="67" t="s">
        <v>204</v>
      </c>
      <c r="D856" s="69" t="s">
        <v>690</v>
      </c>
      <c r="E856" s="69" t="s">
        <v>690</v>
      </c>
    </row>
    <row r="857" spans="1:5" ht="90" x14ac:dyDescent="0.2">
      <c r="A857" s="70" t="s">
        <v>691</v>
      </c>
      <c r="B857" s="65" t="s">
        <v>692</v>
      </c>
      <c r="C857" s="71" t="s">
        <v>204</v>
      </c>
      <c r="D857" s="72" t="s">
        <v>693</v>
      </c>
      <c r="E857" s="72" t="s">
        <v>693</v>
      </c>
    </row>
    <row r="858" spans="1:5" ht="56.25" x14ac:dyDescent="0.2">
      <c r="A858" s="65" t="s">
        <v>694</v>
      </c>
      <c r="B858" s="66" t="s">
        <v>695</v>
      </c>
      <c r="C858" s="67" t="s">
        <v>204</v>
      </c>
      <c r="D858" s="69" t="s">
        <v>696</v>
      </c>
      <c r="E858" s="69" t="s">
        <v>697</v>
      </c>
    </row>
    <row r="859" spans="1:5" ht="67.5" x14ac:dyDescent="0.2">
      <c r="A859" s="65" t="s">
        <v>698</v>
      </c>
      <c r="B859" s="66" t="s">
        <v>699</v>
      </c>
      <c r="C859" s="67" t="s">
        <v>204</v>
      </c>
      <c r="D859" s="69" t="s">
        <v>700</v>
      </c>
      <c r="E859" s="69" t="s">
        <v>700</v>
      </c>
    </row>
    <row r="860" spans="1:5" ht="90" x14ac:dyDescent="0.2">
      <c r="A860" s="65" t="s">
        <v>701</v>
      </c>
      <c r="B860" s="66" t="s">
        <v>702</v>
      </c>
      <c r="C860" s="67" t="s">
        <v>204</v>
      </c>
      <c r="D860" s="69" t="s">
        <v>703</v>
      </c>
      <c r="E860" s="69" t="s">
        <v>703</v>
      </c>
    </row>
    <row r="861" spans="1:5" ht="78.75" x14ac:dyDescent="0.2">
      <c r="A861" s="65" t="s">
        <v>704</v>
      </c>
      <c r="B861" s="66" t="s">
        <v>705</v>
      </c>
      <c r="C861" s="67" t="s">
        <v>204</v>
      </c>
      <c r="D861" s="69" t="s">
        <v>706</v>
      </c>
      <c r="E861" s="69" t="s">
        <v>706</v>
      </c>
    </row>
    <row r="862" spans="1:5" ht="90" x14ac:dyDescent="0.2">
      <c r="A862" s="65" t="s">
        <v>707</v>
      </c>
      <c r="B862" s="66" t="s">
        <v>708</v>
      </c>
      <c r="C862" s="67" t="s">
        <v>204</v>
      </c>
      <c r="D862" s="69" t="s">
        <v>709</v>
      </c>
      <c r="E862" s="69" t="s">
        <v>709</v>
      </c>
    </row>
    <row r="863" spans="1:5" ht="78.75" x14ac:dyDescent="0.2">
      <c r="A863" s="65" t="s">
        <v>710</v>
      </c>
      <c r="B863" s="66" t="s">
        <v>711</v>
      </c>
      <c r="C863" s="67" t="s">
        <v>204</v>
      </c>
      <c r="D863" s="69" t="s">
        <v>712</v>
      </c>
      <c r="E863" s="69" t="s">
        <v>712</v>
      </c>
    </row>
    <row r="864" spans="1:5" ht="78.75" x14ac:dyDescent="0.2">
      <c r="A864" s="65" t="s">
        <v>713</v>
      </c>
      <c r="B864" s="66" t="s">
        <v>714</v>
      </c>
      <c r="C864" s="74" t="s">
        <v>204</v>
      </c>
      <c r="D864" s="69" t="s">
        <v>715</v>
      </c>
      <c r="E864" s="69" t="s">
        <v>715</v>
      </c>
    </row>
    <row r="865" spans="1:5" ht="90" x14ac:dyDescent="0.2">
      <c r="A865" s="65" t="s">
        <v>716</v>
      </c>
      <c r="B865" s="66" t="s">
        <v>717</v>
      </c>
      <c r="C865" s="74" t="s">
        <v>204</v>
      </c>
      <c r="D865" s="69" t="s">
        <v>718</v>
      </c>
      <c r="E865" s="69" t="s">
        <v>718</v>
      </c>
    </row>
    <row r="866" spans="1:5" ht="78.75" x14ac:dyDescent="0.2">
      <c r="A866" s="65" t="s">
        <v>719</v>
      </c>
      <c r="B866" s="66" t="s">
        <v>720</v>
      </c>
      <c r="C866" s="74" t="s">
        <v>204</v>
      </c>
      <c r="D866" s="69" t="s">
        <v>721</v>
      </c>
      <c r="E866" s="69" t="s">
        <v>721</v>
      </c>
    </row>
    <row r="867" spans="1:5" ht="90" x14ac:dyDescent="0.2">
      <c r="A867" s="65" t="s">
        <v>722</v>
      </c>
      <c r="B867" s="66" t="s">
        <v>723</v>
      </c>
      <c r="C867" s="74" t="s">
        <v>204</v>
      </c>
      <c r="D867" s="69" t="s">
        <v>724</v>
      </c>
      <c r="E867" s="69" t="s">
        <v>724</v>
      </c>
    </row>
    <row r="868" spans="1:5" ht="90" x14ac:dyDescent="0.2">
      <c r="A868" s="65" t="s">
        <v>725</v>
      </c>
      <c r="B868" s="66" t="s">
        <v>726</v>
      </c>
      <c r="C868" s="74" t="s">
        <v>204</v>
      </c>
      <c r="D868" s="69" t="s">
        <v>727</v>
      </c>
      <c r="E868" s="69" t="s">
        <v>727</v>
      </c>
    </row>
    <row r="869" spans="1:5" ht="90" x14ac:dyDescent="0.2">
      <c r="A869" s="65" t="s">
        <v>728</v>
      </c>
      <c r="B869" s="66" t="s">
        <v>729</v>
      </c>
      <c r="C869" s="74" t="s">
        <v>204</v>
      </c>
      <c r="D869" s="69" t="s">
        <v>730</v>
      </c>
      <c r="E869" s="69" t="s">
        <v>730</v>
      </c>
    </row>
    <row r="870" spans="1:5" ht="67.5" x14ac:dyDescent="0.2">
      <c r="A870" s="65" t="s">
        <v>731</v>
      </c>
      <c r="B870" s="66" t="s">
        <v>732</v>
      </c>
      <c r="C870" s="74" t="s">
        <v>204</v>
      </c>
      <c r="D870" s="69" t="s">
        <v>733</v>
      </c>
      <c r="E870" s="69" t="s">
        <v>733</v>
      </c>
    </row>
    <row r="871" spans="1:5" ht="78.75" x14ac:dyDescent="0.2">
      <c r="A871" s="65" t="s">
        <v>734</v>
      </c>
      <c r="B871" s="66" t="s">
        <v>735</v>
      </c>
      <c r="C871" s="74" t="s">
        <v>204</v>
      </c>
      <c r="D871" s="69" t="s">
        <v>736</v>
      </c>
      <c r="E871" s="69" t="s">
        <v>736</v>
      </c>
    </row>
    <row r="872" spans="1:5" ht="33.75" x14ac:dyDescent="0.2">
      <c r="A872" s="65" t="s">
        <v>737</v>
      </c>
      <c r="B872" s="65" t="s">
        <v>738</v>
      </c>
      <c r="C872" s="74" t="s">
        <v>204</v>
      </c>
      <c r="D872" s="69" t="s">
        <v>739</v>
      </c>
      <c r="E872" s="69" t="s">
        <v>741</v>
      </c>
    </row>
    <row r="873" spans="1:5" ht="90" x14ac:dyDescent="0.2">
      <c r="A873" s="65" t="s">
        <v>742</v>
      </c>
      <c r="B873" s="66" t="s">
        <v>743</v>
      </c>
      <c r="C873" s="74" t="s">
        <v>204</v>
      </c>
      <c r="D873" s="69" t="s">
        <v>744</v>
      </c>
      <c r="E873" s="69" t="s">
        <v>744</v>
      </c>
    </row>
    <row r="874" spans="1:5" ht="90" x14ac:dyDescent="0.2">
      <c r="A874" s="65" t="s">
        <v>745</v>
      </c>
      <c r="B874" s="66" t="s">
        <v>746</v>
      </c>
      <c r="C874" s="74" t="s">
        <v>204</v>
      </c>
      <c r="D874" s="69" t="s">
        <v>747</v>
      </c>
      <c r="E874" s="69" t="s">
        <v>747</v>
      </c>
    </row>
    <row r="875" spans="1:5" ht="90" x14ac:dyDescent="0.2">
      <c r="A875" s="65" t="s">
        <v>748</v>
      </c>
      <c r="B875" s="66" t="s">
        <v>749</v>
      </c>
      <c r="C875" s="74" t="s">
        <v>204</v>
      </c>
      <c r="D875" s="69" t="s">
        <v>750</v>
      </c>
      <c r="E875" s="69" t="s">
        <v>750</v>
      </c>
    </row>
    <row r="876" spans="1:5" ht="90" x14ac:dyDescent="0.2">
      <c r="A876" s="65" t="s">
        <v>751</v>
      </c>
      <c r="B876" s="66" t="s">
        <v>752</v>
      </c>
      <c r="C876" s="74" t="s">
        <v>204</v>
      </c>
      <c r="D876" s="69" t="s">
        <v>753</v>
      </c>
      <c r="E876" s="69" t="s">
        <v>753</v>
      </c>
    </row>
    <row r="877" spans="1:5" ht="90" x14ac:dyDescent="0.2">
      <c r="A877" s="65" t="s">
        <v>754</v>
      </c>
      <c r="B877" s="66" t="s">
        <v>755</v>
      </c>
      <c r="C877" s="74" t="s">
        <v>204</v>
      </c>
      <c r="D877" s="69" t="s">
        <v>756</v>
      </c>
      <c r="E877" s="69" t="s">
        <v>756</v>
      </c>
    </row>
    <row r="878" spans="1:5" ht="90" x14ac:dyDescent="0.2">
      <c r="A878" s="65" t="s">
        <v>757</v>
      </c>
      <c r="B878" s="66" t="s">
        <v>758</v>
      </c>
      <c r="C878" s="74" t="s">
        <v>204</v>
      </c>
      <c r="D878" s="69" t="s">
        <v>759</v>
      </c>
      <c r="E878" s="69" t="s">
        <v>759</v>
      </c>
    </row>
    <row r="879" spans="1:5" ht="22.5" x14ac:dyDescent="0.2">
      <c r="A879" s="50">
        <v>14.31</v>
      </c>
      <c r="B879" s="64" t="s">
        <v>760</v>
      </c>
      <c r="C879" s="47"/>
      <c r="D879" s="47"/>
      <c r="E879" s="47"/>
    </row>
    <row r="880" spans="1:5" ht="33.75" x14ac:dyDescent="0.2">
      <c r="A880" s="65" t="s">
        <v>761</v>
      </c>
      <c r="B880" s="65" t="s">
        <v>762</v>
      </c>
      <c r="C880" s="74" t="s">
        <v>204</v>
      </c>
      <c r="D880" s="69" t="s">
        <v>763</v>
      </c>
      <c r="E880" s="69" t="s">
        <v>765</v>
      </c>
    </row>
    <row r="881" spans="1:5" ht="45" x14ac:dyDescent="0.2">
      <c r="A881" s="50">
        <v>14.4</v>
      </c>
      <c r="B881" s="64" t="s">
        <v>766</v>
      </c>
      <c r="C881" s="47"/>
      <c r="D881" s="47"/>
      <c r="E881" s="47"/>
    </row>
    <row r="882" spans="1:5" ht="45" x14ac:dyDescent="0.2">
      <c r="A882" s="65" t="s">
        <v>767</v>
      </c>
      <c r="B882" s="65" t="s">
        <v>768</v>
      </c>
      <c r="C882" s="74" t="s">
        <v>204</v>
      </c>
      <c r="D882" s="73"/>
      <c r="E882" s="69" t="s">
        <v>224</v>
      </c>
    </row>
    <row r="883" spans="1:5" ht="45" x14ac:dyDescent="0.2">
      <c r="A883" s="65" t="s">
        <v>769</v>
      </c>
      <c r="B883" s="65" t="s">
        <v>770</v>
      </c>
      <c r="C883" s="74" t="s">
        <v>203</v>
      </c>
      <c r="D883" s="69" t="s">
        <v>771</v>
      </c>
      <c r="E883" s="69" t="s">
        <v>772</v>
      </c>
    </row>
    <row r="884" spans="1:5" ht="56.25" x14ac:dyDescent="0.2">
      <c r="A884" s="65" t="s">
        <v>773</v>
      </c>
      <c r="B884" s="65" t="s">
        <v>774</v>
      </c>
      <c r="C884" s="74" t="s">
        <v>203</v>
      </c>
      <c r="D884" s="69" t="s">
        <v>775</v>
      </c>
      <c r="E884" s="69" t="s">
        <v>776</v>
      </c>
    </row>
    <row r="885" spans="1:5" ht="56.25" x14ac:dyDescent="0.2">
      <c r="A885" s="65" t="s">
        <v>777</v>
      </c>
      <c r="B885" s="65" t="s">
        <v>778</v>
      </c>
      <c r="C885" s="74" t="s">
        <v>203</v>
      </c>
      <c r="D885" s="69" t="s">
        <v>779</v>
      </c>
      <c r="E885" s="69" t="s">
        <v>310</v>
      </c>
    </row>
    <row r="886" spans="1:5" ht="56.25" x14ac:dyDescent="0.2">
      <c r="A886" s="65" t="s">
        <v>780</v>
      </c>
      <c r="B886" s="65" t="s">
        <v>781</v>
      </c>
      <c r="C886" s="74" t="s">
        <v>203</v>
      </c>
      <c r="D886" s="69" t="s">
        <v>782</v>
      </c>
      <c r="E886" s="69" t="s">
        <v>783</v>
      </c>
    </row>
    <row r="887" spans="1:5" ht="56.25" x14ac:dyDescent="0.2">
      <c r="A887" s="65" t="s">
        <v>784</v>
      </c>
      <c r="B887" s="65" t="s">
        <v>785</v>
      </c>
      <c r="C887" s="74" t="s">
        <v>203</v>
      </c>
      <c r="D887" s="69" t="s">
        <v>786</v>
      </c>
      <c r="E887" s="69" t="s">
        <v>787</v>
      </c>
    </row>
    <row r="888" spans="1:5" ht="45" x14ac:dyDescent="0.2">
      <c r="A888" s="49">
        <v>15</v>
      </c>
      <c r="B888" s="64" t="s">
        <v>788</v>
      </c>
      <c r="C888" s="47"/>
      <c r="D888" s="47"/>
      <c r="E888" s="47"/>
    </row>
    <row r="889" spans="1:5" ht="33.75" x14ac:dyDescent="0.2">
      <c r="A889" s="50">
        <v>15.01</v>
      </c>
      <c r="B889" s="64" t="s">
        <v>789</v>
      </c>
      <c r="C889" s="47"/>
      <c r="D889" s="47"/>
      <c r="E889" s="47"/>
    </row>
    <row r="890" spans="1:5" ht="45" x14ac:dyDescent="0.2">
      <c r="A890" s="65" t="s">
        <v>790</v>
      </c>
      <c r="B890" s="65" t="s">
        <v>791</v>
      </c>
      <c r="C890" s="74" t="s">
        <v>204</v>
      </c>
      <c r="D890" s="69" t="s">
        <v>792</v>
      </c>
      <c r="E890" s="69" t="s">
        <v>794</v>
      </c>
    </row>
    <row r="891" spans="1:5" ht="56.25" x14ac:dyDescent="0.2">
      <c r="A891" s="65" t="s">
        <v>795</v>
      </c>
      <c r="B891" s="66" t="s">
        <v>796</v>
      </c>
      <c r="C891" s="74" t="s">
        <v>204</v>
      </c>
      <c r="D891" s="69" t="s">
        <v>797</v>
      </c>
      <c r="E891" s="69" t="s">
        <v>798</v>
      </c>
    </row>
    <row r="892" spans="1:5" ht="56.25" x14ac:dyDescent="0.2">
      <c r="A892" s="65" t="s">
        <v>799</v>
      </c>
      <c r="B892" s="66" t="s">
        <v>800</v>
      </c>
      <c r="C892" s="74" t="s">
        <v>204</v>
      </c>
      <c r="D892" s="69" t="s">
        <v>801</v>
      </c>
      <c r="E892" s="69" t="s">
        <v>802</v>
      </c>
    </row>
    <row r="893" spans="1:5" ht="56.25" x14ac:dyDescent="0.2">
      <c r="A893" s="65" t="s">
        <v>803</v>
      </c>
      <c r="B893" s="66" t="s">
        <v>804</v>
      </c>
      <c r="C893" s="74" t="s">
        <v>204</v>
      </c>
      <c r="D893" s="69" t="s">
        <v>805</v>
      </c>
      <c r="E893" s="69" t="s">
        <v>807</v>
      </c>
    </row>
    <row r="894" spans="1:5" ht="56.25" x14ac:dyDescent="0.2">
      <c r="A894" s="65" t="s">
        <v>808</v>
      </c>
      <c r="B894" s="66" t="s">
        <v>809</v>
      </c>
      <c r="C894" s="74" t="s">
        <v>204</v>
      </c>
      <c r="D894" s="69" t="s">
        <v>810</v>
      </c>
      <c r="E894" s="69" t="s">
        <v>812</v>
      </c>
    </row>
    <row r="895" spans="1:5" ht="56.25" x14ac:dyDescent="0.2">
      <c r="A895" s="65" t="s">
        <v>813</v>
      </c>
      <c r="B895" s="66" t="s">
        <v>814</v>
      </c>
      <c r="C895" s="67" t="s">
        <v>204</v>
      </c>
      <c r="D895" s="69" t="s">
        <v>815</v>
      </c>
      <c r="E895" s="69" t="s">
        <v>816</v>
      </c>
    </row>
    <row r="896" spans="1:5" ht="56.25" x14ac:dyDescent="0.2">
      <c r="A896" s="65" t="s">
        <v>817</v>
      </c>
      <c r="B896" s="66" t="s">
        <v>818</v>
      </c>
      <c r="C896" s="67" t="s">
        <v>204</v>
      </c>
      <c r="D896" s="69" t="s">
        <v>819</v>
      </c>
      <c r="E896" s="69" t="s">
        <v>821</v>
      </c>
    </row>
    <row r="897" spans="1:5" ht="56.25" x14ac:dyDescent="0.2">
      <c r="A897" s="65" t="s">
        <v>822</v>
      </c>
      <c r="B897" s="66" t="s">
        <v>823</v>
      </c>
      <c r="C897" s="67" t="s">
        <v>204</v>
      </c>
      <c r="D897" s="69" t="s">
        <v>824</v>
      </c>
      <c r="E897" s="69" t="s">
        <v>826</v>
      </c>
    </row>
    <row r="898" spans="1:5" ht="33.75" x14ac:dyDescent="0.2">
      <c r="A898" s="65" t="s">
        <v>827</v>
      </c>
      <c r="B898" s="65" t="s">
        <v>828</v>
      </c>
      <c r="C898" s="67" t="s">
        <v>204</v>
      </c>
      <c r="D898" s="69" t="s">
        <v>829</v>
      </c>
      <c r="E898" s="69" t="s">
        <v>830</v>
      </c>
    </row>
    <row r="899" spans="1:5" ht="33.75" x14ac:dyDescent="0.2">
      <c r="A899" s="65" t="s">
        <v>831</v>
      </c>
      <c r="B899" s="65" t="s">
        <v>832</v>
      </c>
      <c r="C899" s="67" t="s">
        <v>204</v>
      </c>
      <c r="D899" s="69" t="s">
        <v>833</v>
      </c>
      <c r="E899" s="69" t="s">
        <v>835</v>
      </c>
    </row>
    <row r="900" spans="1:5" ht="22.5" x14ac:dyDescent="0.2">
      <c r="A900" s="65" t="s">
        <v>836</v>
      </c>
      <c r="B900" s="65" t="s">
        <v>837</v>
      </c>
      <c r="C900" s="67" t="s">
        <v>204</v>
      </c>
      <c r="D900" s="69" t="s">
        <v>838</v>
      </c>
      <c r="E900" s="69" t="s">
        <v>840</v>
      </c>
    </row>
    <row r="901" spans="1:5" ht="45" x14ac:dyDescent="0.2">
      <c r="A901" s="65" t="s">
        <v>841</v>
      </c>
      <c r="B901" s="65" t="s">
        <v>842</v>
      </c>
      <c r="C901" s="67" t="s">
        <v>204</v>
      </c>
      <c r="D901" s="69" t="s">
        <v>843</v>
      </c>
      <c r="E901" s="69" t="s">
        <v>419</v>
      </c>
    </row>
    <row r="902" spans="1:5" ht="33.75" x14ac:dyDescent="0.2">
      <c r="A902" s="65" t="s">
        <v>845</v>
      </c>
      <c r="B902" s="65" t="s">
        <v>846</v>
      </c>
      <c r="C902" s="67" t="s">
        <v>204</v>
      </c>
      <c r="D902" s="69" t="s">
        <v>847</v>
      </c>
      <c r="E902" s="69" t="s">
        <v>848</v>
      </c>
    </row>
    <row r="903" spans="1:5" x14ac:dyDescent="0.2">
      <c r="A903" s="50">
        <v>15.03</v>
      </c>
      <c r="B903" s="64" t="s">
        <v>849</v>
      </c>
      <c r="C903" s="47"/>
      <c r="D903" s="47"/>
      <c r="E903" s="47"/>
    </row>
    <row r="904" spans="1:5" ht="56.25" x14ac:dyDescent="0.2">
      <c r="A904" s="65" t="s">
        <v>850</v>
      </c>
      <c r="B904" s="65" t="s">
        <v>851</v>
      </c>
      <c r="C904" s="67" t="s">
        <v>300</v>
      </c>
      <c r="D904" s="69" t="s">
        <v>852</v>
      </c>
      <c r="E904" s="69" t="s">
        <v>852</v>
      </c>
    </row>
    <row r="905" spans="1:5" ht="33.75" x14ac:dyDescent="0.2">
      <c r="A905" s="65" t="s">
        <v>853</v>
      </c>
      <c r="B905" s="65" t="s">
        <v>854</v>
      </c>
      <c r="C905" s="67" t="s">
        <v>300</v>
      </c>
      <c r="D905" s="73"/>
      <c r="E905" s="69" t="s">
        <v>855</v>
      </c>
    </row>
    <row r="906" spans="1:5" ht="56.25" x14ac:dyDescent="0.2">
      <c r="A906" s="65" t="s">
        <v>856</v>
      </c>
      <c r="B906" s="65" t="s">
        <v>857</v>
      </c>
      <c r="C906" s="67" t="s">
        <v>300</v>
      </c>
      <c r="D906" s="69" t="s">
        <v>858</v>
      </c>
      <c r="E906" s="69" t="s">
        <v>858</v>
      </c>
    </row>
    <row r="907" spans="1:5" ht="56.25" x14ac:dyDescent="0.2">
      <c r="A907" s="65" t="s">
        <v>859</v>
      </c>
      <c r="B907" s="66" t="s">
        <v>860</v>
      </c>
      <c r="C907" s="67" t="s">
        <v>300</v>
      </c>
      <c r="D907" s="69" t="s">
        <v>861</v>
      </c>
      <c r="E907" s="69" t="s">
        <v>861</v>
      </c>
    </row>
    <row r="908" spans="1:5" ht="56.25" x14ac:dyDescent="0.2">
      <c r="A908" s="65" t="s">
        <v>862</v>
      </c>
      <c r="B908" s="66" t="s">
        <v>863</v>
      </c>
      <c r="C908" s="67" t="s">
        <v>300</v>
      </c>
      <c r="D908" s="69" t="s">
        <v>864</v>
      </c>
      <c r="E908" s="69" t="s">
        <v>864</v>
      </c>
    </row>
    <row r="909" spans="1:5" ht="67.5" x14ac:dyDescent="0.2">
      <c r="A909" s="65" t="s">
        <v>865</v>
      </c>
      <c r="B909" s="66" t="s">
        <v>866</v>
      </c>
      <c r="C909" s="67" t="s">
        <v>300</v>
      </c>
      <c r="D909" s="69" t="s">
        <v>867</v>
      </c>
      <c r="E909" s="69" t="s">
        <v>868</v>
      </c>
    </row>
    <row r="910" spans="1:5" ht="33.75" x14ac:dyDescent="0.2">
      <c r="A910" s="50">
        <v>15.05</v>
      </c>
      <c r="B910" s="64" t="s">
        <v>869</v>
      </c>
      <c r="C910" s="47"/>
      <c r="D910" s="47"/>
      <c r="E910" s="47"/>
    </row>
    <row r="911" spans="1:5" ht="45" x14ac:dyDescent="0.2">
      <c r="A911" s="65" t="s">
        <v>870</v>
      </c>
      <c r="B911" s="65" t="s">
        <v>871</v>
      </c>
      <c r="C911" s="67" t="s">
        <v>228</v>
      </c>
      <c r="D911" s="69" t="s">
        <v>872</v>
      </c>
      <c r="E911" s="69" t="s">
        <v>874</v>
      </c>
    </row>
    <row r="912" spans="1:5" ht="45" x14ac:dyDescent="0.2">
      <c r="A912" s="65" t="s">
        <v>875</v>
      </c>
      <c r="B912" s="65" t="s">
        <v>876</v>
      </c>
      <c r="C912" s="67" t="s">
        <v>228</v>
      </c>
      <c r="D912" s="69" t="s">
        <v>877</v>
      </c>
      <c r="E912" s="69" t="s">
        <v>879</v>
      </c>
    </row>
    <row r="913" spans="1:5" ht="45" x14ac:dyDescent="0.2">
      <c r="A913" s="65" t="s">
        <v>880</v>
      </c>
      <c r="B913" s="65" t="s">
        <v>881</v>
      </c>
      <c r="C913" s="67" t="s">
        <v>228</v>
      </c>
      <c r="D913" s="69" t="s">
        <v>882</v>
      </c>
      <c r="E913" s="69" t="s">
        <v>884</v>
      </c>
    </row>
    <row r="914" spans="1:5" ht="45" x14ac:dyDescent="0.2">
      <c r="A914" s="65" t="s">
        <v>885</v>
      </c>
      <c r="B914" s="65" t="s">
        <v>886</v>
      </c>
      <c r="C914" s="67" t="s">
        <v>228</v>
      </c>
      <c r="D914" s="69" t="s">
        <v>887</v>
      </c>
      <c r="E914" s="69" t="s">
        <v>889</v>
      </c>
    </row>
    <row r="915" spans="1:5" ht="45" x14ac:dyDescent="0.2">
      <c r="A915" s="65" t="s">
        <v>890</v>
      </c>
      <c r="B915" s="65" t="s">
        <v>891</v>
      </c>
      <c r="C915" s="67" t="s">
        <v>228</v>
      </c>
      <c r="D915" s="69" t="s">
        <v>892</v>
      </c>
      <c r="E915" s="69" t="s">
        <v>894</v>
      </c>
    </row>
    <row r="916" spans="1:5" ht="45" x14ac:dyDescent="0.2">
      <c r="A916" s="50">
        <v>15.2</v>
      </c>
      <c r="B916" s="64" t="s">
        <v>895</v>
      </c>
      <c r="C916" s="47"/>
      <c r="D916" s="47"/>
      <c r="E916" s="47"/>
    </row>
    <row r="917" spans="1:5" ht="45" x14ac:dyDescent="0.2">
      <c r="A917" s="65" t="s">
        <v>896</v>
      </c>
      <c r="B917" s="65" t="s">
        <v>897</v>
      </c>
      <c r="C917" s="67" t="s">
        <v>228</v>
      </c>
      <c r="D917" s="69" t="s">
        <v>898</v>
      </c>
      <c r="E917" s="69" t="s">
        <v>900</v>
      </c>
    </row>
    <row r="918" spans="1:5" ht="45" x14ac:dyDescent="0.2">
      <c r="A918" s="65" t="s">
        <v>901</v>
      </c>
      <c r="B918" s="65" t="s">
        <v>902</v>
      </c>
      <c r="C918" s="67" t="s">
        <v>221</v>
      </c>
      <c r="D918" s="69" t="s">
        <v>216</v>
      </c>
      <c r="E918" s="69" t="s">
        <v>904</v>
      </c>
    </row>
    <row r="919" spans="1:5" ht="45" x14ac:dyDescent="0.2">
      <c r="A919" s="65" t="s">
        <v>905</v>
      </c>
      <c r="B919" s="65" t="s">
        <v>906</v>
      </c>
      <c r="C919" s="67" t="s">
        <v>221</v>
      </c>
      <c r="D919" s="69" t="s">
        <v>208</v>
      </c>
      <c r="E919" s="69" t="s">
        <v>908</v>
      </c>
    </row>
    <row r="920" spans="1:5" x14ac:dyDescent="0.2">
      <c r="A920" s="49">
        <v>16</v>
      </c>
      <c r="B920" s="64" t="s">
        <v>909</v>
      </c>
      <c r="C920" s="47"/>
      <c r="D920" s="47"/>
      <c r="E920" s="47"/>
    </row>
    <row r="921" spans="1:5" ht="22.5" x14ac:dyDescent="0.2">
      <c r="A921" s="50">
        <v>16.02</v>
      </c>
      <c r="B921" s="64" t="s">
        <v>910</v>
      </c>
      <c r="C921" s="47"/>
      <c r="D921" s="47"/>
      <c r="E921" s="47"/>
    </row>
    <row r="922" spans="1:5" ht="22.5" x14ac:dyDescent="0.2">
      <c r="A922" s="65" t="s">
        <v>911</v>
      </c>
      <c r="B922" s="65" t="s">
        <v>912</v>
      </c>
      <c r="C922" s="67" t="s">
        <v>204</v>
      </c>
      <c r="D922" s="69" t="s">
        <v>391</v>
      </c>
      <c r="E922" s="69" t="s">
        <v>913</v>
      </c>
    </row>
    <row r="923" spans="1:5" ht="22.5" x14ac:dyDescent="0.2">
      <c r="A923" s="65" t="s">
        <v>914</v>
      </c>
      <c r="B923" s="65" t="s">
        <v>915</v>
      </c>
      <c r="C923" s="67" t="s">
        <v>204</v>
      </c>
      <c r="D923" s="69" t="s">
        <v>916</v>
      </c>
      <c r="E923" s="69" t="s">
        <v>917</v>
      </c>
    </row>
    <row r="924" spans="1:5" ht="22.5" x14ac:dyDescent="0.2">
      <c r="A924" s="65" t="s">
        <v>918</v>
      </c>
      <c r="B924" s="65" t="s">
        <v>919</v>
      </c>
      <c r="C924" s="67" t="s">
        <v>204</v>
      </c>
      <c r="D924" s="69" t="s">
        <v>920</v>
      </c>
      <c r="E924" s="69" t="s">
        <v>921</v>
      </c>
    </row>
    <row r="925" spans="1:5" ht="22.5" x14ac:dyDescent="0.2">
      <c r="A925" s="65" t="s">
        <v>922</v>
      </c>
      <c r="B925" s="65" t="s">
        <v>923</v>
      </c>
      <c r="C925" s="67" t="s">
        <v>204</v>
      </c>
      <c r="D925" s="69" t="s">
        <v>924</v>
      </c>
      <c r="E925" s="69" t="s">
        <v>926</v>
      </c>
    </row>
    <row r="926" spans="1:5" ht="22.5" x14ac:dyDescent="0.2">
      <c r="A926" s="65" t="s">
        <v>927</v>
      </c>
      <c r="B926" s="65" t="s">
        <v>928</v>
      </c>
      <c r="C926" s="67" t="s">
        <v>204</v>
      </c>
      <c r="D926" s="69" t="s">
        <v>929</v>
      </c>
      <c r="E926" s="69" t="s">
        <v>930</v>
      </c>
    </row>
    <row r="927" spans="1:5" ht="33.75" x14ac:dyDescent="0.2">
      <c r="A927" s="65" t="s">
        <v>931</v>
      </c>
      <c r="B927" s="65" t="s">
        <v>932</v>
      </c>
      <c r="C927" s="67" t="s">
        <v>221</v>
      </c>
      <c r="D927" s="69" t="s">
        <v>211</v>
      </c>
      <c r="E927" s="69" t="s">
        <v>933</v>
      </c>
    </row>
    <row r="928" spans="1:5" ht="56.25" x14ac:dyDescent="0.2">
      <c r="A928" s="65" t="s">
        <v>934</v>
      </c>
      <c r="B928" s="66" t="s">
        <v>935</v>
      </c>
      <c r="C928" s="67" t="s">
        <v>221</v>
      </c>
      <c r="D928" s="69" t="s">
        <v>358</v>
      </c>
      <c r="E928" s="69" t="s">
        <v>936</v>
      </c>
    </row>
    <row r="929" spans="1:5" ht="22.5" x14ac:dyDescent="0.2">
      <c r="A929" s="65" t="s">
        <v>937</v>
      </c>
      <c r="B929" s="65" t="s">
        <v>938</v>
      </c>
      <c r="C929" s="67" t="s">
        <v>221</v>
      </c>
      <c r="D929" s="69" t="s">
        <v>939</v>
      </c>
      <c r="E929" s="69" t="s">
        <v>940</v>
      </c>
    </row>
    <row r="930" spans="1:5" ht="45" x14ac:dyDescent="0.2">
      <c r="A930" s="50">
        <v>16.03</v>
      </c>
      <c r="B930" s="64" t="s">
        <v>941</v>
      </c>
      <c r="C930" s="47"/>
      <c r="D930" s="47"/>
      <c r="E930" s="47"/>
    </row>
    <row r="931" spans="1:5" ht="56.25" x14ac:dyDescent="0.2">
      <c r="A931" s="65" t="s">
        <v>942</v>
      </c>
      <c r="B931" s="66" t="s">
        <v>943</v>
      </c>
      <c r="C931" s="67" t="s">
        <v>204</v>
      </c>
      <c r="D931" s="69" t="s">
        <v>944</v>
      </c>
      <c r="E931" s="69" t="s">
        <v>945</v>
      </c>
    </row>
    <row r="932" spans="1:5" ht="56.25" x14ac:dyDescent="0.2">
      <c r="A932" s="65" t="s">
        <v>946</v>
      </c>
      <c r="B932" s="66" t="s">
        <v>947</v>
      </c>
      <c r="C932" s="67" t="s">
        <v>204</v>
      </c>
      <c r="D932" s="69" t="s">
        <v>948</v>
      </c>
      <c r="E932" s="69" t="s">
        <v>949</v>
      </c>
    </row>
    <row r="933" spans="1:5" ht="56.25" x14ac:dyDescent="0.2">
      <c r="A933" s="65" t="s">
        <v>950</v>
      </c>
      <c r="B933" s="66" t="s">
        <v>951</v>
      </c>
      <c r="C933" s="67" t="s">
        <v>204</v>
      </c>
      <c r="D933" s="69" t="s">
        <v>952</v>
      </c>
      <c r="E933" s="69" t="s">
        <v>953</v>
      </c>
    </row>
    <row r="934" spans="1:5" ht="56.25" x14ac:dyDescent="0.2">
      <c r="A934" s="65" t="s">
        <v>954</v>
      </c>
      <c r="B934" s="66" t="s">
        <v>955</v>
      </c>
      <c r="C934" s="67" t="s">
        <v>204</v>
      </c>
      <c r="D934" s="69" t="s">
        <v>956</v>
      </c>
      <c r="E934" s="69" t="s">
        <v>957</v>
      </c>
    </row>
    <row r="935" spans="1:5" ht="56.25" x14ac:dyDescent="0.2">
      <c r="A935" s="65" t="s">
        <v>958</v>
      </c>
      <c r="B935" s="66" t="s">
        <v>959</v>
      </c>
      <c r="C935" s="67" t="s">
        <v>221</v>
      </c>
      <c r="D935" s="69" t="s">
        <v>960</v>
      </c>
      <c r="E935" s="69" t="s">
        <v>961</v>
      </c>
    </row>
    <row r="936" spans="1:5" ht="56.25" x14ac:dyDescent="0.2">
      <c r="A936" s="65" t="s">
        <v>962</v>
      </c>
      <c r="B936" s="66" t="s">
        <v>963</v>
      </c>
      <c r="C936" s="67" t="s">
        <v>221</v>
      </c>
      <c r="D936" s="69" t="s">
        <v>964</v>
      </c>
      <c r="E936" s="69" t="s">
        <v>965</v>
      </c>
    </row>
    <row r="937" spans="1:5" ht="56.25" x14ac:dyDescent="0.2">
      <c r="A937" s="65" t="s">
        <v>966</v>
      </c>
      <c r="B937" s="66" t="s">
        <v>967</v>
      </c>
      <c r="C937" s="67" t="s">
        <v>221</v>
      </c>
      <c r="D937" s="69" t="s">
        <v>347</v>
      </c>
      <c r="E937" s="69" t="s">
        <v>968</v>
      </c>
    </row>
    <row r="938" spans="1:5" ht="56.25" x14ac:dyDescent="0.2">
      <c r="A938" s="65" t="s">
        <v>969</v>
      </c>
      <c r="B938" s="66" t="s">
        <v>970</v>
      </c>
      <c r="C938" s="67" t="s">
        <v>221</v>
      </c>
      <c r="D938" s="69" t="s">
        <v>971</v>
      </c>
      <c r="E938" s="69" t="s">
        <v>972</v>
      </c>
    </row>
    <row r="939" spans="1:5" ht="45" x14ac:dyDescent="0.2">
      <c r="A939" s="65" t="s">
        <v>973</v>
      </c>
      <c r="B939" s="65" t="s">
        <v>974</v>
      </c>
      <c r="C939" s="67" t="s">
        <v>221</v>
      </c>
      <c r="D939" s="69" t="s">
        <v>975</v>
      </c>
      <c r="E939" s="69" t="s">
        <v>976</v>
      </c>
    </row>
    <row r="940" spans="1:5" ht="45" x14ac:dyDescent="0.2">
      <c r="A940" s="65" t="s">
        <v>977</v>
      </c>
      <c r="B940" s="65" t="s">
        <v>978</v>
      </c>
      <c r="C940" s="67" t="s">
        <v>221</v>
      </c>
      <c r="D940" s="69" t="s">
        <v>979</v>
      </c>
      <c r="E940" s="69" t="s">
        <v>980</v>
      </c>
    </row>
    <row r="941" spans="1:5" ht="45" x14ac:dyDescent="0.2">
      <c r="A941" s="65" t="s">
        <v>981</v>
      </c>
      <c r="B941" s="65" t="s">
        <v>982</v>
      </c>
      <c r="C941" s="67" t="s">
        <v>221</v>
      </c>
      <c r="D941" s="69" t="s">
        <v>983</v>
      </c>
      <c r="E941" s="69" t="s">
        <v>984</v>
      </c>
    </row>
    <row r="942" spans="1:5" ht="33.75" x14ac:dyDescent="0.2">
      <c r="A942" s="50">
        <v>16.100000000000001</v>
      </c>
      <c r="B942" s="64" t="s">
        <v>985</v>
      </c>
      <c r="C942" s="47"/>
      <c r="D942" s="47"/>
      <c r="E942" s="47"/>
    </row>
    <row r="943" spans="1:5" ht="45" x14ac:dyDescent="0.2">
      <c r="A943" s="65" t="s">
        <v>986</v>
      </c>
      <c r="B943" s="65" t="s">
        <v>987</v>
      </c>
      <c r="C943" s="67" t="s">
        <v>204</v>
      </c>
      <c r="D943" s="69" t="s">
        <v>988</v>
      </c>
      <c r="E943" s="69" t="s">
        <v>989</v>
      </c>
    </row>
    <row r="944" spans="1:5" ht="33.75" x14ac:dyDescent="0.2">
      <c r="A944" s="65" t="s">
        <v>990</v>
      </c>
      <c r="B944" s="65" t="s">
        <v>991</v>
      </c>
      <c r="C944" s="67" t="s">
        <v>221</v>
      </c>
      <c r="D944" s="69" t="s">
        <v>992</v>
      </c>
      <c r="E944" s="69" t="s">
        <v>994</v>
      </c>
    </row>
    <row r="945" spans="1:5" ht="22.5" x14ac:dyDescent="0.2">
      <c r="A945" s="50">
        <v>16.12</v>
      </c>
      <c r="B945" s="64" t="s">
        <v>995</v>
      </c>
      <c r="C945" s="47"/>
      <c r="D945" s="47"/>
      <c r="E945" s="47"/>
    </row>
    <row r="946" spans="1:5" ht="78.75" x14ac:dyDescent="0.2">
      <c r="A946" s="65" t="s">
        <v>996</v>
      </c>
      <c r="B946" s="66" t="s">
        <v>997</v>
      </c>
      <c r="C946" s="67" t="s">
        <v>204</v>
      </c>
      <c r="D946" s="69" t="s">
        <v>998</v>
      </c>
      <c r="E946" s="69" t="s">
        <v>999</v>
      </c>
    </row>
    <row r="947" spans="1:5" ht="90" x14ac:dyDescent="0.2">
      <c r="A947" s="70" t="s">
        <v>1000</v>
      </c>
      <c r="B947" s="65" t="s">
        <v>1001</v>
      </c>
      <c r="C947" s="71" t="s">
        <v>204</v>
      </c>
      <c r="D947" s="72" t="s">
        <v>1002</v>
      </c>
      <c r="E947" s="72" t="s">
        <v>1003</v>
      </c>
    </row>
    <row r="948" spans="1:5" ht="90" x14ac:dyDescent="0.2">
      <c r="A948" s="70" t="s">
        <v>1004</v>
      </c>
      <c r="B948" s="65" t="s">
        <v>1005</v>
      </c>
      <c r="C948" s="71" t="s">
        <v>204</v>
      </c>
      <c r="D948" s="72" t="s">
        <v>1006</v>
      </c>
      <c r="E948" s="72" t="s">
        <v>1007</v>
      </c>
    </row>
    <row r="949" spans="1:5" ht="90" x14ac:dyDescent="0.2">
      <c r="A949" s="70" t="s">
        <v>1008</v>
      </c>
      <c r="B949" s="65" t="s">
        <v>1009</v>
      </c>
      <c r="C949" s="71" t="s">
        <v>204</v>
      </c>
      <c r="D949" s="72" t="s">
        <v>1010</v>
      </c>
      <c r="E949" s="72" t="s">
        <v>1011</v>
      </c>
    </row>
    <row r="950" spans="1:5" ht="78.75" x14ac:dyDescent="0.2">
      <c r="A950" s="65" t="s">
        <v>1012</v>
      </c>
      <c r="B950" s="66" t="s">
        <v>1013</v>
      </c>
      <c r="C950" s="67" t="s">
        <v>221</v>
      </c>
      <c r="D950" s="69" t="s">
        <v>1014</v>
      </c>
      <c r="E950" s="69" t="s">
        <v>1015</v>
      </c>
    </row>
    <row r="951" spans="1:5" ht="78.75" x14ac:dyDescent="0.2">
      <c r="A951" s="65" t="s">
        <v>1016</v>
      </c>
      <c r="B951" s="66" t="s">
        <v>1017</v>
      </c>
      <c r="C951" s="67" t="s">
        <v>221</v>
      </c>
      <c r="D951" s="69" t="s">
        <v>1018</v>
      </c>
      <c r="E951" s="69" t="s">
        <v>1019</v>
      </c>
    </row>
    <row r="952" spans="1:5" ht="22.5" x14ac:dyDescent="0.2">
      <c r="A952" s="50">
        <v>16.13</v>
      </c>
      <c r="B952" s="64" t="s">
        <v>1020</v>
      </c>
      <c r="C952" s="47"/>
      <c r="D952" s="47"/>
      <c r="E952" s="47"/>
    </row>
    <row r="953" spans="1:5" ht="78.75" x14ac:dyDescent="0.2">
      <c r="A953" s="70" t="s">
        <v>1021</v>
      </c>
      <c r="B953" s="65" t="s">
        <v>1022</v>
      </c>
      <c r="C953" s="71" t="s">
        <v>204</v>
      </c>
      <c r="D953" s="72" t="s">
        <v>1023</v>
      </c>
      <c r="E953" s="72" t="s">
        <v>1025</v>
      </c>
    </row>
    <row r="954" spans="1:5" ht="90" x14ac:dyDescent="0.2">
      <c r="A954" s="70" t="s">
        <v>1026</v>
      </c>
      <c r="B954" s="65" t="s">
        <v>1027</v>
      </c>
      <c r="C954" s="71" t="s">
        <v>204</v>
      </c>
      <c r="D954" s="72" t="s">
        <v>1028</v>
      </c>
      <c r="E954" s="72" t="s">
        <v>1029</v>
      </c>
    </row>
    <row r="955" spans="1:5" ht="90" x14ac:dyDescent="0.2">
      <c r="A955" s="65" t="s">
        <v>1030</v>
      </c>
      <c r="B955" s="66" t="s">
        <v>1031</v>
      </c>
      <c r="C955" s="67" t="s">
        <v>204</v>
      </c>
      <c r="D955" s="69" t="s">
        <v>1032</v>
      </c>
      <c r="E955" s="69" t="s">
        <v>1033</v>
      </c>
    </row>
    <row r="956" spans="1:5" ht="90" x14ac:dyDescent="0.2">
      <c r="A956" s="65" t="s">
        <v>1034</v>
      </c>
      <c r="B956" s="66" t="s">
        <v>1035</v>
      </c>
      <c r="C956" s="67" t="s">
        <v>204</v>
      </c>
      <c r="D956" s="69" t="s">
        <v>1036</v>
      </c>
      <c r="E956" s="69" t="s">
        <v>426</v>
      </c>
    </row>
    <row r="957" spans="1:5" ht="22.5" x14ac:dyDescent="0.2">
      <c r="A957" s="50">
        <v>16.16</v>
      </c>
      <c r="B957" s="64" t="s">
        <v>1037</v>
      </c>
      <c r="C957" s="47"/>
      <c r="D957" s="47"/>
      <c r="E957" s="47"/>
    </row>
    <row r="958" spans="1:5" ht="33.75" x14ac:dyDescent="0.2">
      <c r="A958" s="65" t="s">
        <v>1038</v>
      </c>
      <c r="B958" s="65" t="s">
        <v>1039</v>
      </c>
      <c r="C958" s="67" t="s">
        <v>204</v>
      </c>
      <c r="D958" s="69" t="s">
        <v>1040</v>
      </c>
      <c r="E958" s="69" t="s">
        <v>1041</v>
      </c>
    </row>
    <row r="959" spans="1:5" ht="45" x14ac:dyDescent="0.2">
      <c r="A959" s="65" t="s">
        <v>1042</v>
      </c>
      <c r="B959" s="65" t="s">
        <v>1043</v>
      </c>
      <c r="C959" s="67" t="s">
        <v>204</v>
      </c>
      <c r="D959" s="69" t="s">
        <v>1044</v>
      </c>
      <c r="E959" s="69" t="s">
        <v>1045</v>
      </c>
    </row>
    <row r="960" spans="1:5" ht="33.75" x14ac:dyDescent="0.2">
      <c r="A960" s="65" t="s">
        <v>1046</v>
      </c>
      <c r="B960" s="65" t="s">
        <v>1047</v>
      </c>
      <c r="C960" s="67" t="s">
        <v>221</v>
      </c>
      <c r="D960" s="69" t="s">
        <v>1048</v>
      </c>
      <c r="E960" s="69" t="s">
        <v>1049</v>
      </c>
    </row>
    <row r="961" spans="1:5" x14ac:dyDescent="0.2">
      <c r="A961" s="50">
        <v>16.2</v>
      </c>
      <c r="B961" s="64" t="s">
        <v>1050</v>
      </c>
      <c r="C961" s="47"/>
      <c r="D961" s="47"/>
      <c r="E961" s="47"/>
    </row>
    <row r="962" spans="1:5" ht="33.75" x14ac:dyDescent="0.2">
      <c r="A962" s="65" t="s">
        <v>1051</v>
      </c>
      <c r="B962" s="65" t="s">
        <v>1052</v>
      </c>
      <c r="C962" s="67" t="s">
        <v>203</v>
      </c>
      <c r="D962" s="69" t="s">
        <v>1053</v>
      </c>
      <c r="E962" s="69" t="s">
        <v>1054</v>
      </c>
    </row>
    <row r="963" spans="1:5" ht="33.75" x14ac:dyDescent="0.2">
      <c r="A963" s="65" t="s">
        <v>1055</v>
      </c>
      <c r="B963" s="65" t="s">
        <v>1056</v>
      </c>
      <c r="C963" s="67" t="s">
        <v>203</v>
      </c>
      <c r="D963" s="69" t="s">
        <v>1053</v>
      </c>
      <c r="E963" s="69" t="s">
        <v>1054</v>
      </c>
    </row>
    <row r="964" spans="1:5" x14ac:dyDescent="0.2">
      <c r="A964" s="50">
        <v>16.3</v>
      </c>
      <c r="B964" s="64" t="s">
        <v>1057</v>
      </c>
      <c r="C964" s="47"/>
      <c r="D964" s="47"/>
      <c r="E964" s="47"/>
    </row>
    <row r="965" spans="1:5" ht="33.75" x14ac:dyDescent="0.2">
      <c r="A965" s="65" t="s">
        <v>1058</v>
      </c>
      <c r="B965" s="65" t="s">
        <v>1059</v>
      </c>
      <c r="C965" s="67" t="s">
        <v>204</v>
      </c>
      <c r="D965" s="69" t="s">
        <v>1060</v>
      </c>
      <c r="E965" s="69" t="s">
        <v>1060</v>
      </c>
    </row>
    <row r="966" spans="1:5" ht="22.5" x14ac:dyDescent="0.2">
      <c r="A966" s="50">
        <v>16.32</v>
      </c>
      <c r="B966" s="64" t="s">
        <v>1061</v>
      </c>
      <c r="C966" s="47"/>
      <c r="D966" s="47"/>
      <c r="E966" s="47"/>
    </row>
    <row r="967" spans="1:5" ht="56.25" x14ac:dyDescent="0.2">
      <c r="A967" s="65" t="s">
        <v>1062</v>
      </c>
      <c r="B967" s="65" t="s">
        <v>1063</v>
      </c>
      <c r="C967" s="67" t="s">
        <v>204</v>
      </c>
      <c r="D967" s="69" t="s">
        <v>1064</v>
      </c>
      <c r="E967" s="69" t="s">
        <v>1066</v>
      </c>
    </row>
    <row r="968" spans="1:5" ht="45" x14ac:dyDescent="0.2">
      <c r="A968" s="65" t="s">
        <v>1067</v>
      </c>
      <c r="B968" s="65" t="s">
        <v>1068</v>
      </c>
      <c r="C968" s="67" t="s">
        <v>204</v>
      </c>
      <c r="D968" s="69" t="s">
        <v>1069</v>
      </c>
      <c r="E968" s="69" t="s">
        <v>1071</v>
      </c>
    </row>
    <row r="969" spans="1:5" ht="56.25" x14ac:dyDescent="0.2">
      <c r="A969" s="65" t="s">
        <v>1072</v>
      </c>
      <c r="B969" s="65" t="s">
        <v>1073</v>
      </c>
      <c r="C969" s="67" t="s">
        <v>204</v>
      </c>
      <c r="D969" s="69" t="s">
        <v>1074</v>
      </c>
      <c r="E969" s="69" t="s">
        <v>1075</v>
      </c>
    </row>
    <row r="970" spans="1:5" x14ac:dyDescent="0.2">
      <c r="A970" s="50">
        <v>16.329999999999998</v>
      </c>
      <c r="B970" s="64" t="s">
        <v>1076</v>
      </c>
      <c r="C970" s="47"/>
      <c r="D970" s="47"/>
      <c r="E970" s="47"/>
    </row>
    <row r="971" spans="1:5" ht="33.75" x14ac:dyDescent="0.2">
      <c r="A971" s="65" t="s">
        <v>1077</v>
      </c>
      <c r="B971" s="65" t="s">
        <v>1078</v>
      </c>
      <c r="C971" s="67" t="s">
        <v>221</v>
      </c>
      <c r="D971" s="69" t="s">
        <v>1079</v>
      </c>
      <c r="E971" s="69" t="s">
        <v>1081</v>
      </c>
    </row>
    <row r="972" spans="1:5" ht="33.75" x14ac:dyDescent="0.2">
      <c r="A972" s="65" t="s">
        <v>1082</v>
      </c>
      <c r="B972" s="65" t="s">
        <v>1083</v>
      </c>
      <c r="C972" s="67" t="s">
        <v>221</v>
      </c>
      <c r="D972" s="69" t="s">
        <v>1084</v>
      </c>
      <c r="E972" s="69" t="s">
        <v>1086</v>
      </c>
    </row>
    <row r="973" spans="1:5" ht="33.75" x14ac:dyDescent="0.2">
      <c r="A973" s="65" t="s">
        <v>1087</v>
      </c>
      <c r="B973" s="65" t="s">
        <v>1088</v>
      </c>
      <c r="C973" s="67" t="s">
        <v>221</v>
      </c>
      <c r="D973" s="69" t="s">
        <v>1089</v>
      </c>
      <c r="E973" s="69" t="s">
        <v>1091</v>
      </c>
    </row>
    <row r="974" spans="1:5" ht="33.75" x14ac:dyDescent="0.2">
      <c r="A974" s="65" t="s">
        <v>1092</v>
      </c>
      <c r="B974" s="65" t="s">
        <v>1093</v>
      </c>
      <c r="C974" s="67" t="s">
        <v>221</v>
      </c>
      <c r="D974" s="69" t="s">
        <v>1094</v>
      </c>
      <c r="E974" s="69" t="s">
        <v>1095</v>
      </c>
    </row>
    <row r="975" spans="1:5" ht="33.75" x14ac:dyDescent="0.2">
      <c r="A975" s="65" t="s">
        <v>1096</v>
      </c>
      <c r="B975" s="65" t="s">
        <v>1097</v>
      </c>
      <c r="C975" s="67" t="s">
        <v>221</v>
      </c>
      <c r="D975" s="69" t="s">
        <v>1098</v>
      </c>
      <c r="E975" s="69" t="s">
        <v>1099</v>
      </c>
    </row>
    <row r="976" spans="1:5" ht="33.75" x14ac:dyDescent="0.2">
      <c r="A976" s="65" t="s">
        <v>1100</v>
      </c>
      <c r="B976" s="65" t="s">
        <v>1101</v>
      </c>
      <c r="C976" s="67" t="s">
        <v>203</v>
      </c>
      <c r="D976" s="69" t="s">
        <v>1102</v>
      </c>
      <c r="E976" s="69" t="s">
        <v>1103</v>
      </c>
    </row>
    <row r="977" spans="1:5" ht="33.75" x14ac:dyDescent="0.2">
      <c r="A977" s="65" t="s">
        <v>1104</v>
      </c>
      <c r="B977" s="65" t="s">
        <v>1105</v>
      </c>
      <c r="C977" s="67" t="s">
        <v>203</v>
      </c>
      <c r="D977" s="69" t="s">
        <v>1106</v>
      </c>
      <c r="E977" s="69" t="s">
        <v>1107</v>
      </c>
    </row>
    <row r="978" spans="1:5" ht="33.75" x14ac:dyDescent="0.2">
      <c r="A978" s="65" t="s">
        <v>1108</v>
      </c>
      <c r="B978" s="65" t="s">
        <v>1109</v>
      </c>
      <c r="C978" s="67" t="s">
        <v>203</v>
      </c>
      <c r="D978" s="69" t="s">
        <v>1110</v>
      </c>
      <c r="E978" s="69" t="s">
        <v>1111</v>
      </c>
    </row>
    <row r="979" spans="1:5" ht="45" x14ac:dyDescent="0.2">
      <c r="A979" s="50">
        <v>16.399999999999999</v>
      </c>
      <c r="B979" s="64" t="s">
        <v>1112</v>
      </c>
      <c r="C979" s="47"/>
      <c r="D979" s="47"/>
      <c r="E979" s="47"/>
    </row>
    <row r="980" spans="1:5" ht="33.75" x14ac:dyDescent="0.2">
      <c r="A980" s="65" t="s">
        <v>1113</v>
      </c>
      <c r="B980" s="65" t="s">
        <v>1114</v>
      </c>
      <c r="C980" s="67" t="s">
        <v>221</v>
      </c>
      <c r="D980" s="69" t="s">
        <v>1115</v>
      </c>
      <c r="E980" s="69" t="s">
        <v>1116</v>
      </c>
    </row>
    <row r="981" spans="1:5" ht="33.75" x14ac:dyDescent="0.2">
      <c r="A981" s="65" t="s">
        <v>1117</v>
      </c>
      <c r="B981" s="65" t="s">
        <v>1118</v>
      </c>
      <c r="C981" s="67" t="s">
        <v>204</v>
      </c>
      <c r="D981" s="73"/>
      <c r="E981" s="69" t="s">
        <v>925</v>
      </c>
    </row>
    <row r="982" spans="1:5" ht="33.75" x14ac:dyDescent="0.2">
      <c r="A982" s="65" t="s">
        <v>1119</v>
      </c>
      <c r="B982" s="65" t="s">
        <v>1120</v>
      </c>
      <c r="C982" s="67" t="s">
        <v>204</v>
      </c>
      <c r="D982" s="73"/>
      <c r="E982" s="69" t="s">
        <v>925</v>
      </c>
    </row>
    <row r="983" spans="1:5" ht="45" x14ac:dyDescent="0.2">
      <c r="A983" s="65" t="s">
        <v>1121</v>
      </c>
      <c r="B983" s="65" t="s">
        <v>1122</v>
      </c>
      <c r="C983" s="67" t="s">
        <v>204</v>
      </c>
      <c r="D983" s="68"/>
      <c r="E983" s="69" t="s">
        <v>308</v>
      </c>
    </row>
    <row r="984" spans="1:5" ht="33.75" x14ac:dyDescent="0.2">
      <c r="A984" s="65" t="s">
        <v>1123</v>
      </c>
      <c r="B984" s="65" t="s">
        <v>1124</v>
      </c>
      <c r="C984" s="67" t="s">
        <v>204</v>
      </c>
      <c r="D984" s="73"/>
      <c r="E984" s="69" t="s">
        <v>387</v>
      </c>
    </row>
    <row r="985" spans="1:5" ht="45" x14ac:dyDescent="0.2">
      <c r="A985" s="65" t="s">
        <v>1125</v>
      </c>
      <c r="B985" s="65" t="s">
        <v>1126</v>
      </c>
      <c r="C985" s="67" t="s">
        <v>204</v>
      </c>
      <c r="D985" s="69" t="s">
        <v>782</v>
      </c>
      <c r="E985" s="69" t="s">
        <v>417</v>
      </c>
    </row>
    <row r="986" spans="1:5" ht="67.5" x14ac:dyDescent="0.2">
      <c r="A986" s="65" t="s">
        <v>1127</v>
      </c>
      <c r="B986" s="66" t="s">
        <v>1128</v>
      </c>
      <c r="C986" s="67" t="s">
        <v>204</v>
      </c>
      <c r="D986" s="69" t="s">
        <v>367</v>
      </c>
      <c r="E986" s="69" t="s">
        <v>1129</v>
      </c>
    </row>
    <row r="987" spans="1:5" ht="33.75" x14ac:dyDescent="0.2">
      <c r="A987" s="49">
        <v>17</v>
      </c>
      <c r="B987" s="64" t="s">
        <v>1130</v>
      </c>
      <c r="C987" s="47"/>
      <c r="D987" s="47"/>
      <c r="E987" s="47"/>
    </row>
    <row r="988" spans="1:5" ht="22.5" x14ac:dyDescent="0.2">
      <c r="A988" s="50">
        <v>17.010000000000002</v>
      </c>
      <c r="B988" s="64" t="s">
        <v>1131</v>
      </c>
      <c r="C988" s="47"/>
      <c r="D988" s="47"/>
      <c r="E988" s="47"/>
    </row>
    <row r="989" spans="1:5" ht="33.75" x14ac:dyDescent="0.2">
      <c r="A989" s="65" t="s">
        <v>1132</v>
      </c>
      <c r="B989" s="65" t="s">
        <v>1133</v>
      </c>
      <c r="C989" s="67" t="s">
        <v>228</v>
      </c>
      <c r="D989" s="69" t="s">
        <v>1134</v>
      </c>
      <c r="E989" s="69" t="s">
        <v>1136</v>
      </c>
    </row>
    <row r="990" spans="1:5" ht="33.75" x14ac:dyDescent="0.2">
      <c r="A990" s="65" t="s">
        <v>1137</v>
      </c>
      <c r="B990" s="65" t="s">
        <v>1138</v>
      </c>
      <c r="C990" s="67" t="s">
        <v>228</v>
      </c>
      <c r="D990" s="69" t="s">
        <v>1139</v>
      </c>
      <c r="E990" s="69" t="s">
        <v>1140</v>
      </c>
    </row>
    <row r="991" spans="1:5" ht="22.5" x14ac:dyDescent="0.2">
      <c r="A991" s="65" t="s">
        <v>1141</v>
      </c>
      <c r="B991" s="65" t="s">
        <v>1142</v>
      </c>
      <c r="C991" s="67" t="s">
        <v>228</v>
      </c>
      <c r="D991" s="69" t="s">
        <v>1143</v>
      </c>
      <c r="E991" s="69" t="s">
        <v>1144</v>
      </c>
    </row>
    <row r="992" spans="1:5" ht="33.75" x14ac:dyDescent="0.2">
      <c r="A992" s="65" t="s">
        <v>1145</v>
      </c>
      <c r="B992" s="65" t="s">
        <v>1146</v>
      </c>
      <c r="C992" s="67" t="s">
        <v>204</v>
      </c>
      <c r="D992" s="69" t="s">
        <v>375</v>
      </c>
      <c r="E992" s="69" t="s">
        <v>1147</v>
      </c>
    </row>
    <row r="993" spans="1:5" ht="33.75" x14ac:dyDescent="0.2">
      <c r="A993" s="65" t="s">
        <v>1148</v>
      </c>
      <c r="B993" s="65" t="s">
        <v>1149</v>
      </c>
      <c r="C993" s="67" t="s">
        <v>204</v>
      </c>
      <c r="D993" s="69" t="s">
        <v>1150</v>
      </c>
      <c r="E993" s="69" t="s">
        <v>1152</v>
      </c>
    </row>
    <row r="994" spans="1:5" ht="45" x14ac:dyDescent="0.2">
      <c r="A994" s="65" t="s">
        <v>1153</v>
      </c>
      <c r="B994" s="65" t="s">
        <v>1154</v>
      </c>
      <c r="C994" s="67" t="s">
        <v>228</v>
      </c>
      <c r="D994" s="69" t="s">
        <v>1155</v>
      </c>
      <c r="E994" s="69" t="s">
        <v>1156</v>
      </c>
    </row>
    <row r="995" spans="1:5" ht="22.5" x14ac:dyDescent="0.2">
      <c r="A995" s="50">
        <v>17.02</v>
      </c>
      <c r="B995" s="64" t="s">
        <v>1157</v>
      </c>
      <c r="C995" s="47"/>
      <c r="D995" s="47"/>
      <c r="E995" s="47"/>
    </row>
    <row r="996" spans="1:5" x14ac:dyDescent="0.2">
      <c r="A996" s="65" t="s">
        <v>1158</v>
      </c>
      <c r="B996" s="65" t="s">
        <v>1159</v>
      </c>
      <c r="C996" s="67" t="s">
        <v>204</v>
      </c>
      <c r="D996" s="69" t="s">
        <v>1160</v>
      </c>
      <c r="E996" s="69" t="s">
        <v>1162</v>
      </c>
    </row>
    <row r="997" spans="1:5" ht="22.5" x14ac:dyDescent="0.2">
      <c r="A997" s="65" t="s">
        <v>1163</v>
      </c>
      <c r="B997" s="65" t="s">
        <v>1164</v>
      </c>
      <c r="C997" s="67" t="s">
        <v>204</v>
      </c>
      <c r="D997" s="69" t="s">
        <v>1165</v>
      </c>
      <c r="E997" s="69" t="s">
        <v>292</v>
      </c>
    </row>
    <row r="998" spans="1:5" x14ac:dyDescent="0.2">
      <c r="A998" s="65" t="s">
        <v>1166</v>
      </c>
      <c r="B998" s="65" t="s">
        <v>1167</v>
      </c>
      <c r="C998" s="67" t="s">
        <v>204</v>
      </c>
      <c r="D998" s="69" t="s">
        <v>262</v>
      </c>
      <c r="E998" s="69" t="s">
        <v>1168</v>
      </c>
    </row>
    <row r="999" spans="1:5" ht="22.5" x14ac:dyDescent="0.2">
      <c r="A999" s="65" t="s">
        <v>1169</v>
      </c>
      <c r="B999" s="65" t="s">
        <v>1170</v>
      </c>
      <c r="C999" s="67" t="s">
        <v>204</v>
      </c>
      <c r="D999" s="69" t="s">
        <v>1171</v>
      </c>
      <c r="E999" s="69" t="s">
        <v>1172</v>
      </c>
    </row>
    <row r="1000" spans="1:5" ht="22.5" x14ac:dyDescent="0.2">
      <c r="A1000" s="65" t="s">
        <v>1173</v>
      </c>
      <c r="B1000" s="65" t="s">
        <v>1174</v>
      </c>
      <c r="C1000" s="67" t="s">
        <v>204</v>
      </c>
      <c r="D1000" s="69" t="s">
        <v>1175</v>
      </c>
      <c r="E1000" s="69" t="s">
        <v>1177</v>
      </c>
    </row>
    <row r="1001" spans="1:5" x14ac:dyDescent="0.2">
      <c r="A1001" s="65" t="s">
        <v>1178</v>
      </c>
      <c r="B1001" s="65" t="s">
        <v>1179</v>
      </c>
      <c r="C1001" s="67" t="s">
        <v>204</v>
      </c>
      <c r="D1001" s="69" t="s">
        <v>1180</v>
      </c>
      <c r="E1001" s="69" t="s">
        <v>1182</v>
      </c>
    </row>
    <row r="1002" spans="1:5" ht="33.75" x14ac:dyDescent="0.2">
      <c r="A1002" s="65" t="s">
        <v>1183</v>
      </c>
      <c r="B1002" s="65" t="s">
        <v>1184</v>
      </c>
      <c r="C1002" s="67" t="s">
        <v>204</v>
      </c>
      <c r="D1002" s="69" t="s">
        <v>1180</v>
      </c>
      <c r="E1002" s="69" t="s">
        <v>1185</v>
      </c>
    </row>
    <row r="1003" spans="1:5" ht="45" x14ac:dyDescent="0.2">
      <c r="A1003" s="65" t="s">
        <v>1186</v>
      </c>
      <c r="B1003" s="65" t="s">
        <v>1187</v>
      </c>
      <c r="C1003" s="67" t="s">
        <v>204</v>
      </c>
      <c r="D1003" s="69" t="s">
        <v>1188</v>
      </c>
      <c r="E1003" s="69" t="s">
        <v>1190</v>
      </c>
    </row>
    <row r="1004" spans="1:5" x14ac:dyDescent="0.2">
      <c r="A1004" s="65" t="s">
        <v>1191</v>
      </c>
      <c r="B1004" s="65" t="s">
        <v>1192</v>
      </c>
      <c r="C1004" s="67" t="s">
        <v>204</v>
      </c>
      <c r="D1004" s="69" t="s">
        <v>1193</v>
      </c>
      <c r="E1004" s="69" t="s">
        <v>1194</v>
      </c>
    </row>
    <row r="1005" spans="1:5" ht="33.75" x14ac:dyDescent="0.2">
      <c r="A1005" s="65" t="s">
        <v>1195</v>
      </c>
      <c r="B1005" s="65" t="s">
        <v>1196</v>
      </c>
      <c r="C1005" s="67" t="s">
        <v>204</v>
      </c>
      <c r="D1005" s="69" t="s">
        <v>1197</v>
      </c>
      <c r="E1005" s="69" t="s">
        <v>1198</v>
      </c>
    </row>
    <row r="1006" spans="1:5" ht="22.5" x14ac:dyDescent="0.2">
      <c r="A1006" s="50">
        <v>17.03</v>
      </c>
      <c r="B1006" s="64" t="s">
        <v>1199</v>
      </c>
      <c r="C1006" s="47"/>
      <c r="D1006" s="47"/>
      <c r="E1006" s="47"/>
    </row>
    <row r="1007" spans="1:5" ht="22.5" x14ac:dyDescent="0.2">
      <c r="A1007" s="65" t="s">
        <v>1200</v>
      </c>
      <c r="B1007" s="65" t="s">
        <v>1201</v>
      </c>
      <c r="C1007" s="67" t="s">
        <v>204</v>
      </c>
      <c r="D1007" s="69" t="s">
        <v>1202</v>
      </c>
      <c r="E1007" s="69" t="s">
        <v>1203</v>
      </c>
    </row>
    <row r="1008" spans="1:5" ht="33.75" x14ac:dyDescent="0.2">
      <c r="A1008" s="65" t="s">
        <v>1204</v>
      </c>
      <c r="B1008" s="65" t="s">
        <v>1205</v>
      </c>
      <c r="C1008" s="67" t="s">
        <v>204</v>
      </c>
      <c r="D1008" s="69" t="s">
        <v>1206</v>
      </c>
      <c r="E1008" s="69" t="s">
        <v>1207</v>
      </c>
    </row>
    <row r="1009" spans="1:5" ht="45" x14ac:dyDescent="0.2">
      <c r="A1009" s="65" t="s">
        <v>1208</v>
      </c>
      <c r="B1009" s="65" t="s">
        <v>1209</v>
      </c>
      <c r="C1009" s="67" t="s">
        <v>204</v>
      </c>
      <c r="D1009" s="69" t="s">
        <v>1210</v>
      </c>
      <c r="E1009" s="69" t="s">
        <v>1211</v>
      </c>
    </row>
    <row r="1010" spans="1:5" ht="22.5" x14ac:dyDescent="0.2">
      <c r="A1010" s="65" t="s">
        <v>1212</v>
      </c>
      <c r="B1010" s="65" t="s">
        <v>1213</v>
      </c>
      <c r="C1010" s="67" t="s">
        <v>204</v>
      </c>
      <c r="D1010" s="69" t="s">
        <v>1202</v>
      </c>
      <c r="E1010" s="69" t="s">
        <v>1214</v>
      </c>
    </row>
    <row r="1011" spans="1:5" ht="22.5" x14ac:dyDescent="0.2">
      <c r="A1011" s="65" t="s">
        <v>1215</v>
      </c>
      <c r="B1011" s="65" t="s">
        <v>1216</v>
      </c>
      <c r="C1011" s="67" t="s">
        <v>204</v>
      </c>
      <c r="D1011" s="69" t="s">
        <v>1202</v>
      </c>
      <c r="E1011" s="69" t="s">
        <v>1217</v>
      </c>
    </row>
    <row r="1012" spans="1:5" ht="22.5" x14ac:dyDescent="0.2">
      <c r="A1012" s="65" t="s">
        <v>1218</v>
      </c>
      <c r="B1012" s="65" t="s">
        <v>1219</v>
      </c>
      <c r="C1012" s="67" t="s">
        <v>221</v>
      </c>
      <c r="D1012" s="69" t="s">
        <v>1220</v>
      </c>
      <c r="E1012" s="69" t="s">
        <v>1222</v>
      </c>
    </row>
    <row r="1013" spans="1:5" ht="56.25" x14ac:dyDescent="0.2">
      <c r="A1013" s="65" t="s">
        <v>1223</v>
      </c>
      <c r="B1013" s="65" t="s">
        <v>1224</v>
      </c>
      <c r="C1013" s="67" t="s">
        <v>221</v>
      </c>
      <c r="D1013" s="69" t="s">
        <v>1225</v>
      </c>
      <c r="E1013" s="69" t="s">
        <v>1227</v>
      </c>
    </row>
    <row r="1014" spans="1:5" ht="56.25" x14ac:dyDescent="0.2">
      <c r="A1014" s="65" t="s">
        <v>1228</v>
      </c>
      <c r="B1014" s="65" t="s">
        <v>1229</v>
      </c>
      <c r="C1014" s="67" t="s">
        <v>221</v>
      </c>
      <c r="D1014" s="69" t="s">
        <v>1230</v>
      </c>
      <c r="E1014" s="69" t="s">
        <v>360</v>
      </c>
    </row>
    <row r="1015" spans="1:5" ht="56.25" x14ac:dyDescent="0.2">
      <c r="A1015" s="65" t="s">
        <v>1231</v>
      </c>
      <c r="B1015" s="65" t="s">
        <v>1232</v>
      </c>
      <c r="C1015" s="67" t="s">
        <v>221</v>
      </c>
      <c r="D1015" s="69" t="s">
        <v>1233</v>
      </c>
      <c r="E1015" s="69" t="s">
        <v>1234</v>
      </c>
    </row>
    <row r="1016" spans="1:5" ht="56.25" x14ac:dyDescent="0.2">
      <c r="A1016" s="65" t="s">
        <v>1235</v>
      </c>
      <c r="B1016" s="65" t="s">
        <v>1236</v>
      </c>
      <c r="C1016" s="67" t="s">
        <v>221</v>
      </c>
      <c r="D1016" s="69" t="s">
        <v>1237</v>
      </c>
      <c r="E1016" s="69" t="s">
        <v>1238</v>
      </c>
    </row>
    <row r="1017" spans="1:5" ht="22.5" x14ac:dyDescent="0.2">
      <c r="A1017" s="50">
        <v>17.04</v>
      </c>
      <c r="B1017" s="64" t="s">
        <v>1239</v>
      </c>
      <c r="C1017" s="47"/>
      <c r="D1017" s="47"/>
      <c r="E1017" s="47"/>
    </row>
    <row r="1018" spans="1:5" ht="45" x14ac:dyDescent="0.2">
      <c r="A1018" s="65" t="s">
        <v>1240</v>
      </c>
      <c r="B1018" s="65" t="s">
        <v>1241</v>
      </c>
      <c r="C1018" s="67" t="s">
        <v>204</v>
      </c>
      <c r="D1018" s="69" t="s">
        <v>227</v>
      </c>
      <c r="E1018" s="69" t="s">
        <v>1243</v>
      </c>
    </row>
    <row r="1019" spans="1:5" ht="45" x14ac:dyDescent="0.2">
      <c r="A1019" s="65" t="s">
        <v>1244</v>
      </c>
      <c r="B1019" s="65" t="s">
        <v>1245</v>
      </c>
      <c r="C1019" s="67" t="s">
        <v>204</v>
      </c>
      <c r="D1019" s="69" t="s">
        <v>1246</v>
      </c>
      <c r="E1019" s="69" t="s">
        <v>346</v>
      </c>
    </row>
    <row r="1020" spans="1:5" ht="22.5" x14ac:dyDescent="0.2">
      <c r="A1020" s="50">
        <v>17.05</v>
      </c>
      <c r="B1020" s="64" t="s">
        <v>1247</v>
      </c>
      <c r="C1020" s="47"/>
      <c r="D1020" s="47"/>
      <c r="E1020" s="47"/>
    </row>
    <row r="1021" spans="1:5" ht="33.75" x14ac:dyDescent="0.2">
      <c r="A1021" s="65" t="s">
        <v>1248</v>
      </c>
      <c r="B1021" s="65" t="s">
        <v>1249</v>
      </c>
      <c r="C1021" s="67" t="s">
        <v>228</v>
      </c>
      <c r="D1021" s="69" t="s">
        <v>1250</v>
      </c>
      <c r="E1021" s="69" t="s">
        <v>1252</v>
      </c>
    </row>
    <row r="1022" spans="1:5" ht="45" x14ac:dyDescent="0.2">
      <c r="A1022" s="65" t="s">
        <v>1253</v>
      </c>
      <c r="B1022" s="65" t="s">
        <v>1254</v>
      </c>
      <c r="C1022" s="67" t="s">
        <v>228</v>
      </c>
      <c r="D1022" s="69" t="s">
        <v>1255</v>
      </c>
      <c r="E1022" s="69" t="s">
        <v>1256</v>
      </c>
    </row>
    <row r="1023" spans="1:5" ht="45" x14ac:dyDescent="0.2">
      <c r="A1023" s="65" t="s">
        <v>1257</v>
      </c>
      <c r="B1023" s="65" t="s">
        <v>1258</v>
      </c>
      <c r="C1023" s="67" t="s">
        <v>228</v>
      </c>
      <c r="D1023" s="69" t="s">
        <v>1259</v>
      </c>
      <c r="E1023" s="69" t="s">
        <v>1260</v>
      </c>
    </row>
    <row r="1024" spans="1:5" ht="22.5" x14ac:dyDescent="0.2">
      <c r="A1024" s="65" t="s">
        <v>1261</v>
      </c>
      <c r="B1024" s="65" t="s">
        <v>1262</v>
      </c>
      <c r="C1024" s="67" t="s">
        <v>221</v>
      </c>
      <c r="D1024" s="69" t="s">
        <v>1263</v>
      </c>
      <c r="E1024" s="69" t="s">
        <v>1265</v>
      </c>
    </row>
    <row r="1025" spans="1:5" ht="22.5" x14ac:dyDescent="0.2">
      <c r="A1025" s="65" t="s">
        <v>1266</v>
      </c>
      <c r="B1025" s="65" t="s">
        <v>1267</v>
      </c>
      <c r="C1025" s="67" t="s">
        <v>221</v>
      </c>
      <c r="D1025" s="69" t="s">
        <v>1268</v>
      </c>
      <c r="E1025" s="69" t="s">
        <v>1270</v>
      </c>
    </row>
    <row r="1026" spans="1:5" ht="33.75" x14ac:dyDescent="0.2">
      <c r="A1026" s="50">
        <v>17.100000000000001</v>
      </c>
      <c r="B1026" s="64" t="s">
        <v>1271</v>
      </c>
      <c r="C1026" s="47"/>
      <c r="D1026" s="47"/>
      <c r="E1026" s="47"/>
    </row>
    <row r="1027" spans="1:5" ht="22.5" x14ac:dyDescent="0.2">
      <c r="A1027" s="65" t="s">
        <v>1272</v>
      </c>
      <c r="B1027" s="65" t="s">
        <v>1273</v>
      </c>
      <c r="C1027" s="67" t="s">
        <v>204</v>
      </c>
      <c r="D1027" s="69" t="s">
        <v>1274</v>
      </c>
      <c r="E1027" s="69" t="s">
        <v>1275</v>
      </c>
    </row>
    <row r="1028" spans="1:5" ht="22.5" x14ac:dyDescent="0.2">
      <c r="A1028" s="65" t="s">
        <v>1276</v>
      </c>
      <c r="B1028" s="65" t="s">
        <v>1277</v>
      </c>
      <c r="C1028" s="67" t="s">
        <v>221</v>
      </c>
      <c r="D1028" s="69" t="s">
        <v>1278</v>
      </c>
      <c r="E1028" s="69" t="s">
        <v>1279</v>
      </c>
    </row>
    <row r="1029" spans="1:5" ht="22.5" x14ac:dyDescent="0.2">
      <c r="A1029" s="65" t="s">
        <v>1280</v>
      </c>
      <c r="B1029" s="65" t="s">
        <v>1281</v>
      </c>
      <c r="C1029" s="67" t="s">
        <v>221</v>
      </c>
      <c r="D1029" s="69" t="s">
        <v>1282</v>
      </c>
      <c r="E1029" s="69" t="s">
        <v>1283</v>
      </c>
    </row>
    <row r="1030" spans="1:5" ht="33.75" x14ac:dyDescent="0.2">
      <c r="A1030" s="65" t="s">
        <v>1284</v>
      </c>
      <c r="B1030" s="65" t="s">
        <v>1285</v>
      </c>
      <c r="C1030" s="67" t="s">
        <v>221</v>
      </c>
      <c r="D1030" s="69" t="s">
        <v>1286</v>
      </c>
      <c r="E1030" s="69" t="s">
        <v>1287</v>
      </c>
    </row>
    <row r="1031" spans="1:5" ht="67.5" x14ac:dyDescent="0.2">
      <c r="A1031" s="65" t="s">
        <v>1288</v>
      </c>
      <c r="B1031" s="66" t="s">
        <v>1289</v>
      </c>
      <c r="C1031" s="67" t="s">
        <v>221</v>
      </c>
      <c r="D1031" s="69" t="s">
        <v>1290</v>
      </c>
      <c r="E1031" s="69" t="s">
        <v>1291</v>
      </c>
    </row>
    <row r="1032" spans="1:5" ht="45" x14ac:dyDescent="0.2">
      <c r="A1032" s="65" t="s">
        <v>1292</v>
      </c>
      <c r="B1032" s="65" t="s">
        <v>1293</v>
      </c>
      <c r="C1032" s="67" t="s">
        <v>204</v>
      </c>
      <c r="D1032" s="69" t="s">
        <v>1294</v>
      </c>
      <c r="E1032" s="69" t="s">
        <v>1295</v>
      </c>
    </row>
    <row r="1033" spans="1:5" ht="33.75" x14ac:dyDescent="0.2">
      <c r="A1033" s="50">
        <v>17.12</v>
      </c>
      <c r="B1033" s="64" t="s">
        <v>1296</v>
      </c>
      <c r="C1033" s="47"/>
      <c r="D1033" s="47"/>
      <c r="E1033" s="47"/>
    </row>
    <row r="1034" spans="1:5" ht="33.75" x14ac:dyDescent="0.2">
      <c r="A1034" s="65" t="s">
        <v>1297</v>
      </c>
      <c r="B1034" s="65" t="s">
        <v>1298</v>
      </c>
      <c r="C1034" s="67" t="s">
        <v>204</v>
      </c>
      <c r="D1034" s="69" t="s">
        <v>1299</v>
      </c>
      <c r="E1034" s="69" t="s">
        <v>1300</v>
      </c>
    </row>
    <row r="1035" spans="1:5" ht="33.75" x14ac:dyDescent="0.2">
      <c r="A1035" s="65" t="s">
        <v>1301</v>
      </c>
      <c r="B1035" s="65" t="s">
        <v>1302</v>
      </c>
      <c r="C1035" s="67" t="s">
        <v>221</v>
      </c>
      <c r="D1035" s="69" t="s">
        <v>1303</v>
      </c>
      <c r="E1035" s="69" t="s">
        <v>1304</v>
      </c>
    </row>
    <row r="1036" spans="1:5" ht="22.5" x14ac:dyDescent="0.2">
      <c r="A1036" s="65" t="s">
        <v>1305</v>
      </c>
      <c r="B1036" s="65" t="s">
        <v>1306</v>
      </c>
      <c r="C1036" s="67" t="s">
        <v>221</v>
      </c>
      <c r="D1036" s="69" t="s">
        <v>1307</v>
      </c>
      <c r="E1036" s="69" t="s">
        <v>1308</v>
      </c>
    </row>
    <row r="1037" spans="1:5" ht="22.5" x14ac:dyDescent="0.2">
      <c r="A1037" s="65" t="s">
        <v>1309</v>
      </c>
      <c r="B1037" s="65" t="s">
        <v>1310</v>
      </c>
      <c r="C1037" s="67" t="s">
        <v>221</v>
      </c>
      <c r="D1037" s="69" t="s">
        <v>1311</v>
      </c>
      <c r="E1037" s="69" t="s">
        <v>1312</v>
      </c>
    </row>
    <row r="1038" spans="1:5" ht="45" x14ac:dyDescent="0.2">
      <c r="A1038" s="65" t="s">
        <v>1313</v>
      </c>
      <c r="B1038" s="65" t="s">
        <v>1314</v>
      </c>
      <c r="C1038" s="67" t="s">
        <v>221</v>
      </c>
      <c r="D1038" s="69" t="s">
        <v>1315</v>
      </c>
      <c r="E1038" s="69" t="s">
        <v>1316</v>
      </c>
    </row>
    <row r="1039" spans="1:5" ht="33.75" x14ac:dyDescent="0.2">
      <c r="A1039" s="50">
        <v>17.2</v>
      </c>
      <c r="B1039" s="64" t="s">
        <v>1317</v>
      </c>
      <c r="C1039" s="47"/>
      <c r="D1039" s="47"/>
      <c r="E1039" s="47"/>
    </row>
    <row r="1040" spans="1:5" x14ac:dyDescent="0.2">
      <c r="A1040" s="65" t="s">
        <v>1318</v>
      </c>
      <c r="B1040" s="65" t="s">
        <v>1319</v>
      </c>
      <c r="C1040" s="67" t="s">
        <v>204</v>
      </c>
      <c r="D1040" s="69" t="s">
        <v>1320</v>
      </c>
      <c r="E1040" s="69" t="s">
        <v>1321</v>
      </c>
    </row>
    <row r="1041" spans="1:5" ht="56.25" x14ac:dyDescent="0.2">
      <c r="A1041" s="65" t="s">
        <v>1322</v>
      </c>
      <c r="B1041" s="66" t="s">
        <v>1323</v>
      </c>
      <c r="C1041" s="67" t="s">
        <v>221</v>
      </c>
      <c r="D1041" s="69" t="s">
        <v>1324</v>
      </c>
      <c r="E1041" s="69" t="s">
        <v>1325</v>
      </c>
    </row>
    <row r="1042" spans="1:5" ht="56.25" x14ac:dyDescent="0.2">
      <c r="A1042" s="65" t="s">
        <v>1326</v>
      </c>
      <c r="B1042" s="66" t="s">
        <v>1327</v>
      </c>
      <c r="C1042" s="67" t="s">
        <v>221</v>
      </c>
      <c r="D1042" s="69" t="s">
        <v>1194</v>
      </c>
      <c r="E1042" s="69" t="s">
        <v>1194</v>
      </c>
    </row>
    <row r="1043" spans="1:5" ht="33.75" x14ac:dyDescent="0.2">
      <c r="A1043" s="65" t="s">
        <v>1328</v>
      </c>
      <c r="B1043" s="65" t="s">
        <v>1329</v>
      </c>
      <c r="C1043" s="67" t="s">
        <v>204</v>
      </c>
      <c r="D1043" s="69" t="s">
        <v>1330</v>
      </c>
      <c r="E1043" s="69" t="s">
        <v>1331</v>
      </c>
    </row>
    <row r="1044" spans="1:5" ht="45" x14ac:dyDescent="0.2">
      <c r="A1044" s="65" t="s">
        <v>1332</v>
      </c>
      <c r="B1044" s="65" t="s">
        <v>1333</v>
      </c>
      <c r="C1044" s="67" t="s">
        <v>204</v>
      </c>
      <c r="D1044" s="69" t="s">
        <v>1334</v>
      </c>
      <c r="E1044" s="69" t="s">
        <v>1336</v>
      </c>
    </row>
    <row r="1045" spans="1:5" ht="45" x14ac:dyDescent="0.2">
      <c r="A1045" s="50">
        <v>17.399999999999999</v>
      </c>
      <c r="B1045" s="64" t="s">
        <v>1337</v>
      </c>
      <c r="C1045" s="47"/>
      <c r="D1045" s="47"/>
      <c r="E1045" s="47"/>
    </row>
    <row r="1046" spans="1:5" ht="45" x14ac:dyDescent="0.2">
      <c r="A1046" s="65" t="s">
        <v>1338</v>
      </c>
      <c r="B1046" s="65" t="s">
        <v>1339</v>
      </c>
      <c r="C1046" s="67" t="s">
        <v>204</v>
      </c>
      <c r="D1046" s="69" t="s">
        <v>1340</v>
      </c>
      <c r="E1046" s="69" t="s">
        <v>1340</v>
      </c>
    </row>
    <row r="1047" spans="1:5" ht="56.25" x14ac:dyDescent="0.2">
      <c r="A1047" s="65" t="s">
        <v>1341</v>
      </c>
      <c r="B1047" s="66" t="s">
        <v>1342</v>
      </c>
      <c r="C1047" s="67" t="s">
        <v>204</v>
      </c>
      <c r="D1047" s="69" t="s">
        <v>1343</v>
      </c>
      <c r="E1047" s="69" t="s">
        <v>1343</v>
      </c>
    </row>
    <row r="1048" spans="1:5" ht="45" x14ac:dyDescent="0.2">
      <c r="A1048" s="65" t="s">
        <v>1344</v>
      </c>
      <c r="B1048" s="65" t="s">
        <v>1345</v>
      </c>
      <c r="C1048" s="67" t="s">
        <v>221</v>
      </c>
      <c r="D1048" s="69" t="s">
        <v>1346</v>
      </c>
      <c r="E1048" s="69" t="s">
        <v>1346</v>
      </c>
    </row>
    <row r="1049" spans="1:5" ht="45" x14ac:dyDescent="0.2">
      <c r="A1049" s="65" t="s">
        <v>1347</v>
      </c>
      <c r="B1049" s="65" t="s">
        <v>1348</v>
      </c>
      <c r="C1049" s="67" t="s">
        <v>221</v>
      </c>
      <c r="D1049" s="69" t="s">
        <v>1349</v>
      </c>
      <c r="E1049" s="69" t="s">
        <v>1349</v>
      </c>
    </row>
    <row r="1050" spans="1:5" ht="45" x14ac:dyDescent="0.2">
      <c r="A1050" s="65" t="s">
        <v>1350</v>
      </c>
      <c r="B1050" s="65" t="s">
        <v>1351</v>
      </c>
      <c r="C1050" s="67" t="s">
        <v>221</v>
      </c>
      <c r="D1050" s="68"/>
      <c r="E1050" s="69" t="s">
        <v>224</v>
      </c>
    </row>
    <row r="1051" spans="1:5" ht="22.5" x14ac:dyDescent="0.2">
      <c r="A1051" s="65" t="s">
        <v>1352</v>
      </c>
      <c r="B1051" s="65" t="s">
        <v>1353</v>
      </c>
      <c r="C1051" s="67" t="s">
        <v>204</v>
      </c>
      <c r="D1051" s="69" t="s">
        <v>1354</v>
      </c>
      <c r="E1051" s="69" t="s">
        <v>1356</v>
      </c>
    </row>
    <row r="1052" spans="1:5" ht="22.5" x14ac:dyDescent="0.2">
      <c r="A1052" s="65" t="s">
        <v>1357</v>
      </c>
      <c r="B1052" s="65" t="s">
        <v>1358</v>
      </c>
      <c r="C1052" s="67" t="s">
        <v>204</v>
      </c>
      <c r="D1052" s="69" t="s">
        <v>1359</v>
      </c>
      <c r="E1052" s="69" t="s">
        <v>1360</v>
      </c>
    </row>
    <row r="1053" spans="1:5" ht="22.5" x14ac:dyDescent="0.2">
      <c r="A1053" s="65" t="s">
        <v>1361</v>
      </c>
      <c r="B1053" s="65" t="s">
        <v>1362</v>
      </c>
      <c r="C1053" s="67" t="s">
        <v>221</v>
      </c>
      <c r="D1053" s="69" t="s">
        <v>1363</v>
      </c>
      <c r="E1053" s="69" t="s">
        <v>1365</v>
      </c>
    </row>
    <row r="1054" spans="1:5" ht="22.5" x14ac:dyDescent="0.2">
      <c r="A1054" s="65" t="s">
        <v>1366</v>
      </c>
      <c r="B1054" s="65" t="s">
        <v>1367</v>
      </c>
      <c r="C1054" s="67" t="s">
        <v>221</v>
      </c>
      <c r="D1054" s="69" t="s">
        <v>1368</v>
      </c>
      <c r="E1054" s="69" t="s">
        <v>1369</v>
      </c>
    </row>
    <row r="1055" spans="1:5" ht="22.5" x14ac:dyDescent="0.2">
      <c r="A1055" s="49">
        <v>18</v>
      </c>
      <c r="B1055" s="64" t="s">
        <v>1370</v>
      </c>
      <c r="C1055" s="47"/>
      <c r="D1055" s="47"/>
      <c r="E1055" s="47"/>
    </row>
    <row r="1056" spans="1:5" ht="22.5" x14ac:dyDescent="0.2">
      <c r="A1056" s="50">
        <v>18.05</v>
      </c>
      <c r="B1056" s="64" t="s">
        <v>1371</v>
      </c>
      <c r="C1056" s="47"/>
      <c r="D1056" s="47"/>
      <c r="E1056" s="47"/>
    </row>
    <row r="1057" spans="1:5" ht="56.25" x14ac:dyDescent="0.2">
      <c r="A1057" s="65" t="s">
        <v>1372</v>
      </c>
      <c r="B1057" s="66" t="s">
        <v>1373</v>
      </c>
      <c r="C1057" s="67" t="s">
        <v>204</v>
      </c>
      <c r="D1057" s="69" t="s">
        <v>1374</v>
      </c>
      <c r="E1057" s="69" t="s">
        <v>1376</v>
      </c>
    </row>
    <row r="1058" spans="1:5" ht="22.5" x14ac:dyDescent="0.2">
      <c r="A1058" s="50">
        <v>18.059999999999999</v>
      </c>
      <c r="B1058" s="64" t="s">
        <v>1377</v>
      </c>
      <c r="C1058" s="47"/>
      <c r="D1058" s="47"/>
      <c r="E1058" s="47"/>
    </row>
    <row r="1059" spans="1:5" ht="90" x14ac:dyDescent="0.2">
      <c r="A1059" s="70" t="s">
        <v>1378</v>
      </c>
      <c r="B1059" s="66" t="s">
        <v>1379</v>
      </c>
      <c r="C1059" s="71" t="s">
        <v>204</v>
      </c>
      <c r="D1059" s="72" t="s">
        <v>1380</v>
      </c>
      <c r="E1059" s="72" t="s">
        <v>1382</v>
      </c>
    </row>
    <row r="1060" spans="1:5" ht="101.25" x14ac:dyDescent="0.2">
      <c r="A1060" s="70" t="s">
        <v>1383</v>
      </c>
      <c r="B1060" s="66" t="s">
        <v>1384</v>
      </c>
      <c r="C1060" s="71" t="s">
        <v>221</v>
      </c>
      <c r="D1060" s="72" t="s">
        <v>1385</v>
      </c>
      <c r="E1060" s="72" t="s">
        <v>1176</v>
      </c>
    </row>
    <row r="1061" spans="1:5" ht="123.75" x14ac:dyDescent="0.2">
      <c r="A1061" s="65" t="s">
        <v>1387</v>
      </c>
      <c r="B1061" s="65" t="s">
        <v>1388</v>
      </c>
      <c r="C1061" s="67" t="s">
        <v>204</v>
      </c>
      <c r="D1061" s="69" t="s">
        <v>1389</v>
      </c>
      <c r="E1061" s="69" t="s">
        <v>1390</v>
      </c>
    </row>
    <row r="1062" spans="1:5" ht="123.75" x14ac:dyDescent="0.2">
      <c r="A1062" s="65" t="s">
        <v>1391</v>
      </c>
      <c r="B1062" s="65" t="s">
        <v>1392</v>
      </c>
      <c r="C1062" s="67" t="s">
        <v>221</v>
      </c>
      <c r="D1062" s="69" t="s">
        <v>1393</v>
      </c>
      <c r="E1062" s="69" t="s">
        <v>1394</v>
      </c>
    </row>
    <row r="1063" spans="1:5" ht="123.75" x14ac:dyDescent="0.2">
      <c r="A1063" s="70" t="s">
        <v>1395</v>
      </c>
      <c r="B1063" s="66" t="s">
        <v>1396</v>
      </c>
      <c r="C1063" s="71" t="s">
        <v>204</v>
      </c>
      <c r="D1063" s="72" t="s">
        <v>1397</v>
      </c>
      <c r="E1063" s="72" t="s">
        <v>1398</v>
      </c>
    </row>
    <row r="1064" spans="1:5" ht="123.75" x14ac:dyDescent="0.2">
      <c r="A1064" s="65" t="s">
        <v>1399</v>
      </c>
      <c r="B1064" s="65" t="s">
        <v>1400</v>
      </c>
      <c r="C1064" s="67" t="s">
        <v>221</v>
      </c>
      <c r="D1064" s="69" t="s">
        <v>1401</v>
      </c>
      <c r="E1064" s="69" t="s">
        <v>1220</v>
      </c>
    </row>
    <row r="1065" spans="1:5" ht="56.25" x14ac:dyDescent="0.2">
      <c r="A1065" s="65" t="s">
        <v>1402</v>
      </c>
      <c r="B1065" s="65" t="s">
        <v>1403</v>
      </c>
      <c r="C1065" s="67" t="s">
        <v>204</v>
      </c>
      <c r="D1065" s="69" t="s">
        <v>1404</v>
      </c>
      <c r="E1065" s="69" t="s">
        <v>1406</v>
      </c>
    </row>
    <row r="1066" spans="1:5" ht="56.25" x14ac:dyDescent="0.2">
      <c r="A1066" s="65" t="s">
        <v>1407</v>
      </c>
      <c r="B1066" s="66" t="s">
        <v>1408</v>
      </c>
      <c r="C1066" s="67" t="s">
        <v>204</v>
      </c>
      <c r="D1066" s="69" t="s">
        <v>1409</v>
      </c>
      <c r="E1066" s="69" t="s">
        <v>1411</v>
      </c>
    </row>
    <row r="1067" spans="1:5" ht="67.5" x14ac:dyDescent="0.2">
      <c r="A1067" s="65" t="s">
        <v>1412</v>
      </c>
      <c r="B1067" s="66" t="s">
        <v>1413</v>
      </c>
      <c r="C1067" s="67" t="s">
        <v>204</v>
      </c>
      <c r="D1067" s="69" t="s">
        <v>1414</v>
      </c>
      <c r="E1067" s="69" t="s">
        <v>1415</v>
      </c>
    </row>
    <row r="1068" spans="1:5" ht="56.25" x14ac:dyDescent="0.2">
      <c r="A1068" s="65" t="s">
        <v>1416</v>
      </c>
      <c r="B1068" s="66" t="s">
        <v>1417</v>
      </c>
      <c r="C1068" s="67" t="s">
        <v>204</v>
      </c>
      <c r="D1068" s="69" t="s">
        <v>1418</v>
      </c>
      <c r="E1068" s="69" t="s">
        <v>1419</v>
      </c>
    </row>
    <row r="1069" spans="1:5" ht="78.75" x14ac:dyDescent="0.2">
      <c r="A1069" s="65" t="s">
        <v>1420</v>
      </c>
      <c r="B1069" s="66" t="s">
        <v>1421</v>
      </c>
      <c r="C1069" s="67" t="s">
        <v>204</v>
      </c>
      <c r="D1069" s="69" t="s">
        <v>373</v>
      </c>
      <c r="E1069" s="69" t="s">
        <v>1422</v>
      </c>
    </row>
    <row r="1070" spans="1:5" ht="78.75" x14ac:dyDescent="0.2">
      <c r="A1070" s="65" t="s">
        <v>1423</v>
      </c>
      <c r="B1070" s="66" t="s">
        <v>1424</v>
      </c>
      <c r="C1070" s="67" t="s">
        <v>221</v>
      </c>
      <c r="D1070" s="69" t="s">
        <v>374</v>
      </c>
      <c r="E1070" s="69" t="s">
        <v>1425</v>
      </c>
    </row>
    <row r="1071" spans="1:5" ht="90" x14ac:dyDescent="0.2">
      <c r="A1071" s="70" t="s">
        <v>1426</v>
      </c>
      <c r="B1071" s="65" t="s">
        <v>1427</v>
      </c>
      <c r="C1071" s="71" t="s">
        <v>221</v>
      </c>
      <c r="D1071" s="72" t="s">
        <v>1428</v>
      </c>
      <c r="E1071" s="72" t="s">
        <v>1429</v>
      </c>
    </row>
    <row r="1072" spans="1:5" ht="78.75" x14ac:dyDescent="0.2">
      <c r="A1072" s="65" t="s">
        <v>1430</v>
      </c>
      <c r="B1072" s="66" t="s">
        <v>1431</v>
      </c>
      <c r="C1072" s="67" t="s">
        <v>221</v>
      </c>
      <c r="D1072" s="69" t="s">
        <v>216</v>
      </c>
      <c r="E1072" s="69" t="s">
        <v>1432</v>
      </c>
    </row>
    <row r="1073" spans="1:5" ht="90" x14ac:dyDescent="0.2">
      <c r="A1073" s="70" t="s">
        <v>1433</v>
      </c>
      <c r="B1073" s="66" t="s">
        <v>1434</v>
      </c>
      <c r="C1073" s="71" t="s">
        <v>221</v>
      </c>
      <c r="D1073" s="72" t="s">
        <v>214</v>
      </c>
      <c r="E1073" s="72" t="s">
        <v>1435</v>
      </c>
    </row>
    <row r="1074" spans="1:5" ht="33.75" x14ac:dyDescent="0.2">
      <c r="A1074" s="50">
        <v>18.07</v>
      </c>
      <c r="B1074" s="64" t="s">
        <v>1436</v>
      </c>
      <c r="C1074" s="47"/>
      <c r="D1074" s="47"/>
      <c r="E1074" s="47"/>
    </row>
    <row r="1075" spans="1:5" ht="123.75" x14ac:dyDescent="0.2">
      <c r="A1075" s="70" t="s">
        <v>1437</v>
      </c>
      <c r="B1075" s="66" t="s">
        <v>1438</v>
      </c>
      <c r="C1075" s="71" t="s">
        <v>204</v>
      </c>
      <c r="D1075" s="72" t="s">
        <v>1439</v>
      </c>
      <c r="E1075" s="72" t="s">
        <v>1440</v>
      </c>
    </row>
    <row r="1076" spans="1:5" ht="112.5" x14ac:dyDescent="0.2">
      <c r="A1076" s="70" t="s">
        <v>1441</v>
      </c>
      <c r="B1076" s="66" t="s">
        <v>1442</v>
      </c>
      <c r="C1076" s="71" t="s">
        <v>204</v>
      </c>
      <c r="D1076" s="72" t="s">
        <v>1443</v>
      </c>
      <c r="E1076" s="72" t="s">
        <v>1444</v>
      </c>
    </row>
    <row r="1077" spans="1:5" ht="112.5" x14ac:dyDescent="0.2">
      <c r="A1077" s="70" t="s">
        <v>1445</v>
      </c>
      <c r="B1077" s="66" t="s">
        <v>1446</v>
      </c>
      <c r="C1077" s="71" t="s">
        <v>204</v>
      </c>
      <c r="D1077" s="72" t="s">
        <v>1447</v>
      </c>
      <c r="E1077" s="72" t="s">
        <v>1448</v>
      </c>
    </row>
    <row r="1078" spans="1:5" ht="123.75" x14ac:dyDescent="0.2">
      <c r="A1078" s="70" t="s">
        <v>1449</v>
      </c>
      <c r="B1078" s="66" t="s">
        <v>1450</v>
      </c>
      <c r="C1078" s="71" t="s">
        <v>221</v>
      </c>
      <c r="D1078" s="72" t="s">
        <v>1451</v>
      </c>
      <c r="E1078" s="72" t="s">
        <v>1452</v>
      </c>
    </row>
    <row r="1079" spans="1:5" ht="157.5" x14ac:dyDescent="0.2">
      <c r="A1079" s="65" t="s">
        <v>1453</v>
      </c>
      <c r="B1079" s="66" t="s">
        <v>1454</v>
      </c>
      <c r="C1079" s="67" t="s">
        <v>204</v>
      </c>
      <c r="D1079" s="69" t="s">
        <v>1455</v>
      </c>
      <c r="E1079" s="69" t="s">
        <v>1456</v>
      </c>
    </row>
    <row r="1080" spans="1:5" ht="157.5" x14ac:dyDescent="0.2">
      <c r="A1080" s="65" t="s">
        <v>1457</v>
      </c>
      <c r="B1080" s="66" t="s">
        <v>1458</v>
      </c>
      <c r="C1080" s="67" t="s">
        <v>221</v>
      </c>
      <c r="D1080" s="69" t="s">
        <v>1459</v>
      </c>
      <c r="E1080" s="69" t="s">
        <v>1460</v>
      </c>
    </row>
    <row r="1081" spans="1:5" ht="123.75" x14ac:dyDescent="0.2">
      <c r="A1081" s="70" t="s">
        <v>1461</v>
      </c>
      <c r="B1081" s="66" t="s">
        <v>1462</v>
      </c>
      <c r="C1081" s="71" t="s">
        <v>204</v>
      </c>
      <c r="D1081" s="72" t="s">
        <v>1463</v>
      </c>
      <c r="E1081" s="72" t="s">
        <v>1464</v>
      </c>
    </row>
    <row r="1082" spans="1:5" ht="112.5" x14ac:dyDescent="0.2">
      <c r="A1082" s="70" t="s">
        <v>1465</v>
      </c>
      <c r="B1082" s="66" t="s">
        <v>1466</v>
      </c>
      <c r="C1082" s="71" t="s">
        <v>204</v>
      </c>
      <c r="D1082" s="72" t="s">
        <v>940</v>
      </c>
      <c r="E1082" s="72" t="s">
        <v>1467</v>
      </c>
    </row>
    <row r="1083" spans="1:5" ht="112.5" x14ac:dyDescent="0.2">
      <c r="A1083" s="65" t="s">
        <v>1468</v>
      </c>
      <c r="B1083" s="65" t="s">
        <v>1469</v>
      </c>
      <c r="C1083" s="67" t="s">
        <v>204</v>
      </c>
      <c r="D1083" s="69" t="s">
        <v>1470</v>
      </c>
      <c r="E1083" s="69" t="s">
        <v>1471</v>
      </c>
    </row>
    <row r="1084" spans="1:5" ht="112.5" x14ac:dyDescent="0.2">
      <c r="A1084" s="70" t="s">
        <v>1472</v>
      </c>
      <c r="B1084" s="66" t="s">
        <v>1473</v>
      </c>
      <c r="C1084" s="71" t="s">
        <v>204</v>
      </c>
      <c r="D1084" s="72" t="s">
        <v>1474</v>
      </c>
      <c r="E1084" s="72" t="s">
        <v>1475</v>
      </c>
    </row>
    <row r="1085" spans="1:5" ht="135" x14ac:dyDescent="0.2">
      <c r="A1085" s="65" t="s">
        <v>1476</v>
      </c>
      <c r="B1085" s="65" t="s">
        <v>1477</v>
      </c>
      <c r="C1085" s="67" t="s">
        <v>204</v>
      </c>
      <c r="D1085" s="69" t="s">
        <v>1478</v>
      </c>
      <c r="E1085" s="69" t="s">
        <v>1479</v>
      </c>
    </row>
    <row r="1086" spans="1:5" ht="112.5" x14ac:dyDescent="0.2">
      <c r="A1086" s="65" t="s">
        <v>1480</v>
      </c>
      <c r="B1086" s="65" t="s">
        <v>1481</v>
      </c>
      <c r="C1086" s="67" t="s">
        <v>221</v>
      </c>
      <c r="D1086" s="69" t="s">
        <v>343</v>
      </c>
      <c r="E1086" s="69" t="s">
        <v>1482</v>
      </c>
    </row>
    <row r="1087" spans="1:5" ht="123.75" x14ac:dyDescent="0.2">
      <c r="A1087" s="65" t="s">
        <v>1483</v>
      </c>
      <c r="B1087" s="65" t="s">
        <v>1484</v>
      </c>
      <c r="C1087" s="67" t="s">
        <v>221</v>
      </c>
      <c r="D1087" s="69" t="s">
        <v>263</v>
      </c>
      <c r="E1087" s="69" t="s">
        <v>782</v>
      </c>
    </row>
    <row r="1088" spans="1:5" ht="22.5" x14ac:dyDescent="0.2">
      <c r="A1088" s="50">
        <v>18.079999999999998</v>
      </c>
      <c r="B1088" s="64" t="s">
        <v>1485</v>
      </c>
      <c r="C1088" s="47"/>
      <c r="D1088" s="47"/>
      <c r="E1088" s="47"/>
    </row>
    <row r="1089" spans="1:5" ht="135" x14ac:dyDescent="0.2">
      <c r="A1089" s="65" t="s">
        <v>1486</v>
      </c>
      <c r="B1089" s="65" t="s">
        <v>1487</v>
      </c>
      <c r="C1089" s="67" t="s">
        <v>204</v>
      </c>
      <c r="D1089" s="69" t="s">
        <v>1488</v>
      </c>
      <c r="E1089" s="69" t="s">
        <v>1489</v>
      </c>
    </row>
    <row r="1090" spans="1:5" ht="135" x14ac:dyDescent="0.2">
      <c r="A1090" s="70" t="s">
        <v>1490</v>
      </c>
      <c r="B1090" s="66" t="s">
        <v>1491</v>
      </c>
      <c r="C1090" s="71" t="s">
        <v>221</v>
      </c>
      <c r="D1090" s="72" t="s">
        <v>1492</v>
      </c>
      <c r="E1090" s="72" t="s">
        <v>1493</v>
      </c>
    </row>
    <row r="1091" spans="1:5" ht="123.75" x14ac:dyDescent="0.2">
      <c r="A1091" s="70" t="s">
        <v>1494</v>
      </c>
      <c r="B1091" s="66" t="s">
        <v>1495</v>
      </c>
      <c r="C1091" s="71" t="s">
        <v>204</v>
      </c>
      <c r="D1091" s="72" t="s">
        <v>1496</v>
      </c>
      <c r="E1091" s="72" t="s">
        <v>1497</v>
      </c>
    </row>
    <row r="1092" spans="1:5" ht="135" x14ac:dyDescent="0.2">
      <c r="A1092" s="70" t="s">
        <v>1498</v>
      </c>
      <c r="B1092" s="66" t="s">
        <v>1499</v>
      </c>
      <c r="C1092" s="71" t="s">
        <v>221</v>
      </c>
      <c r="D1092" s="72" t="s">
        <v>1500</v>
      </c>
      <c r="E1092" s="72" t="s">
        <v>1501</v>
      </c>
    </row>
    <row r="1093" spans="1:5" ht="146.25" x14ac:dyDescent="0.2">
      <c r="A1093" s="65" t="s">
        <v>1502</v>
      </c>
      <c r="B1093" s="65" t="s">
        <v>1503</v>
      </c>
      <c r="C1093" s="67" t="s">
        <v>204</v>
      </c>
      <c r="D1093" s="69" t="s">
        <v>269</v>
      </c>
      <c r="E1093" s="69" t="s">
        <v>1504</v>
      </c>
    </row>
    <row r="1094" spans="1:5" ht="146.25" x14ac:dyDescent="0.2">
      <c r="A1094" s="65" t="s">
        <v>1505</v>
      </c>
      <c r="B1094" s="65" t="s">
        <v>1506</v>
      </c>
      <c r="C1094" s="67" t="s">
        <v>221</v>
      </c>
      <c r="D1094" s="69" t="s">
        <v>847</v>
      </c>
      <c r="E1094" s="69" t="s">
        <v>1507</v>
      </c>
    </row>
    <row r="1095" spans="1:5" ht="101.25" x14ac:dyDescent="0.2">
      <c r="A1095" s="70" t="s">
        <v>1508</v>
      </c>
      <c r="B1095" s="66" t="s">
        <v>1509</v>
      </c>
      <c r="C1095" s="71" t="s">
        <v>204</v>
      </c>
      <c r="D1095" s="72" t="s">
        <v>1510</v>
      </c>
      <c r="E1095" s="72" t="s">
        <v>1511</v>
      </c>
    </row>
    <row r="1096" spans="1:5" ht="101.25" x14ac:dyDescent="0.2">
      <c r="A1096" s="70" t="s">
        <v>1512</v>
      </c>
      <c r="B1096" s="66" t="s">
        <v>1513</v>
      </c>
      <c r="C1096" s="71" t="s">
        <v>221</v>
      </c>
      <c r="D1096" s="72" t="s">
        <v>1514</v>
      </c>
      <c r="E1096" s="72" t="s">
        <v>1515</v>
      </c>
    </row>
    <row r="1097" spans="1:5" ht="123.75" x14ac:dyDescent="0.2">
      <c r="A1097" s="70" t="s">
        <v>1516</v>
      </c>
      <c r="B1097" s="66" t="s">
        <v>1517</v>
      </c>
      <c r="C1097" s="71" t="s">
        <v>204</v>
      </c>
      <c r="D1097" s="72" t="s">
        <v>1518</v>
      </c>
      <c r="E1097" s="72" t="s">
        <v>1519</v>
      </c>
    </row>
    <row r="1098" spans="1:5" ht="123.75" x14ac:dyDescent="0.2">
      <c r="A1098" s="70" t="s">
        <v>1520</v>
      </c>
      <c r="B1098" s="66" t="s">
        <v>1521</v>
      </c>
      <c r="C1098" s="71" t="s">
        <v>221</v>
      </c>
      <c r="D1098" s="72" t="s">
        <v>1522</v>
      </c>
      <c r="E1098" s="72" t="s">
        <v>390</v>
      </c>
    </row>
    <row r="1099" spans="1:5" ht="135" x14ac:dyDescent="0.2">
      <c r="A1099" s="65" t="s">
        <v>1523</v>
      </c>
      <c r="B1099" s="65" t="s">
        <v>1524</v>
      </c>
      <c r="C1099" s="67" t="s">
        <v>204</v>
      </c>
      <c r="D1099" s="69" t="s">
        <v>1525</v>
      </c>
      <c r="E1099" s="69" t="s">
        <v>1526</v>
      </c>
    </row>
    <row r="1100" spans="1:5" ht="112.5" x14ac:dyDescent="0.2">
      <c r="A1100" s="70" t="s">
        <v>1527</v>
      </c>
      <c r="B1100" s="66" t="s">
        <v>1528</v>
      </c>
      <c r="C1100" s="71" t="s">
        <v>221</v>
      </c>
      <c r="D1100" s="72" t="s">
        <v>1529</v>
      </c>
      <c r="E1100" s="72" t="s">
        <v>1530</v>
      </c>
    </row>
    <row r="1101" spans="1:5" ht="33.75" x14ac:dyDescent="0.2">
      <c r="A1101" s="50">
        <v>18.11</v>
      </c>
      <c r="B1101" s="64" t="s">
        <v>1531</v>
      </c>
      <c r="C1101" s="47"/>
      <c r="D1101" s="47"/>
      <c r="E1101" s="47"/>
    </row>
    <row r="1102" spans="1:5" ht="90" x14ac:dyDescent="0.2">
      <c r="A1102" s="65" t="s">
        <v>1532</v>
      </c>
      <c r="B1102" s="66" t="s">
        <v>1533</v>
      </c>
      <c r="C1102" s="67" t="s">
        <v>204</v>
      </c>
      <c r="D1102" s="69" t="s">
        <v>1534</v>
      </c>
      <c r="E1102" s="69" t="s">
        <v>1535</v>
      </c>
    </row>
    <row r="1103" spans="1:5" ht="78.75" x14ac:dyDescent="0.2">
      <c r="A1103" s="65" t="s">
        <v>1536</v>
      </c>
      <c r="B1103" s="66" t="s">
        <v>1537</v>
      </c>
      <c r="C1103" s="67" t="s">
        <v>204</v>
      </c>
      <c r="D1103" s="69" t="s">
        <v>1538</v>
      </c>
      <c r="E1103" s="69" t="s">
        <v>1539</v>
      </c>
    </row>
    <row r="1104" spans="1:5" ht="90" x14ac:dyDescent="0.2">
      <c r="A1104" s="70" t="s">
        <v>1540</v>
      </c>
      <c r="B1104" s="65" t="s">
        <v>1541</v>
      </c>
      <c r="C1104" s="71" t="s">
        <v>204</v>
      </c>
      <c r="D1104" s="72" t="s">
        <v>1542</v>
      </c>
      <c r="E1104" s="72" t="s">
        <v>1543</v>
      </c>
    </row>
    <row r="1105" spans="1:5" ht="90" x14ac:dyDescent="0.2">
      <c r="A1105" s="70" t="s">
        <v>1544</v>
      </c>
      <c r="B1105" s="65" t="s">
        <v>1545</v>
      </c>
      <c r="C1105" s="71" t="s">
        <v>204</v>
      </c>
      <c r="D1105" s="72" t="s">
        <v>1546</v>
      </c>
      <c r="E1105" s="72" t="s">
        <v>1547</v>
      </c>
    </row>
    <row r="1106" spans="1:5" ht="101.25" x14ac:dyDescent="0.2">
      <c r="A1106" s="70" t="s">
        <v>1548</v>
      </c>
      <c r="B1106" s="65" t="s">
        <v>1549</v>
      </c>
      <c r="C1106" s="71" t="s">
        <v>204</v>
      </c>
      <c r="D1106" s="72" t="s">
        <v>1550</v>
      </c>
      <c r="E1106" s="72" t="s">
        <v>1551</v>
      </c>
    </row>
    <row r="1107" spans="1:5" ht="22.5" x14ac:dyDescent="0.2">
      <c r="A1107" s="50">
        <v>18.12</v>
      </c>
      <c r="B1107" s="64" t="s">
        <v>1552</v>
      </c>
      <c r="C1107" s="47"/>
      <c r="D1107" s="47"/>
      <c r="E1107" s="47"/>
    </row>
    <row r="1108" spans="1:5" ht="90" x14ac:dyDescent="0.2">
      <c r="A1108" s="70" t="s">
        <v>1553</v>
      </c>
      <c r="B1108" s="65" t="s">
        <v>1554</v>
      </c>
      <c r="C1108" s="71" t="s">
        <v>204</v>
      </c>
      <c r="D1108" s="72" t="s">
        <v>1555</v>
      </c>
      <c r="E1108" s="72" t="s">
        <v>1557</v>
      </c>
    </row>
    <row r="1109" spans="1:5" ht="90" x14ac:dyDescent="0.2">
      <c r="A1109" s="70" t="s">
        <v>1558</v>
      </c>
      <c r="B1109" s="65" t="s">
        <v>1559</v>
      </c>
      <c r="C1109" s="71" t="s">
        <v>204</v>
      </c>
      <c r="D1109" s="72" t="s">
        <v>1560</v>
      </c>
      <c r="E1109" s="72" t="s">
        <v>1561</v>
      </c>
    </row>
    <row r="1110" spans="1:5" ht="90" x14ac:dyDescent="0.2">
      <c r="A1110" s="70" t="s">
        <v>1562</v>
      </c>
      <c r="B1110" s="65" t="s">
        <v>1563</v>
      </c>
      <c r="C1110" s="71" t="s">
        <v>204</v>
      </c>
      <c r="D1110" s="72" t="s">
        <v>1564</v>
      </c>
      <c r="E1110" s="72" t="s">
        <v>1565</v>
      </c>
    </row>
    <row r="1111" spans="1:5" ht="45" x14ac:dyDescent="0.2">
      <c r="A1111" s="50">
        <v>18.13</v>
      </c>
      <c r="B1111" s="64" t="s">
        <v>1566</v>
      </c>
      <c r="C1111" s="47"/>
      <c r="D1111" s="47"/>
      <c r="E1111" s="47"/>
    </row>
    <row r="1112" spans="1:5" ht="112.5" x14ac:dyDescent="0.2">
      <c r="A1112" s="70" t="s">
        <v>1567</v>
      </c>
      <c r="B1112" s="66" t="s">
        <v>1568</v>
      </c>
      <c r="C1112" s="71" t="s">
        <v>204</v>
      </c>
      <c r="D1112" s="72" t="s">
        <v>1569</v>
      </c>
      <c r="E1112" s="72" t="s">
        <v>1570</v>
      </c>
    </row>
    <row r="1113" spans="1:5" ht="112.5" x14ac:dyDescent="0.2">
      <c r="A1113" s="70" t="s">
        <v>1571</v>
      </c>
      <c r="B1113" s="66" t="s">
        <v>1572</v>
      </c>
      <c r="C1113" s="71" t="s">
        <v>204</v>
      </c>
      <c r="D1113" s="72" t="s">
        <v>1573</v>
      </c>
      <c r="E1113" s="72" t="s">
        <v>1574</v>
      </c>
    </row>
    <row r="1114" spans="1:5" ht="112.5" x14ac:dyDescent="0.2">
      <c r="A1114" s="70" t="s">
        <v>1575</v>
      </c>
      <c r="B1114" s="66" t="s">
        <v>1576</v>
      </c>
      <c r="C1114" s="71" t="s">
        <v>204</v>
      </c>
      <c r="D1114" s="72" t="s">
        <v>1577</v>
      </c>
      <c r="E1114" s="72" t="s">
        <v>1578</v>
      </c>
    </row>
    <row r="1115" spans="1:5" ht="22.5" x14ac:dyDescent="0.2">
      <c r="A1115" s="49">
        <v>19</v>
      </c>
      <c r="B1115" s="64" t="s">
        <v>1579</v>
      </c>
      <c r="C1115" s="47"/>
      <c r="D1115" s="47"/>
      <c r="E1115" s="47"/>
    </row>
    <row r="1116" spans="1:5" x14ac:dyDescent="0.2">
      <c r="A1116" s="50">
        <v>19.010000000000002</v>
      </c>
      <c r="B1116" s="64" t="s">
        <v>1580</v>
      </c>
      <c r="C1116" s="47"/>
      <c r="D1116" s="47"/>
      <c r="E1116" s="47"/>
    </row>
    <row r="1117" spans="1:5" ht="45" x14ac:dyDescent="0.2">
      <c r="A1117" s="65" t="s">
        <v>1581</v>
      </c>
      <c r="B1117" s="65" t="s">
        <v>1582</v>
      </c>
      <c r="C1117" s="67" t="s">
        <v>204</v>
      </c>
      <c r="D1117" s="69" t="s">
        <v>1583</v>
      </c>
      <c r="E1117" s="69" t="s">
        <v>1585</v>
      </c>
    </row>
    <row r="1118" spans="1:5" ht="56.25" x14ac:dyDescent="0.2">
      <c r="A1118" s="65" t="s">
        <v>1586</v>
      </c>
      <c r="B1118" s="66" t="s">
        <v>1587</v>
      </c>
      <c r="C1118" s="67" t="s">
        <v>221</v>
      </c>
      <c r="D1118" s="69" t="s">
        <v>1588</v>
      </c>
      <c r="E1118" s="69" t="s">
        <v>1590</v>
      </c>
    </row>
    <row r="1119" spans="1:5" ht="67.5" x14ac:dyDescent="0.2">
      <c r="A1119" s="65" t="s">
        <v>1591</v>
      </c>
      <c r="B1119" s="66" t="s">
        <v>1592</v>
      </c>
      <c r="C1119" s="67" t="s">
        <v>221</v>
      </c>
      <c r="D1119" s="69" t="s">
        <v>1593</v>
      </c>
      <c r="E1119" s="69" t="s">
        <v>1595</v>
      </c>
    </row>
    <row r="1120" spans="1:5" ht="45" x14ac:dyDescent="0.2">
      <c r="A1120" s="65" t="s">
        <v>1596</v>
      </c>
      <c r="B1120" s="65" t="s">
        <v>1597</v>
      </c>
      <c r="C1120" s="67" t="s">
        <v>221</v>
      </c>
      <c r="D1120" s="69" t="s">
        <v>1598</v>
      </c>
      <c r="E1120" s="69" t="s">
        <v>1600</v>
      </c>
    </row>
    <row r="1121" spans="1:5" ht="56.25" x14ac:dyDescent="0.2">
      <c r="A1121" s="65" t="s">
        <v>1601</v>
      </c>
      <c r="B1121" s="66" t="s">
        <v>1602</v>
      </c>
      <c r="C1121" s="67" t="s">
        <v>221</v>
      </c>
      <c r="D1121" s="69" t="s">
        <v>1603</v>
      </c>
      <c r="E1121" s="69" t="s">
        <v>1604</v>
      </c>
    </row>
    <row r="1122" spans="1:5" ht="56.25" x14ac:dyDescent="0.2">
      <c r="A1122" s="65" t="s">
        <v>1605</v>
      </c>
      <c r="B1122" s="66" t="s">
        <v>1606</v>
      </c>
      <c r="C1122" s="67" t="s">
        <v>221</v>
      </c>
      <c r="D1122" s="69" t="s">
        <v>1607</v>
      </c>
      <c r="E1122" s="69" t="s">
        <v>1608</v>
      </c>
    </row>
    <row r="1123" spans="1:5" ht="45" x14ac:dyDescent="0.2">
      <c r="A1123" s="65" t="s">
        <v>1609</v>
      </c>
      <c r="B1123" s="65" t="s">
        <v>1610</v>
      </c>
      <c r="C1123" s="67" t="s">
        <v>204</v>
      </c>
      <c r="D1123" s="69" t="s">
        <v>1611</v>
      </c>
      <c r="E1123" s="69" t="s">
        <v>1612</v>
      </c>
    </row>
    <row r="1124" spans="1:5" ht="56.25" x14ac:dyDescent="0.2">
      <c r="A1124" s="65" t="s">
        <v>1613</v>
      </c>
      <c r="B1124" s="66" t="s">
        <v>1614</v>
      </c>
      <c r="C1124" s="67" t="s">
        <v>221</v>
      </c>
      <c r="D1124" s="69" t="s">
        <v>1615</v>
      </c>
      <c r="E1124" s="69" t="s">
        <v>1616</v>
      </c>
    </row>
    <row r="1125" spans="1:5" ht="45" x14ac:dyDescent="0.2">
      <c r="A1125" s="65" t="s">
        <v>1617</v>
      </c>
      <c r="B1125" s="65" t="s">
        <v>1618</v>
      </c>
      <c r="C1125" s="67" t="s">
        <v>221</v>
      </c>
      <c r="D1125" s="69" t="s">
        <v>1619</v>
      </c>
      <c r="E1125" s="69" t="s">
        <v>1620</v>
      </c>
    </row>
    <row r="1126" spans="1:5" ht="67.5" x14ac:dyDescent="0.2">
      <c r="A1126" s="65" t="s">
        <v>1621</v>
      </c>
      <c r="B1126" s="66" t="s">
        <v>1622</v>
      </c>
      <c r="C1126" s="67" t="s">
        <v>221</v>
      </c>
      <c r="D1126" s="69" t="s">
        <v>1623</v>
      </c>
      <c r="E1126" s="69" t="s">
        <v>1624</v>
      </c>
    </row>
    <row r="1127" spans="1:5" x14ac:dyDescent="0.2">
      <c r="A1127" s="50">
        <v>19.02</v>
      </c>
      <c r="B1127" s="64" t="s">
        <v>1625</v>
      </c>
      <c r="C1127" s="47"/>
      <c r="D1127" s="47"/>
      <c r="E1127" s="47"/>
    </row>
    <row r="1128" spans="1:5" ht="56.25" x14ac:dyDescent="0.2">
      <c r="A1128" s="65" t="s">
        <v>1626</v>
      </c>
      <c r="B1128" s="66" t="s">
        <v>1627</v>
      </c>
      <c r="C1128" s="67" t="s">
        <v>204</v>
      </c>
      <c r="D1128" s="69" t="s">
        <v>1628</v>
      </c>
      <c r="E1128" s="69" t="s">
        <v>1629</v>
      </c>
    </row>
    <row r="1129" spans="1:5" ht="56.25" x14ac:dyDescent="0.2">
      <c r="A1129" s="65" t="s">
        <v>1630</v>
      </c>
      <c r="B1129" s="66" t="s">
        <v>1631</v>
      </c>
      <c r="C1129" s="67" t="s">
        <v>204</v>
      </c>
      <c r="D1129" s="69" t="s">
        <v>1632</v>
      </c>
      <c r="E1129" s="69" t="s">
        <v>1633</v>
      </c>
    </row>
    <row r="1130" spans="1:5" ht="56.25" x14ac:dyDescent="0.2">
      <c r="A1130" s="65" t="s">
        <v>1634</v>
      </c>
      <c r="B1130" s="66" t="s">
        <v>1635</v>
      </c>
      <c r="C1130" s="67" t="s">
        <v>204</v>
      </c>
      <c r="D1130" s="69" t="s">
        <v>1636</v>
      </c>
      <c r="E1130" s="69" t="s">
        <v>1638</v>
      </c>
    </row>
    <row r="1131" spans="1:5" ht="56.25" x14ac:dyDescent="0.2">
      <c r="A1131" s="65" t="s">
        <v>1639</v>
      </c>
      <c r="B1131" s="66" t="s">
        <v>1640</v>
      </c>
      <c r="C1131" s="67" t="s">
        <v>204</v>
      </c>
      <c r="D1131" s="69" t="s">
        <v>1641</v>
      </c>
      <c r="E1131" s="69" t="s">
        <v>1642</v>
      </c>
    </row>
    <row r="1132" spans="1:5" ht="33.75" x14ac:dyDescent="0.2">
      <c r="A1132" s="65" t="s">
        <v>1643</v>
      </c>
      <c r="B1132" s="65" t="s">
        <v>1644</v>
      </c>
      <c r="C1132" s="67" t="s">
        <v>221</v>
      </c>
      <c r="D1132" s="69" t="s">
        <v>1645</v>
      </c>
      <c r="E1132" s="69" t="s">
        <v>1647</v>
      </c>
    </row>
    <row r="1133" spans="1:5" ht="45" x14ac:dyDescent="0.2">
      <c r="A1133" s="65" t="s">
        <v>1648</v>
      </c>
      <c r="B1133" s="65" t="s">
        <v>1649</v>
      </c>
      <c r="C1133" s="67" t="s">
        <v>221</v>
      </c>
      <c r="D1133" s="69" t="s">
        <v>1650</v>
      </c>
      <c r="E1133" s="69" t="s">
        <v>1651</v>
      </c>
    </row>
    <row r="1134" spans="1:5" ht="45" x14ac:dyDescent="0.2">
      <c r="A1134" s="65" t="s">
        <v>1652</v>
      </c>
      <c r="B1134" s="65" t="s">
        <v>1653</v>
      </c>
      <c r="C1134" s="67" t="s">
        <v>221</v>
      </c>
      <c r="D1134" s="69" t="s">
        <v>1654</v>
      </c>
      <c r="E1134" s="69" t="s">
        <v>1655</v>
      </c>
    </row>
    <row r="1135" spans="1:5" x14ac:dyDescent="0.2">
      <c r="A1135" s="50">
        <v>19.03</v>
      </c>
      <c r="B1135" s="64" t="s">
        <v>1656</v>
      </c>
      <c r="C1135" s="47"/>
      <c r="D1135" s="47"/>
      <c r="E1135" s="47"/>
    </row>
    <row r="1136" spans="1:5" ht="33.75" x14ac:dyDescent="0.2">
      <c r="A1136" s="65" t="s">
        <v>1657</v>
      </c>
      <c r="B1136" s="65" t="s">
        <v>1658</v>
      </c>
      <c r="C1136" s="67" t="s">
        <v>204</v>
      </c>
      <c r="D1136" s="69" t="s">
        <v>1659</v>
      </c>
      <c r="E1136" s="69" t="s">
        <v>1660</v>
      </c>
    </row>
    <row r="1137" spans="1:5" ht="33.75" x14ac:dyDescent="0.2">
      <c r="A1137" s="65" t="s">
        <v>1661</v>
      </c>
      <c r="B1137" s="65" t="s">
        <v>1662</v>
      </c>
      <c r="C1137" s="67" t="s">
        <v>204</v>
      </c>
      <c r="D1137" s="69" t="s">
        <v>1663</v>
      </c>
      <c r="E1137" s="69" t="s">
        <v>1664</v>
      </c>
    </row>
    <row r="1138" spans="1:5" ht="22.5" x14ac:dyDescent="0.2">
      <c r="A1138" s="65" t="s">
        <v>1665</v>
      </c>
      <c r="B1138" s="65" t="s">
        <v>1666</v>
      </c>
      <c r="C1138" s="67" t="s">
        <v>204</v>
      </c>
      <c r="D1138" s="69" t="s">
        <v>1667</v>
      </c>
      <c r="E1138" s="69" t="s">
        <v>1669</v>
      </c>
    </row>
    <row r="1139" spans="1:5" ht="33.75" x14ac:dyDescent="0.2">
      <c r="A1139" s="65" t="s">
        <v>1670</v>
      </c>
      <c r="B1139" s="65" t="s">
        <v>1671</v>
      </c>
      <c r="C1139" s="67" t="s">
        <v>221</v>
      </c>
      <c r="D1139" s="69" t="s">
        <v>1672</v>
      </c>
      <c r="E1139" s="69" t="s">
        <v>1674</v>
      </c>
    </row>
    <row r="1140" spans="1:5" ht="33.75" x14ac:dyDescent="0.2">
      <c r="A1140" s="65" t="s">
        <v>1675</v>
      </c>
      <c r="B1140" s="65" t="s">
        <v>1676</v>
      </c>
      <c r="C1140" s="67" t="s">
        <v>221</v>
      </c>
      <c r="D1140" s="69" t="s">
        <v>1677</v>
      </c>
      <c r="E1140" s="69" t="s">
        <v>1679</v>
      </c>
    </row>
    <row r="1141" spans="1:5" ht="33.75" x14ac:dyDescent="0.2">
      <c r="A1141" s="65" t="s">
        <v>1680</v>
      </c>
      <c r="B1141" s="65" t="s">
        <v>1681</v>
      </c>
      <c r="C1141" s="67" t="s">
        <v>221</v>
      </c>
      <c r="D1141" s="69" t="s">
        <v>1682</v>
      </c>
      <c r="E1141" s="69" t="s">
        <v>1683</v>
      </c>
    </row>
    <row r="1142" spans="1:5" ht="33.75" x14ac:dyDescent="0.2">
      <c r="A1142" s="65" t="s">
        <v>1684</v>
      </c>
      <c r="B1142" s="65" t="s">
        <v>1685</v>
      </c>
      <c r="C1142" s="67" t="s">
        <v>204</v>
      </c>
      <c r="D1142" s="69" t="s">
        <v>1686</v>
      </c>
      <c r="E1142" s="69" t="s">
        <v>1688</v>
      </c>
    </row>
    <row r="1143" spans="1:5" ht="33.75" x14ac:dyDescent="0.2">
      <c r="A1143" s="65" t="s">
        <v>1689</v>
      </c>
      <c r="B1143" s="65" t="s">
        <v>1690</v>
      </c>
      <c r="C1143" s="67" t="s">
        <v>221</v>
      </c>
      <c r="D1143" s="69" t="s">
        <v>1691</v>
      </c>
      <c r="E1143" s="69" t="s">
        <v>1693</v>
      </c>
    </row>
    <row r="1144" spans="1:5" ht="45" x14ac:dyDescent="0.2">
      <c r="A1144" s="65" t="s">
        <v>1694</v>
      </c>
      <c r="B1144" s="65" t="s">
        <v>1695</v>
      </c>
      <c r="C1144" s="67" t="s">
        <v>221</v>
      </c>
      <c r="D1144" s="69" t="s">
        <v>1696</v>
      </c>
      <c r="E1144" s="69" t="s">
        <v>1697</v>
      </c>
    </row>
    <row r="1145" spans="1:5" ht="45" x14ac:dyDescent="0.2">
      <c r="A1145" s="50">
        <v>19.2</v>
      </c>
      <c r="B1145" s="64" t="s">
        <v>1698</v>
      </c>
      <c r="C1145" s="47"/>
      <c r="D1145" s="47"/>
      <c r="E1145" s="47"/>
    </row>
    <row r="1146" spans="1:5" ht="45" x14ac:dyDescent="0.2">
      <c r="A1146" s="65" t="s">
        <v>1699</v>
      </c>
      <c r="B1146" s="65" t="s">
        <v>1700</v>
      </c>
      <c r="C1146" s="67" t="s">
        <v>204</v>
      </c>
      <c r="D1146" s="69" t="s">
        <v>1701</v>
      </c>
      <c r="E1146" s="69" t="s">
        <v>1703</v>
      </c>
    </row>
    <row r="1147" spans="1:5" ht="22.5" x14ac:dyDescent="0.2">
      <c r="A1147" s="49">
        <v>20</v>
      </c>
      <c r="B1147" s="64" t="s">
        <v>1704</v>
      </c>
      <c r="C1147" s="47"/>
      <c r="D1147" s="47"/>
      <c r="E1147" s="47"/>
    </row>
    <row r="1148" spans="1:5" x14ac:dyDescent="0.2">
      <c r="A1148" s="50">
        <v>20.010000000000002</v>
      </c>
      <c r="B1148" s="64" t="s">
        <v>1705</v>
      </c>
      <c r="C1148" s="47"/>
      <c r="D1148" s="47"/>
      <c r="E1148" s="47"/>
    </row>
    <row r="1149" spans="1:5" ht="45" x14ac:dyDescent="0.2">
      <c r="A1149" s="65" t="s">
        <v>1706</v>
      </c>
      <c r="B1149" s="65" t="s">
        <v>1707</v>
      </c>
      <c r="C1149" s="67" t="s">
        <v>204</v>
      </c>
      <c r="D1149" s="69" t="s">
        <v>1708</v>
      </c>
      <c r="E1149" s="69" t="s">
        <v>1710</v>
      </c>
    </row>
    <row r="1150" spans="1:5" x14ac:dyDescent="0.2">
      <c r="A1150" s="50">
        <v>20.03</v>
      </c>
      <c r="B1150" s="64" t="s">
        <v>1711</v>
      </c>
      <c r="C1150" s="47"/>
      <c r="D1150" s="47"/>
      <c r="E1150" s="47"/>
    </row>
    <row r="1151" spans="1:5" ht="22.5" x14ac:dyDescent="0.2">
      <c r="A1151" s="65" t="s">
        <v>1712</v>
      </c>
      <c r="B1151" s="65" t="s">
        <v>1713</v>
      </c>
      <c r="C1151" s="67" t="s">
        <v>204</v>
      </c>
      <c r="D1151" s="69" t="s">
        <v>1714</v>
      </c>
      <c r="E1151" s="69" t="s">
        <v>1714</v>
      </c>
    </row>
    <row r="1152" spans="1:5" x14ac:dyDescent="0.2">
      <c r="A1152" s="50">
        <v>20.04</v>
      </c>
      <c r="B1152" s="64" t="s">
        <v>1715</v>
      </c>
      <c r="C1152" s="47"/>
      <c r="D1152" s="47"/>
      <c r="E1152" s="47"/>
    </row>
    <row r="1153" spans="1:5" ht="22.5" x14ac:dyDescent="0.2">
      <c r="A1153" s="65" t="s">
        <v>1716</v>
      </c>
      <c r="B1153" s="65" t="s">
        <v>1717</v>
      </c>
      <c r="C1153" s="67" t="s">
        <v>204</v>
      </c>
      <c r="D1153" s="69" t="s">
        <v>1718</v>
      </c>
      <c r="E1153" s="69" t="s">
        <v>1720</v>
      </c>
    </row>
    <row r="1154" spans="1:5" x14ac:dyDescent="0.2">
      <c r="A1154" s="50">
        <v>20.100000000000001</v>
      </c>
      <c r="B1154" s="64" t="s">
        <v>1721</v>
      </c>
      <c r="C1154" s="47"/>
      <c r="D1154" s="47"/>
      <c r="E1154" s="47"/>
    </row>
    <row r="1155" spans="1:5" ht="22.5" x14ac:dyDescent="0.2">
      <c r="A1155" s="65" t="s">
        <v>1722</v>
      </c>
      <c r="B1155" s="65" t="s">
        <v>1723</v>
      </c>
      <c r="C1155" s="67" t="s">
        <v>221</v>
      </c>
      <c r="D1155" s="69" t="s">
        <v>1724</v>
      </c>
      <c r="E1155" s="69" t="s">
        <v>1726</v>
      </c>
    </row>
    <row r="1156" spans="1:5" x14ac:dyDescent="0.2">
      <c r="A1156" s="65" t="s">
        <v>1727</v>
      </c>
      <c r="B1156" s="65" t="s">
        <v>1728</v>
      </c>
      <c r="C1156" s="67" t="s">
        <v>221</v>
      </c>
      <c r="D1156" s="69" t="s">
        <v>1729</v>
      </c>
      <c r="E1156" s="69" t="s">
        <v>1731</v>
      </c>
    </row>
    <row r="1157" spans="1:5" ht="45" x14ac:dyDescent="0.2">
      <c r="A1157" s="50">
        <v>20.2</v>
      </c>
      <c r="B1157" s="64" t="s">
        <v>1732</v>
      </c>
      <c r="C1157" s="47"/>
      <c r="D1157" s="47"/>
      <c r="E1157" s="47"/>
    </row>
    <row r="1158" spans="1:5" ht="22.5" x14ac:dyDescent="0.2">
      <c r="A1158" s="65" t="s">
        <v>1733</v>
      </c>
      <c r="B1158" s="65" t="s">
        <v>1734</v>
      </c>
      <c r="C1158" s="67" t="s">
        <v>204</v>
      </c>
      <c r="D1158" s="69" t="s">
        <v>210</v>
      </c>
      <c r="E1158" s="69" t="s">
        <v>776</v>
      </c>
    </row>
    <row r="1159" spans="1:5" ht="33.75" x14ac:dyDescent="0.2">
      <c r="A1159" s="65" t="s">
        <v>1735</v>
      </c>
      <c r="B1159" s="65" t="s">
        <v>1736</v>
      </c>
      <c r="C1159" s="67" t="s">
        <v>204</v>
      </c>
      <c r="D1159" s="69" t="s">
        <v>422</v>
      </c>
      <c r="E1159" s="69" t="s">
        <v>1737</v>
      </c>
    </row>
    <row r="1160" spans="1:5" ht="33.75" x14ac:dyDescent="0.2">
      <c r="A1160" s="65" t="s">
        <v>1738</v>
      </c>
      <c r="B1160" s="65" t="s">
        <v>1739</v>
      </c>
      <c r="C1160" s="67" t="s">
        <v>221</v>
      </c>
      <c r="D1160" s="69" t="s">
        <v>210</v>
      </c>
      <c r="E1160" s="69" t="s">
        <v>1741</v>
      </c>
    </row>
    <row r="1161" spans="1:5" ht="33.75" x14ac:dyDescent="0.2">
      <c r="A1161" s="65" t="s">
        <v>1742</v>
      </c>
      <c r="B1161" s="65" t="s">
        <v>1743</v>
      </c>
      <c r="C1161" s="67" t="s">
        <v>204</v>
      </c>
      <c r="D1161" s="69" t="s">
        <v>1019</v>
      </c>
      <c r="E1161" s="69" t="s">
        <v>1019</v>
      </c>
    </row>
    <row r="1162" spans="1:5" ht="33.75" x14ac:dyDescent="0.2">
      <c r="A1162" s="65" t="s">
        <v>1744</v>
      </c>
      <c r="B1162" s="65" t="s">
        <v>1745</v>
      </c>
      <c r="C1162" s="67" t="s">
        <v>204</v>
      </c>
      <c r="D1162" s="69" t="s">
        <v>1746</v>
      </c>
      <c r="E1162" s="69" t="s">
        <v>1746</v>
      </c>
    </row>
    <row r="1163" spans="1:5" ht="33.75" x14ac:dyDescent="0.2">
      <c r="A1163" s="49">
        <v>21</v>
      </c>
      <c r="B1163" s="64" t="s">
        <v>1747</v>
      </c>
      <c r="C1163" s="47"/>
      <c r="D1163" s="47"/>
      <c r="E1163" s="47"/>
    </row>
    <row r="1164" spans="1:5" ht="22.5" x14ac:dyDescent="0.2">
      <c r="A1164" s="50">
        <v>21.01</v>
      </c>
      <c r="B1164" s="64" t="s">
        <v>1748</v>
      </c>
      <c r="C1164" s="47"/>
      <c r="D1164" s="47"/>
      <c r="E1164" s="47"/>
    </row>
    <row r="1165" spans="1:5" ht="45" x14ac:dyDescent="0.2">
      <c r="A1165" s="65" t="s">
        <v>1749</v>
      </c>
      <c r="B1165" s="65" t="s">
        <v>1750</v>
      </c>
      <c r="C1165" s="67" t="s">
        <v>204</v>
      </c>
      <c r="D1165" s="69" t="s">
        <v>1751</v>
      </c>
      <c r="E1165" s="69" t="s">
        <v>1753</v>
      </c>
    </row>
    <row r="1166" spans="1:5" ht="45" x14ac:dyDescent="0.2">
      <c r="A1166" s="65" t="s">
        <v>1754</v>
      </c>
      <c r="B1166" s="65" t="s">
        <v>1755</v>
      </c>
      <c r="C1166" s="67" t="s">
        <v>204</v>
      </c>
      <c r="D1166" s="69" t="s">
        <v>1756</v>
      </c>
      <c r="E1166" s="69" t="s">
        <v>1756</v>
      </c>
    </row>
    <row r="1167" spans="1:5" ht="22.5" x14ac:dyDescent="0.2">
      <c r="A1167" s="50">
        <v>21.02</v>
      </c>
      <c r="B1167" s="64" t="s">
        <v>1757</v>
      </c>
      <c r="C1167" s="47"/>
      <c r="D1167" s="47"/>
      <c r="E1167" s="47"/>
    </row>
    <row r="1168" spans="1:5" ht="67.5" x14ac:dyDescent="0.2">
      <c r="A1168" s="65" t="s">
        <v>1758</v>
      </c>
      <c r="B1168" s="66" t="s">
        <v>1759</v>
      </c>
      <c r="C1168" s="67" t="s">
        <v>204</v>
      </c>
      <c r="D1168" s="69" t="s">
        <v>1760</v>
      </c>
      <c r="E1168" s="69" t="s">
        <v>1762</v>
      </c>
    </row>
    <row r="1169" spans="1:5" ht="67.5" x14ac:dyDescent="0.2">
      <c r="A1169" s="65" t="s">
        <v>1763</v>
      </c>
      <c r="B1169" s="66" t="s">
        <v>1764</v>
      </c>
      <c r="C1169" s="67" t="s">
        <v>204</v>
      </c>
      <c r="D1169" s="69" t="s">
        <v>1765</v>
      </c>
      <c r="E1169" s="69" t="s">
        <v>1766</v>
      </c>
    </row>
    <row r="1170" spans="1:5" ht="67.5" x14ac:dyDescent="0.2">
      <c r="A1170" s="65" t="s">
        <v>1767</v>
      </c>
      <c r="B1170" s="66" t="s">
        <v>1768</v>
      </c>
      <c r="C1170" s="67" t="s">
        <v>204</v>
      </c>
      <c r="D1170" s="69" t="s">
        <v>1769</v>
      </c>
      <c r="E1170" s="69" t="s">
        <v>1769</v>
      </c>
    </row>
    <row r="1171" spans="1:5" ht="78.75" x14ac:dyDescent="0.2">
      <c r="A1171" s="65" t="s">
        <v>1770</v>
      </c>
      <c r="B1171" s="66" t="s">
        <v>1771</v>
      </c>
      <c r="C1171" s="67" t="s">
        <v>204</v>
      </c>
      <c r="D1171" s="69" t="s">
        <v>1772</v>
      </c>
      <c r="E1171" s="69" t="s">
        <v>1773</v>
      </c>
    </row>
    <row r="1172" spans="1:5" ht="78.75" x14ac:dyDescent="0.2">
      <c r="A1172" s="65" t="s">
        <v>1774</v>
      </c>
      <c r="B1172" s="66" t="s">
        <v>1775</v>
      </c>
      <c r="C1172" s="67" t="s">
        <v>204</v>
      </c>
      <c r="D1172" s="69" t="s">
        <v>1776</v>
      </c>
      <c r="E1172" s="69" t="s">
        <v>1777</v>
      </c>
    </row>
    <row r="1173" spans="1:5" ht="78.75" x14ac:dyDescent="0.2">
      <c r="A1173" s="65" t="s">
        <v>1778</v>
      </c>
      <c r="B1173" s="66" t="s">
        <v>1779</v>
      </c>
      <c r="C1173" s="67" t="s">
        <v>204</v>
      </c>
      <c r="D1173" s="69" t="s">
        <v>1780</v>
      </c>
      <c r="E1173" s="69" t="s">
        <v>1781</v>
      </c>
    </row>
    <row r="1174" spans="1:5" ht="67.5" x14ac:dyDescent="0.2">
      <c r="A1174" s="65" t="s">
        <v>1782</v>
      </c>
      <c r="B1174" s="66" t="s">
        <v>1783</v>
      </c>
      <c r="C1174" s="67" t="s">
        <v>204</v>
      </c>
      <c r="D1174" s="69" t="s">
        <v>1784</v>
      </c>
      <c r="E1174" s="69" t="s">
        <v>1785</v>
      </c>
    </row>
    <row r="1175" spans="1:5" ht="78.75" x14ac:dyDescent="0.2">
      <c r="A1175" s="65" t="s">
        <v>1786</v>
      </c>
      <c r="B1175" s="66" t="s">
        <v>1787</v>
      </c>
      <c r="C1175" s="67" t="s">
        <v>204</v>
      </c>
      <c r="D1175" s="69" t="s">
        <v>1788</v>
      </c>
      <c r="E1175" s="69" t="s">
        <v>1789</v>
      </c>
    </row>
    <row r="1176" spans="1:5" ht="67.5" x14ac:dyDescent="0.2">
      <c r="A1176" s="65" t="s">
        <v>1790</v>
      </c>
      <c r="B1176" s="66" t="s">
        <v>1791</v>
      </c>
      <c r="C1176" s="67" t="s">
        <v>204</v>
      </c>
      <c r="D1176" s="69" t="s">
        <v>1792</v>
      </c>
      <c r="E1176" s="69" t="s">
        <v>1794</v>
      </c>
    </row>
    <row r="1177" spans="1:5" ht="22.5" x14ac:dyDescent="0.2">
      <c r="A1177" s="50">
        <v>21.03</v>
      </c>
      <c r="B1177" s="64" t="s">
        <v>1795</v>
      </c>
      <c r="C1177" s="47"/>
      <c r="D1177" s="47"/>
      <c r="E1177" s="47"/>
    </row>
    <row r="1178" spans="1:5" ht="90" x14ac:dyDescent="0.2">
      <c r="A1178" s="65" t="s">
        <v>1796</v>
      </c>
      <c r="B1178" s="66" t="s">
        <v>1797</v>
      </c>
      <c r="C1178" s="67" t="s">
        <v>204</v>
      </c>
      <c r="D1178" s="69" t="s">
        <v>1798</v>
      </c>
      <c r="E1178" s="69" t="s">
        <v>1798</v>
      </c>
    </row>
    <row r="1179" spans="1:5" ht="45" x14ac:dyDescent="0.2">
      <c r="A1179" s="65" t="s">
        <v>1799</v>
      </c>
      <c r="B1179" s="65" t="s">
        <v>1800</v>
      </c>
      <c r="C1179" s="67" t="s">
        <v>204</v>
      </c>
      <c r="D1179" s="69" t="s">
        <v>1801</v>
      </c>
      <c r="E1179" s="69" t="s">
        <v>1801</v>
      </c>
    </row>
    <row r="1180" spans="1:5" ht="67.5" x14ac:dyDescent="0.2">
      <c r="A1180" s="65" t="s">
        <v>1802</v>
      </c>
      <c r="B1180" s="66" t="s">
        <v>1803</v>
      </c>
      <c r="C1180" s="67" t="s">
        <v>204</v>
      </c>
      <c r="D1180" s="69" t="s">
        <v>1804</v>
      </c>
      <c r="E1180" s="69" t="s">
        <v>1804</v>
      </c>
    </row>
    <row r="1181" spans="1:5" ht="78.75" x14ac:dyDescent="0.2">
      <c r="A1181" s="65" t="s">
        <v>1805</v>
      </c>
      <c r="B1181" s="66" t="s">
        <v>1806</v>
      </c>
      <c r="C1181" s="67" t="s">
        <v>204</v>
      </c>
      <c r="D1181" s="69" t="s">
        <v>1807</v>
      </c>
      <c r="E1181" s="69" t="s">
        <v>1807</v>
      </c>
    </row>
    <row r="1182" spans="1:5" x14ac:dyDescent="0.2">
      <c r="A1182" s="50">
        <v>21.04</v>
      </c>
      <c r="B1182" s="64" t="s">
        <v>1808</v>
      </c>
      <c r="C1182" s="47"/>
      <c r="D1182" s="47"/>
      <c r="E1182" s="47"/>
    </row>
    <row r="1183" spans="1:5" ht="67.5" x14ac:dyDescent="0.2">
      <c r="A1183" s="65" t="s">
        <v>1809</v>
      </c>
      <c r="B1183" s="66" t="s">
        <v>1810</v>
      </c>
      <c r="C1183" s="67" t="s">
        <v>204</v>
      </c>
      <c r="D1183" s="69" t="s">
        <v>1811</v>
      </c>
      <c r="E1183" s="69" t="s">
        <v>1811</v>
      </c>
    </row>
    <row r="1184" spans="1:5" ht="56.25" x14ac:dyDescent="0.2">
      <c r="A1184" s="65" t="s">
        <v>1812</v>
      </c>
      <c r="B1184" s="66" t="s">
        <v>1813</v>
      </c>
      <c r="C1184" s="67" t="s">
        <v>204</v>
      </c>
      <c r="D1184" s="69" t="s">
        <v>1814</v>
      </c>
      <c r="E1184" s="69" t="s">
        <v>1814</v>
      </c>
    </row>
    <row r="1185" spans="1:5" ht="45" x14ac:dyDescent="0.2">
      <c r="A1185" s="50">
        <v>21.05</v>
      </c>
      <c r="B1185" s="64" t="s">
        <v>1815</v>
      </c>
      <c r="C1185" s="47"/>
      <c r="D1185" s="47"/>
      <c r="E1185" s="47"/>
    </row>
    <row r="1186" spans="1:5" ht="78.75" x14ac:dyDescent="0.2">
      <c r="A1186" s="70" t="s">
        <v>1816</v>
      </c>
      <c r="B1186" s="65" t="s">
        <v>1817</v>
      </c>
      <c r="C1186" s="71" t="s">
        <v>204</v>
      </c>
      <c r="D1186" s="72" t="s">
        <v>1818</v>
      </c>
      <c r="E1186" s="72" t="s">
        <v>1820</v>
      </c>
    </row>
    <row r="1187" spans="1:5" ht="56.25" x14ac:dyDescent="0.2">
      <c r="A1187" s="65" t="s">
        <v>1821</v>
      </c>
      <c r="B1187" s="66" t="s">
        <v>1822</v>
      </c>
      <c r="C1187" s="67" t="s">
        <v>204</v>
      </c>
      <c r="D1187" s="69" t="s">
        <v>1823</v>
      </c>
      <c r="E1187" s="69" t="s">
        <v>1823</v>
      </c>
    </row>
    <row r="1188" spans="1:5" ht="22.5" x14ac:dyDescent="0.2">
      <c r="A1188" s="50">
        <v>21.07</v>
      </c>
      <c r="B1188" s="64" t="s">
        <v>1824</v>
      </c>
      <c r="C1188" s="47"/>
      <c r="D1188" s="47"/>
      <c r="E1188" s="47"/>
    </row>
    <row r="1189" spans="1:5" ht="45" x14ac:dyDescent="0.2">
      <c r="A1189" s="65" t="s">
        <v>1825</v>
      </c>
      <c r="B1189" s="65" t="s">
        <v>1826</v>
      </c>
      <c r="C1189" s="67" t="s">
        <v>204</v>
      </c>
      <c r="D1189" s="69" t="s">
        <v>1827</v>
      </c>
      <c r="E1189" s="69" t="s">
        <v>1827</v>
      </c>
    </row>
    <row r="1190" spans="1:5" x14ac:dyDescent="0.2">
      <c r="A1190" s="50">
        <v>21.1</v>
      </c>
      <c r="B1190" s="64" t="s">
        <v>1828</v>
      </c>
      <c r="C1190" s="47"/>
      <c r="D1190" s="47"/>
      <c r="E1190" s="47"/>
    </row>
    <row r="1191" spans="1:5" ht="33.75" x14ac:dyDescent="0.2">
      <c r="A1191" s="65" t="s">
        <v>1829</v>
      </c>
      <c r="B1191" s="65" t="s">
        <v>1830</v>
      </c>
      <c r="C1191" s="67" t="s">
        <v>221</v>
      </c>
      <c r="D1191" s="69" t="s">
        <v>1831</v>
      </c>
      <c r="E1191" s="69" t="s">
        <v>1833</v>
      </c>
    </row>
    <row r="1192" spans="1:5" ht="33.75" x14ac:dyDescent="0.2">
      <c r="A1192" s="65" t="s">
        <v>1834</v>
      </c>
      <c r="B1192" s="65" t="s">
        <v>1835</v>
      </c>
      <c r="C1192" s="67" t="s">
        <v>221</v>
      </c>
      <c r="D1192" s="69" t="s">
        <v>1836</v>
      </c>
      <c r="E1192" s="69" t="s">
        <v>1837</v>
      </c>
    </row>
    <row r="1193" spans="1:5" ht="78.75" x14ac:dyDescent="0.2">
      <c r="A1193" s="65" t="s">
        <v>1838</v>
      </c>
      <c r="B1193" s="66" t="s">
        <v>1839</v>
      </c>
      <c r="C1193" s="67" t="s">
        <v>221</v>
      </c>
      <c r="D1193" s="69" t="s">
        <v>1840</v>
      </c>
      <c r="E1193" s="69" t="s">
        <v>1841</v>
      </c>
    </row>
    <row r="1194" spans="1:5" ht="90" x14ac:dyDescent="0.2">
      <c r="A1194" s="65" t="s">
        <v>1842</v>
      </c>
      <c r="B1194" s="66" t="s">
        <v>1843</v>
      </c>
      <c r="C1194" s="67" t="s">
        <v>221</v>
      </c>
      <c r="D1194" s="69" t="s">
        <v>1844</v>
      </c>
      <c r="E1194" s="69" t="s">
        <v>1845</v>
      </c>
    </row>
    <row r="1195" spans="1:5" ht="90" x14ac:dyDescent="0.2">
      <c r="A1195" s="65" t="s">
        <v>1846</v>
      </c>
      <c r="B1195" s="66" t="s">
        <v>1847</v>
      </c>
      <c r="C1195" s="67" t="s">
        <v>221</v>
      </c>
      <c r="D1195" s="69" t="s">
        <v>1848</v>
      </c>
      <c r="E1195" s="69" t="s">
        <v>1849</v>
      </c>
    </row>
    <row r="1196" spans="1:5" ht="45" x14ac:dyDescent="0.2">
      <c r="A1196" s="65" t="s">
        <v>1850</v>
      </c>
      <c r="B1196" s="65" t="s">
        <v>1851</v>
      </c>
      <c r="C1196" s="67" t="s">
        <v>221</v>
      </c>
      <c r="D1196" s="69" t="s">
        <v>1852</v>
      </c>
      <c r="E1196" s="69" t="s">
        <v>245</v>
      </c>
    </row>
    <row r="1197" spans="1:5" ht="22.5" x14ac:dyDescent="0.2">
      <c r="A1197" s="65" t="s">
        <v>1854</v>
      </c>
      <c r="B1197" s="65" t="s">
        <v>1855</v>
      </c>
      <c r="C1197" s="67" t="s">
        <v>221</v>
      </c>
      <c r="D1197" s="69" t="s">
        <v>1856</v>
      </c>
      <c r="E1197" s="69" t="s">
        <v>1856</v>
      </c>
    </row>
    <row r="1198" spans="1:5" ht="56.25" x14ac:dyDescent="0.2">
      <c r="A1198" s="65" t="s">
        <v>1857</v>
      </c>
      <c r="B1198" s="66" t="s">
        <v>1858</v>
      </c>
      <c r="C1198" s="67" t="s">
        <v>221</v>
      </c>
      <c r="D1198" s="69" t="s">
        <v>1859</v>
      </c>
      <c r="E1198" s="69" t="s">
        <v>1859</v>
      </c>
    </row>
    <row r="1199" spans="1:5" x14ac:dyDescent="0.2">
      <c r="A1199" s="50">
        <v>21.11</v>
      </c>
      <c r="B1199" s="64" t="s">
        <v>1860</v>
      </c>
      <c r="C1199" s="47"/>
      <c r="D1199" s="47"/>
      <c r="E1199" s="47"/>
    </row>
    <row r="1200" spans="1:5" ht="56.25" x14ac:dyDescent="0.2">
      <c r="A1200" s="65" t="s">
        <v>1861</v>
      </c>
      <c r="B1200" s="65" t="s">
        <v>1862</v>
      </c>
      <c r="C1200" s="67" t="s">
        <v>221</v>
      </c>
      <c r="D1200" s="69" t="s">
        <v>1863</v>
      </c>
      <c r="E1200" s="69" t="s">
        <v>1865</v>
      </c>
    </row>
    <row r="1201" spans="1:5" ht="78.75" x14ac:dyDescent="0.2">
      <c r="A1201" s="65" t="s">
        <v>1866</v>
      </c>
      <c r="B1201" s="66" t="s">
        <v>1867</v>
      </c>
      <c r="C1201" s="67" t="s">
        <v>221</v>
      </c>
      <c r="D1201" s="69" t="s">
        <v>1868</v>
      </c>
      <c r="E1201" s="69" t="s">
        <v>1080</v>
      </c>
    </row>
    <row r="1202" spans="1:5" ht="45" x14ac:dyDescent="0.2">
      <c r="A1202" s="50">
        <v>21.2</v>
      </c>
      <c r="B1202" s="64" t="s">
        <v>1869</v>
      </c>
      <c r="C1202" s="47"/>
      <c r="D1202" s="47"/>
      <c r="E1202" s="47"/>
    </row>
    <row r="1203" spans="1:5" ht="22.5" x14ac:dyDescent="0.2">
      <c r="A1203" s="65" t="s">
        <v>1870</v>
      </c>
      <c r="B1203" s="65" t="s">
        <v>1871</v>
      </c>
      <c r="C1203" s="67" t="s">
        <v>204</v>
      </c>
      <c r="D1203" s="69" t="s">
        <v>289</v>
      </c>
      <c r="E1203" s="69" t="s">
        <v>1872</v>
      </c>
    </row>
    <row r="1204" spans="1:5" ht="33.75" x14ac:dyDescent="0.2">
      <c r="A1204" s="65" t="s">
        <v>1873</v>
      </c>
      <c r="B1204" s="65" t="s">
        <v>1874</v>
      </c>
      <c r="C1204" s="67" t="s">
        <v>204</v>
      </c>
      <c r="D1204" s="69" t="s">
        <v>1875</v>
      </c>
      <c r="E1204" s="69" t="s">
        <v>1876</v>
      </c>
    </row>
    <row r="1205" spans="1:5" ht="56.25" x14ac:dyDescent="0.2">
      <c r="A1205" s="65" t="s">
        <v>1877</v>
      </c>
      <c r="B1205" s="66" t="s">
        <v>1878</v>
      </c>
      <c r="C1205" s="67" t="s">
        <v>204</v>
      </c>
      <c r="D1205" s="68"/>
      <c r="E1205" s="69" t="s">
        <v>1879</v>
      </c>
    </row>
    <row r="1206" spans="1:5" ht="33.75" x14ac:dyDescent="0.2">
      <c r="A1206" s="65" t="s">
        <v>1880</v>
      </c>
      <c r="B1206" s="65" t="s">
        <v>1881</v>
      </c>
      <c r="C1206" s="67" t="s">
        <v>203</v>
      </c>
      <c r="D1206" s="69" t="s">
        <v>1882</v>
      </c>
      <c r="E1206" s="69" t="s">
        <v>1882</v>
      </c>
    </row>
    <row r="1207" spans="1:5" ht="33.75" x14ac:dyDescent="0.2">
      <c r="A1207" s="65" t="s">
        <v>1883</v>
      </c>
      <c r="B1207" s="65" t="s">
        <v>1884</v>
      </c>
      <c r="C1207" s="67" t="s">
        <v>221</v>
      </c>
      <c r="D1207" s="73"/>
      <c r="E1207" s="69" t="s">
        <v>1740</v>
      </c>
    </row>
    <row r="1208" spans="1:5" ht="33.75" x14ac:dyDescent="0.2">
      <c r="A1208" s="65" t="s">
        <v>1885</v>
      </c>
      <c r="B1208" s="65" t="s">
        <v>1886</v>
      </c>
      <c r="C1208" s="67" t="s">
        <v>221</v>
      </c>
      <c r="D1208" s="69" t="s">
        <v>1887</v>
      </c>
      <c r="E1208" s="69" t="s">
        <v>1888</v>
      </c>
    </row>
    <row r="1209" spans="1:5" ht="56.25" x14ac:dyDescent="0.2">
      <c r="A1209" s="65" t="s">
        <v>1889</v>
      </c>
      <c r="B1209" s="65" t="s">
        <v>1890</v>
      </c>
      <c r="C1209" s="67" t="s">
        <v>221</v>
      </c>
      <c r="D1209" s="69" t="s">
        <v>908</v>
      </c>
      <c r="E1209" s="69" t="s">
        <v>1891</v>
      </c>
    </row>
    <row r="1210" spans="1:5" ht="33.75" x14ac:dyDescent="0.2">
      <c r="A1210" s="65" t="s">
        <v>1892</v>
      </c>
      <c r="B1210" s="65" t="s">
        <v>1893</v>
      </c>
      <c r="C1210" s="67" t="s">
        <v>203</v>
      </c>
      <c r="D1210" s="69" t="s">
        <v>1894</v>
      </c>
      <c r="E1210" s="69" t="s">
        <v>434</v>
      </c>
    </row>
    <row r="1211" spans="1:5" ht="22.5" x14ac:dyDescent="0.2">
      <c r="A1211" s="65" t="s">
        <v>1895</v>
      </c>
      <c r="B1211" s="65" t="s">
        <v>1896</v>
      </c>
      <c r="C1211" s="67" t="s">
        <v>221</v>
      </c>
      <c r="D1211" s="69" t="s">
        <v>1897</v>
      </c>
      <c r="E1211" s="69" t="s">
        <v>424</v>
      </c>
    </row>
    <row r="1212" spans="1:5" ht="45" x14ac:dyDescent="0.2">
      <c r="A1212" s="65" t="s">
        <v>1898</v>
      </c>
      <c r="B1212" s="65" t="s">
        <v>1899</v>
      </c>
      <c r="C1212" s="67" t="s">
        <v>221</v>
      </c>
      <c r="D1212" s="69" t="s">
        <v>1900</v>
      </c>
      <c r="E1212" s="69" t="s">
        <v>1901</v>
      </c>
    </row>
    <row r="1213" spans="1:5" ht="22.5" x14ac:dyDescent="0.2">
      <c r="A1213" s="49">
        <v>22</v>
      </c>
      <c r="B1213" s="64" t="s">
        <v>1902</v>
      </c>
      <c r="C1213" s="47"/>
      <c r="D1213" s="47"/>
      <c r="E1213" s="47"/>
    </row>
    <row r="1214" spans="1:5" x14ac:dyDescent="0.2">
      <c r="A1214" s="50">
        <v>22.01</v>
      </c>
      <c r="B1214" s="64" t="s">
        <v>1903</v>
      </c>
      <c r="C1214" s="47"/>
      <c r="D1214" s="47"/>
      <c r="E1214" s="47"/>
    </row>
    <row r="1215" spans="1:5" ht="33.75" x14ac:dyDescent="0.2">
      <c r="A1215" s="65" t="s">
        <v>1904</v>
      </c>
      <c r="B1215" s="65" t="s">
        <v>1905</v>
      </c>
      <c r="C1215" s="67" t="s">
        <v>204</v>
      </c>
      <c r="D1215" s="69" t="s">
        <v>1906</v>
      </c>
      <c r="E1215" s="69" t="s">
        <v>1907</v>
      </c>
    </row>
    <row r="1216" spans="1:5" ht="45" x14ac:dyDescent="0.2">
      <c r="A1216" s="65" t="s">
        <v>1908</v>
      </c>
      <c r="B1216" s="65" t="s">
        <v>1909</v>
      </c>
      <c r="C1216" s="67" t="s">
        <v>204</v>
      </c>
      <c r="D1216" s="69" t="s">
        <v>1910</v>
      </c>
      <c r="E1216" s="69" t="s">
        <v>1911</v>
      </c>
    </row>
    <row r="1217" spans="1:5" ht="56.25" x14ac:dyDescent="0.2">
      <c r="A1217" s="65" t="s">
        <v>1912</v>
      </c>
      <c r="B1217" s="66" t="s">
        <v>1913</v>
      </c>
      <c r="C1217" s="67" t="s">
        <v>204</v>
      </c>
      <c r="D1217" s="69" t="s">
        <v>1914</v>
      </c>
      <c r="E1217" s="69" t="s">
        <v>1915</v>
      </c>
    </row>
    <row r="1218" spans="1:5" ht="33.75" x14ac:dyDescent="0.2">
      <c r="A1218" s="65" t="s">
        <v>1916</v>
      </c>
      <c r="B1218" s="65" t="s">
        <v>1917</v>
      </c>
      <c r="C1218" s="67" t="s">
        <v>221</v>
      </c>
      <c r="D1218" s="69" t="s">
        <v>1918</v>
      </c>
      <c r="E1218" s="69" t="s">
        <v>1919</v>
      </c>
    </row>
    <row r="1219" spans="1:5" ht="78.75" x14ac:dyDescent="0.2">
      <c r="A1219" s="65" t="s">
        <v>1920</v>
      </c>
      <c r="B1219" s="66" t="s">
        <v>1921</v>
      </c>
      <c r="C1219" s="67" t="s">
        <v>204</v>
      </c>
      <c r="D1219" s="69" t="s">
        <v>1922</v>
      </c>
      <c r="E1219" s="69" t="s">
        <v>1923</v>
      </c>
    </row>
    <row r="1220" spans="1:5" ht="67.5" x14ac:dyDescent="0.2">
      <c r="A1220" s="65" t="s">
        <v>1924</v>
      </c>
      <c r="B1220" s="66" t="s">
        <v>1925</v>
      </c>
      <c r="C1220" s="67" t="s">
        <v>204</v>
      </c>
      <c r="D1220" s="69" t="s">
        <v>1926</v>
      </c>
      <c r="E1220" s="69" t="s">
        <v>1927</v>
      </c>
    </row>
    <row r="1221" spans="1:5" x14ac:dyDescent="0.2">
      <c r="A1221" s="50">
        <v>22.02</v>
      </c>
      <c r="B1221" s="64" t="s">
        <v>1928</v>
      </c>
      <c r="C1221" s="47"/>
      <c r="D1221" s="47"/>
      <c r="E1221" s="47"/>
    </row>
    <row r="1222" spans="1:5" ht="22.5" x14ac:dyDescent="0.2">
      <c r="A1222" s="65" t="s">
        <v>1929</v>
      </c>
      <c r="B1222" s="65" t="s">
        <v>1930</v>
      </c>
      <c r="C1222" s="67" t="s">
        <v>204</v>
      </c>
      <c r="D1222" s="69" t="s">
        <v>1931</v>
      </c>
      <c r="E1222" s="69" t="s">
        <v>1931</v>
      </c>
    </row>
    <row r="1223" spans="1:5" ht="45" x14ac:dyDescent="0.2">
      <c r="A1223" s="65" t="s">
        <v>1932</v>
      </c>
      <c r="B1223" s="65" t="s">
        <v>1933</v>
      </c>
      <c r="C1223" s="67" t="s">
        <v>204</v>
      </c>
      <c r="D1223" s="69" t="s">
        <v>1934</v>
      </c>
      <c r="E1223" s="69" t="s">
        <v>1934</v>
      </c>
    </row>
    <row r="1224" spans="1:5" ht="78.75" x14ac:dyDescent="0.2">
      <c r="A1224" s="70" t="s">
        <v>1935</v>
      </c>
      <c r="B1224" s="65" t="s">
        <v>1936</v>
      </c>
      <c r="C1224" s="71" t="s">
        <v>204</v>
      </c>
      <c r="D1224" s="72" t="s">
        <v>1937</v>
      </c>
      <c r="E1224" s="72" t="s">
        <v>1937</v>
      </c>
    </row>
    <row r="1225" spans="1:5" ht="56.25" x14ac:dyDescent="0.2">
      <c r="A1225" s="65" t="s">
        <v>1938</v>
      </c>
      <c r="B1225" s="65" t="s">
        <v>1939</v>
      </c>
      <c r="C1225" s="67" t="s">
        <v>204</v>
      </c>
      <c r="D1225" s="69" t="s">
        <v>1940</v>
      </c>
      <c r="E1225" s="69" t="s">
        <v>1940</v>
      </c>
    </row>
    <row r="1226" spans="1:5" x14ac:dyDescent="0.2">
      <c r="A1226" s="50">
        <v>22.03</v>
      </c>
      <c r="B1226" s="64" t="s">
        <v>1941</v>
      </c>
      <c r="C1226" s="47"/>
      <c r="D1226" s="47"/>
      <c r="E1226" s="47"/>
    </row>
    <row r="1227" spans="1:5" ht="33.75" x14ac:dyDescent="0.2">
      <c r="A1227" s="65" t="s">
        <v>1942</v>
      </c>
      <c r="B1227" s="65" t="s">
        <v>1943</v>
      </c>
      <c r="C1227" s="67" t="s">
        <v>204</v>
      </c>
      <c r="D1227" s="69" t="s">
        <v>1944</v>
      </c>
      <c r="E1227" s="69" t="s">
        <v>1944</v>
      </c>
    </row>
    <row r="1228" spans="1:5" ht="33.75" x14ac:dyDescent="0.2">
      <c r="A1228" s="65" t="s">
        <v>1945</v>
      </c>
      <c r="B1228" s="65" t="s">
        <v>1946</v>
      </c>
      <c r="C1228" s="67" t="s">
        <v>204</v>
      </c>
      <c r="D1228" s="69" t="s">
        <v>1947</v>
      </c>
      <c r="E1228" s="69" t="s">
        <v>1947</v>
      </c>
    </row>
    <row r="1229" spans="1:5" ht="33.75" x14ac:dyDescent="0.2">
      <c r="A1229" s="65" t="s">
        <v>1948</v>
      </c>
      <c r="B1229" s="65" t="s">
        <v>1949</v>
      </c>
      <c r="C1229" s="67" t="s">
        <v>204</v>
      </c>
      <c r="D1229" s="69" t="s">
        <v>1950</v>
      </c>
      <c r="E1229" s="69" t="s">
        <v>1950</v>
      </c>
    </row>
    <row r="1230" spans="1:5" ht="33.75" x14ac:dyDescent="0.2">
      <c r="A1230" s="65" t="s">
        <v>1951</v>
      </c>
      <c r="B1230" s="65" t="s">
        <v>1952</v>
      </c>
      <c r="C1230" s="67" t="s">
        <v>204</v>
      </c>
      <c r="D1230" s="69" t="s">
        <v>1953</v>
      </c>
      <c r="E1230" s="69" t="s">
        <v>1953</v>
      </c>
    </row>
    <row r="1231" spans="1:5" ht="22.5" x14ac:dyDescent="0.2">
      <c r="A1231" s="65" t="s">
        <v>1954</v>
      </c>
      <c r="B1231" s="65" t="s">
        <v>1955</v>
      </c>
      <c r="C1231" s="67" t="s">
        <v>204</v>
      </c>
      <c r="D1231" s="69" t="s">
        <v>1956</v>
      </c>
      <c r="E1231" s="69" t="s">
        <v>1956</v>
      </c>
    </row>
    <row r="1232" spans="1:5" ht="56.25" x14ac:dyDescent="0.2">
      <c r="A1232" s="65" t="s">
        <v>1957</v>
      </c>
      <c r="B1232" s="66" t="s">
        <v>1958</v>
      </c>
      <c r="C1232" s="67" t="s">
        <v>204</v>
      </c>
      <c r="D1232" s="69" t="s">
        <v>1959</v>
      </c>
      <c r="E1232" s="69" t="s">
        <v>1959</v>
      </c>
    </row>
    <row r="1233" spans="1:5" ht="56.25" x14ac:dyDescent="0.2">
      <c r="A1233" s="65" t="s">
        <v>1960</v>
      </c>
      <c r="B1233" s="66" t="s">
        <v>1961</v>
      </c>
      <c r="C1233" s="67" t="s">
        <v>204</v>
      </c>
      <c r="D1233" s="69" t="s">
        <v>1962</v>
      </c>
      <c r="E1233" s="69" t="s">
        <v>1962</v>
      </c>
    </row>
    <row r="1234" spans="1:5" x14ac:dyDescent="0.2">
      <c r="A1234" s="50">
        <v>22.04</v>
      </c>
      <c r="B1234" s="64" t="s">
        <v>1963</v>
      </c>
      <c r="C1234" s="47"/>
      <c r="D1234" s="47"/>
      <c r="E1234" s="47"/>
    </row>
    <row r="1235" spans="1:5" ht="45" x14ac:dyDescent="0.2">
      <c r="A1235" s="65" t="s">
        <v>1964</v>
      </c>
      <c r="B1235" s="65" t="s">
        <v>1965</v>
      </c>
      <c r="C1235" s="67" t="s">
        <v>204</v>
      </c>
      <c r="D1235" s="69" t="s">
        <v>1966</v>
      </c>
      <c r="E1235" s="69" t="s">
        <v>1966</v>
      </c>
    </row>
    <row r="1236" spans="1:5" x14ac:dyDescent="0.2">
      <c r="A1236" s="50">
        <v>22.06</v>
      </c>
      <c r="B1236" s="64" t="s">
        <v>1967</v>
      </c>
      <c r="C1236" s="47"/>
      <c r="D1236" s="47"/>
      <c r="E1236" s="47"/>
    </row>
    <row r="1237" spans="1:5" ht="45" x14ac:dyDescent="0.2">
      <c r="A1237" s="65" t="s">
        <v>1968</v>
      </c>
      <c r="B1237" s="65" t="s">
        <v>1969</v>
      </c>
      <c r="C1237" s="67" t="s">
        <v>204</v>
      </c>
      <c r="D1237" s="69" t="s">
        <v>1970</v>
      </c>
      <c r="E1237" s="69" t="s">
        <v>1971</v>
      </c>
    </row>
    <row r="1238" spans="1:5" ht="67.5" x14ac:dyDescent="0.2">
      <c r="A1238" s="65" t="s">
        <v>1972</v>
      </c>
      <c r="B1238" s="66" t="s">
        <v>1973</v>
      </c>
      <c r="C1238" s="67" t="s">
        <v>204</v>
      </c>
      <c r="D1238" s="69" t="s">
        <v>1974</v>
      </c>
      <c r="E1238" s="69" t="s">
        <v>1974</v>
      </c>
    </row>
    <row r="1239" spans="1:5" ht="67.5" x14ac:dyDescent="0.2">
      <c r="A1239" s="65" t="s">
        <v>1975</v>
      </c>
      <c r="B1239" s="66" t="s">
        <v>1976</v>
      </c>
      <c r="C1239" s="67" t="s">
        <v>204</v>
      </c>
      <c r="D1239" s="69" t="s">
        <v>1977</v>
      </c>
      <c r="E1239" s="69" t="s">
        <v>1977</v>
      </c>
    </row>
    <row r="1240" spans="1:5" ht="56.25" x14ac:dyDescent="0.2">
      <c r="A1240" s="65" t="s">
        <v>1978</v>
      </c>
      <c r="B1240" s="66" t="s">
        <v>1979</v>
      </c>
      <c r="C1240" s="67" t="s">
        <v>204</v>
      </c>
      <c r="D1240" s="69" t="s">
        <v>1980</v>
      </c>
      <c r="E1240" s="69" t="s">
        <v>1980</v>
      </c>
    </row>
    <row r="1241" spans="1:5" ht="78.75" x14ac:dyDescent="0.2">
      <c r="A1241" s="65" t="s">
        <v>1981</v>
      </c>
      <c r="B1241" s="66" t="s">
        <v>1982</v>
      </c>
      <c r="C1241" s="67" t="s">
        <v>204</v>
      </c>
      <c r="D1241" s="69" t="s">
        <v>1983</v>
      </c>
      <c r="E1241" s="69" t="s">
        <v>1983</v>
      </c>
    </row>
    <row r="1242" spans="1:5" ht="67.5" x14ac:dyDescent="0.2">
      <c r="A1242" s="65" t="s">
        <v>1984</v>
      </c>
      <c r="B1242" s="66" t="s">
        <v>1985</v>
      </c>
      <c r="C1242" s="67" t="s">
        <v>204</v>
      </c>
      <c r="D1242" s="69" t="s">
        <v>1986</v>
      </c>
      <c r="E1242" s="69" t="s">
        <v>1986</v>
      </c>
    </row>
    <row r="1243" spans="1:5" ht="45" x14ac:dyDescent="0.2">
      <c r="A1243" s="50">
        <v>22.2</v>
      </c>
      <c r="B1243" s="64" t="s">
        <v>1987</v>
      </c>
      <c r="C1243" s="47"/>
      <c r="D1243" s="47"/>
      <c r="E1243" s="47"/>
    </row>
    <row r="1244" spans="1:5" ht="33.75" x14ac:dyDescent="0.2">
      <c r="A1244" s="65" t="s">
        <v>1988</v>
      </c>
      <c r="B1244" s="65" t="s">
        <v>1989</v>
      </c>
      <c r="C1244" s="67" t="s">
        <v>204</v>
      </c>
      <c r="D1244" s="69" t="s">
        <v>1990</v>
      </c>
      <c r="E1244" s="69" t="s">
        <v>1990</v>
      </c>
    </row>
    <row r="1245" spans="1:5" ht="22.5" x14ac:dyDescent="0.2">
      <c r="A1245" s="65" t="s">
        <v>1991</v>
      </c>
      <c r="B1245" s="65" t="s">
        <v>1992</v>
      </c>
      <c r="C1245" s="67" t="s">
        <v>204</v>
      </c>
      <c r="D1245" s="69" t="s">
        <v>372</v>
      </c>
      <c r="E1245" s="69" t="s">
        <v>933</v>
      </c>
    </row>
    <row r="1246" spans="1:5" ht="33.75" x14ac:dyDescent="0.2">
      <c r="A1246" s="65" t="s">
        <v>1993</v>
      </c>
      <c r="B1246" s="65" t="s">
        <v>1994</v>
      </c>
      <c r="C1246" s="67" t="s">
        <v>204</v>
      </c>
      <c r="D1246" s="73"/>
      <c r="E1246" s="69" t="s">
        <v>307</v>
      </c>
    </row>
    <row r="1247" spans="1:5" ht="33.75" x14ac:dyDescent="0.2">
      <c r="A1247" s="65" t="s">
        <v>1995</v>
      </c>
      <c r="B1247" s="65" t="s">
        <v>1996</v>
      </c>
      <c r="C1247" s="67" t="s">
        <v>221</v>
      </c>
      <c r="D1247" s="69" t="s">
        <v>1997</v>
      </c>
      <c r="E1247" s="69" t="s">
        <v>1997</v>
      </c>
    </row>
    <row r="1248" spans="1:5" ht="33.75" x14ac:dyDescent="0.2">
      <c r="A1248" s="65" t="s">
        <v>1998</v>
      </c>
      <c r="B1248" s="65" t="s">
        <v>1999</v>
      </c>
      <c r="C1248" s="67" t="s">
        <v>203</v>
      </c>
      <c r="D1248" s="69" t="s">
        <v>2000</v>
      </c>
      <c r="E1248" s="69" t="s">
        <v>2000</v>
      </c>
    </row>
    <row r="1249" spans="1:5" ht="45" x14ac:dyDescent="0.2">
      <c r="A1249" s="49">
        <v>23</v>
      </c>
      <c r="B1249" s="64" t="s">
        <v>2001</v>
      </c>
      <c r="C1249" s="47"/>
      <c r="D1249" s="47"/>
      <c r="E1249" s="47"/>
    </row>
    <row r="1250" spans="1:5" ht="22.5" x14ac:dyDescent="0.2">
      <c r="A1250" s="50">
        <v>23.01</v>
      </c>
      <c r="B1250" s="64" t="s">
        <v>2002</v>
      </c>
      <c r="C1250" s="47"/>
      <c r="D1250" s="47"/>
      <c r="E1250" s="47"/>
    </row>
    <row r="1251" spans="1:5" ht="22.5" x14ac:dyDescent="0.2">
      <c r="A1251" s="65" t="s">
        <v>2003</v>
      </c>
      <c r="B1251" s="65" t="s">
        <v>2004</v>
      </c>
      <c r="C1251" s="67" t="s">
        <v>204</v>
      </c>
      <c r="D1251" s="69" t="s">
        <v>2005</v>
      </c>
      <c r="E1251" s="69" t="s">
        <v>2007</v>
      </c>
    </row>
    <row r="1252" spans="1:5" ht="33.75" x14ac:dyDescent="0.2">
      <c r="A1252" s="65" t="s">
        <v>2008</v>
      </c>
      <c r="B1252" s="65" t="s">
        <v>2009</v>
      </c>
      <c r="C1252" s="67" t="s">
        <v>204</v>
      </c>
      <c r="D1252" s="69" t="s">
        <v>2010</v>
      </c>
      <c r="E1252" s="69" t="s">
        <v>2011</v>
      </c>
    </row>
    <row r="1253" spans="1:5" ht="33.75" x14ac:dyDescent="0.2">
      <c r="A1253" s="50">
        <v>23.02</v>
      </c>
      <c r="B1253" s="64" t="s">
        <v>2012</v>
      </c>
      <c r="C1253" s="47"/>
      <c r="D1253" s="47"/>
      <c r="E1253" s="47"/>
    </row>
    <row r="1254" spans="1:5" ht="45" x14ac:dyDescent="0.2">
      <c r="A1254" s="65" t="s">
        <v>2013</v>
      </c>
      <c r="B1254" s="65" t="s">
        <v>2014</v>
      </c>
      <c r="C1254" s="67" t="s">
        <v>204</v>
      </c>
      <c r="D1254" s="69" t="s">
        <v>2015</v>
      </c>
      <c r="E1254" s="69" t="s">
        <v>2017</v>
      </c>
    </row>
    <row r="1255" spans="1:5" ht="45" x14ac:dyDescent="0.2">
      <c r="A1255" s="65" t="s">
        <v>2018</v>
      </c>
      <c r="B1255" s="65" t="s">
        <v>2019</v>
      </c>
      <c r="C1255" s="67" t="s">
        <v>203</v>
      </c>
      <c r="D1255" s="69" t="s">
        <v>2020</v>
      </c>
      <c r="E1255" s="69" t="s">
        <v>2022</v>
      </c>
    </row>
    <row r="1256" spans="1:5" ht="45" x14ac:dyDescent="0.2">
      <c r="A1256" s="65" t="s">
        <v>2023</v>
      </c>
      <c r="B1256" s="65" t="s">
        <v>2024</v>
      </c>
      <c r="C1256" s="67" t="s">
        <v>203</v>
      </c>
      <c r="D1256" s="69" t="s">
        <v>2025</v>
      </c>
      <c r="E1256" s="69" t="s">
        <v>2026</v>
      </c>
    </row>
    <row r="1257" spans="1:5" ht="45" x14ac:dyDescent="0.2">
      <c r="A1257" s="65" t="s">
        <v>2027</v>
      </c>
      <c r="B1257" s="65" t="s">
        <v>2028</v>
      </c>
      <c r="C1257" s="67" t="s">
        <v>203</v>
      </c>
      <c r="D1257" s="69" t="s">
        <v>2029</v>
      </c>
      <c r="E1257" s="69" t="s">
        <v>2030</v>
      </c>
    </row>
    <row r="1258" spans="1:5" ht="45" x14ac:dyDescent="0.2">
      <c r="A1258" s="65" t="s">
        <v>2031</v>
      </c>
      <c r="B1258" s="65" t="s">
        <v>2032</v>
      </c>
      <c r="C1258" s="67" t="s">
        <v>203</v>
      </c>
      <c r="D1258" s="69" t="s">
        <v>2033</v>
      </c>
      <c r="E1258" s="69" t="s">
        <v>2035</v>
      </c>
    </row>
    <row r="1259" spans="1:5" ht="33.75" x14ac:dyDescent="0.2">
      <c r="A1259" s="50">
        <v>23.04</v>
      </c>
      <c r="B1259" s="64" t="s">
        <v>2036</v>
      </c>
      <c r="C1259" s="47"/>
      <c r="D1259" s="47"/>
      <c r="E1259" s="47"/>
    </row>
    <row r="1260" spans="1:5" ht="56.25" x14ac:dyDescent="0.2">
      <c r="A1260" s="65" t="s">
        <v>2037</v>
      </c>
      <c r="B1260" s="66" t="s">
        <v>2038</v>
      </c>
      <c r="C1260" s="67" t="s">
        <v>203</v>
      </c>
      <c r="D1260" s="69" t="s">
        <v>2039</v>
      </c>
      <c r="E1260" s="69" t="s">
        <v>2040</v>
      </c>
    </row>
    <row r="1261" spans="1:5" ht="56.25" x14ac:dyDescent="0.2">
      <c r="A1261" s="65" t="s">
        <v>2041</v>
      </c>
      <c r="B1261" s="66" t="s">
        <v>2042</v>
      </c>
      <c r="C1261" s="67" t="s">
        <v>203</v>
      </c>
      <c r="D1261" s="69" t="s">
        <v>2043</v>
      </c>
      <c r="E1261" s="69" t="s">
        <v>2044</v>
      </c>
    </row>
    <row r="1262" spans="1:5" ht="78.75" x14ac:dyDescent="0.2">
      <c r="A1262" s="65" t="s">
        <v>2045</v>
      </c>
      <c r="B1262" s="66" t="s">
        <v>2046</v>
      </c>
      <c r="C1262" s="67" t="s">
        <v>203</v>
      </c>
      <c r="D1262" s="69" t="s">
        <v>2047</v>
      </c>
      <c r="E1262" s="69" t="s">
        <v>2048</v>
      </c>
    </row>
    <row r="1263" spans="1:5" ht="78.75" x14ac:dyDescent="0.2">
      <c r="A1263" s="65" t="s">
        <v>2049</v>
      </c>
      <c r="B1263" s="66" t="s">
        <v>2050</v>
      </c>
      <c r="C1263" s="67" t="s">
        <v>203</v>
      </c>
      <c r="D1263" s="69" t="s">
        <v>2051</v>
      </c>
      <c r="E1263" s="69" t="s">
        <v>2052</v>
      </c>
    </row>
    <row r="1264" spans="1:5" ht="78.75" x14ac:dyDescent="0.2">
      <c r="A1264" s="65" t="s">
        <v>2053</v>
      </c>
      <c r="B1264" s="66" t="s">
        <v>2054</v>
      </c>
      <c r="C1264" s="67" t="s">
        <v>203</v>
      </c>
      <c r="D1264" s="69" t="s">
        <v>2055</v>
      </c>
      <c r="E1264" s="69" t="s">
        <v>2056</v>
      </c>
    </row>
    <row r="1265" spans="1:5" ht="78.75" x14ac:dyDescent="0.2">
      <c r="A1265" s="65" t="s">
        <v>2057</v>
      </c>
      <c r="B1265" s="66" t="s">
        <v>2058</v>
      </c>
      <c r="C1265" s="67" t="s">
        <v>203</v>
      </c>
      <c r="D1265" s="69" t="s">
        <v>2059</v>
      </c>
      <c r="E1265" s="69" t="s">
        <v>2060</v>
      </c>
    </row>
    <row r="1266" spans="1:5" ht="78.75" x14ac:dyDescent="0.2">
      <c r="A1266" s="65" t="s">
        <v>2061</v>
      </c>
      <c r="B1266" s="66" t="s">
        <v>2062</v>
      </c>
      <c r="C1266" s="67" t="s">
        <v>203</v>
      </c>
      <c r="D1266" s="69" t="s">
        <v>2063</v>
      </c>
      <c r="E1266" s="69" t="s">
        <v>2064</v>
      </c>
    </row>
    <row r="1267" spans="1:5" ht="78.75" x14ac:dyDescent="0.2">
      <c r="A1267" s="65" t="s">
        <v>2065</v>
      </c>
      <c r="B1267" s="66" t="s">
        <v>2066</v>
      </c>
      <c r="C1267" s="67" t="s">
        <v>203</v>
      </c>
      <c r="D1267" s="69" t="s">
        <v>2067</v>
      </c>
      <c r="E1267" s="69" t="s">
        <v>2069</v>
      </c>
    </row>
    <row r="1268" spans="1:5" ht="90" x14ac:dyDescent="0.2">
      <c r="A1268" s="65" t="s">
        <v>2070</v>
      </c>
      <c r="B1268" s="66" t="s">
        <v>2071</v>
      </c>
      <c r="C1268" s="67" t="s">
        <v>203</v>
      </c>
      <c r="D1268" s="69" t="s">
        <v>2072</v>
      </c>
      <c r="E1268" s="69" t="s">
        <v>2073</v>
      </c>
    </row>
    <row r="1269" spans="1:5" ht="67.5" x14ac:dyDescent="0.2">
      <c r="A1269" s="65" t="s">
        <v>2074</v>
      </c>
      <c r="B1269" s="66" t="s">
        <v>2075</v>
      </c>
      <c r="C1269" s="67" t="s">
        <v>203</v>
      </c>
      <c r="D1269" s="69" t="s">
        <v>2076</v>
      </c>
      <c r="E1269" s="69" t="s">
        <v>2078</v>
      </c>
    </row>
    <row r="1270" spans="1:5" ht="67.5" x14ac:dyDescent="0.2">
      <c r="A1270" s="65" t="s">
        <v>2079</v>
      </c>
      <c r="B1270" s="66" t="s">
        <v>2080</v>
      </c>
      <c r="C1270" s="67" t="s">
        <v>203</v>
      </c>
      <c r="D1270" s="69" t="s">
        <v>2081</v>
      </c>
      <c r="E1270" s="69" t="s">
        <v>2083</v>
      </c>
    </row>
    <row r="1271" spans="1:5" ht="67.5" x14ac:dyDescent="0.2">
      <c r="A1271" s="65" t="s">
        <v>2084</v>
      </c>
      <c r="B1271" s="66" t="s">
        <v>2085</v>
      </c>
      <c r="C1271" s="67" t="s">
        <v>203</v>
      </c>
      <c r="D1271" s="69" t="s">
        <v>2086</v>
      </c>
      <c r="E1271" s="69" t="s">
        <v>2087</v>
      </c>
    </row>
    <row r="1272" spans="1:5" ht="67.5" x14ac:dyDescent="0.2">
      <c r="A1272" s="65" t="s">
        <v>2088</v>
      </c>
      <c r="B1272" s="66" t="s">
        <v>2089</v>
      </c>
      <c r="C1272" s="67" t="s">
        <v>203</v>
      </c>
      <c r="D1272" s="69" t="s">
        <v>2090</v>
      </c>
      <c r="E1272" s="69" t="s">
        <v>2091</v>
      </c>
    </row>
    <row r="1273" spans="1:5" ht="67.5" x14ac:dyDescent="0.2">
      <c r="A1273" s="65" t="s">
        <v>2092</v>
      </c>
      <c r="B1273" s="66" t="s">
        <v>2093</v>
      </c>
      <c r="C1273" s="67" t="s">
        <v>203</v>
      </c>
      <c r="D1273" s="69" t="s">
        <v>2094</v>
      </c>
      <c r="E1273" s="69" t="s">
        <v>2096</v>
      </c>
    </row>
    <row r="1274" spans="1:5" x14ac:dyDescent="0.2">
      <c r="A1274" s="50">
        <v>23.08</v>
      </c>
      <c r="B1274" s="64" t="s">
        <v>2097</v>
      </c>
      <c r="C1274" s="47"/>
      <c r="D1274" s="47"/>
      <c r="E1274" s="47"/>
    </row>
    <row r="1275" spans="1:5" x14ac:dyDescent="0.2">
      <c r="A1275" s="65" t="s">
        <v>2098</v>
      </c>
      <c r="B1275" s="65" t="s">
        <v>2099</v>
      </c>
      <c r="C1275" s="67" t="s">
        <v>204</v>
      </c>
      <c r="D1275" s="69" t="s">
        <v>2100</v>
      </c>
      <c r="E1275" s="69" t="s">
        <v>2101</v>
      </c>
    </row>
    <row r="1276" spans="1:5" ht="56.25" x14ac:dyDescent="0.2">
      <c r="A1276" s="65" t="s">
        <v>2102</v>
      </c>
      <c r="B1276" s="65" t="s">
        <v>2103</v>
      </c>
      <c r="C1276" s="67" t="s">
        <v>221</v>
      </c>
      <c r="D1276" s="69" t="s">
        <v>2104</v>
      </c>
      <c r="E1276" s="69" t="s">
        <v>2105</v>
      </c>
    </row>
    <row r="1277" spans="1:5" ht="78.75" x14ac:dyDescent="0.2">
      <c r="A1277" s="65" t="s">
        <v>2106</v>
      </c>
      <c r="B1277" s="66" t="s">
        <v>2107</v>
      </c>
      <c r="C1277" s="67" t="s">
        <v>221</v>
      </c>
      <c r="D1277" s="69" t="s">
        <v>2108</v>
      </c>
      <c r="E1277" s="69" t="s">
        <v>2110</v>
      </c>
    </row>
    <row r="1278" spans="1:5" ht="78.75" x14ac:dyDescent="0.2">
      <c r="A1278" s="65" t="s">
        <v>2111</v>
      </c>
      <c r="B1278" s="66" t="s">
        <v>2112</v>
      </c>
      <c r="C1278" s="67" t="s">
        <v>204</v>
      </c>
      <c r="D1278" s="69" t="s">
        <v>2113</v>
      </c>
      <c r="E1278" s="69" t="s">
        <v>2113</v>
      </c>
    </row>
    <row r="1279" spans="1:5" ht="67.5" x14ac:dyDescent="0.2">
      <c r="A1279" s="65" t="s">
        <v>2114</v>
      </c>
      <c r="B1279" s="66" t="s">
        <v>2115</v>
      </c>
      <c r="C1279" s="67" t="s">
        <v>204</v>
      </c>
      <c r="D1279" s="69" t="s">
        <v>2116</v>
      </c>
      <c r="E1279" s="69" t="s">
        <v>2116</v>
      </c>
    </row>
    <row r="1280" spans="1:5" ht="78.75" x14ac:dyDescent="0.2">
      <c r="A1280" s="65" t="s">
        <v>2117</v>
      </c>
      <c r="B1280" s="66" t="s">
        <v>2118</v>
      </c>
      <c r="C1280" s="67" t="s">
        <v>204</v>
      </c>
      <c r="D1280" s="69" t="s">
        <v>2119</v>
      </c>
      <c r="E1280" s="69" t="s">
        <v>2120</v>
      </c>
    </row>
    <row r="1281" spans="1:5" ht="90" x14ac:dyDescent="0.2">
      <c r="A1281" s="65" t="s">
        <v>2121</v>
      </c>
      <c r="B1281" s="66" t="s">
        <v>2122</v>
      </c>
      <c r="C1281" s="67" t="s">
        <v>204</v>
      </c>
      <c r="D1281" s="69" t="s">
        <v>2123</v>
      </c>
      <c r="E1281" s="69" t="s">
        <v>2123</v>
      </c>
    </row>
    <row r="1282" spans="1:5" ht="33.75" x14ac:dyDescent="0.2">
      <c r="A1282" s="65" t="s">
        <v>2124</v>
      </c>
      <c r="B1282" s="65" t="s">
        <v>2125</v>
      </c>
      <c r="C1282" s="67" t="s">
        <v>204</v>
      </c>
      <c r="D1282" s="69" t="s">
        <v>2126</v>
      </c>
      <c r="E1282" s="69" t="s">
        <v>2127</v>
      </c>
    </row>
    <row r="1283" spans="1:5" ht="45" x14ac:dyDescent="0.2">
      <c r="A1283" s="65" t="s">
        <v>2128</v>
      </c>
      <c r="B1283" s="65" t="s">
        <v>2129</v>
      </c>
      <c r="C1283" s="67" t="s">
        <v>240</v>
      </c>
      <c r="D1283" s="69" t="s">
        <v>2130</v>
      </c>
      <c r="E1283" s="69" t="s">
        <v>2132</v>
      </c>
    </row>
    <row r="1284" spans="1:5" ht="33.75" x14ac:dyDescent="0.2">
      <c r="A1284" s="65" t="s">
        <v>2133</v>
      </c>
      <c r="B1284" s="65" t="s">
        <v>2134</v>
      </c>
      <c r="C1284" s="67" t="s">
        <v>204</v>
      </c>
      <c r="D1284" s="69" t="s">
        <v>2135</v>
      </c>
      <c r="E1284" s="69" t="s">
        <v>2137</v>
      </c>
    </row>
    <row r="1285" spans="1:5" ht="67.5" x14ac:dyDescent="0.2">
      <c r="A1285" s="65" t="s">
        <v>2138</v>
      </c>
      <c r="B1285" s="66" t="s">
        <v>2139</v>
      </c>
      <c r="C1285" s="67" t="s">
        <v>204</v>
      </c>
      <c r="D1285" s="69" t="s">
        <v>2140</v>
      </c>
      <c r="E1285" s="69" t="s">
        <v>2140</v>
      </c>
    </row>
    <row r="1286" spans="1:5" ht="90" x14ac:dyDescent="0.2">
      <c r="A1286" s="65" t="s">
        <v>2141</v>
      </c>
      <c r="B1286" s="66" t="s">
        <v>2142</v>
      </c>
      <c r="C1286" s="67" t="s">
        <v>204</v>
      </c>
      <c r="D1286" s="69" t="s">
        <v>2143</v>
      </c>
      <c r="E1286" s="69" t="s">
        <v>2143</v>
      </c>
    </row>
    <row r="1287" spans="1:5" ht="22.5" x14ac:dyDescent="0.2">
      <c r="A1287" s="65" t="s">
        <v>2144</v>
      </c>
      <c r="B1287" s="65" t="s">
        <v>2145</v>
      </c>
      <c r="C1287" s="67" t="s">
        <v>204</v>
      </c>
      <c r="D1287" s="69" t="s">
        <v>2146</v>
      </c>
      <c r="E1287" s="69" t="s">
        <v>2148</v>
      </c>
    </row>
    <row r="1288" spans="1:5" ht="78.75" x14ac:dyDescent="0.2">
      <c r="A1288" s="65" t="s">
        <v>2149</v>
      </c>
      <c r="B1288" s="66" t="s">
        <v>2150</v>
      </c>
      <c r="C1288" s="67" t="s">
        <v>221</v>
      </c>
      <c r="D1288" s="69" t="s">
        <v>2151</v>
      </c>
      <c r="E1288" s="69" t="s">
        <v>2152</v>
      </c>
    </row>
    <row r="1289" spans="1:5" ht="33.75" x14ac:dyDescent="0.2">
      <c r="A1289" s="50">
        <v>23.09</v>
      </c>
      <c r="B1289" s="64" t="s">
        <v>2153</v>
      </c>
      <c r="C1289" s="47"/>
      <c r="D1289" s="47"/>
      <c r="E1289" s="47"/>
    </row>
    <row r="1290" spans="1:5" ht="45" x14ac:dyDescent="0.2">
      <c r="A1290" s="65" t="s">
        <v>2154</v>
      </c>
      <c r="B1290" s="65" t="s">
        <v>2155</v>
      </c>
      <c r="C1290" s="67" t="s">
        <v>204</v>
      </c>
      <c r="D1290" s="69" t="s">
        <v>2156</v>
      </c>
      <c r="E1290" s="69" t="s">
        <v>2157</v>
      </c>
    </row>
    <row r="1291" spans="1:5" ht="33.75" x14ac:dyDescent="0.2">
      <c r="A1291" s="65" t="s">
        <v>2158</v>
      </c>
      <c r="B1291" s="65" t="s">
        <v>2159</v>
      </c>
      <c r="C1291" s="67" t="s">
        <v>203</v>
      </c>
      <c r="D1291" s="69" t="s">
        <v>2160</v>
      </c>
      <c r="E1291" s="69" t="s">
        <v>2161</v>
      </c>
    </row>
    <row r="1292" spans="1:5" ht="33.75" x14ac:dyDescent="0.2">
      <c r="A1292" s="65" t="s">
        <v>2162</v>
      </c>
      <c r="B1292" s="65" t="s">
        <v>2163</v>
      </c>
      <c r="C1292" s="67" t="s">
        <v>203</v>
      </c>
      <c r="D1292" s="69" t="s">
        <v>2164</v>
      </c>
      <c r="E1292" s="69" t="s">
        <v>2165</v>
      </c>
    </row>
    <row r="1293" spans="1:5" ht="33.75" x14ac:dyDescent="0.2">
      <c r="A1293" s="65" t="s">
        <v>2166</v>
      </c>
      <c r="B1293" s="65" t="s">
        <v>2167</v>
      </c>
      <c r="C1293" s="67" t="s">
        <v>203</v>
      </c>
      <c r="D1293" s="69" t="s">
        <v>2168</v>
      </c>
      <c r="E1293" s="69" t="s">
        <v>2169</v>
      </c>
    </row>
    <row r="1294" spans="1:5" ht="33.75" x14ac:dyDescent="0.2">
      <c r="A1294" s="65" t="s">
        <v>2170</v>
      </c>
      <c r="B1294" s="65" t="s">
        <v>2171</v>
      </c>
      <c r="C1294" s="67" t="s">
        <v>203</v>
      </c>
      <c r="D1294" s="69" t="s">
        <v>2172</v>
      </c>
      <c r="E1294" s="69" t="s">
        <v>2173</v>
      </c>
    </row>
    <row r="1295" spans="1:5" ht="33.75" x14ac:dyDescent="0.2">
      <c r="A1295" s="65" t="s">
        <v>2174</v>
      </c>
      <c r="B1295" s="65" t="s">
        <v>2175</v>
      </c>
      <c r="C1295" s="67" t="s">
        <v>203</v>
      </c>
      <c r="D1295" s="69" t="s">
        <v>2176</v>
      </c>
      <c r="E1295" s="69" t="s">
        <v>2177</v>
      </c>
    </row>
    <row r="1296" spans="1:5" ht="33.75" x14ac:dyDescent="0.2">
      <c r="A1296" s="65" t="s">
        <v>2178</v>
      </c>
      <c r="B1296" s="65" t="s">
        <v>2179</v>
      </c>
      <c r="C1296" s="67" t="s">
        <v>203</v>
      </c>
      <c r="D1296" s="69" t="s">
        <v>2180</v>
      </c>
      <c r="E1296" s="69" t="s">
        <v>2181</v>
      </c>
    </row>
    <row r="1297" spans="1:5" ht="33.75" x14ac:dyDescent="0.2">
      <c r="A1297" s="65" t="s">
        <v>2182</v>
      </c>
      <c r="B1297" s="65" t="s">
        <v>2183</v>
      </c>
      <c r="C1297" s="67" t="s">
        <v>203</v>
      </c>
      <c r="D1297" s="69" t="s">
        <v>2184</v>
      </c>
      <c r="E1297" s="69" t="s">
        <v>2186</v>
      </c>
    </row>
    <row r="1298" spans="1:5" ht="67.5" x14ac:dyDescent="0.2">
      <c r="A1298" s="65" t="s">
        <v>2187</v>
      </c>
      <c r="B1298" s="66" t="s">
        <v>2188</v>
      </c>
      <c r="C1298" s="67" t="s">
        <v>203</v>
      </c>
      <c r="D1298" s="69" t="s">
        <v>2189</v>
      </c>
      <c r="E1298" s="69" t="s">
        <v>2190</v>
      </c>
    </row>
    <row r="1299" spans="1:5" ht="67.5" x14ac:dyDescent="0.2">
      <c r="A1299" s="65" t="s">
        <v>2191</v>
      </c>
      <c r="B1299" s="66" t="s">
        <v>2192</v>
      </c>
      <c r="C1299" s="67" t="s">
        <v>203</v>
      </c>
      <c r="D1299" s="69" t="s">
        <v>2193</v>
      </c>
      <c r="E1299" s="69" t="s">
        <v>2194</v>
      </c>
    </row>
    <row r="1300" spans="1:5" ht="67.5" x14ac:dyDescent="0.2">
      <c r="A1300" s="65" t="s">
        <v>2195</v>
      </c>
      <c r="B1300" s="66" t="s">
        <v>2196</v>
      </c>
      <c r="C1300" s="67" t="s">
        <v>203</v>
      </c>
      <c r="D1300" s="69" t="s">
        <v>2197</v>
      </c>
      <c r="E1300" s="69" t="s">
        <v>2198</v>
      </c>
    </row>
    <row r="1301" spans="1:5" ht="33.75" x14ac:dyDescent="0.2">
      <c r="A1301" s="65" t="s">
        <v>2199</v>
      </c>
      <c r="B1301" s="65" t="s">
        <v>2200</v>
      </c>
      <c r="C1301" s="67" t="s">
        <v>203</v>
      </c>
      <c r="D1301" s="69" t="s">
        <v>2201</v>
      </c>
      <c r="E1301" s="69" t="s">
        <v>2202</v>
      </c>
    </row>
    <row r="1302" spans="1:5" ht="33.75" x14ac:dyDescent="0.2">
      <c r="A1302" s="65" t="s">
        <v>2203</v>
      </c>
      <c r="B1302" s="65" t="s">
        <v>2204</v>
      </c>
      <c r="C1302" s="67" t="s">
        <v>203</v>
      </c>
      <c r="D1302" s="69" t="s">
        <v>2205</v>
      </c>
      <c r="E1302" s="69" t="s">
        <v>2206</v>
      </c>
    </row>
    <row r="1303" spans="1:5" ht="33.75" x14ac:dyDescent="0.2">
      <c r="A1303" s="65" t="s">
        <v>2207</v>
      </c>
      <c r="B1303" s="65" t="s">
        <v>2208</v>
      </c>
      <c r="C1303" s="67" t="s">
        <v>203</v>
      </c>
      <c r="D1303" s="69" t="s">
        <v>2209</v>
      </c>
      <c r="E1303" s="69" t="s">
        <v>2210</v>
      </c>
    </row>
    <row r="1304" spans="1:5" ht="33.75" x14ac:dyDescent="0.2">
      <c r="A1304" s="65" t="s">
        <v>2211</v>
      </c>
      <c r="B1304" s="65" t="s">
        <v>2212</v>
      </c>
      <c r="C1304" s="67" t="s">
        <v>203</v>
      </c>
      <c r="D1304" s="69" t="s">
        <v>2213</v>
      </c>
      <c r="E1304" s="69" t="s">
        <v>2214</v>
      </c>
    </row>
    <row r="1305" spans="1:5" ht="33.75" x14ac:dyDescent="0.2">
      <c r="A1305" s="65" t="s">
        <v>2215</v>
      </c>
      <c r="B1305" s="65" t="s">
        <v>2216</v>
      </c>
      <c r="C1305" s="67" t="s">
        <v>203</v>
      </c>
      <c r="D1305" s="69" t="s">
        <v>2217</v>
      </c>
      <c r="E1305" s="69" t="s">
        <v>2218</v>
      </c>
    </row>
    <row r="1306" spans="1:5" ht="33.75" x14ac:dyDescent="0.2">
      <c r="A1306" s="65" t="s">
        <v>2219</v>
      </c>
      <c r="B1306" s="65" t="s">
        <v>2220</v>
      </c>
      <c r="C1306" s="67" t="s">
        <v>203</v>
      </c>
      <c r="D1306" s="69" t="s">
        <v>2221</v>
      </c>
      <c r="E1306" s="69" t="s">
        <v>2222</v>
      </c>
    </row>
    <row r="1307" spans="1:5" ht="33.75" x14ac:dyDescent="0.2">
      <c r="A1307" s="65" t="s">
        <v>2223</v>
      </c>
      <c r="B1307" s="65" t="s">
        <v>2224</v>
      </c>
      <c r="C1307" s="67" t="s">
        <v>203</v>
      </c>
      <c r="D1307" s="69" t="s">
        <v>2225</v>
      </c>
      <c r="E1307" s="69" t="s">
        <v>2226</v>
      </c>
    </row>
    <row r="1308" spans="1:5" ht="33.75" x14ac:dyDescent="0.2">
      <c r="A1308" s="65" t="s">
        <v>2227</v>
      </c>
      <c r="B1308" s="65" t="s">
        <v>2228</v>
      </c>
      <c r="C1308" s="67" t="s">
        <v>203</v>
      </c>
      <c r="D1308" s="69" t="s">
        <v>2229</v>
      </c>
      <c r="E1308" s="69" t="s">
        <v>2230</v>
      </c>
    </row>
    <row r="1309" spans="1:5" ht="33.75" x14ac:dyDescent="0.2">
      <c r="A1309" s="65" t="s">
        <v>2231</v>
      </c>
      <c r="B1309" s="65" t="s">
        <v>2232</v>
      </c>
      <c r="C1309" s="67" t="s">
        <v>203</v>
      </c>
      <c r="D1309" s="69" t="s">
        <v>2233</v>
      </c>
      <c r="E1309" s="69" t="s">
        <v>2234</v>
      </c>
    </row>
    <row r="1310" spans="1:5" ht="33.75" x14ac:dyDescent="0.2">
      <c r="A1310" s="65" t="s">
        <v>2235</v>
      </c>
      <c r="B1310" s="65" t="s">
        <v>2236</v>
      </c>
      <c r="C1310" s="67" t="s">
        <v>203</v>
      </c>
      <c r="D1310" s="69" t="s">
        <v>2237</v>
      </c>
      <c r="E1310" s="69" t="s">
        <v>2238</v>
      </c>
    </row>
    <row r="1311" spans="1:5" ht="45" x14ac:dyDescent="0.2">
      <c r="A1311" s="50">
        <v>23.11</v>
      </c>
      <c r="B1311" s="64" t="s">
        <v>2239</v>
      </c>
      <c r="C1311" s="47"/>
      <c r="D1311" s="47"/>
      <c r="E1311" s="47"/>
    </row>
    <row r="1312" spans="1:5" ht="56.25" x14ac:dyDescent="0.2">
      <c r="A1312" s="65" t="s">
        <v>2240</v>
      </c>
      <c r="B1312" s="66" t="s">
        <v>2241</v>
      </c>
      <c r="C1312" s="67" t="s">
        <v>204</v>
      </c>
      <c r="D1312" s="69" t="s">
        <v>2242</v>
      </c>
      <c r="E1312" s="69" t="s">
        <v>2243</v>
      </c>
    </row>
    <row r="1313" spans="1:5" ht="56.25" x14ac:dyDescent="0.2">
      <c r="A1313" s="65" t="s">
        <v>2244</v>
      </c>
      <c r="B1313" s="66" t="s">
        <v>2245</v>
      </c>
      <c r="C1313" s="67" t="s">
        <v>203</v>
      </c>
      <c r="D1313" s="69" t="s">
        <v>2246</v>
      </c>
      <c r="E1313" s="69" t="s">
        <v>2247</v>
      </c>
    </row>
    <row r="1314" spans="1:5" ht="56.25" x14ac:dyDescent="0.2">
      <c r="A1314" s="65" t="s">
        <v>2248</v>
      </c>
      <c r="B1314" s="66" t="s">
        <v>2249</v>
      </c>
      <c r="C1314" s="67" t="s">
        <v>203</v>
      </c>
      <c r="D1314" s="69" t="s">
        <v>2250</v>
      </c>
      <c r="E1314" s="69" t="s">
        <v>2251</v>
      </c>
    </row>
    <row r="1315" spans="1:5" ht="56.25" x14ac:dyDescent="0.2">
      <c r="A1315" s="65" t="s">
        <v>2252</v>
      </c>
      <c r="B1315" s="66" t="s">
        <v>2253</v>
      </c>
      <c r="C1315" s="67" t="s">
        <v>203</v>
      </c>
      <c r="D1315" s="69" t="s">
        <v>2254</v>
      </c>
      <c r="E1315" s="69" t="s">
        <v>2255</v>
      </c>
    </row>
    <row r="1316" spans="1:5" ht="45" x14ac:dyDescent="0.2">
      <c r="A1316" s="50">
        <v>23.12</v>
      </c>
      <c r="B1316" s="64" t="s">
        <v>2256</v>
      </c>
      <c r="C1316" s="48"/>
      <c r="D1316" s="48"/>
      <c r="E1316" s="48"/>
    </row>
    <row r="1317" spans="1:5" ht="101.25" x14ac:dyDescent="0.2">
      <c r="A1317" s="70" t="s">
        <v>2257</v>
      </c>
      <c r="B1317" s="65" t="s">
        <v>2258</v>
      </c>
      <c r="C1317" s="71" t="s">
        <v>203</v>
      </c>
      <c r="D1317" s="72" t="s">
        <v>2259</v>
      </c>
      <c r="E1317" s="72" t="s">
        <v>2259</v>
      </c>
    </row>
    <row r="1318" spans="1:5" ht="56.25" x14ac:dyDescent="0.2">
      <c r="A1318" s="50">
        <v>23.13</v>
      </c>
      <c r="B1318" s="64" t="s">
        <v>2260</v>
      </c>
      <c r="C1318" s="48"/>
      <c r="D1318" s="48"/>
      <c r="E1318" s="48"/>
    </row>
    <row r="1319" spans="1:5" ht="101.25" x14ac:dyDescent="0.2">
      <c r="A1319" s="70" t="s">
        <v>2261</v>
      </c>
      <c r="B1319" s="66" t="s">
        <v>2262</v>
      </c>
      <c r="C1319" s="71" t="s">
        <v>203</v>
      </c>
      <c r="D1319" s="72" t="s">
        <v>2259</v>
      </c>
      <c r="E1319" s="72" t="s">
        <v>2259</v>
      </c>
    </row>
    <row r="1320" spans="1:5" ht="112.5" x14ac:dyDescent="0.2">
      <c r="A1320" s="70" t="s">
        <v>2263</v>
      </c>
      <c r="B1320" s="66" t="s">
        <v>2264</v>
      </c>
      <c r="C1320" s="71" t="s">
        <v>203</v>
      </c>
      <c r="D1320" s="72" t="s">
        <v>2265</v>
      </c>
      <c r="E1320" s="72" t="s">
        <v>2265</v>
      </c>
    </row>
    <row r="1321" spans="1:5" ht="112.5" x14ac:dyDescent="0.2">
      <c r="A1321" s="70" t="s">
        <v>2266</v>
      </c>
      <c r="B1321" s="66" t="s">
        <v>2267</v>
      </c>
      <c r="C1321" s="71" t="s">
        <v>203</v>
      </c>
      <c r="D1321" s="72" t="s">
        <v>2259</v>
      </c>
      <c r="E1321" s="72" t="s">
        <v>2259</v>
      </c>
    </row>
    <row r="1322" spans="1:5" ht="135" x14ac:dyDescent="0.2">
      <c r="A1322" s="65" t="s">
        <v>2268</v>
      </c>
      <c r="B1322" s="65" t="s">
        <v>2269</v>
      </c>
      <c r="C1322" s="67" t="s">
        <v>203</v>
      </c>
      <c r="D1322" s="69" t="s">
        <v>2259</v>
      </c>
      <c r="E1322" s="69" t="s">
        <v>2259</v>
      </c>
    </row>
    <row r="1323" spans="1:5" ht="123.75" x14ac:dyDescent="0.2">
      <c r="A1323" s="65" t="s">
        <v>2270</v>
      </c>
      <c r="B1323" s="65" t="s">
        <v>2271</v>
      </c>
      <c r="C1323" s="67" t="s">
        <v>203</v>
      </c>
      <c r="D1323" s="69" t="s">
        <v>2265</v>
      </c>
      <c r="E1323" s="69" t="s">
        <v>2265</v>
      </c>
    </row>
    <row r="1324" spans="1:5" ht="157.5" x14ac:dyDescent="0.2">
      <c r="A1324" s="65" t="s">
        <v>2272</v>
      </c>
      <c r="B1324" s="66" t="s">
        <v>2273</v>
      </c>
      <c r="C1324" s="67" t="s">
        <v>203</v>
      </c>
      <c r="D1324" s="69" t="s">
        <v>2274</v>
      </c>
      <c r="E1324" s="69" t="s">
        <v>2274</v>
      </c>
    </row>
    <row r="1325" spans="1:5" ht="45" x14ac:dyDescent="0.2">
      <c r="A1325" s="50">
        <v>23.2</v>
      </c>
      <c r="B1325" s="64" t="s">
        <v>2275</v>
      </c>
      <c r="C1325" s="47"/>
      <c r="D1325" s="47"/>
      <c r="E1325" s="47"/>
    </row>
    <row r="1326" spans="1:5" ht="22.5" x14ac:dyDescent="0.2">
      <c r="A1326" s="65" t="s">
        <v>2276</v>
      </c>
      <c r="B1326" s="65" t="s">
        <v>2277</v>
      </c>
      <c r="C1326" s="67" t="s">
        <v>203</v>
      </c>
      <c r="D1326" s="73"/>
      <c r="E1326" s="69" t="s">
        <v>401</v>
      </c>
    </row>
    <row r="1327" spans="1:5" ht="33.75" x14ac:dyDescent="0.2">
      <c r="A1327" s="65" t="s">
        <v>2278</v>
      </c>
      <c r="B1327" s="65" t="s">
        <v>2279</v>
      </c>
      <c r="C1327" s="67" t="s">
        <v>203</v>
      </c>
      <c r="D1327" s="73"/>
      <c r="E1327" s="69" t="s">
        <v>2280</v>
      </c>
    </row>
    <row r="1328" spans="1:5" ht="33.75" x14ac:dyDescent="0.2">
      <c r="A1328" s="65" t="s">
        <v>2281</v>
      </c>
      <c r="B1328" s="65" t="s">
        <v>2282</v>
      </c>
      <c r="C1328" s="67" t="s">
        <v>221</v>
      </c>
      <c r="D1328" s="73"/>
      <c r="E1328" s="69" t="s">
        <v>389</v>
      </c>
    </row>
    <row r="1329" spans="1:5" ht="22.5" x14ac:dyDescent="0.2">
      <c r="A1329" s="65" t="s">
        <v>2283</v>
      </c>
      <c r="B1329" s="65" t="s">
        <v>2284</v>
      </c>
      <c r="C1329" s="67" t="s">
        <v>221</v>
      </c>
      <c r="D1329" s="69" t="s">
        <v>2285</v>
      </c>
      <c r="E1329" s="69" t="s">
        <v>2286</v>
      </c>
    </row>
    <row r="1330" spans="1:5" ht="45" x14ac:dyDescent="0.2">
      <c r="A1330" s="65" t="s">
        <v>2287</v>
      </c>
      <c r="B1330" s="65" t="s">
        <v>2288</v>
      </c>
      <c r="C1330" s="67" t="s">
        <v>204</v>
      </c>
      <c r="D1330" s="69" t="s">
        <v>2289</v>
      </c>
      <c r="E1330" s="69" t="s">
        <v>2290</v>
      </c>
    </row>
    <row r="1331" spans="1:5" ht="22.5" x14ac:dyDescent="0.2">
      <c r="A1331" s="65" t="s">
        <v>2291</v>
      </c>
      <c r="B1331" s="65" t="s">
        <v>2292</v>
      </c>
      <c r="C1331" s="67" t="s">
        <v>221</v>
      </c>
      <c r="D1331" s="69" t="s">
        <v>2293</v>
      </c>
      <c r="E1331" s="69" t="s">
        <v>2294</v>
      </c>
    </row>
    <row r="1332" spans="1:5" ht="33.75" x14ac:dyDescent="0.2">
      <c r="A1332" s="65" t="s">
        <v>2295</v>
      </c>
      <c r="B1332" s="65" t="s">
        <v>2296</v>
      </c>
      <c r="C1332" s="67" t="s">
        <v>203</v>
      </c>
      <c r="D1332" s="69" t="s">
        <v>2297</v>
      </c>
      <c r="E1332" s="69" t="s">
        <v>2297</v>
      </c>
    </row>
    <row r="1333" spans="1:5" ht="33.75" x14ac:dyDescent="0.2">
      <c r="A1333" s="65" t="s">
        <v>2298</v>
      </c>
      <c r="B1333" s="65" t="s">
        <v>2299</v>
      </c>
      <c r="C1333" s="67" t="s">
        <v>204</v>
      </c>
      <c r="D1333" s="69" t="s">
        <v>2300</v>
      </c>
      <c r="E1333" s="69" t="s">
        <v>2301</v>
      </c>
    </row>
    <row r="1334" spans="1:5" ht="33.75" x14ac:dyDescent="0.2">
      <c r="A1334" s="65" t="s">
        <v>2302</v>
      </c>
      <c r="B1334" s="65" t="s">
        <v>2303</v>
      </c>
      <c r="C1334" s="67" t="s">
        <v>204</v>
      </c>
      <c r="D1334" s="69" t="s">
        <v>2304</v>
      </c>
      <c r="E1334" s="69" t="s">
        <v>2305</v>
      </c>
    </row>
    <row r="1335" spans="1:5" ht="45" x14ac:dyDescent="0.2">
      <c r="A1335" s="65" t="s">
        <v>2306</v>
      </c>
      <c r="B1335" s="65" t="s">
        <v>2307</v>
      </c>
      <c r="C1335" s="67" t="s">
        <v>204</v>
      </c>
      <c r="D1335" s="69" t="s">
        <v>2308</v>
      </c>
      <c r="E1335" s="69" t="s">
        <v>2309</v>
      </c>
    </row>
    <row r="1336" spans="1:5" ht="22.5" x14ac:dyDescent="0.2">
      <c r="A1336" s="65" t="s">
        <v>2310</v>
      </c>
      <c r="B1336" s="65" t="s">
        <v>2311</v>
      </c>
      <c r="C1336" s="67" t="s">
        <v>203</v>
      </c>
      <c r="D1336" s="69" t="s">
        <v>2312</v>
      </c>
      <c r="E1336" s="69" t="s">
        <v>2313</v>
      </c>
    </row>
    <row r="1337" spans="1:5" ht="22.5" x14ac:dyDescent="0.2">
      <c r="A1337" s="65" t="s">
        <v>2314</v>
      </c>
      <c r="B1337" s="65" t="s">
        <v>2315</v>
      </c>
      <c r="C1337" s="67" t="s">
        <v>203</v>
      </c>
      <c r="D1337" s="69" t="s">
        <v>2316</v>
      </c>
      <c r="E1337" s="69" t="s">
        <v>2317</v>
      </c>
    </row>
    <row r="1338" spans="1:5" ht="22.5" x14ac:dyDescent="0.2">
      <c r="A1338" s="65" t="s">
        <v>2318</v>
      </c>
      <c r="B1338" s="65" t="s">
        <v>2319</v>
      </c>
      <c r="C1338" s="67" t="s">
        <v>203</v>
      </c>
      <c r="D1338" s="69" t="s">
        <v>2320</v>
      </c>
      <c r="E1338" s="69" t="s">
        <v>2321</v>
      </c>
    </row>
    <row r="1339" spans="1:5" ht="22.5" x14ac:dyDescent="0.2">
      <c r="A1339" s="65" t="s">
        <v>2322</v>
      </c>
      <c r="B1339" s="65" t="s">
        <v>2323</v>
      </c>
      <c r="C1339" s="74" t="s">
        <v>203</v>
      </c>
      <c r="D1339" s="69" t="s">
        <v>2324</v>
      </c>
      <c r="E1339" s="69" t="s">
        <v>2325</v>
      </c>
    </row>
    <row r="1340" spans="1:5" ht="56.25" x14ac:dyDescent="0.2">
      <c r="A1340" s="65" t="s">
        <v>2326</v>
      </c>
      <c r="B1340" s="66" t="s">
        <v>2327</v>
      </c>
      <c r="C1340" s="74" t="s">
        <v>203</v>
      </c>
      <c r="D1340" s="69" t="s">
        <v>2328</v>
      </c>
      <c r="E1340" s="69" t="s">
        <v>2329</v>
      </c>
    </row>
    <row r="1341" spans="1:5" ht="56.25" x14ac:dyDescent="0.2">
      <c r="A1341" s="65" t="s">
        <v>2330</v>
      </c>
      <c r="B1341" s="66" t="s">
        <v>2331</v>
      </c>
      <c r="C1341" s="74" t="s">
        <v>203</v>
      </c>
      <c r="D1341" s="69" t="s">
        <v>2332</v>
      </c>
      <c r="E1341" s="69" t="s">
        <v>2333</v>
      </c>
    </row>
    <row r="1342" spans="1:5" ht="56.25" x14ac:dyDescent="0.2">
      <c r="A1342" s="65" t="s">
        <v>2334</v>
      </c>
      <c r="B1342" s="66" t="s">
        <v>2335</v>
      </c>
      <c r="C1342" s="74" t="s">
        <v>203</v>
      </c>
      <c r="D1342" s="69" t="s">
        <v>2336</v>
      </c>
      <c r="E1342" s="69" t="s">
        <v>2337</v>
      </c>
    </row>
    <row r="1343" spans="1:5" ht="45" x14ac:dyDescent="0.2">
      <c r="A1343" s="65" t="s">
        <v>2338</v>
      </c>
      <c r="B1343" s="65" t="s">
        <v>2339</v>
      </c>
      <c r="C1343" s="74" t="s">
        <v>204</v>
      </c>
      <c r="D1343" s="69" t="s">
        <v>2340</v>
      </c>
      <c r="E1343" s="69" t="s">
        <v>2341</v>
      </c>
    </row>
    <row r="1344" spans="1:5" ht="33.75" x14ac:dyDescent="0.2">
      <c r="A1344" s="49">
        <v>24</v>
      </c>
      <c r="B1344" s="64" t="s">
        <v>2342</v>
      </c>
      <c r="C1344" s="47"/>
      <c r="D1344" s="47"/>
      <c r="E1344" s="47"/>
    </row>
    <row r="1345" spans="1:5" x14ac:dyDescent="0.2">
      <c r="A1345" s="50">
        <v>24.01</v>
      </c>
      <c r="B1345" s="64" t="s">
        <v>2343</v>
      </c>
      <c r="C1345" s="47"/>
      <c r="D1345" s="47"/>
      <c r="E1345" s="47"/>
    </row>
    <row r="1346" spans="1:5" ht="22.5" x14ac:dyDescent="0.2">
      <c r="A1346" s="65" t="s">
        <v>2344</v>
      </c>
      <c r="B1346" s="65" t="s">
        <v>2345</v>
      </c>
      <c r="C1346" s="74" t="s">
        <v>204</v>
      </c>
      <c r="D1346" s="69" t="s">
        <v>2346</v>
      </c>
      <c r="E1346" s="69" t="s">
        <v>2348</v>
      </c>
    </row>
    <row r="1347" spans="1:5" ht="33.75" x14ac:dyDescent="0.2">
      <c r="A1347" s="65" t="s">
        <v>2349</v>
      </c>
      <c r="B1347" s="65" t="s">
        <v>2350</v>
      </c>
      <c r="C1347" s="74" t="s">
        <v>204</v>
      </c>
      <c r="D1347" s="69" t="s">
        <v>2351</v>
      </c>
      <c r="E1347" s="69" t="s">
        <v>2352</v>
      </c>
    </row>
    <row r="1348" spans="1:5" ht="22.5" x14ac:dyDescent="0.2">
      <c r="A1348" s="65" t="s">
        <v>2353</v>
      </c>
      <c r="B1348" s="65" t="s">
        <v>2354</v>
      </c>
      <c r="C1348" s="74" t="s">
        <v>204</v>
      </c>
      <c r="D1348" s="69" t="s">
        <v>2355</v>
      </c>
      <c r="E1348" s="69" t="s">
        <v>2356</v>
      </c>
    </row>
    <row r="1349" spans="1:5" ht="45" x14ac:dyDescent="0.2">
      <c r="A1349" s="65" t="s">
        <v>2357</v>
      </c>
      <c r="B1349" s="65" t="s">
        <v>2358</v>
      </c>
      <c r="C1349" s="74" t="s">
        <v>204</v>
      </c>
      <c r="D1349" s="69" t="s">
        <v>2359</v>
      </c>
      <c r="E1349" s="69" t="s">
        <v>2360</v>
      </c>
    </row>
    <row r="1350" spans="1:5" ht="33.75" x14ac:dyDescent="0.2">
      <c r="A1350" s="65" t="s">
        <v>2361</v>
      </c>
      <c r="B1350" s="65" t="s">
        <v>2362</v>
      </c>
      <c r="C1350" s="74" t="s">
        <v>204</v>
      </c>
      <c r="D1350" s="69" t="s">
        <v>2363</v>
      </c>
      <c r="E1350" s="69" t="s">
        <v>2364</v>
      </c>
    </row>
    <row r="1351" spans="1:5" ht="33.75" x14ac:dyDescent="0.2">
      <c r="A1351" s="65" t="s">
        <v>2365</v>
      </c>
      <c r="B1351" s="65" t="s">
        <v>2366</v>
      </c>
      <c r="C1351" s="74" t="s">
        <v>204</v>
      </c>
      <c r="D1351" s="69" t="s">
        <v>2367</v>
      </c>
      <c r="E1351" s="69" t="s">
        <v>2368</v>
      </c>
    </row>
    <row r="1352" spans="1:5" ht="67.5" x14ac:dyDescent="0.2">
      <c r="A1352" s="65" t="s">
        <v>2369</v>
      </c>
      <c r="B1352" s="66" t="s">
        <v>2370</v>
      </c>
      <c r="C1352" s="74" t="s">
        <v>204</v>
      </c>
      <c r="D1352" s="69" t="s">
        <v>2371</v>
      </c>
      <c r="E1352" s="69" t="s">
        <v>2371</v>
      </c>
    </row>
    <row r="1353" spans="1:5" ht="90" x14ac:dyDescent="0.2">
      <c r="A1353" s="70" t="s">
        <v>2372</v>
      </c>
      <c r="B1353" s="65" t="s">
        <v>2373</v>
      </c>
      <c r="C1353" s="75" t="s">
        <v>204</v>
      </c>
      <c r="D1353" s="72" t="s">
        <v>2374</v>
      </c>
      <c r="E1353" s="72" t="s">
        <v>2376</v>
      </c>
    </row>
    <row r="1354" spans="1:5" ht="78.75" x14ac:dyDescent="0.2">
      <c r="A1354" s="70" t="s">
        <v>2377</v>
      </c>
      <c r="B1354" s="65" t="s">
        <v>2378</v>
      </c>
      <c r="C1354" s="75" t="s">
        <v>204</v>
      </c>
      <c r="D1354" s="72" t="s">
        <v>2379</v>
      </c>
      <c r="E1354" s="72" t="s">
        <v>2380</v>
      </c>
    </row>
    <row r="1355" spans="1:5" ht="56.25" x14ac:dyDescent="0.2">
      <c r="A1355" s="65" t="s">
        <v>2381</v>
      </c>
      <c r="B1355" s="66" t="s">
        <v>2382</v>
      </c>
      <c r="C1355" s="74" t="s">
        <v>204</v>
      </c>
      <c r="D1355" s="69" t="s">
        <v>2383</v>
      </c>
      <c r="E1355" s="69" t="s">
        <v>2385</v>
      </c>
    </row>
    <row r="1356" spans="1:5" ht="22.5" x14ac:dyDescent="0.2">
      <c r="A1356" s="65" t="s">
        <v>2386</v>
      </c>
      <c r="B1356" s="65" t="s">
        <v>2387</v>
      </c>
      <c r="C1356" s="74" t="s">
        <v>204</v>
      </c>
      <c r="D1356" s="69" t="s">
        <v>2388</v>
      </c>
      <c r="E1356" s="69" t="s">
        <v>2390</v>
      </c>
    </row>
    <row r="1357" spans="1:5" ht="22.5" x14ac:dyDescent="0.2">
      <c r="A1357" s="50">
        <v>24.02</v>
      </c>
      <c r="B1357" s="64" t="s">
        <v>2391</v>
      </c>
      <c r="C1357" s="47"/>
      <c r="D1357" s="47"/>
      <c r="E1357" s="47"/>
    </row>
    <row r="1358" spans="1:5" ht="33.75" x14ac:dyDescent="0.2">
      <c r="A1358" s="65" t="s">
        <v>2392</v>
      </c>
      <c r="B1358" s="65" t="s">
        <v>2393</v>
      </c>
      <c r="C1358" s="74" t="s">
        <v>204</v>
      </c>
      <c r="D1358" s="69" t="s">
        <v>2394</v>
      </c>
      <c r="E1358" s="69" t="s">
        <v>2395</v>
      </c>
    </row>
    <row r="1359" spans="1:5" ht="22.5" x14ac:dyDescent="0.2">
      <c r="A1359" s="65" t="s">
        <v>2396</v>
      </c>
      <c r="B1359" s="65" t="s">
        <v>2397</v>
      </c>
      <c r="C1359" s="74" t="s">
        <v>204</v>
      </c>
      <c r="D1359" s="69" t="s">
        <v>2398</v>
      </c>
      <c r="E1359" s="69" t="s">
        <v>2399</v>
      </c>
    </row>
    <row r="1360" spans="1:5" ht="56.25" x14ac:dyDescent="0.2">
      <c r="A1360" s="65" t="s">
        <v>2400</v>
      </c>
      <c r="B1360" s="66" t="s">
        <v>2401</v>
      </c>
      <c r="C1360" s="74" t="s">
        <v>203</v>
      </c>
      <c r="D1360" s="69" t="s">
        <v>2402</v>
      </c>
      <c r="E1360" s="69" t="s">
        <v>2404</v>
      </c>
    </row>
    <row r="1361" spans="1:5" ht="56.25" x14ac:dyDescent="0.2">
      <c r="A1361" s="65" t="s">
        <v>2405</v>
      </c>
      <c r="B1361" s="66" t="s">
        <v>2406</v>
      </c>
      <c r="C1361" s="74" t="s">
        <v>203</v>
      </c>
      <c r="D1361" s="69" t="s">
        <v>2407</v>
      </c>
      <c r="E1361" s="69" t="s">
        <v>2408</v>
      </c>
    </row>
    <row r="1362" spans="1:5" ht="67.5" x14ac:dyDescent="0.2">
      <c r="A1362" s="65" t="s">
        <v>2409</v>
      </c>
      <c r="B1362" s="66" t="s">
        <v>2410</v>
      </c>
      <c r="C1362" s="74" t="s">
        <v>204</v>
      </c>
      <c r="D1362" s="69" t="s">
        <v>2411</v>
      </c>
      <c r="E1362" s="69" t="s">
        <v>2412</v>
      </c>
    </row>
    <row r="1363" spans="1:5" ht="56.25" x14ac:dyDescent="0.2">
      <c r="A1363" s="65" t="s">
        <v>2413</v>
      </c>
      <c r="B1363" s="66" t="s">
        <v>2414</v>
      </c>
      <c r="C1363" s="74" t="s">
        <v>203</v>
      </c>
      <c r="D1363" s="69" t="s">
        <v>2415</v>
      </c>
      <c r="E1363" s="69" t="s">
        <v>2417</v>
      </c>
    </row>
    <row r="1364" spans="1:5" ht="56.25" x14ac:dyDescent="0.2">
      <c r="A1364" s="65" t="s">
        <v>2418</v>
      </c>
      <c r="B1364" s="66" t="s">
        <v>2419</v>
      </c>
      <c r="C1364" s="74" t="s">
        <v>203</v>
      </c>
      <c r="D1364" s="69" t="s">
        <v>2420</v>
      </c>
      <c r="E1364" s="69" t="s">
        <v>2421</v>
      </c>
    </row>
    <row r="1365" spans="1:5" ht="33.75" x14ac:dyDescent="0.2">
      <c r="A1365" s="65" t="s">
        <v>2422</v>
      </c>
      <c r="B1365" s="65" t="s">
        <v>2423</v>
      </c>
      <c r="C1365" s="74" t="s">
        <v>204</v>
      </c>
      <c r="D1365" s="69" t="s">
        <v>2424</v>
      </c>
      <c r="E1365" s="69" t="s">
        <v>2425</v>
      </c>
    </row>
    <row r="1366" spans="1:5" ht="33.75" x14ac:dyDescent="0.2">
      <c r="A1366" s="65" t="s">
        <v>2426</v>
      </c>
      <c r="B1366" s="65" t="s">
        <v>2427</v>
      </c>
      <c r="C1366" s="74" t="s">
        <v>204</v>
      </c>
      <c r="D1366" s="69" t="s">
        <v>2428</v>
      </c>
      <c r="E1366" s="69" t="s">
        <v>2429</v>
      </c>
    </row>
    <row r="1367" spans="1:5" ht="33.75" x14ac:dyDescent="0.2">
      <c r="A1367" s="65" t="s">
        <v>2430</v>
      </c>
      <c r="B1367" s="65" t="s">
        <v>2431</v>
      </c>
      <c r="C1367" s="74" t="s">
        <v>204</v>
      </c>
      <c r="D1367" s="69" t="s">
        <v>2432</v>
      </c>
      <c r="E1367" s="69" t="s">
        <v>2433</v>
      </c>
    </row>
    <row r="1368" spans="1:5" ht="56.25" x14ac:dyDescent="0.2">
      <c r="A1368" s="65" t="s">
        <v>2434</v>
      </c>
      <c r="B1368" s="65" t="s">
        <v>2435</v>
      </c>
      <c r="C1368" s="74" t="s">
        <v>204</v>
      </c>
      <c r="D1368" s="69" t="s">
        <v>2436</v>
      </c>
      <c r="E1368" s="69" t="s">
        <v>2438</v>
      </c>
    </row>
    <row r="1369" spans="1:5" ht="56.25" x14ac:dyDescent="0.2">
      <c r="A1369" s="65" t="s">
        <v>2439</v>
      </c>
      <c r="B1369" s="66" t="s">
        <v>2440</v>
      </c>
      <c r="C1369" s="74" t="s">
        <v>204</v>
      </c>
      <c r="D1369" s="69" t="s">
        <v>2441</v>
      </c>
      <c r="E1369" s="69" t="s">
        <v>2442</v>
      </c>
    </row>
    <row r="1370" spans="1:5" ht="56.25" x14ac:dyDescent="0.2">
      <c r="A1370" s="65" t="s">
        <v>2443</v>
      </c>
      <c r="B1370" s="65" t="s">
        <v>2444</v>
      </c>
      <c r="C1370" s="74" t="s">
        <v>204</v>
      </c>
      <c r="D1370" s="69" t="s">
        <v>2445</v>
      </c>
      <c r="E1370" s="69" t="s">
        <v>2446</v>
      </c>
    </row>
    <row r="1371" spans="1:5" ht="45" x14ac:dyDescent="0.2">
      <c r="A1371" s="65" t="s">
        <v>2447</v>
      </c>
      <c r="B1371" s="65" t="s">
        <v>2448</v>
      </c>
      <c r="C1371" s="74" t="s">
        <v>204</v>
      </c>
      <c r="D1371" s="69" t="s">
        <v>2449</v>
      </c>
      <c r="E1371" s="69" t="s">
        <v>2450</v>
      </c>
    </row>
    <row r="1372" spans="1:5" ht="33.75" x14ac:dyDescent="0.2">
      <c r="A1372" s="65" t="s">
        <v>2451</v>
      </c>
      <c r="B1372" s="65" t="s">
        <v>2452</v>
      </c>
      <c r="C1372" s="74" t="s">
        <v>204</v>
      </c>
      <c r="D1372" s="69" t="s">
        <v>2453</v>
      </c>
      <c r="E1372" s="69" t="s">
        <v>2454</v>
      </c>
    </row>
    <row r="1373" spans="1:5" ht="67.5" x14ac:dyDescent="0.2">
      <c r="A1373" s="65" t="s">
        <v>2455</v>
      </c>
      <c r="B1373" s="66" t="s">
        <v>2456</v>
      </c>
      <c r="C1373" s="74" t="s">
        <v>204</v>
      </c>
      <c r="D1373" s="69" t="s">
        <v>2457</v>
      </c>
      <c r="E1373" s="69" t="s">
        <v>2458</v>
      </c>
    </row>
    <row r="1374" spans="1:5" ht="22.5" x14ac:dyDescent="0.2">
      <c r="A1374" s="65" t="s">
        <v>2459</v>
      </c>
      <c r="B1374" s="65" t="s">
        <v>2460</v>
      </c>
      <c r="C1374" s="74" t="s">
        <v>204</v>
      </c>
      <c r="D1374" s="69" t="s">
        <v>2461</v>
      </c>
      <c r="E1374" s="69" t="s">
        <v>2463</v>
      </c>
    </row>
    <row r="1375" spans="1:5" ht="45" x14ac:dyDescent="0.2">
      <c r="A1375" s="65" t="s">
        <v>2464</v>
      </c>
      <c r="B1375" s="65" t="s">
        <v>2465</v>
      </c>
      <c r="C1375" s="74" t="s">
        <v>204</v>
      </c>
      <c r="D1375" s="69" t="s">
        <v>2466</v>
      </c>
      <c r="E1375" s="69" t="s">
        <v>2468</v>
      </c>
    </row>
    <row r="1376" spans="1:5" ht="56.25" x14ac:dyDescent="0.2">
      <c r="A1376" s="65" t="s">
        <v>2469</v>
      </c>
      <c r="B1376" s="66" t="s">
        <v>2470</v>
      </c>
      <c r="C1376" s="67" t="s">
        <v>204</v>
      </c>
      <c r="D1376" s="69" t="s">
        <v>2471</v>
      </c>
      <c r="E1376" s="69" t="s">
        <v>2472</v>
      </c>
    </row>
    <row r="1377" spans="1:5" ht="56.25" x14ac:dyDescent="0.2">
      <c r="A1377" s="65" t="s">
        <v>2473</v>
      </c>
      <c r="B1377" s="65" t="s">
        <v>2474</v>
      </c>
      <c r="C1377" s="67" t="s">
        <v>204</v>
      </c>
      <c r="D1377" s="69" t="s">
        <v>2475</v>
      </c>
      <c r="E1377" s="69" t="s">
        <v>2476</v>
      </c>
    </row>
    <row r="1378" spans="1:5" ht="45" x14ac:dyDescent="0.2">
      <c r="A1378" s="65" t="s">
        <v>2477</v>
      </c>
      <c r="B1378" s="65" t="s">
        <v>2478</v>
      </c>
      <c r="C1378" s="67" t="s">
        <v>204</v>
      </c>
      <c r="D1378" s="69" t="s">
        <v>2479</v>
      </c>
      <c r="E1378" s="69" t="s">
        <v>2480</v>
      </c>
    </row>
    <row r="1379" spans="1:5" ht="33.75" x14ac:dyDescent="0.2">
      <c r="A1379" s="65" t="s">
        <v>2481</v>
      </c>
      <c r="B1379" s="65" t="s">
        <v>2482</v>
      </c>
      <c r="C1379" s="67" t="s">
        <v>204</v>
      </c>
      <c r="D1379" s="69" t="s">
        <v>2483</v>
      </c>
      <c r="E1379" s="69" t="s">
        <v>2484</v>
      </c>
    </row>
    <row r="1380" spans="1:5" ht="67.5" x14ac:dyDescent="0.2">
      <c r="A1380" s="65" t="s">
        <v>2485</v>
      </c>
      <c r="B1380" s="66" t="s">
        <v>2486</v>
      </c>
      <c r="C1380" s="67" t="s">
        <v>204</v>
      </c>
      <c r="D1380" s="69" t="s">
        <v>2487</v>
      </c>
      <c r="E1380" s="69" t="s">
        <v>2488</v>
      </c>
    </row>
    <row r="1381" spans="1:5" ht="56.25" x14ac:dyDescent="0.2">
      <c r="A1381" s="65" t="s">
        <v>2489</v>
      </c>
      <c r="B1381" s="66" t="s">
        <v>2490</v>
      </c>
      <c r="C1381" s="67" t="s">
        <v>204</v>
      </c>
      <c r="D1381" s="69" t="s">
        <v>2491</v>
      </c>
      <c r="E1381" s="69" t="s">
        <v>2493</v>
      </c>
    </row>
    <row r="1382" spans="1:5" ht="78.75" x14ac:dyDescent="0.2">
      <c r="A1382" s="65" t="s">
        <v>2494</v>
      </c>
      <c r="B1382" s="66" t="s">
        <v>2495</v>
      </c>
      <c r="C1382" s="67" t="s">
        <v>204</v>
      </c>
      <c r="D1382" s="69" t="s">
        <v>2496</v>
      </c>
      <c r="E1382" s="69" t="s">
        <v>2498</v>
      </c>
    </row>
    <row r="1383" spans="1:5" ht="45" x14ac:dyDescent="0.2">
      <c r="A1383" s="65" t="s">
        <v>2499</v>
      </c>
      <c r="B1383" s="65" t="s">
        <v>2500</v>
      </c>
      <c r="C1383" s="67" t="s">
        <v>204</v>
      </c>
      <c r="D1383" s="69" t="s">
        <v>2501</v>
      </c>
      <c r="E1383" s="69" t="s">
        <v>2503</v>
      </c>
    </row>
    <row r="1384" spans="1:5" ht="56.25" x14ac:dyDescent="0.2">
      <c r="A1384" s="65" t="s">
        <v>2504</v>
      </c>
      <c r="B1384" s="65" t="s">
        <v>2505</v>
      </c>
      <c r="C1384" s="67" t="s">
        <v>204</v>
      </c>
      <c r="D1384" s="69" t="s">
        <v>2506</v>
      </c>
      <c r="E1384" s="69" t="s">
        <v>2508</v>
      </c>
    </row>
    <row r="1385" spans="1:5" ht="56.25" x14ac:dyDescent="0.2">
      <c r="A1385" s="65" t="s">
        <v>2509</v>
      </c>
      <c r="B1385" s="66" t="s">
        <v>2510</v>
      </c>
      <c r="C1385" s="67" t="s">
        <v>204</v>
      </c>
      <c r="D1385" s="69" t="s">
        <v>2511</v>
      </c>
      <c r="E1385" s="69" t="s">
        <v>2512</v>
      </c>
    </row>
    <row r="1386" spans="1:5" x14ac:dyDescent="0.2">
      <c r="A1386" s="50">
        <v>24.03</v>
      </c>
      <c r="B1386" s="64" t="s">
        <v>2513</v>
      </c>
      <c r="C1386" s="47"/>
      <c r="D1386" s="47"/>
      <c r="E1386" s="47"/>
    </row>
    <row r="1387" spans="1:5" ht="45" x14ac:dyDescent="0.2">
      <c r="A1387" s="65" t="s">
        <v>2514</v>
      </c>
      <c r="B1387" s="65" t="s">
        <v>2515</v>
      </c>
      <c r="C1387" s="67" t="s">
        <v>221</v>
      </c>
      <c r="D1387" s="69" t="s">
        <v>2516</v>
      </c>
      <c r="E1387" s="69" t="s">
        <v>2517</v>
      </c>
    </row>
    <row r="1388" spans="1:5" ht="22.5" x14ac:dyDescent="0.2">
      <c r="A1388" s="65" t="s">
        <v>2518</v>
      </c>
      <c r="B1388" s="65" t="s">
        <v>2519</v>
      </c>
      <c r="C1388" s="67" t="s">
        <v>221</v>
      </c>
      <c r="D1388" s="69" t="s">
        <v>2520</v>
      </c>
      <c r="E1388" s="69" t="s">
        <v>2521</v>
      </c>
    </row>
    <row r="1389" spans="1:5" ht="33.75" x14ac:dyDescent="0.2">
      <c r="A1389" s="65" t="s">
        <v>2522</v>
      </c>
      <c r="B1389" s="65" t="s">
        <v>2523</v>
      </c>
      <c r="C1389" s="67" t="s">
        <v>221</v>
      </c>
      <c r="D1389" s="69" t="s">
        <v>2524</v>
      </c>
      <c r="E1389" s="69" t="s">
        <v>2525</v>
      </c>
    </row>
    <row r="1390" spans="1:5" ht="33.75" x14ac:dyDescent="0.2">
      <c r="A1390" s="65" t="s">
        <v>2526</v>
      </c>
      <c r="B1390" s="65" t="s">
        <v>2527</v>
      </c>
      <c r="C1390" s="67" t="s">
        <v>204</v>
      </c>
      <c r="D1390" s="69" t="s">
        <v>2528</v>
      </c>
      <c r="E1390" s="69" t="s">
        <v>2529</v>
      </c>
    </row>
    <row r="1391" spans="1:5" ht="56.25" x14ac:dyDescent="0.2">
      <c r="A1391" s="65" t="s">
        <v>2530</v>
      </c>
      <c r="B1391" s="66" t="s">
        <v>2531</v>
      </c>
      <c r="C1391" s="67" t="s">
        <v>204</v>
      </c>
      <c r="D1391" s="69" t="s">
        <v>2532</v>
      </c>
      <c r="E1391" s="69" t="s">
        <v>2534</v>
      </c>
    </row>
    <row r="1392" spans="1:5" ht="45" x14ac:dyDescent="0.2">
      <c r="A1392" s="65" t="s">
        <v>2535</v>
      </c>
      <c r="B1392" s="65" t="s">
        <v>2536</v>
      </c>
      <c r="C1392" s="67" t="s">
        <v>204</v>
      </c>
      <c r="D1392" s="69" t="s">
        <v>2537</v>
      </c>
      <c r="E1392" s="69" t="s">
        <v>2538</v>
      </c>
    </row>
    <row r="1393" spans="1:5" ht="78.75" x14ac:dyDescent="0.2">
      <c r="A1393" s="65" t="s">
        <v>2539</v>
      </c>
      <c r="B1393" s="66" t="s">
        <v>2540</v>
      </c>
      <c r="C1393" s="67" t="s">
        <v>204</v>
      </c>
      <c r="D1393" s="69" t="s">
        <v>2541</v>
      </c>
      <c r="E1393" s="69" t="s">
        <v>2542</v>
      </c>
    </row>
    <row r="1394" spans="1:5" ht="78.75" x14ac:dyDescent="0.2">
      <c r="A1394" s="65" t="s">
        <v>2543</v>
      </c>
      <c r="B1394" s="66" t="s">
        <v>2544</v>
      </c>
      <c r="C1394" s="67" t="s">
        <v>204</v>
      </c>
      <c r="D1394" s="69" t="s">
        <v>2545</v>
      </c>
      <c r="E1394" s="69" t="s">
        <v>2546</v>
      </c>
    </row>
    <row r="1395" spans="1:5" ht="33.75" x14ac:dyDescent="0.2">
      <c r="A1395" s="65" t="s">
        <v>2547</v>
      </c>
      <c r="B1395" s="65" t="s">
        <v>2548</v>
      </c>
      <c r="C1395" s="67" t="s">
        <v>221</v>
      </c>
      <c r="D1395" s="69" t="s">
        <v>2549</v>
      </c>
      <c r="E1395" s="69" t="s">
        <v>2550</v>
      </c>
    </row>
    <row r="1396" spans="1:5" ht="33.75" x14ac:dyDescent="0.2">
      <c r="A1396" s="65" t="s">
        <v>2551</v>
      </c>
      <c r="B1396" s="65" t="s">
        <v>2552</v>
      </c>
      <c r="C1396" s="67" t="s">
        <v>221</v>
      </c>
      <c r="D1396" s="69" t="s">
        <v>2553</v>
      </c>
      <c r="E1396" s="69" t="s">
        <v>2554</v>
      </c>
    </row>
    <row r="1397" spans="1:5" ht="67.5" x14ac:dyDescent="0.2">
      <c r="A1397" s="65" t="s">
        <v>2555</v>
      </c>
      <c r="B1397" s="66" t="s">
        <v>2556</v>
      </c>
      <c r="C1397" s="67" t="s">
        <v>204</v>
      </c>
      <c r="D1397" s="69" t="s">
        <v>2557</v>
      </c>
      <c r="E1397" s="69" t="s">
        <v>2558</v>
      </c>
    </row>
    <row r="1398" spans="1:5" ht="78.75" x14ac:dyDescent="0.2">
      <c r="A1398" s="65" t="s">
        <v>2559</v>
      </c>
      <c r="B1398" s="66" t="s">
        <v>2560</v>
      </c>
      <c r="C1398" s="67" t="s">
        <v>204</v>
      </c>
      <c r="D1398" s="69" t="s">
        <v>2561</v>
      </c>
      <c r="E1398" s="69" t="s">
        <v>2562</v>
      </c>
    </row>
    <row r="1399" spans="1:5" ht="56.25" x14ac:dyDescent="0.2">
      <c r="A1399" s="65" t="s">
        <v>2563</v>
      </c>
      <c r="B1399" s="66" t="s">
        <v>2564</v>
      </c>
      <c r="C1399" s="67" t="s">
        <v>204</v>
      </c>
      <c r="D1399" s="69" t="s">
        <v>2565</v>
      </c>
      <c r="E1399" s="69" t="s">
        <v>2566</v>
      </c>
    </row>
    <row r="1400" spans="1:5" ht="56.25" x14ac:dyDescent="0.2">
      <c r="A1400" s="65" t="s">
        <v>2567</v>
      </c>
      <c r="B1400" s="66" t="s">
        <v>2568</v>
      </c>
      <c r="C1400" s="67" t="s">
        <v>204</v>
      </c>
      <c r="D1400" s="69" t="s">
        <v>2569</v>
      </c>
      <c r="E1400" s="69" t="s">
        <v>2570</v>
      </c>
    </row>
    <row r="1401" spans="1:5" ht="90" x14ac:dyDescent="0.2">
      <c r="A1401" s="70" t="s">
        <v>2571</v>
      </c>
      <c r="B1401" s="65" t="s">
        <v>2572</v>
      </c>
      <c r="C1401" s="71" t="s">
        <v>204</v>
      </c>
      <c r="D1401" s="72" t="s">
        <v>2573</v>
      </c>
      <c r="E1401" s="72" t="s">
        <v>2573</v>
      </c>
    </row>
    <row r="1402" spans="1:5" ht="33.75" x14ac:dyDescent="0.2">
      <c r="A1402" s="50">
        <v>24.04</v>
      </c>
      <c r="B1402" s="64" t="s">
        <v>2574</v>
      </c>
      <c r="C1402" s="47"/>
      <c r="D1402" s="47"/>
      <c r="E1402" s="47"/>
    </row>
    <row r="1403" spans="1:5" ht="90" x14ac:dyDescent="0.2">
      <c r="A1403" s="65" t="s">
        <v>2575</v>
      </c>
      <c r="B1403" s="66" t="s">
        <v>2576</v>
      </c>
      <c r="C1403" s="67" t="s">
        <v>204</v>
      </c>
      <c r="D1403" s="69" t="s">
        <v>2577</v>
      </c>
      <c r="E1403" s="69" t="s">
        <v>2579</v>
      </c>
    </row>
    <row r="1404" spans="1:5" ht="56.25" x14ac:dyDescent="0.2">
      <c r="A1404" s="65" t="s">
        <v>2580</v>
      </c>
      <c r="B1404" s="66" t="s">
        <v>2581</v>
      </c>
      <c r="C1404" s="67" t="s">
        <v>204</v>
      </c>
      <c r="D1404" s="69" t="s">
        <v>2582</v>
      </c>
      <c r="E1404" s="69" t="s">
        <v>2583</v>
      </c>
    </row>
    <row r="1405" spans="1:5" ht="67.5" x14ac:dyDescent="0.2">
      <c r="A1405" s="65" t="s">
        <v>2584</v>
      </c>
      <c r="B1405" s="66" t="s">
        <v>2585</v>
      </c>
      <c r="C1405" s="67" t="s">
        <v>204</v>
      </c>
      <c r="D1405" s="69" t="s">
        <v>2586</v>
      </c>
      <c r="E1405" s="69" t="s">
        <v>2587</v>
      </c>
    </row>
    <row r="1406" spans="1:5" ht="67.5" x14ac:dyDescent="0.2">
      <c r="A1406" s="65" t="s">
        <v>2588</v>
      </c>
      <c r="B1406" s="66" t="s">
        <v>2589</v>
      </c>
      <c r="C1406" s="67" t="s">
        <v>204</v>
      </c>
      <c r="D1406" s="69" t="s">
        <v>2590</v>
      </c>
      <c r="E1406" s="69" t="s">
        <v>2591</v>
      </c>
    </row>
    <row r="1407" spans="1:5" ht="78.75" x14ac:dyDescent="0.2">
      <c r="A1407" s="65" t="s">
        <v>2592</v>
      </c>
      <c r="B1407" s="66" t="s">
        <v>2593</v>
      </c>
      <c r="C1407" s="67" t="s">
        <v>204</v>
      </c>
      <c r="D1407" s="69" t="s">
        <v>2594</v>
      </c>
      <c r="E1407" s="69" t="s">
        <v>2595</v>
      </c>
    </row>
    <row r="1408" spans="1:5" ht="90" x14ac:dyDescent="0.2">
      <c r="A1408" s="65" t="s">
        <v>2596</v>
      </c>
      <c r="B1408" s="66" t="s">
        <v>2597</v>
      </c>
      <c r="C1408" s="67" t="s">
        <v>204</v>
      </c>
      <c r="D1408" s="69" t="s">
        <v>2598</v>
      </c>
      <c r="E1408" s="69" t="s">
        <v>2599</v>
      </c>
    </row>
    <row r="1409" spans="1:5" ht="101.25" x14ac:dyDescent="0.2">
      <c r="A1409" s="70" t="s">
        <v>2600</v>
      </c>
      <c r="B1409" s="66" t="s">
        <v>2601</v>
      </c>
      <c r="C1409" s="71" t="s">
        <v>204</v>
      </c>
      <c r="D1409" s="72" t="s">
        <v>2602</v>
      </c>
      <c r="E1409" s="72" t="s">
        <v>2603</v>
      </c>
    </row>
    <row r="1410" spans="1:5" ht="90" x14ac:dyDescent="0.2">
      <c r="A1410" s="70" t="s">
        <v>2604</v>
      </c>
      <c r="B1410" s="65" t="s">
        <v>2605</v>
      </c>
      <c r="C1410" s="71" t="s">
        <v>204</v>
      </c>
      <c r="D1410" s="72" t="s">
        <v>2606</v>
      </c>
      <c r="E1410" s="72" t="s">
        <v>2607</v>
      </c>
    </row>
    <row r="1411" spans="1:5" ht="56.25" x14ac:dyDescent="0.2">
      <c r="A1411" s="65" t="s">
        <v>2608</v>
      </c>
      <c r="B1411" s="66" t="s">
        <v>2609</v>
      </c>
      <c r="C1411" s="67" t="s">
        <v>204</v>
      </c>
      <c r="D1411" s="69" t="s">
        <v>2610</v>
      </c>
      <c r="E1411" s="69" t="s">
        <v>2611</v>
      </c>
    </row>
    <row r="1412" spans="1:5" ht="67.5" x14ac:dyDescent="0.2">
      <c r="A1412" s="65" t="s">
        <v>2612</v>
      </c>
      <c r="B1412" s="66" t="s">
        <v>2613</v>
      </c>
      <c r="C1412" s="67" t="s">
        <v>204</v>
      </c>
      <c r="D1412" s="69" t="s">
        <v>2614</v>
      </c>
      <c r="E1412" s="69" t="s">
        <v>2615</v>
      </c>
    </row>
    <row r="1413" spans="1:5" ht="67.5" x14ac:dyDescent="0.2">
      <c r="A1413" s="65" t="s">
        <v>2616</v>
      </c>
      <c r="B1413" s="66" t="s">
        <v>2617</v>
      </c>
      <c r="C1413" s="67" t="s">
        <v>204</v>
      </c>
      <c r="D1413" s="69" t="s">
        <v>2618</v>
      </c>
      <c r="E1413" s="69" t="s">
        <v>2619</v>
      </c>
    </row>
    <row r="1414" spans="1:5" ht="78.75" x14ac:dyDescent="0.2">
      <c r="A1414" s="65" t="s">
        <v>2620</v>
      </c>
      <c r="B1414" s="66" t="s">
        <v>2621</v>
      </c>
      <c r="C1414" s="67" t="s">
        <v>204</v>
      </c>
      <c r="D1414" s="69" t="s">
        <v>2622</v>
      </c>
      <c r="E1414" s="69" t="s">
        <v>2623</v>
      </c>
    </row>
    <row r="1415" spans="1:5" ht="90" x14ac:dyDescent="0.2">
      <c r="A1415" s="65" t="s">
        <v>2624</v>
      </c>
      <c r="B1415" s="66" t="s">
        <v>2625</v>
      </c>
      <c r="C1415" s="67" t="s">
        <v>204</v>
      </c>
      <c r="D1415" s="69" t="s">
        <v>2626</v>
      </c>
      <c r="E1415" s="69" t="s">
        <v>2627</v>
      </c>
    </row>
    <row r="1416" spans="1:5" ht="101.25" x14ac:dyDescent="0.2">
      <c r="A1416" s="70" t="s">
        <v>2628</v>
      </c>
      <c r="B1416" s="66" t="s">
        <v>2629</v>
      </c>
      <c r="C1416" s="71" t="s">
        <v>204</v>
      </c>
      <c r="D1416" s="72" t="s">
        <v>2630</v>
      </c>
      <c r="E1416" s="72" t="s">
        <v>2631</v>
      </c>
    </row>
    <row r="1417" spans="1:5" ht="101.25" x14ac:dyDescent="0.2">
      <c r="A1417" s="70" t="s">
        <v>2632</v>
      </c>
      <c r="B1417" s="65" t="s">
        <v>2633</v>
      </c>
      <c r="C1417" s="71" t="s">
        <v>204</v>
      </c>
      <c r="D1417" s="72" t="s">
        <v>2634</v>
      </c>
      <c r="E1417" s="72" t="s">
        <v>2635</v>
      </c>
    </row>
    <row r="1418" spans="1:5" ht="90" x14ac:dyDescent="0.2">
      <c r="A1418" s="70" t="s">
        <v>2636</v>
      </c>
      <c r="B1418" s="65" t="s">
        <v>2637</v>
      </c>
      <c r="C1418" s="71" t="s">
        <v>204</v>
      </c>
      <c r="D1418" s="72" t="s">
        <v>2638</v>
      </c>
      <c r="E1418" s="72" t="s">
        <v>2639</v>
      </c>
    </row>
    <row r="1419" spans="1:5" ht="90" x14ac:dyDescent="0.2">
      <c r="A1419" s="70" t="s">
        <v>2640</v>
      </c>
      <c r="B1419" s="65" t="s">
        <v>2641</v>
      </c>
      <c r="C1419" s="71" t="s">
        <v>204</v>
      </c>
      <c r="D1419" s="72" t="s">
        <v>2642</v>
      </c>
      <c r="E1419" s="72" t="s">
        <v>2643</v>
      </c>
    </row>
    <row r="1420" spans="1:5" ht="78.75" x14ac:dyDescent="0.2">
      <c r="A1420" s="65" t="s">
        <v>2644</v>
      </c>
      <c r="B1420" s="66" t="s">
        <v>2645</v>
      </c>
      <c r="C1420" s="67" t="s">
        <v>204</v>
      </c>
      <c r="D1420" s="69" t="s">
        <v>2646</v>
      </c>
      <c r="E1420" s="69" t="s">
        <v>2647</v>
      </c>
    </row>
    <row r="1421" spans="1:5" ht="90" x14ac:dyDescent="0.2">
      <c r="A1421" s="70" t="s">
        <v>2648</v>
      </c>
      <c r="B1421" s="65" t="s">
        <v>2649</v>
      </c>
      <c r="C1421" s="71" t="s">
        <v>204</v>
      </c>
      <c r="D1421" s="72" t="s">
        <v>2650</v>
      </c>
      <c r="E1421" s="72" t="s">
        <v>2651</v>
      </c>
    </row>
    <row r="1422" spans="1:5" ht="78.75" x14ac:dyDescent="0.2">
      <c r="A1422" s="70" t="s">
        <v>2652</v>
      </c>
      <c r="B1422" s="65" t="s">
        <v>2653</v>
      </c>
      <c r="C1422" s="71" t="s">
        <v>204</v>
      </c>
      <c r="D1422" s="72" t="s">
        <v>2654</v>
      </c>
      <c r="E1422" s="72" t="s">
        <v>2656</v>
      </c>
    </row>
    <row r="1423" spans="1:5" ht="78.75" x14ac:dyDescent="0.2">
      <c r="A1423" s="65" t="s">
        <v>2657</v>
      </c>
      <c r="B1423" s="66" t="s">
        <v>2658</v>
      </c>
      <c r="C1423" s="67" t="s">
        <v>204</v>
      </c>
      <c r="D1423" s="69" t="s">
        <v>2659</v>
      </c>
      <c r="E1423" s="69" t="s">
        <v>2660</v>
      </c>
    </row>
    <row r="1424" spans="1:5" ht="78.75" x14ac:dyDescent="0.2">
      <c r="A1424" s="65" t="s">
        <v>2661</v>
      </c>
      <c r="B1424" s="66" t="s">
        <v>2662</v>
      </c>
      <c r="C1424" s="67" t="s">
        <v>204</v>
      </c>
      <c r="D1424" s="69" t="s">
        <v>2663</v>
      </c>
      <c r="E1424" s="69" t="s">
        <v>2664</v>
      </c>
    </row>
    <row r="1425" spans="1:5" ht="67.5" x14ac:dyDescent="0.2">
      <c r="A1425" s="65" t="s">
        <v>2665</v>
      </c>
      <c r="B1425" s="66" t="s">
        <v>2666</v>
      </c>
      <c r="C1425" s="67" t="s">
        <v>204</v>
      </c>
      <c r="D1425" s="69" t="s">
        <v>2667</v>
      </c>
      <c r="E1425" s="69" t="s">
        <v>2668</v>
      </c>
    </row>
    <row r="1426" spans="1:5" ht="67.5" x14ac:dyDescent="0.2">
      <c r="A1426" s="65" t="s">
        <v>2669</v>
      </c>
      <c r="B1426" s="66" t="s">
        <v>2670</v>
      </c>
      <c r="C1426" s="67" t="s">
        <v>204</v>
      </c>
      <c r="D1426" s="69" t="s">
        <v>2671</v>
      </c>
      <c r="E1426" s="69" t="s">
        <v>2672</v>
      </c>
    </row>
    <row r="1427" spans="1:5" ht="33.75" x14ac:dyDescent="0.2">
      <c r="A1427" s="50">
        <v>24.06</v>
      </c>
      <c r="B1427" s="64" t="s">
        <v>2673</v>
      </c>
      <c r="C1427" s="47"/>
      <c r="D1427" s="47"/>
      <c r="E1427" s="47"/>
    </row>
    <row r="1428" spans="1:5" ht="67.5" x14ac:dyDescent="0.2">
      <c r="A1428" s="65" t="s">
        <v>2674</v>
      </c>
      <c r="B1428" s="66" t="s">
        <v>2675</v>
      </c>
      <c r="C1428" s="67" t="s">
        <v>221</v>
      </c>
      <c r="D1428" s="69" t="s">
        <v>2676</v>
      </c>
      <c r="E1428" s="69" t="s">
        <v>2678</v>
      </c>
    </row>
    <row r="1429" spans="1:5" ht="22.5" x14ac:dyDescent="0.2">
      <c r="A1429" s="50">
        <v>24.07</v>
      </c>
      <c r="B1429" s="64" t="s">
        <v>2679</v>
      </c>
      <c r="C1429" s="47"/>
      <c r="D1429" s="47"/>
      <c r="E1429" s="47"/>
    </row>
    <row r="1430" spans="1:5" ht="56.25" x14ac:dyDescent="0.2">
      <c r="A1430" s="65" t="s">
        <v>2680</v>
      </c>
      <c r="B1430" s="66" t="s">
        <v>2681</v>
      </c>
      <c r="C1430" s="67" t="s">
        <v>204</v>
      </c>
      <c r="D1430" s="69" t="s">
        <v>2682</v>
      </c>
      <c r="E1430" s="69" t="s">
        <v>2683</v>
      </c>
    </row>
    <row r="1431" spans="1:5" ht="67.5" x14ac:dyDescent="0.2">
      <c r="A1431" s="65" t="s">
        <v>2684</v>
      </c>
      <c r="B1431" s="66" t="s">
        <v>2685</v>
      </c>
      <c r="C1431" s="67" t="s">
        <v>204</v>
      </c>
      <c r="D1431" s="69" t="s">
        <v>2686</v>
      </c>
      <c r="E1431" s="69" t="s">
        <v>2688</v>
      </c>
    </row>
    <row r="1432" spans="1:5" ht="45" x14ac:dyDescent="0.2">
      <c r="A1432" s="50">
        <v>24.08</v>
      </c>
      <c r="B1432" s="64" t="s">
        <v>2689</v>
      </c>
      <c r="C1432" s="47"/>
      <c r="D1432" s="47"/>
      <c r="E1432" s="47"/>
    </row>
    <row r="1433" spans="1:5" ht="67.5" x14ac:dyDescent="0.2">
      <c r="A1433" s="65" t="s">
        <v>2690</v>
      </c>
      <c r="B1433" s="66" t="s">
        <v>2691</v>
      </c>
      <c r="C1433" s="67" t="s">
        <v>221</v>
      </c>
      <c r="D1433" s="69" t="s">
        <v>2692</v>
      </c>
      <c r="E1433" s="69" t="s">
        <v>2693</v>
      </c>
    </row>
    <row r="1434" spans="1:5" ht="45" x14ac:dyDescent="0.2">
      <c r="A1434" s="65" t="s">
        <v>2694</v>
      </c>
      <c r="B1434" s="65" t="s">
        <v>2695</v>
      </c>
      <c r="C1434" s="67" t="s">
        <v>221</v>
      </c>
      <c r="D1434" s="69" t="s">
        <v>2696</v>
      </c>
      <c r="E1434" s="69" t="s">
        <v>2697</v>
      </c>
    </row>
    <row r="1435" spans="1:5" ht="67.5" x14ac:dyDescent="0.2">
      <c r="A1435" s="65" t="s">
        <v>2698</v>
      </c>
      <c r="B1435" s="66" t="s">
        <v>2699</v>
      </c>
      <c r="C1435" s="67" t="s">
        <v>221</v>
      </c>
      <c r="D1435" s="69" t="s">
        <v>2700</v>
      </c>
      <c r="E1435" s="69" t="s">
        <v>2701</v>
      </c>
    </row>
    <row r="1436" spans="1:5" ht="45" x14ac:dyDescent="0.2">
      <c r="A1436" s="50">
        <v>24.2</v>
      </c>
      <c r="B1436" s="64" t="s">
        <v>2702</v>
      </c>
      <c r="C1436" s="47"/>
      <c r="D1436" s="47"/>
      <c r="E1436" s="47"/>
    </row>
    <row r="1437" spans="1:5" ht="33.75" x14ac:dyDescent="0.2">
      <c r="A1437" s="65" t="s">
        <v>2703</v>
      </c>
      <c r="B1437" s="65" t="s">
        <v>2704</v>
      </c>
      <c r="C1437" s="67" t="s">
        <v>204</v>
      </c>
      <c r="D1437" s="73"/>
      <c r="E1437" s="69" t="s">
        <v>224</v>
      </c>
    </row>
    <row r="1438" spans="1:5" ht="22.5" x14ac:dyDescent="0.2">
      <c r="A1438" s="65" t="s">
        <v>2705</v>
      </c>
      <c r="B1438" s="65" t="s">
        <v>2706</v>
      </c>
      <c r="C1438" s="67" t="s">
        <v>221</v>
      </c>
      <c r="D1438" s="69" t="s">
        <v>2707</v>
      </c>
      <c r="E1438" s="69" t="s">
        <v>2709</v>
      </c>
    </row>
    <row r="1439" spans="1:5" ht="33.75" x14ac:dyDescent="0.2">
      <c r="A1439" s="65" t="s">
        <v>2710</v>
      </c>
      <c r="B1439" s="65" t="s">
        <v>2711</v>
      </c>
      <c r="C1439" s="67" t="s">
        <v>221</v>
      </c>
      <c r="D1439" s="73"/>
      <c r="E1439" s="69" t="s">
        <v>305</v>
      </c>
    </row>
    <row r="1440" spans="1:5" ht="33.75" x14ac:dyDescent="0.2">
      <c r="A1440" s="65" t="s">
        <v>2712</v>
      </c>
      <c r="B1440" s="65" t="s">
        <v>2713</v>
      </c>
      <c r="C1440" s="67" t="s">
        <v>221</v>
      </c>
      <c r="D1440" s="69" t="s">
        <v>2714</v>
      </c>
      <c r="E1440" s="69" t="s">
        <v>2716</v>
      </c>
    </row>
    <row r="1441" spans="1:5" ht="45" x14ac:dyDescent="0.2">
      <c r="A1441" s="65" t="s">
        <v>2717</v>
      </c>
      <c r="B1441" s="65" t="s">
        <v>2718</v>
      </c>
      <c r="C1441" s="67" t="s">
        <v>240</v>
      </c>
      <c r="D1441" s="69" t="s">
        <v>2719</v>
      </c>
      <c r="E1441" s="69" t="s">
        <v>2721</v>
      </c>
    </row>
    <row r="1442" spans="1:5" ht="22.5" x14ac:dyDescent="0.2">
      <c r="A1442" s="65" t="s">
        <v>2722</v>
      </c>
      <c r="B1442" s="65" t="s">
        <v>2723</v>
      </c>
      <c r="C1442" s="67" t="s">
        <v>221</v>
      </c>
      <c r="D1442" s="69" t="s">
        <v>2724</v>
      </c>
      <c r="E1442" s="69" t="s">
        <v>2725</v>
      </c>
    </row>
    <row r="1443" spans="1:5" ht="56.25" x14ac:dyDescent="0.2">
      <c r="A1443" s="65" t="s">
        <v>2726</v>
      </c>
      <c r="B1443" s="66" t="s">
        <v>2727</v>
      </c>
      <c r="C1443" s="67" t="s">
        <v>221</v>
      </c>
      <c r="D1443" s="69" t="s">
        <v>2728</v>
      </c>
      <c r="E1443" s="69" t="s">
        <v>2729</v>
      </c>
    </row>
    <row r="1444" spans="1:5" ht="22.5" x14ac:dyDescent="0.2">
      <c r="A1444" s="65" t="s">
        <v>2730</v>
      </c>
      <c r="B1444" s="65" t="s">
        <v>2731</v>
      </c>
      <c r="C1444" s="67" t="s">
        <v>204</v>
      </c>
      <c r="D1444" s="69" t="s">
        <v>2732</v>
      </c>
      <c r="E1444" s="69" t="s">
        <v>2733</v>
      </c>
    </row>
    <row r="1445" spans="1:5" ht="33.75" x14ac:dyDescent="0.2">
      <c r="A1445" s="65" t="s">
        <v>2734</v>
      </c>
      <c r="B1445" s="65" t="s">
        <v>2735</v>
      </c>
      <c r="C1445" s="67" t="s">
        <v>204</v>
      </c>
      <c r="D1445" s="69" t="s">
        <v>2736</v>
      </c>
      <c r="E1445" s="69" t="s">
        <v>2738</v>
      </c>
    </row>
    <row r="1446" spans="1:5" ht="45" x14ac:dyDescent="0.2">
      <c r="A1446" s="65" t="s">
        <v>2739</v>
      </c>
      <c r="B1446" s="65" t="s">
        <v>2740</v>
      </c>
      <c r="C1446" s="67" t="s">
        <v>204</v>
      </c>
      <c r="D1446" s="69" t="s">
        <v>2741</v>
      </c>
      <c r="E1446" s="69" t="s">
        <v>948</v>
      </c>
    </row>
    <row r="1447" spans="1:5" ht="67.5" x14ac:dyDescent="0.2">
      <c r="A1447" s="65" t="s">
        <v>2742</v>
      </c>
      <c r="B1447" s="66" t="s">
        <v>2743</v>
      </c>
      <c r="C1447" s="67" t="s">
        <v>204</v>
      </c>
      <c r="D1447" s="69" t="s">
        <v>2744</v>
      </c>
      <c r="E1447" s="69" t="s">
        <v>2746</v>
      </c>
    </row>
    <row r="1448" spans="1:5" ht="67.5" x14ac:dyDescent="0.2">
      <c r="A1448" s="65" t="s">
        <v>2747</v>
      </c>
      <c r="B1448" s="66" t="s">
        <v>2748</v>
      </c>
      <c r="C1448" s="67" t="s">
        <v>204</v>
      </c>
      <c r="D1448" s="69" t="s">
        <v>2749</v>
      </c>
      <c r="E1448" s="69" t="s">
        <v>2750</v>
      </c>
    </row>
    <row r="1449" spans="1:5" ht="45" x14ac:dyDescent="0.2">
      <c r="A1449" s="49">
        <v>25</v>
      </c>
      <c r="B1449" s="64" t="s">
        <v>2751</v>
      </c>
      <c r="C1449" s="47"/>
      <c r="D1449" s="47"/>
      <c r="E1449" s="47"/>
    </row>
    <row r="1450" spans="1:5" x14ac:dyDescent="0.2">
      <c r="A1450" s="50">
        <v>25.01</v>
      </c>
      <c r="B1450" s="64" t="s">
        <v>2752</v>
      </c>
      <c r="C1450" s="47"/>
      <c r="D1450" s="47"/>
      <c r="E1450" s="47"/>
    </row>
    <row r="1451" spans="1:5" ht="22.5" x14ac:dyDescent="0.2">
      <c r="A1451" s="65" t="s">
        <v>2753</v>
      </c>
      <c r="B1451" s="65" t="s">
        <v>2754</v>
      </c>
      <c r="C1451" s="67" t="s">
        <v>204</v>
      </c>
      <c r="D1451" s="69" t="s">
        <v>2755</v>
      </c>
      <c r="E1451" s="69" t="s">
        <v>2756</v>
      </c>
    </row>
    <row r="1452" spans="1:5" ht="45" x14ac:dyDescent="0.2">
      <c r="A1452" s="65" t="s">
        <v>2757</v>
      </c>
      <c r="B1452" s="65" t="s">
        <v>2758</v>
      </c>
      <c r="C1452" s="67" t="s">
        <v>204</v>
      </c>
      <c r="D1452" s="69" t="s">
        <v>2759</v>
      </c>
      <c r="E1452" s="69" t="s">
        <v>2760</v>
      </c>
    </row>
    <row r="1453" spans="1:5" ht="33.75" x14ac:dyDescent="0.2">
      <c r="A1453" s="65" t="s">
        <v>2761</v>
      </c>
      <c r="B1453" s="65" t="s">
        <v>2762</v>
      </c>
      <c r="C1453" s="67" t="s">
        <v>204</v>
      </c>
      <c r="D1453" s="69" t="s">
        <v>2763</v>
      </c>
      <c r="E1453" s="69" t="s">
        <v>2764</v>
      </c>
    </row>
    <row r="1454" spans="1:5" ht="33.75" x14ac:dyDescent="0.2">
      <c r="A1454" s="65" t="s">
        <v>2765</v>
      </c>
      <c r="B1454" s="65" t="s">
        <v>2766</v>
      </c>
      <c r="C1454" s="67" t="s">
        <v>204</v>
      </c>
      <c r="D1454" s="69" t="s">
        <v>2767</v>
      </c>
      <c r="E1454" s="69" t="s">
        <v>2768</v>
      </c>
    </row>
    <row r="1455" spans="1:5" ht="33.75" x14ac:dyDescent="0.2">
      <c r="A1455" s="65" t="s">
        <v>2769</v>
      </c>
      <c r="B1455" s="65" t="s">
        <v>2770</v>
      </c>
      <c r="C1455" s="67" t="s">
        <v>204</v>
      </c>
      <c r="D1455" s="69" t="s">
        <v>2771</v>
      </c>
      <c r="E1455" s="69" t="s">
        <v>2772</v>
      </c>
    </row>
    <row r="1456" spans="1:5" ht="33.75" x14ac:dyDescent="0.2">
      <c r="A1456" s="65" t="s">
        <v>2773</v>
      </c>
      <c r="B1456" s="65" t="s">
        <v>2774</v>
      </c>
      <c r="C1456" s="67" t="s">
        <v>204</v>
      </c>
      <c r="D1456" s="69" t="s">
        <v>2775</v>
      </c>
      <c r="E1456" s="69" t="s">
        <v>2776</v>
      </c>
    </row>
    <row r="1457" spans="1:5" ht="33.75" x14ac:dyDescent="0.2">
      <c r="A1457" s="65" t="s">
        <v>2777</v>
      </c>
      <c r="B1457" s="65" t="s">
        <v>2778</v>
      </c>
      <c r="C1457" s="67" t="s">
        <v>204</v>
      </c>
      <c r="D1457" s="69" t="s">
        <v>2779</v>
      </c>
      <c r="E1457" s="69" t="s">
        <v>2780</v>
      </c>
    </row>
    <row r="1458" spans="1:5" ht="45" x14ac:dyDescent="0.2">
      <c r="A1458" s="65" t="s">
        <v>2781</v>
      </c>
      <c r="B1458" s="65" t="s">
        <v>2782</v>
      </c>
      <c r="C1458" s="67" t="s">
        <v>204</v>
      </c>
      <c r="D1458" s="69" t="s">
        <v>2783</v>
      </c>
      <c r="E1458" s="69" t="s">
        <v>2784</v>
      </c>
    </row>
    <row r="1459" spans="1:5" ht="33.75" x14ac:dyDescent="0.2">
      <c r="A1459" s="65" t="s">
        <v>2785</v>
      </c>
      <c r="B1459" s="65" t="s">
        <v>2786</v>
      </c>
      <c r="C1459" s="67" t="s">
        <v>204</v>
      </c>
      <c r="D1459" s="69" t="s">
        <v>2787</v>
      </c>
      <c r="E1459" s="69" t="s">
        <v>2788</v>
      </c>
    </row>
    <row r="1460" spans="1:5" ht="45" x14ac:dyDescent="0.2">
      <c r="A1460" s="65" t="s">
        <v>2789</v>
      </c>
      <c r="B1460" s="65" t="s">
        <v>2790</v>
      </c>
      <c r="C1460" s="67" t="s">
        <v>204</v>
      </c>
      <c r="D1460" s="69" t="s">
        <v>2791</v>
      </c>
      <c r="E1460" s="69" t="s">
        <v>2792</v>
      </c>
    </row>
    <row r="1461" spans="1:5" ht="56.25" x14ac:dyDescent="0.2">
      <c r="A1461" s="65" t="s">
        <v>2793</v>
      </c>
      <c r="B1461" s="66" t="s">
        <v>2794</v>
      </c>
      <c r="C1461" s="67" t="s">
        <v>204</v>
      </c>
      <c r="D1461" s="69" t="s">
        <v>2795</v>
      </c>
      <c r="E1461" s="69" t="s">
        <v>2795</v>
      </c>
    </row>
    <row r="1462" spans="1:5" ht="33.75" x14ac:dyDescent="0.2">
      <c r="A1462" s="65" t="s">
        <v>2796</v>
      </c>
      <c r="B1462" s="65" t="s">
        <v>2797</v>
      </c>
      <c r="C1462" s="67" t="s">
        <v>204</v>
      </c>
      <c r="D1462" s="69" t="s">
        <v>2798</v>
      </c>
      <c r="E1462" s="69" t="s">
        <v>2800</v>
      </c>
    </row>
    <row r="1463" spans="1:5" ht="33.75" x14ac:dyDescent="0.2">
      <c r="A1463" s="65" t="s">
        <v>2801</v>
      </c>
      <c r="B1463" s="65" t="s">
        <v>2802</v>
      </c>
      <c r="C1463" s="67" t="s">
        <v>204</v>
      </c>
      <c r="D1463" s="69" t="s">
        <v>2803</v>
      </c>
      <c r="E1463" s="69" t="s">
        <v>2804</v>
      </c>
    </row>
    <row r="1464" spans="1:5" ht="33.75" x14ac:dyDescent="0.2">
      <c r="A1464" s="65" t="s">
        <v>2805</v>
      </c>
      <c r="B1464" s="65" t="s">
        <v>2806</v>
      </c>
      <c r="C1464" s="67" t="s">
        <v>204</v>
      </c>
      <c r="D1464" s="69" t="s">
        <v>2807</v>
      </c>
      <c r="E1464" s="69" t="s">
        <v>2808</v>
      </c>
    </row>
    <row r="1465" spans="1:5" ht="33.75" x14ac:dyDescent="0.2">
      <c r="A1465" s="65" t="s">
        <v>2809</v>
      </c>
      <c r="B1465" s="65" t="s">
        <v>2810</v>
      </c>
      <c r="C1465" s="67" t="s">
        <v>204</v>
      </c>
      <c r="D1465" s="69" t="s">
        <v>2811</v>
      </c>
      <c r="E1465" s="69" t="s">
        <v>2812</v>
      </c>
    </row>
    <row r="1466" spans="1:5" ht="22.5" x14ac:dyDescent="0.2">
      <c r="A1466" s="65" t="s">
        <v>2813</v>
      </c>
      <c r="B1466" s="65" t="s">
        <v>2814</v>
      </c>
      <c r="C1466" s="67" t="s">
        <v>204</v>
      </c>
      <c r="D1466" s="69" t="s">
        <v>2815</v>
      </c>
      <c r="E1466" s="69" t="s">
        <v>2816</v>
      </c>
    </row>
    <row r="1467" spans="1:5" ht="22.5" x14ac:dyDescent="0.2">
      <c r="A1467" s="65" t="s">
        <v>2817</v>
      </c>
      <c r="B1467" s="65" t="s">
        <v>2818</v>
      </c>
      <c r="C1467" s="67" t="s">
        <v>204</v>
      </c>
      <c r="D1467" s="69" t="s">
        <v>2819</v>
      </c>
      <c r="E1467" s="69" t="s">
        <v>2820</v>
      </c>
    </row>
    <row r="1468" spans="1:5" ht="22.5" x14ac:dyDescent="0.2">
      <c r="A1468" s="65" t="s">
        <v>2821</v>
      </c>
      <c r="B1468" s="65" t="s">
        <v>2822</v>
      </c>
      <c r="C1468" s="67" t="s">
        <v>204</v>
      </c>
      <c r="D1468" s="69" t="s">
        <v>2823</v>
      </c>
      <c r="E1468" s="69" t="s">
        <v>2825</v>
      </c>
    </row>
    <row r="1469" spans="1:5" ht="33.75" x14ac:dyDescent="0.2">
      <c r="A1469" s="65" t="s">
        <v>2826</v>
      </c>
      <c r="B1469" s="65" t="s">
        <v>2827</v>
      </c>
      <c r="C1469" s="67" t="s">
        <v>204</v>
      </c>
      <c r="D1469" s="69" t="s">
        <v>2828</v>
      </c>
      <c r="E1469" s="69" t="s">
        <v>2829</v>
      </c>
    </row>
    <row r="1470" spans="1:5" ht="33.75" x14ac:dyDescent="0.2">
      <c r="A1470" s="65" t="s">
        <v>2830</v>
      </c>
      <c r="B1470" s="65" t="s">
        <v>2831</v>
      </c>
      <c r="C1470" s="67" t="s">
        <v>204</v>
      </c>
      <c r="D1470" s="69" t="s">
        <v>2832</v>
      </c>
      <c r="E1470" s="69" t="s">
        <v>2833</v>
      </c>
    </row>
    <row r="1471" spans="1:5" ht="22.5" x14ac:dyDescent="0.2">
      <c r="A1471" s="65" t="s">
        <v>2834</v>
      </c>
      <c r="B1471" s="65" t="s">
        <v>2835</v>
      </c>
      <c r="C1471" s="67" t="s">
        <v>204</v>
      </c>
      <c r="D1471" s="69" t="s">
        <v>2836</v>
      </c>
      <c r="E1471" s="69" t="s">
        <v>2836</v>
      </c>
    </row>
    <row r="1472" spans="1:5" ht="45" x14ac:dyDescent="0.2">
      <c r="A1472" s="65" t="s">
        <v>2837</v>
      </c>
      <c r="B1472" s="65" t="s">
        <v>2838</v>
      </c>
      <c r="C1472" s="67" t="s">
        <v>204</v>
      </c>
      <c r="D1472" s="69" t="s">
        <v>2421</v>
      </c>
      <c r="E1472" s="69" t="s">
        <v>2421</v>
      </c>
    </row>
    <row r="1473" spans="1:5" ht="67.5" x14ac:dyDescent="0.2">
      <c r="A1473" s="65" t="s">
        <v>2839</v>
      </c>
      <c r="B1473" s="66" t="s">
        <v>2840</v>
      </c>
      <c r="C1473" s="67" t="s">
        <v>204</v>
      </c>
      <c r="D1473" s="69" t="s">
        <v>2841</v>
      </c>
      <c r="E1473" s="69" t="s">
        <v>2841</v>
      </c>
    </row>
    <row r="1474" spans="1:5" ht="56.25" x14ac:dyDescent="0.2">
      <c r="A1474" s="65" t="s">
        <v>2842</v>
      </c>
      <c r="B1474" s="66" t="s">
        <v>2843</v>
      </c>
      <c r="C1474" s="67" t="s">
        <v>204</v>
      </c>
      <c r="D1474" s="69" t="s">
        <v>2844</v>
      </c>
      <c r="E1474" s="69" t="s">
        <v>2844</v>
      </c>
    </row>
    <row r="1475" spans="1:5" ht="45" x14ac:dyDescent="0.2">
      <c r="A1475" s="65" t="s">
        <v>2845</v>
      </c>
      <c r="B1475" s="65" t="s">
        <v>2846</v>
      </c>
      <c r="C1475" s="67" t="s">
        <v>204</v>
      </c>
      <c r="D1475" s="69" t="s">
        <v>2847</v>
      </c>
      <c r="E1475" s="69" t="s">
        <v>2848</v>
      </c>
    </row>
    <row r="1476" spans="1:5" ht="56.25" x14ac:dyDescent="0.2">
      <c r="A1476" s="65" t="s">
        <v>2849</v>
      </c>
      <c r="B1476" s="65" t="s">
        <v>2850</v>
      </c>
      <c r="C1476" s="74" t="s">
        <v>204</v>
      </c>
      <c r="D1476" s="69" t="s">
        <v>2851</v>
      </c>
      <c r="E1476" s="69" t="s">
        <v>2852</v>
      </c>
    </row>
    <row r="1477" spans="1:5" ht="45" x14ac:dyDescent="0.2">
      <c r="A1477" s="65" t="s">
        <v>2853</v>
      </c>
      <c r="B1477" s="65" t="s">
        <v>2854</v>
      </c>
      <c r="C1477" s="74" t="s">
        <v>204</v>
      </c>
      <c r="D1477" s="69" t="s">
        <v>2855</v>
      </c>
      <c r="E1477" s="69" t="s">
        <v>2856</v>
      </c>
    </row>
    <row r="1478" spans="1:5" ht="45" x14ac:dyDescent="0.2">
      <c r="A1478" s="65" t="s">
        <v>2857</v>
      </c>
      <c r="B1478" s="65" t="s">
        <v>2858</v>
      </c>
      <c r="C1478" s="74" t="s">
        <v>204</v>
      </c>
      <c r="D1478" s="69" t="s">
        <v>2859</v>
      </c>
      <c r="E1478" s="69" t="s">
        <v>2860</v>
      </c>
    </row>
    <row r="1479" spans="1:5" x14ac:dyDescent="0.2">
      <c r="A1479" s="50">
        <v>25.02</v>
      </c>
      <c r="B1479" s="64" t="s">
        <v>2861</v>
      </c>
      <c r="C1479" s="47"/>
      <c r="D1479" s="47"/>
      <c r="E1479" s="47"/>
    </row>
    <row r="1480" spans="1:5" ht="45" x14ac:dyDescent="0.2">
      <c r="A1480" s="65" t="s">
        <v>2862</v>
      </c>
      <c r="B1480" s="65" t="s">
        <v>2863</v>
      </c>
      <c r="C1480" s="74" t="s">
        <v>204</v>
      </c>
      <c r="D1480" s="69" t="s">
        <v>2864</v>
      </c>
      <c r="E1480" s="69" t="s">
        <v>2865</v>
      </c>
    </row>
    <row r="1481" spans="1:5" ht="33.75" x14ac:dyDescent="0.2">
      <c r="A1481" s="65" t="s">
        <v>2866</v>
      </c>
      <c r="B1481" s="65" t="s">
        <v>2867</v>
      </c>
      <c r="C1481" s="74" t="s">
        <v>204</v>
      </c>
      <c r="D1481" s="69" t="s">
        <v>2868</v>
      </c>
      <c r="E1481" s="69" t="s">
        <v>2869</v>
      </c>
    </row>
    <row r="1482" spans="1:5" ht="33.75" x14ac:dyDescent="0.2">
      <c r="A1482" s="65" t="s">
        <v>2870</v>
      </c>
      <c r="B1482" s="65" t="s">
        <v>2871</v>
      </c>
      <c r="C1482" s="74" t="s">
        <v>204</v>
      </c>
      <c r="D1482" s="69" t="s">
        <v>2872</v>
      </c>
      <c r="E1482" s="69" t="s">
        <v>2873</v>
      </c>
    </row>
    <row r="1483" spans="1:5" ht="33.75" x14ac:dyDescent="0.2">
      <c r="A1483" s="65" t="s">
        <v>2874</v>
      </c>
      <c r="B1483" s="65" t="s">
        <v>2875</v>
      </c>
      <c r="C1483" s="74" t="s">
        <v>204</v>
      </c>
      <c r="D1483" s="69" t="s">
        <v>2876</v>
      </c>
      <c r="E1483" s="69" t="s">
        <v>2877</v>
      </c>
    </row>
    <row r="1484" spans="1:5" ht="33.75" x14ac:dyDescent="0.2">
      <c r="A1484" s="65" t="s">
        <v>2878</v>
      </c>
      <c r="B1484" s="65" t="s">
        <v>2879</v>
      </c>
      <c r="C1484" s="74" t="s">
        <v>204</v>
      </c>
      <c r="D1484" s="69" t="s">
        <v>2880</v>
      </c>
      <c r="E1484" s="69" t="s">
        <v>2881</v>
      </c>
    </row>
    <row r="1485" spans="1:5" ht="33.75" x14ac:dyDescent="0.2">
      <c r="A1485" s="65" t="s">
        <v>2882</v>
      </c>
      <c r="B1485" s="65" t="s">
        <v>2883</v>
      </c>
      <c r="C1485" s="74" t="s">
        <v>204</v>
      </c>
      <c r="D1485" s="69" t="s">
        <v>2884</v>
      </c>
      <c r="E1485" s="69" t="s">
        <v>2885</v>
      </c>
    </row>
    <row r="1486" spans="1:5" ht="45" x14ac:dyDescent="0.2">
      <c r="A1486" s="65" t="s">
        <v>2886</v>
      </c>
      <c r="B1486" s="65" t="s">
        <v>2887</v>
      </c>
      <c r="C1486" s="74" t="s">
        <v>204</v>
      </c>
      <c r="D1486" s="69" t="s">
        <v>2888</v>
      </c>
      <c r="E1486" s="69" t="s">
        <v>2889</v>
      </c>
    </row>
    <row r="1487" spans="1:5" ht="33.75" x14ac:dyDescent="0.2">
      <c r="A1487" s="65" t="s">
        <v>2890</v>
      </c>
      <c r="B1487" s="65" t="s">
        <v>2891</v>
      </c>
      <c r="C1487" s="74" t="s">
        <v>204</v>
      </c>
      <c r="D1487" s="69" t="s">
        <v>2892</v>
      </c>
      <c r="E1487" s="69" t="s">
        <v>2893</v>
      </c>
    </row>
    <row r="1488" spans="1:5" ht="33.75" x14ac:dyDescent="0.2">
      <c r="A1488" s="65" t="s">
        <v>2894</v>
      </c>
      <c r="B1488" s="65" t="s">
        <v>2895</v>
      </c>
      <c r="C1488" s="74" t="s">
        <v>204</v>
      </c>
      <c r="D1488" s="69" t="s">
        <v>2896</v>
      </c>
      <c r="E1488" s="69" t="s">
        <v>2897</v>
      </c>
    </row>
    <row r="1489" spans="1:5" ht="45" x14ac:dyDescent="0.2">
      <c r="A1489" s="65" t="s">
        <v>2898</v>
      </c>
      <c r="B1489" s="65" t="s">
        <v>2899</v>
      </c>
      <c r="C1489" s="74" t="s">
        <v>204</v>
      </c>
      <c r="D1489" s="69" t="s">
        <v>2900</v>
      </c>
      <c r="E1489" s="69" t="s">
        <v>2901</v>
      </c>
    </row>
    <row r="1490" spans="1:5" ht="45" x14ac:dyDescent="0.2">
      <c r="A1490" s="65" t="s">
        <v>2902</v>
      </c>
      <c r="B1490" s="65" t="s">
        <v>2903</v>
      </c>
      <c r="C1490" s="74" t="s">
        <v>204</v>
      </c>
      <c r="D1490" s="69" t="s">
        <v>2904</v>
      </c>
      <c r="E1490" s="69" t="s">
        <v>2905</v>
      </c>
    </row>
    <row r="1491" spans="1:5" ht="45" x14ac:dyDescent="0.2">
      <c r="A1491" s="65" t="s">
        <v>2906</v>
      </c>
      <c r="B1491" s="65" t="s">
        <v>2907</v>
      </c>
      <c r="C1491" s="74" t="s">
        <v>204</v>
      </c>
      <c r="D1491" s="69" t="s">
        <v>2908</v>
      </c>
      <c r="E1491" s="69" t="s">
        <v>2909</v>
      </c>
    </row>
    <row r="1492" spans="1:5" ht="56.25" x14ac:dyDescent="0.2">
      <c r="A1492" s="65" t="s">
        <v>2910</v>
      </c>
      <c r="B1492" s="66" t="s">
        <v>2911</v>
      </c>
      <c r="C1492" s="74" t="s">
        <v>204</v>
      </c>
      <c r="D1492" s="69" t="s">
        <v>2912</v>
      </c>
      <c r="E1492" s="69" t="s">
        <v>2913</v>
      </c>
    </row>
    <row r="1493" spans="1:5" ht="67.5" x14ac:dyDescent="0.2">
      <c r="A1493" s="65" t="s">
        <v>2914</v>
      </c>
      <c r="B1493" s="66" t="s">
        <v>2915</v>
      </c>
      <c r="C1493" s="74" t="s">
        <v>204</v>
      </c>
      <c r="D1493" s="69" t="s">
        <v>2916</v>
      </c>
      <c r="E1493" s="69" t="s">
        <v>2917</v>
      </c>
    </row>
    <row r="1494" spans="1:5" ht="67.5" x14ac:dyDescent="0.2">
      <c r="A1494" s="65" t="s">
        <v>2918</v>
      </c>
      <c r="B1494" s="66" t="s">
        <v>2919</v>
      </c>
      <c r="C1494" s="74" t="s">
        <v>204</v>
      </c>
      <c r="D1494" s="69" t="s">
        <v>2920</v>
      </c>
      <c r="E1494" s="69" t="s">
        <v>2921</v>
      </c>
    </row>
    <row r="1495" spans="1:5" ht="45" x14ac:dyDescent="0.2">
      <c r="A1495" s="65" t="s">
        <v>2922</v>
      </c>
      <c r="B1495" s="65" t="s">
        <v>2923</v>
      </c>
      <c r="C1495" s="74" t="s">
        <v>204</v>
      </c>
      <c r="D1495" s="69" t="s">
        <v>2924</v>
      </c>
      <c r="E1495" s="69" t="s">
        <v>2925</v>
      </c>
    </row>
    <row r="1496" spans="1:5" ht="45" x14ac:dyDescent="0.2">
      <c r="A1496" s="50">
        <v>25.2</v>
      </c>
      <c r="B1496" s="64" t="s">
        <v>2926</v>
      </c>
      <c r="C1496" s="47"/>
      <c r="D1496" s="47"/>
      <c r="E1496" s="47"/>
    </row>
    <row r="1497" spans="1:5" ht="78.75" x14ac:dyDescent="0.2">
      <c r="A1497" s="65" t="s">
        <v>2927</v>
      </c>
      <c r="B1497" s="66" t="s">
        <v>2928</v>
      </c>
      <c r="C1497" s="74" t="s">
        <v>204</v>
      </c>
      <c r="D1497" s="69" t="s">
        <v>2929</v>
      </c>
      <c r="E1497" s="69" t="s">
        <v>2929</v>
      </c>
    </row>
    <row r="1498" spans="1:5" ht="22.5" x14ac:dyDescent="0.2">
      <c r="A1498" s="49">
        <v>26</v>
      </c>
      <c r="B1498" s="64" t="s">
        <v>2930</v>
      </c>
      <c r="C1498" s="47"/>
      <c r="D1498" s="47"/>
      <c r="E1498" s="47"/>
    </row>
    <row r="1499" spans="1:5" ht="22.5" x14ac:dyDescent="0.2">
      <c r="A1499" s="50">
        <v>26.01</v>
      </c>
      <c r="B1499" s="64" t="s">
        <v>2931</v>
      </c>
      <c r="C1499" s="47"/>
      <c r="D1499" s="47"/>
      <c r="E1499" s="47"/>
    </row>
    <row r="1500" spans="1:5" ht="33.75" x14ac:dyDescent="0.2">
      <c r="A1500" s="65" t="s">
        <v>2932</v>
      </c>
      <c r="B1500" s="65" t="s">
        <v>2933</v>
      </c>
      <c r="C1500" s="74" t="s">
        <v>204</v>
      </c>
      <c r="D1500" s="69" t="s">
        <v>2934</v>
      </c>
      <c r="E1500" s="69" t="s">
        <v>2936</v>
      </c>
    </row>
    <row r="1501" spans="1:5" ht="33.75" x14ac:dyDescent="0.2">
      <c r="A1501" s="65" t="s">
        <v>2937</v>
      </c>
      <c r="B1501" s="65" t="s">
        <v>2938</v>
      </c>
      <c r="C1501" s="74" t="s">
        <v>204</v>
      </c>
      <c r="D1501" s="69" t="s">
        <v>2939</v>
      </c>
      <c r="E1501" s="69" t="s">
        <v>2738</v>
      </c>
    </row>
    <row r="1502" spans="1:5" ht="33.75" x14ac:dyDescent="0.2">
      <c r="A1502" s="65" t="s">
        <v>2940</v>
      </c>
      <c r="B1502" s="65" t="s">
        <v>2941</v>
      </c>
      <c r="C1502" s="74" t="s">
        <v>204</v>
      </c>
      <c r="D1502" s="69" t="s">
        <v>2942</v>
      </c>
      <c r="E1502" s="69" t="s">
        <v>2943</v>
      </c>
    </row>
    <row r="1503" spans="1:5" ht="33.75" x14ac:dyDescent="0.2">
      <c r="A1503" s="65" t="s">
        <v>2944</v>
      </c>
      <c r="B1503" s="65" t="s">
        <v>2945</v>
      </c>
      <c r="C1503" s="74" t="s">
        <v>204</v>
      </c>
      <c r="D1503" s="69" t="s">
        <v>2946</v>
      </c>
      <c r="E1503" s="69" t="s">
        <v>2947</v>
      </c>
    </row>
    <row r="1504" spans="1:5" ht="22.5" x14ac:dyDescent="0.2">
      <c r="A1504" s="65" t="s">
        <v>2948</v>
      </c>
      <c r="B1504" s="65" t="s">
        <v>2949</v>
      </c>
      <c r="C1504" s="74" t="s">
        <v>204</v>
      </c>
      <c r="D1504" s="69" t="s">
        <v>2950</v>
      </c>
      <c r="E1504" s="69" t="s">
        <v>2951</v>
      </c>
    </row>
    <row r="1505" spans="1:5" ht="22.5" x14ac:dyDescent="0.2">
      <c r="A1505" s="65" t="s">
        <v>2952</v>
      </c>
      <c r="B1505" s="65" t="s">
        <v>2953</v>
      </c>
      <c r="C1505" s="74" t="s">
        <v>204</v>
      </c>
      <c r="D1505" s="69" t="s">
        <v>2954</v>
      </c>
      <c r="E1505" s="69" t="s">
        <v>2955</v>
      </c>
    </row>
    <row r="1506" spans="1:5" ht="22.5" x14ac:dyDescent="0.2">
      <c r="A1506" s="65" t="s">
        <v>2956</v>
      </c>
      <c r="B1506" s="65" t="s">
        <v>2957</v>
      </c>
      <c r="C1506" s="74" t="s">
        <v>204</v>
      </c>
      <c r="D1506" s="69" t="s">
        <v>2958</v>
      </c>
      <c r="E1506" s="69" t="s">
        <v>2959</v>
      </c>
    </row>
    <row r="1507" spans="1:5" ht="22.5" x14ac:dyDescent="0.2">
      <c r="A1507" s="65" t="s">
        <v>2960</v>
      </c>
      <c r="B1507" s="65" t="s">
        <v>2961</v>
      </c>
      <c r="C1507" s="74" t="s">
        <v>204</v>
      </c>
      <c r="D1507" s="69" t="s">
        <v>2962</v>
      </c>
      <c r="E1507" s="69" t="s">
        <v>2963</v>
      </c>
    </row>
    <row r="1508" spans="1:5" ht="22.5" x14ac:dyDescent="0.2">
      <c r="A1508" s="65" t="s">
        <v>2964</v>
      </c>
      <c r="B1508" s="65" t="s">
        <v>2965</v>
      </c>
      <c r="C1508" s="74" t="s">
        <v>204</v>
      </c>
      <c r="D1508" s="69" t="s">
        <v>2966</v>
      </c>
      <c r="E1508" s="69" t="s">
        <v>2967</v>
      </c>
    </row>
    <row r="1509" spans="1:5" ht="22.5" x14ac:dyDescent="0.2">
      <c r="A1509" s="65" t="s">
        <v>2968</v>
      </c>
      <c r="B1509" s="65" t="s">
        <v>2969</v>
      </c>
      <c r="C1509" s="74" t="s">
        <v>204</v>
      </c>
      <c r="D1509" s="69" t="s">
        <v>2970</v>
      </c>
      <c r="E1509" s="69" t="s">
        <v>2971</v>
      </c>
    </row>
    <row r="1510" spans="1:5" ht="22.5" x14ac:dyDescent="0.2">
      <c r="A1510" s="65" t="s">
        <v>2972</v>
      </c>
      <c r="B1510" s="65" t="s">
        <v>2973</v>
      </c>
      <c r="C1510" s="74" t="s">
        <v>204</v>
      </c>
      <c r="D1510" s="69" t="s">
        <v>2974</v>
      </c>
      <c r="E1510" s="69" t="s">
        <v>2975</v>
      </c>
    </row>
    <row r="1511" spans="1:5" ht="22.5" x14ac:dyDescent="0.2">
      <c r="A1511" s="65" t="s">
        <v>2976</v>
      </c>
      <c r="B1511" s="65" t="s">
        <v>2977</v>
      </c>
      <c r="C1511" s="74" t="s">
        <v>204</v>
      </c>
      <c r="D1511" s="69" t="s">
        <v>2978</v>
      </c>
      <c r="E1511" s="69" t="s">
        <v>2979</v>
      </c>
    </row>
    <row r="1512" spans="1:5" ht="45" x14ac:dyDescent="0.2">
      <c r="A1512" s="65" t="s">
        <v>2980</v>
      </c>
      <c r="B1512" s="65" t="s">
        <v>2981</v>
      </c>
      <c r="C1512" s="74" t="s">
        <v>204</v>
      </c>
      <c r="D1512" s="69" t="s">
        <v>2982</v>
      </c>
      <c r="E1512" s="69" t="s">
        <v>2982</v>
      </c>
    </row>
    <row r="1513" spans="1:5" ht="56.25" x14ac:dyDescent="0.2">
      <c r="A1513" s="65" t="s">
        <v>2983</v>
      </c>
      <c r="B1513" s="66" t="s">
        <v>2984</v>
      </c>
      <c r="C1513" s="74" t="s">
        <v>204</v>
      </c>
      <c r="D1513" s="69" t="s">
        <v>2985</v>
      </c>
      <c r="E1513" s="69" t="s">
        <v>2985</v>
      </c>
    </row>
    <row r="1514" spans="1:5" ht="33.75" x14ac:dyDescent="0.2">
      <c r="A1514" s="65" t="s">
        <v>2986</v>
      </c>
      <c r="B1514" s="65" t="s">
        <v>2987</v>
      </c>
      <c r="C1514" s="74" t="s">
        <v>204</v>
      </c>
      <c r="D1514" s="69" t="s">
        <v>2988</v>
      </c>
      <c r="E1514" s="69" t="s">
        <v>2989</v>
      </c>
    </row>
    <row r="1515" spans="1:5" x14ac:dyDescent="0.2">
      <c r="A1515" s="50">
        <v>26.02</v>
      </c>
      <c r="B1515" s="64" t="s">
        <v>2990</v>
      </c>
      <c r="C1515" s="47"/>
      <c r="D1515" s="47"/>
      <c r="E1515" s="47"/>
    </row>
    <row r="1516" spans="1:5" ht="22.5" x14ac:dyDescent="0.2">
      <c r="A1516" s="65" t="s">
        <v>2991</v>
      </c>
      <c r="B1516" s="65" t="s">
        <v>2992</v>
      </c>
      <c r="C1516" s="74" t="s">
        <v>204</v>
      </c>
      <c r="D1516" s="69" t="s">
        <v>2993</v>
      </c>
      <c r="E1516" s="69" t="s">
        <v>2993</v>
      </c>
    </row>
    <row r="1517" spans="1:5" ht="22.5" x14ac:dyDescent="0.2">
      <c r="A1517" s="65" t="s">
        <v>2994</v>
      </c>
      <c r="B1517" s="65" t="s">
        <v>2995</v>
      </c>
      <c r="C1517" s="74" t="s">
        <v>204</v>
      </c>
      <c r="D1517" s="69" t="s">
        <v>2996</v>
      </c>
      <c r="E1517" s="69" t="s">
        <v>2996</v>
      </c>
    </row>
    <row r="1518" spans="1:5" ht="22.5" x14ac:dyDescent="0.2">
      <c r="A1518" s="65" t="s">
        <v>2997</v>
      </c>
      <c r="B1518" s="65" t="s">
        <v>2998</v>
      </c>
      <c r="C1518" s="74" t="s">
        <v>204</v>
      </c>
      <c r="D1518" s="69" t="s">
        <v>2999</v>
      </c>
      <c r="E1518" s="69" t="s">
        <v>2999</v>
      </c>
    </row>
    <row r="1519" spans="1:5" ht="33.75" x14ac:dyDescent="0.2">
      <c r="A1519" s="65" t="s">
        <v>3000</v>
      </c>
      <c r="B1519" s="65" t="s">
        <v>3001</v>
      </c>
      <c r="C1519" s="74" t="s">
        <v>204</v>
      </c>
      <c r="D1519" s="69" t="s">
        <v>3002</v>
      </c>
      <c r="E1519" s="69" t="s">
        <v>3002</v>
      </c>
    </row>
    <row r="1520" spans="1:5" ht="21" x14ac:dyDescent="0.2">
      <c r="A1520" s="60" t="s">
        <v>197</v>
      </c>
      <c r="B1520" s="61" t="s">
        <v>198</v>
      </c>
      <c r="C1520" s="61" t="s">
        <v>199</v>
      </c>
      <c r="D1520" s="62" t="s">
        <v>200</v>
      </c>
      <c r="E1520" s="60" t="s">
        <v>202</v>
      </c>
    </row>
    <row r="1521" spans="1:5" ht="33.75" x14ac:dyDescent="0.2">
      <c r="A1521" s="65" t="s">
        <v>3003</v>
      </c>
      <c r="B1521" s="65" t="s">
        <v>3004</v>
      </c>
      <c r="C1521" s="67" t="s">
        <v>204</v>
      </c>
      <c r="D1521" s="69" t="s">
        <v>3005</v>
      </c>
      <c r="E1521" s="69" t="s">
        <v>3005</v>
      </c>
    </row>
    <row r="1522" spans="1:5" ht="33.75" x14ac:dyDescent="0.2">
      <c r="A1522" s="65" t="s">
        <v>3006</v>
      </c>
      <c r="B1522" s="65" t="s">
        <v>3007</v>
      </c>
      <c r="C1522" s="67" t="s">
        <v>204</v>
      </c>
      <c r="D1522" s="69" t="s">
        <v>3008</v>
      </c>
      <c r="E1522" s="69" t="s">
        <v>3008</v>
      </c>
    </row>
    <row r="1523" spans="1:5" ht="33.75" x14ac:dyDescent="0.2">
      <c r="A1523" s="65" t="s">
        <v>3009</v>
      </c>
      <c r="B1523" s="65" t="s">
        <v>3010</v>
      </c>
      <c r="C1523" s="67" t="s">
        <v>204</v>
      </c>
      <c r="D1523" s="69" t="s">
        <v>3011</v>
      </c>
      <c r="E1523" s="69" t="s">
        <v>3011</v>
      </c>
    </row>
    <row r="1524" spans="1:5" ht="33.75" x14ac:dyDescent="0.2">
      <c r="A1524" s="65" t="s">
        <v>3012</v>
      </c>
      <c r="B1524" s="65" t="s">
        <v>3013</v>
      </c>
      <c r="C1524" s="67" t="s">
        <v>204</v>
      </c>
      <c r="D1524" s="69" t="s">
        <v>3014</v>
      </c>
      <c r="E1524" s="69" t="s">
        <v>3014</v>
      </c>
    </row>
    <row r="1525" spans="1:5" x14ac:dyDescent="0.2">
      <c r="A1525" s="50">
        <v>26.03</v>
      </c>
      <c r="B1525" s="64" t="s">
        <v>3015</v>
      </c>
      <c r="C1525" s="47"/>
      <c r="D1525" s="47"/>
      <c r="E1525" s="47"/>
    </row>
    <row r="1526" spans="1:5" ht="33.75" x14ac:dyDescent="0.2">
      <c r="A1526" s="65" t="s">
        <v>3016</v>
      </c>
      <c r="B1526" s="65" t="s">
        <v>3017</v>
      </c>
      <c r="C1526" s="67" t="s">
        <v>204</v>
      </c>
      <c r="D1526" s="69" t="s">
        <v>3018</v>
      </c>
      <c r="E1526" s="69" t="s">
        <v>3018</v>
      </c>
    </row>
    <row r="1527" spans="1:5" ht="33.75" x14ac:dyDescent="0.2">
      <c r="A1527" s="65" t="s">
        <v>3019</v>
      </c>
      <c r="B1527" s="65" t="s">
        <v>3020</v>
      </c>
      <c r="C1527" s="67" t="s">
        <v>204</v>
      </c>
      <c r="D1527" s="69" t="s">
        <v>3021</v>
      </c>
      <c r="E1527" s="69" t="s">
        <v>3021</v>
      </c>
    </row>
    <row r="1528" spans="1:5" ht="33.75" x14ac:dyDescent="0.2">
      <c r="A1528" s="65" t="s">
        <v>3022</v>
      </c>
      <c r="B1528" s="65" t="s">
        <v>3023</v>
      </c>
      <c r="C1528" s="67" t="s">
        <v>204</v>
      </c>
      <c r="D1528" s="69" t="s">
        <v>3024</v>
      </c>
      <c r="E1528" s="69" t="s">
        <v>3024</v>
      </c>
    </row>
    <row r="1529" spans="1:5" ht="33.75" x14ac:dyDescent="0.2">
      <c r="A1529" s="65" t="s">
        <v>3025</v>
      </c>
      <c r="B1529" s="65" t="s">
        <v>3026</v>
      </c>
      <c r="C1529" s="67" t="s">
        <v>204</v>
      </c>
      <c r="D1529" s="69" t="s">
        <v>3027</v>
      </c>
      <c r="E1529" s="69" t="s">
        <v>3027</v>
      </c>
    </row>
    <row r="1530" spans="1:5" x14ac:dyDescent="0.2">
      <c r="A1530" s="50">
        <v>26.04</v>
      </c>
      <c r="B1530" s="64" t="s">
        <v>3028</v>
      </c>
      <c r="C1530" s="47"/>
      <c r="D1530" s="47"/>
      <c r="E1530" s="47"/>
    </row>
    <row r="1531" spans="1:5" ht="33.75" x14ac:dyDescent="0.2">
      <c r="A1531" s="65" t="s">
        <v>3029</v>
      </c>
      <c r="B1531" s="65" t="s">
        <v>3030</v>
      </c>
      <c r="C1531" s="67" t="s">
        <v>204</v>
      </c>
      <c r="D1531" s="69" t="s">
        <v>3031</v>
      </c>
      <c r="E1531" s="69" t="s">
        <v>3031</v>
      </c>
    </row>
    <row r="1532" spans="1:5" ht="33.75" x14ac:dyDescent="0.2">
      <c r="A1532" s="65" t="s">
        <v>3032</v>
      </c>
      <c r="B1532" s="65" t="s">
        <v>3033</v>
      </c>
      <c r="C1532" s="67" t="s">
        <v>204</v>
      </c>
      <c r="D1532" s="69" t="s">
        <v>3034</v>
      </c>
      <c r="E1532" s="69" t="s">
        <v>3035</v>
      </c>
    </row>
    <row r="1533" spans="1:5" ht="45" x14ac:dyDescent="0.2">
      <c r="A1533" s="50">
        <v>26.2</v>
      </c>
      <c r="B1533" s="64" t="s">
        <v>3036</v>
      </c>
      <c r="C1533" s="47"/>
      <c r="D1533" s="47"/>
      <c r="E1533" s="47"/>
    </row>
    <row r="1534" spans="1:5" x14ac:dyDescent="0.2">
      <c r="A1534" s="65" t="s">
        <v>3037</v>
      </c>
      <c r="B1534" s="65" t="s">
        <v>3038</v>
      </c>
      <c r="C1534" s="67" t="s">
        <v>221</v>
      </c>
      <c r="D1534" s="69" t="s">
        <v>3039</v>
      </c>
      <c r="E1534" s="69" t="s">
        <v>3041</v>
      </c>
    </row>
    <row r="1535" spans="1:5" ht="56.25" x14ac:dyDescent="0.2">
      <c r="A1535" s="65" t="s">
        <v>3042</v>
      </c>
      <c r="B1535" s="65" t="s">
        <v>3043</v>
      </c>
      <c r="C1535" s="67" t="s">
        <v>204</v>
      </c>
      <c r="D1535" s="69" t="s">
        <v>3044</v>
      </c>
      <c r="E1535" s="69" t="s">
        <v>3046</v>
      </c>
    </row>
    <row r="1536" spans="1:5" ht="33.75" x14ac:dyDescent="0.2">
      <c r="A1536" s="49">
        <v>27</v>
      </c>
      <c r="B1536" s="64" t="s">
        <v>3047</v>
      </c>
      <c r="C1536" s="47"/>
      <c r="D1536" s="47"/>
      <c r="E1536" s="47"/>
    </row>
    <row r="1537" spans="1:5" x14ac:dyDescent="0.2">
      <c r="A1537" s="50">
        <v>27.02</v>
      </c>
      <c r="B1537" s="64" t="s">
        <v>3048</v>
      </c>
      <c r="C1537" s="47"/>
      <c r="D1537" s="47"/>
      <c r="E1537" s="47"/>
    </row>
    <row r="1538" spans="1:5" ht="45" x14ac:dyDescent="0.2">
      <c r="A1538" s="65" t="s">
        <v>3049</v>
      </c>
      <c r="B1538" s="65" t="s">
        <v>3050</v>
      </c>
      <c r="C1538" s="67" t="s">
        <v>204</v>
      </c>
      <c r="D1538" s="69" t="s">
        <v>3051</v>
      </c>
      <c r="E1538" s="69" t="s">
        <v>3053</v>
      </c>
    </row>
    <row r="1539" spans="1:5" ht="45" x14ac:dyDescent="0.2">
      <c r="A1539" s="65" t="s">
        <v>3054</v>
      </c>
      <c r="B1539" s="65" t="s">
        <v>3055</v>
      </c>
      <c r="C1539" s="67" t="s">
        <v>204</v>
      </c>
      <c r="D1539" s="69" t="s">
        <v>3056</v>
      </c>
      <c r="E1539" s="69" t="s">
        <v>3057</v>
      </c>
    </row>
    <row r="1540" spans="1:5" ht="45" x14ac:dyDescent="0.2">
      <c r="A1540" s="65" t="s">
        <v>3058</v>
      </c>
      <c r="B1540" s="65" t="s">
        <v>3059</v>
      </c>
      <c r="C1540" s="67" t="s">
        <v>204</v>
      </c>
      <c r="D1540" s="69" t="s">
        <v>3060</v>
      </c>
      <c r="E1540" s="69" t="s">
        <v>3061</v>
      </c>
    </row>
    <row r="1541" spans="1:5" ht="33.75" x14ac:dyDescent="0.2">
      <c r="A1541" s="65" t="s">
        <v>3062</v>
      </c>
      <c r="B1541" s="65" t="s">
        <v>3063</v>
      </c>
      <c r="C1541" s="67" t="s">
        <v>204</v>
      </c>
      <c r="D1541" s="69" t="s">
        <v>3064</v>
      </c>
      <c r="E1541" s="69" t="s">
        <v>3065</v>
      </c>
    </row>
    <row r="1542" spans="1:5" ht="22.5" x14ac:dyDescent="0.2">
      <c r="A1542" s="50">
        <v>27.03</v>
      </c>
      <c r="B1542" s="64" t="s">
        <v>3066</v>
      </c>
      <c r="C1542" s="47"/>
      <c r="D1542" s="47"/>
      <c r="E1542" s="47"/>
    </row>
    <row r="1543" spans="1:5" ht="33.75" x14ac:dyDescent="0.2">
      <c r="A1543" s="65" t="s">
        <v>3067</v>
      </c>
      <c r="B1543" s="65" t="s">
        <v>3068</v>
      </c>
      <c r="C1543" s="67" t="s">
        <v>204</v>
      </c>
      <c r="D1543" s="69" t="s">
        <v>3069</v>
      </c>
      <c r="E1543" s="69" t="s">
        <v>3070</v>
      </c>
    </row>
    <row r="1544" spans="1:5" x14ac:dyDescent="0.2">
      <c r="A1544" s="50">
        <v>27.04</v>
      </c>
      <c r="B1544" s="64" t="s">
        <v>3071</v>
      </c>
      <c r="C1544" s="47"/>
      <c r="D1544" s="47"/>
      <c r="E1544" s="47"/>
    </row>
    <row r="1545" spans="1:5" ht="33.75" x14ac:dyDescent="0.2">
      <c r="A1545" s="65" t="s">
        <v>3072</v>
      </c>
      <c r="B1545" s="65" t="s">
        <v>3073</v>
      </c>
      <c r="C1545" s="67" t="s">
        <v>204</v>
      </c>
      <c r="D1545" s="69" t="s">
        <v>3074</v>
      </c>
      <c r="E1545" s="69" t="s">
        <v>3076</v>
      </c>
    </row>
    <row r="1546" spans="1:5" ht="67.5" x14ac:dyDescent="0.2">
      <c r="A1546" s="65" t="s">
        <v>3077</v>
      </c>
      <c r="B1546" s="66" t="s">
        <v>3078</v>
      </c>
      <c r="C1546" s="67" t="s">
        <v>221</v>
      </c>
      <c r="D1546" s="69" t="s">
        <v>3079</v>
      </c>
      <c r="E1546" s="69" t="s">
        <v>3081</v>
      </c>
    </row>
    <row r="1547" spans="1:5" ht="67.5" x14ac:dyDescent="0.2">
      <c r="A1547" s="65" t="s">
        <v>3082</v>
      </c>
      <c r="B1547" s="66" t="s">
        <v>3083</v>
      </c>
      <c r="C1547" s="67" t="s">
        <v>221</v>
      </c>
      <c r="D1547" s="69" t="s">
        <v>3084</v>
      </c>
      <c r="E1547" s="69" t="s">
        <v>3085</v>
      </c>
    </row>
    <row r="1548" spans="1:5" ht="78.75" x14ac:dyDescent="0.2">
      <c r="A1548" s="65" t="s">
        <v>3086</v>
      </c>
      <c r="B1548" s="66" t="s">
        <v>3087</v>
      </c>
      <c r="C1548" s="67" t="s">
        <v>221</v>
      </c>
      <c r="D1548" s="69" t="s">
        <v>3088</v>
      </c>
      <c r="E1548" s="69" t="s">
        <v>3089</v>
      </c>
    </row>
    <row r="1549" spans="1:5" ht="33.75" x14ac:dyDescent="0.2">
      <c r="A1549" s="65" t="s">
        <v>3090</v>
      </c>
      <c r="B1549" s="65" t="s">
        <v>3091</v>
      </c>
      <c r="C1549" s="67" t="s">
        <v>221</v>
      </c>
      <c r="D1549" s="69" t="s">
        <v>3092</v>
      </c>
      <c r="E1549" s="69" t="s">
        <v>3093</v>
      </c>
    </row>
    <row r="1550" spans="1:5" ht="67.5" x14ac:dyDescent="0.2">
      <c r="A1550" s="65" t="s">
        <v>3094</v>
      </c>
      <c r="B1550" s="66" t="s">
        <v>3095</v>
      </c>
      <c r="C1550" s="67" t="s">
        <v>221</v>
      </c>
      <c r="D1550" s="69" t="s">
        <v>3096</v>
      </c>
      <c r="E1550" s="69" t="s">
        <v>3098</v>
      </c>
    </row>
    <row r="1551" spans="1:5" ht="67.5" x14ac:dyDescent="0.2">
      <c r="A1551" s="65" t="s">
        <v>3099</v>
      </c>
      <c r="B1551" s="66" t="s">
        <v>3100</v>
      </c>
      <c r="C1551" s="67" t="s">
        <v>221</v>
      </c>
      <c r="D1551" s="69" t="s">
        <v>3101</v>
      </c>
      <c r="E1551" s="69" t="s">
        <v>3103</v>
      </c>
    </row>
    <row r="1552" spans="1:5" ht="33.75" x14ac:dyDescent="0.2">
      <c r="A1552" s="49">
        <v>28</v>
      </c>
      <c r="B1552" s="64" t="s">
        <v>3104</v>
      </c>
      <c r="C1552" s="47"/>
      <c r="D1552" s="47"/>
      <c r="E1552" s="47"/>
    </row>
    <row r="1553" spans="1:5" x14ac:dyDescent="0.2">
      <c r="A1553" s="50">
        <v>28.01</v>
      </c>
      <c r="B1553" s="64" t="s">
        <v>3105</v>
      </c>
      <c r="C1553" s="47"/>
      <c r="D1553" s="47"/>
      <c r="E1553" s="47"/>
    </row>
    <row r="1554" spans="1:5" ht="56.25" x14ac:dyDescent="0.2">
      <c r="A1554" s="65" t="s">
        <v>3106</v>
      </c>
      <c r="B1554" s="66" t="s">
        <v>3107</v>
      </c>
      <c r="C1554" s="67" t="s">
        <v>240</v>
      </c>
      <c r="D1554" s="69" t="s">
        <v>3108</v>
      </c>
      <c r="E1554" s="69" t="s">
        <v>3109</v>
      </c>
    </row>
    <row r="1555" spans="1:5" ht="56.25" x14ac:dyDescent="0.2">
      <c r="A1555" s="65" t="s">
        <v>3110</v>
      </c>
      <c r="B1555" s="66" t="s">
        <v>3111</v>
      </c>
      <c r="C1555" s="67" t="s">
        <v>240</v>
      </c>
      <c r="D1555" s="69" t="s">
        <v>3112</v>
      </c>
      <c r="E1555" s="69" t="s">
        <v>3113</v>
      </c>
    </row>
    <row r="1556" spans="1:5" ht="56.25" x14ac:dyDescent="0.2">
      <c r="A1556" s="65" t="s">
        <v>3114</v>
      </c>
      <c r="B1556" s="66" t="s">
        <v>3115</v>
      </c>
      <c r="C1556" s="67" t="s">
        <v>240</v>
      </c>
      <c r="D1556" s="69" t="s">
        <v>3116</v>
      </c>
      <c r="E1556" s="69" t="s">
        <v>3117</v>
      </c>
    </row>
    <row r="1557" spans="1:5" ht="56.25" x14ac:dyDescent="0.2">
      <c r="A1557" s="65" t="s">
        <v>3118</v>
      </c>
      <c r="B1557" s="66" t="s">
        <v>3119</v>
      </c>
      <c r="C1557" s="67" t="s">
        <v>240</v>
      </c>
      <c r="D1557" s="69" t="s">
        <v>3120</v>
      </c>
      <c r="E1557" s="69" t="s">
        <v>3121</v>
      </c>
    </row>
    <row r="1558" spans="1:5" ht="45" x14ac:dyDescent="0.2">
      <c r="A1558" s="65" t="s">
        <v>3122</v>
      </c>
      <c r="B1558" s="65" t="s">
        <v>3123</v>
      </c>
      <c r="C1558" s="67" t="s">
        <v>240</v>
      </c>
      <c r="D1558" s="69" t="s">
        <v>3124</v>
      </c>
      <c r="E1558" s="69" t="s">
        <v>3125</v>
      </c>
    </row>
    <row r="1559" spans="1:5" ht="33.75" x14ac:dyDescent="0.2">
      <c r="A1559" s="65" t="s">
        <v>3126</v>
      </c>
      <c r="B1559" s="65" t="s">
        <v>3127</v>
      </c>
      <c r="C1559" s="67" t="s">
        <v>240</v>
      </c>
      <c r="D1559" s="69" t="s">
        <v>3128</v>
      </c>
      <c r="E1559" s="69" t="s">
        <v>3128</v>
      </c>
    </row>
    <row r="1560" spans="1:5" ht="33.75" x14ac:dyDescent="0.2">
      <c r="A1560" s="65" t="s">
        <v>3129</v>
      </c>
      <c r="B1560" s="65" t="s">
        <v>3130</v>
      </c>
      <c r="C1560" s="67" t="s">
        <v>240</v>
      </c>
      <c r="D1560" s="69" t="s">
        <v>3131</v>
      </c>
      <c r="E1560" s="69" t="s">
        <v>3131</v>
      </c>
    </row>
    <row r="1561" spans="1:5" ht="45" x14ac:dyDescent="0.2">
      <c r="A1561" s="65" t="s">
        <v>3132</v>
      </c>
      <c r="B1561" s="65" t="s">
        <v>3133</v>
      </c>
      <c r="C1561" s="67" t="s">
        <v>203</v>
      </c>
      <c r="D1561" s="69" t="s">
        <v>3134</v>
      </c>
      <c r="E1561" s="69" t="s">
        <v>3135</v>
      </c>
    </row>
    <row r="1562" spans="1:5" ht="45" x14ac:dyDescent="0.2">
      <c r="A1562" s="65" t="s">
        <v>3136</v>
      </c>
      <c r="B1562" s="65" t="s">
        <v>3137</v>
      </c>
      <c r="C1562" s="67" t="s">
        <v>240</v>
      </c>
      <c r="D1562" s="69" t="s">
        <v>3138</v>
      </c>
      <c r="E1562" s="69" t="s">
        <v>3139</v>
      </c>
    </row>
    <row r="1563" spans="1:5" ht="45" x14ac:dyDescent="0.2">
      <c r="A1563" s="65" t="s">
        <v>3140</v>
      </c>
      <c r="B1563" s="65" t="s">
        <v>3141</v>
      </c>
      <c r="C1563" s="67" t="s">
        <v>203</v>
      </c>
      <c r="D1563" s="69" t="s">
        <v>3142</v>
      </c>
      <c r="E1563" s="69" t="s">
        <v>3144</v>
      </c>
    </row>
    <row r="1564" spans="1:5" ht="45" x14ac:dyDescent="0.2">
      <c r="A1564" s="65" t="s">
        <v>3145</v>
      </c>
      <c r="B1564" s="65" t="s">
        <v>3146</v>
      </c>
      <c r="C1564" s="67" t="s">
        <v>203</v>
      </c>
      <c r="D1564" s="69" t="s">
        <v>3147</v>
      </c>
      <c r="E1564" s="69" t="s">
        <v>3148</v>
      </c>
    </row>
    <row r="1565" spans="1:5" ht="45" x14ac:dyDescent="0.2">
      <c r="A1565" s="65" t="s">
        <v>3149</v>
      </c>
      <c r="B1565" s="65" t="s">
        <v>3150</v>
      </c>
      <c r="C1565" s="67" t="s">
        <v>203</v>
      </c>
      <c r="D1565" s="69" t="s">
        <v>3151</v>
      </c>
      <c r="E1565" s="69" t="s">
        <v>3152</v>
      </c>
    </row>
    <row r="1566" spans="1:5" ht="33.75" x14ac:dyDescent="0.2">
      <c r="A1566" s="65" t="s">
        <v>3153</v>
      </c>
      <c r="B1566" s="65" t="s">
        <v>3154</v>
      </c>
      <c r="C1566" s="67" t="s">
        <v>203</v>
      </c>
      <c r="D1566" s="69" t="s">
        <v>3155</v>
      </c>
      <c r="E1566" s="69" t="s">
        <v>3157</v>
      </c>
    </row>
    <row r="1567" spans="1:5" ht="22.5" x14ac:dyDescent="0.2">
      <c r="A1567" s="65" t="s">
        <v>3158</v>
      </c>
      <c r="B1567" s="65" t="s">
        <v>3159</v>
      </c>
      <c r="C1567" s="67" t="s">
        <v>203</v>
      </c>
      <c r="D1567" s="69" t="s">
        <v>3160</v>
      </c>
      <c r="E1567" s="69" t="s">
        <v>3161</v>
      </c>
    </row>
    <row r="1568" spans="1:5" ht="56.25" x14ac:dyDescent="0.2">
      <c r="A1568" s="65" t="s">
        <v>3162</v>
      </c>
      <c r="B1568" s="66" t="s">
        <v>3163</v>
      </c>
      <c r="C1568" s="67" t="s">
        <v>240</v>
      </c>
      <c r="D1568" s="69" t="s">
        <v>3164</v>
      </c>
      <c r="E1568" s="69" t="s">
        <v>3166</v>
      </c>
    </row>
    <row r="1569" spans="1:5" ht="67.5" x14ac:dyDescent="0.2">
      <c r="A1569" s="65" t="s">
        <v>3167</v>
      </c>
      <c r="B1569" s="66" t="s">
        <v>3168</v>
      </c>
      <c r="C1569" s="67" t="s">
        <v>240</v>
      </c>
      <c r="D1569" s="69" t="s">
        <v>3169</v>
      </c>
      <c r="E1569" s="69" t="s">
        <v>3170</v>
      </c>
    </row>
    <row r="1570" spans="1:5" ht="56.25" x14ac:dyDescent="0.2">
      <c r="A1570" s="65" t="s">
        <v>3171</v>
      </c>
      <c r="B1570" s="66" t="s">
        <v>3172</v>
      </c>
      <c r="C1570" s="67" t="s">
        <v>240</v>
      </c>
      <c r="D1570" s="69" t="s">
        <v>3173</v>
      </c>
      <c r="E1570" s="69" t="s">
        <v>3174</v>
      </c>
    </row>
    <row r="1571" spans="1:5" ht="56.25" x14ac:dyDescent="0.2">
      <c r="A1571" s="65" t="s">
        <v>3175</v>
      </c>
      <c r="B1571" s="66" t="s">
        <v>3176</v>
      </c>
      <c r="C1571" s="67" t="s">
        <v>203</v>
      </c>
      <c r="D1571" s="69" t="s">
        <v>3177</v>
      </c>
      <c r="E1571" s="69" t="s">
        <v>3178</v>
      </c>
    </row>
    <row r="1572" spans="1:5" ht="56.25" x14ac:dyDescent="0.2">
      <c r="A1572" s="65" t="s">
        <v>3179</v>
      </c>
      <c r="B1572" s="66" t="s">
        <v>3180</v>
      </c>
      <c r="C1572" s="67" t="s">
        <v>203</v>
      </c>
      <c r="D1572" s="69" t="s">
        <v>3181</v>
      </c>
      <c r="E1572" s="69" t="s">
        <v>3182</v>
      </c>
    </row>
    <row r="1573" spans="1:5" ht="67.5" x14ac:dyDescent="0.2">
      <c r="A1573" s="65" t="s">
        <v>3183</v>
      </c>
      <c r="B1573" s="66" t="s">
        <v>3184</v>
      </c>
      <c r="C1573" s="67" t="s">
        <v>203</v>
      </c>
      <c r="D1573" s="69" t="s">
        <v>3185</v>
      </c>
      <c r="E1573" s="69" t="s">
        <v>3186</v>
      </c>
    </row>
    <row r="1574" spans="1:5" x14ac:dyDescent="0.2">
      <c r="A1574" s="50">
        <v>28.05</v>
      </c>
      <c r="B1574" s="64" t="s">
        <v>3187</v>
      </c>
      <c r="C1574" s="47"/>
      <c r="D1574" s="47"/>
      <c r="E1574" s="47"/>
    </row>
    <row r="1575" spans="1:5" ht="33.75" x14ac:dyDescent="0.2">
      <c r="A1575" s="65" t="s">
        <v>3188</v>
      </c>
      <c r="B1575" s="65" t="s">
        <v>3189</v>
      </c>
      <c r="C1575" s="67" t="s">
        <v>203</v>
      </c>
      <c r="D1575" s="69" t="s">
        <v>3190</v>
      </c>
      <c r="E1575" s="69" t="s">
        <v>3190</v>
      </c>
    </row>
    <row r="1576" spans="1:5" ht="33.75" x14ac:dyDescent="0.2">
      <c r="A1576" s="65" t="s">
        <v>3191</v>
      </c>
      <c r="B1576" s="65" t="s">
        <v>3192</v>
      </c>
      <c r="C1576" s="67" t="s">
        <v>203</v>
      </c>
      <c r="D1576" s="69" t="s">
        <v>3193</v>
      </c>
      <c r="E1576" s="69" t="s">
        <v>3193</v>
      </c>
    </row>
    <row r="1577" spans="1:5" ht="33.75" x14ac:dyDescent="0.2">
      <c r="A1577" s="65" t="s">
        <v>3194</v>
      </c>
      <c r="B1577" s="65" t="s">
        <v>3195</v>
      </c>
      <c r="C1577" s="67" t="s">
        <v>203</v>
      </c>
      <c r="D1577" s="69" t="s">
        <v>3196</v>
      </c>
      <c r="E1577" s="69" t="s">
        <v>3196</v>
      </c>
    </row>
    <row r="1578" spans="1:5" ht="56.25" x14ac:dyDescent="0.2">
      <c r="A1578" s="65" t="s">
        <v>3197</v>
      </c>
      <c r="B1578" s="66" t="s">
        <v>3198</v>
      </c>
      <c r="C1578" s="67" t="s">
        <v>203</v>
      </c>
      <c r="D1578" s="69" t="s">
        <v>3199</v>
      </c>
      <c r="E1578" s="69" t="s">
        <v>3199</v>
      </c>
    </row>
    <row r="1579" spans="1:5" ht="33.75" x14ac:dyDescent="0.2">
      <c r="A1579" s="65" t="s">
        <v>3200</v>
      </c>
      <c r="B1579" s="65" t="s">
        <v>3201</v>
      </c>
      <c r="C1579" s="67" t="s">
        <v>203</v>
      </c>
      <c r="D1579" s="69" t="s">
        <v>3202</v>
      </c>
      <c r="E1579" s="69" t="s">
        <v>3202</v>
      </c>
    </row>
    <row r="1580" spans="1:5" ht="45" x14ac:dyDescent="0.2">
      <c r="A1580" s="50">
        <v>28.2</v>
      </c>
      <c r="B1580" s="64" t="s">
        <v>3203</v>
      </c>
      <c r="C1580" s="47"/>
      <c r="D1580" s="47"/>
      <c r="E1580" s="47"/>
    </row>
    <row r="1581" spans="1:5" ht="33.75" x14ac:dyDescent="0.2">
      <c r="A1581" s="65" t="s">
        <v>3204</v>
      </c>
      <c r="B1581" s="65" t="s">
        <v>3205</v>
      </c>
      <c r="C1581" s="67" t="s">
        <v>203</v>
      </c>
      <c r="D1581" s="73"/>
      <c r="E1581" s="69" t="s">
        <v>402</v>
      </c>
    </row>
    <row r="1582" spans="1:5" ht="33.75" x14ac:dyDescent="0.2">
      <c r="A1582" s="65" t="s">
        <v>3206</v>
      </c>
      <c r="B1582" s="65" t="s">
        <v>3207</v>
      </c>
      <c r="C1582" s="67" t="s">
        <v>203</v>
      </c>
      <c r="D1582" s="69" t="s">
        <v>3208</v>
      </c>
      <c r="E1582" s="69" t="s">
        <v>3209</v>
      </c>
    </row>
    <row r="1583" spans="1:5" ht="33.75" x14ac:dyDescent="0.2">
      <c r="A1583" s="65" t="s">
        <v>3210</v>
      </c>
      <c r="B1583" s="65" t="s">
        <v>3211</v>
      </c>
      <c r="C1583" s="67" t="s">
        <v>203</v>
      </c>
      <c r="D1583" s="73"/>
      <c r="E1583" s="69" t="s">
        <v>3212</v>
      </c>
    </row>
    <row r="1584" spans="1:5" ht="45" x14ac:dyDescent="0.2">
      <c r="A1584" s="65" t="s">
        <v>3213</v>
      </c>
      <c r="B1584" s="65" t="s">
        <v>3214</v>
      </c>
      <c r="C1584" s="67" t="s">
        <v>240</v>
      </c>
      <c r="D1584" s="69" t="s">
        <v>3215</v>
      </c>
      <c r="E1584" s="69" t="s">
        <v>3217</v>
      </c>
    </row>
    <row r="1585" spans="1:5" ht="22.5" x14ac:dyDescent="0.2">
      <c r="A1585" s="65" t="s">
        <v>3218</v>
      </c>
      <c r="B1585" s="65" t="s">
        <v>3219</v>
      </c>
      <c r="C1585" s="67" t="s">
        <v>203</v>
      </c>
      <c r="D1585" s="73"/>
      <c r="E1585" s="69" t="s">
        <v>329</v>
      </c>
    </row>
    <row r="1586" spans="1:5" ht="22.5" x14ac:dyDescent="0.2">
      <c r="A1586" s="65" t="s">
        <v>3220</v>
      </c>
      <c r="B1586" s="65" t="s">
        <v>3221</v>
      </c>
      <c r="C1586" s="67" t="s">
        <v>240</v>
      </c>
      <c r="D1586" s="69" t="s">
        <v>3222</v>
      </c>
      <c r="E1586" s="69" t="s">
        <v>3223</v>
      </c>
    </row>
    <row r="1587" spans="1:5" ht="45" x14ac:dyDescent="0.2">
      <c r="A1587" s="65" t="s">
        <v>3224</v>
      </c>
      <c r="B1587" s="65" t="s">
        <v>3225</v>
      </c>
      <c r="C1587" s="67" t="s">
        <v>203</v>
      </c>
      <c r="D1587" s="69" t="s">
        <v>3226</v>
      </c>
      <c r="E1587" s="69" t="s">
        <v>3227</v>
      </c>
    </row>
    <row r="1588" spans="1:5" ht="56.25" x14ac:dyDescent="0.2">
      <c r="A1588" s="65" t="s">
        <v>3228</v>
      </c>
      <c r="B1588" s="65" t="s">
        <v>3229</v>
      </c>
      <c r="C1588" s="67" t="s">
        <v>240</v>
      </c>
      <c r="D1588" s="69" t="s">
        <v>3230</v>
      </c>
      <c r="E1588" s="69" t="s">
        <v>3231</v>
      </c>
    </row>
    <row r="1589" spans="1:5" ht="45" x14ac:dyDescent="0.2">
      <c r="A1589" s="65" t="s">
        <v>3232</v>
      </c>
      <c r="B1589" s="65" t="s">
        <v>3233</v>
      </c>
      <c r="C1589" s="67" t="s">
        <v>203</v>
      </c>
      <c r="D1589" s="69" t="s">
        <v>3234</v>
      </c>
      <c r="E1589" s="69" t="s">
        <v>3235</v>
      </c>
    </row>
    <row r="1590" spans="1:5" ht="56.25" x14ac:dyDescent="0.2">
      <c r="A1590" s="65" t="s">
        <v>3236</v>
      </c>
      <c r="B1590" s="65" t="s">
        <v>3237</v>
      </c>
      <c r="C1590" s="67" t="s">
        <v>203</v>
      </c>
      <c r="D1590" s="69" t="s">
        <v>3238</v>
      </c>
      <c r="E1590" s="69" t="s">
        <v>3239</v>
      </c>
    </row>
    <row r="1591" spans="1:5" ht="33.75" x14ac:dyDescent="0.2">
      <c r="A1591" s="65" t="s">
        <v>3240</v>
      </c>
      <c r="B1591" s="65" t="s">
        <v>3241</v>
      </c>
      <c r="C1591" s="67" t="s">
        <v>203</v>
      </c>
      <c r="D1591" s="69" t="s">
        <v>3242</v>
      </c>
      <c r="E1591" s="69" t="s">
        <v>3244</v>
      </c>
    </row>
    <row r="1592" spans="1:5" ht="33.75" x14ac:dyDescent="0.2">
      <c r="A1592" s="65" t="s">
        <v>3245</v>
      </c>
      <c r="B1592" s="65" t="s">
        <v>3246</v>
      </c>
      <c r="C1592" s="67" t="s">
        <v>203</v>
      </c>
      <c r="D1592" s="69" t="s">
        <v>3247</v>
      </c>
      <c r="E1592" s="69" t="s">
        <v>3248</v>
      </c>
    </row>
    <row r="1593" spans="1:5" ht="33.75" x14ac:dyDescent="0.2">
      <c r="A1593" s="65" t="s">
        <v>3249</v>
      </c>
      <c r="B1593" s="65" t="s">
        <v>3250</v>
      </c>
      <c r="C1593" s="67" t="s">
        <v>203</v>
      </c>
      <c r="D1593" s="69" t="s">
        <v>3251</v>
      </c>
      <c r="E1593" s="69" t="s">
        <v>3252</v>
      </c>
    </row>
    <row r="1594" spans="1:5" ht="45" x14ac:dyDescent="0.2">
      <c r="A1594" s="65" t="s">
        <v>3253</v>
      </c>
      <c r="B1594" s="65" t="s">
        <v>3254</v>
      </c>
      <c r="C1594" s="67" t="s">
        <v>240</v>
      </c>
      <c r="D1594" s="69" t="s">
        <v>3255</v>
      </c>
      <c r="E1594" s="69" t="s">
        <v>3256</v>
      </c>
    </row>
    <row r="1595" spans="1:5" ht="45" x14ac:dyDescent="0.2">
      <c r="A1595" s="65" t="s">
        <v>3257</v>
      </c>
      <c r="B1595" s="65" t="s">
        <v>3258</v>
      </c>
      <c r="C1595" s="67" t="s">
        <v>203</v>
      </c>
      <c r="D1595" s="69" t="s">
        <v>3259</v>
      </c>
      <c r="E1595" s="69" t="s">
        <v>3260</v>
      </c>
    </row>
    <row r="1596" spans="1:5" ht="56.25" x14ac:dyDescent="0.2">
      <c r="A1596" s="65" t="s">
        <v>3261</v>
      </c>
      <c r="B1596" s="66" t="s">
        <v>3262</v>
      </c>
      <c r="C1596" s="67" t="s">
        <v>203</v>
      </c>
      <c r="D1596" s="69" t="s">
        <v>3263</v>
      </c>
      <c r="E1596" s="69" t="s">
        <v>3264</v>
      </c>
    </row>
    <row r="1597" spans="1:5" ht="33.75" x14ac:dyDescent="0.2">
      <c r="A1597" s="65" t="s">
        <v>3265</v>
      </c>
      <c r="B1597" s="65" t="s">
        <v>3266</v>
      </c>
      <c r="C1597" s="67" t="s">
        <v>240</v>
      </c>
      <c r="D1597" s="69" t="s">
        <v>3267</v>
      </c>
      <c r="E1597" s="69" t="s">
        <v>3269</v>
      </c>
    </row>
    <row r="1598" spans="1:5" ht="33.75" x14ac:dyDescent="0.2">
      <c r="A1598" s="65" t="s">
        <v>3270</v>
      </c>
      <c r="B1598" s="65" t="s">
        <v>3271</v>
      </c>
      <c r="C1598" s="67" t="s">
        <v>203</v>
      </c>
      <c r="D1598" s="69" t="s">
        <v>3272</v>
      </c>
      <c r="E1598" s="69" t="s">
        <v>3273</v>
      </c>
    </row>
    <row r="1599" spans="1:5" ht="45" x14ac:dyDescent="0.2">
      <c r="A1599" s="65" t="s">
        <v>3274</v>
      </c>
      <c r="B1599" s="65" t="s">
        <v>3275</v>
      </c>
      <c r="C1599" s="67" t="s">
        <v>203</v>
      </c>
      <c r="D1599" s="69" t="s">
        <v>3276</v>
      </c>
      <c r="E1599" s="69" t="s">
        <v>3277</v>
      </c>
    </row>
    <row r="1600" spans="1:5" ht="33.75" x14ac:dyDescent="0.2">
      <c r="A1600" s="65" t="s">
        <v>3278</v>
      </c>
      <c r="B1600" s="65" t="s">
        <v>3279</v>
      </c>
      <c r="C1600" s="67" t="s">
        <v>203</v>
      </c>
      <c r="D1600" s="69" t="s">
        <v>3280</v>
      </c>
      <c r="E1600" s="69" t="s">
        <v>3281</v>
      </c>
    </row>
    <row r="1601" spans="1:5" ht="45" x14ac:dyDescent="0.2">
      <c r="A1601" s="65" t="s">
        <v>3282</v>
      </c>
      <c r="B1601" s="65" t="s">
        <v>3283</v>
      </c>
      <c r="C1601" s="67" t="s">
        <v>203</v>
      </c>
      <c r="D1601" s="69" t="s">
        <v>3284</v>
      </c>
      <c r="E1601" s="69" t="s">
        <v>3285</v>
      </c>
    </row>
    <row r="1602" spans="1:5" ht="56.25" x14ac:dyDescent="0.2">
      <c r="A1602" s="65" t="s">
        <v>3286</v>
      </c>
      <c r="B1602" s="66" t="s">
        <v>3287</v>
      </c>
      <c r="C1602" s="67" t="s">
        <v>203</v>
      </c>
      <c r="D1602" s="69" t="s">
        <v>3288</v>
      </c>
      <c r="E1602" s="69" t="s">
        <v>3290</v>
      </c>
    </row>
    <row r="1603" spans="1:5" ht="33.75" x14ac:dyDescent="0.2">
      <c r="A1603" s="65" t="s">
        <v>3291</v>
      </c>
      <c r="B1603" s="65" t="s">
        <v>3292</v>
      </c>
      <c r="C1603" s="67" t="s">
        <v>203</v>
      </c>
      <c r="D1603" s="69" t="s">
        <v>436</v>
      </c>
      <c r="E1603" s="69" t="s">
        <v>3294</v>
      </c>
    </row>
    <row r="1604" spans="1:5" ht="33.75" x14ac:dyDescent="0.2">
      <c r="A1604" s="65" t="s">
        <v>3295</v>
      </c>
      <c r="B1604" s="65" t="s">
        <v>3296</v>
      </c>
      <c r="C1604" s="67" t="s">
        <v>203</v>
      </c>
      <c r="D1604" s="69" t="s">
        <v>3297</v>
      </c>
      <c r="E1604" s="69" t="s">
        <v>3298</v>
      </c>
    </row>
    <row r="1605" spans="1:5" ht="45" x14ac:dyDescent="0.2">
      <c r="A1605" s="65" t="s">
        <v>3299</v>
      </c>
      <c r="B1605" s="65" t="s">
        <v>3300</v>
      </c>
      <c r="C1605" s="67" t="s">
        <v>203</v>
      </c>
      <c r="D1605" s="69" t="s">
        <v>3301</v>
      </c>
      <c r="E1605" s="69" t="s">
        <v>3301</v>
      </c>
    </row>
    <row r="1606" spans="1:5" ht="67.5" x14ac:dyDescent="0.2">
      <c r="A1606" s="65" t="s">
        <v>3302</v>
      </c>
      <c r="B1606" s="66" t="s">
        <v>3303</v>
      </c>
      <c r="C1606" s="67" t="s">
        <v>203</v>
      </c>
      <c r="D1606" s="69" t="s">
        <v>3304</v>
      </c>
      <c r="E1606" s="69" t="s">
        <v>3304</v>
      </c>
    </row>
    <row r="1607" spans="1:5" ht="56.25" x14ac:dyDescent="0.2">
      <c r="A1607" s="65" t="s">
        <v>3305</v>
      </c>
      <c r="B1607" s="66" t="s">
        <v>3306</v>
      </c>
      <c r="C1607" s="67" t="s">
        <v>240</v>
      </c>
      <c r="D1607" s="69" t="s">
        <v>3307</v>
      </c>
      <c r="E1607" s="69" t="s">
        <v>3308</v>
      </c>
    </row>
    <row r="1608" spans="1:5" ht="56.25" x14ac:dyDescent="0.2">
      <c r="A1608" s="65" t="s">
        <v>3309</v>
      </c>
      <c r="B1608" s="66" t="s">
        <v>3310</v>
      </c>
      <c r="C1608" s="67" t="s">
        <v>240</v>
      </c>
      <c r="D1608" s="69" t="s">
        <v>3311</v>
      </c>
      <c r="E1608" s="69" t="s">
        <v>3313</v>
      </c>
    </row>
    <row r="1609" spans="1:5" ht="112.5" x14ac:dyDescent="0.2">
      <c r="A1609" s="70" t="s">
        <v>3314</v>
      </c>
      <c r="B1609" s="66" t="s">
        <v>3315</v>
      </c>
      <c r="C1609" s="71" t="s">
        <v>240</v>
      </c>
      <c r="D1609" s="72" t="s">
        <v>3316</v>
      </c>
      <c r="E1609" s="72" t="s">
        <v>3317</v>
      </c>
    </row>
    <row r="1610" spans="1:5" ht="112.5" x14ac:dyDescent="0.2">
      <c r="A1610" s="70" t="s">
        <v>3318</v>
      </c>
      <c r="B1610" s="66" t="s">
        <v>3319</v>
      </c>
      <c r="C1610" s="71" t="s">
        <v>240</v>
      </c>
      <c r="D1610" s="72" t="s">
        <v>3320</v>
      </c>
      <c r="E1610" s="72" t="s">
        <v>3321</v>
      </c>
    </row>
    <row r="1611" spans="1:5" ht="33.75" x14ac:dyDescent="0.2">
      <c r="A1611" s="65" t="s">
        <v>3322</v>
      </c>
      <c r="B1611" s="65" t="s">
        <v>3323</v>
      </c>
      <c r="C1611" s="67" t="s">
        <v>221</v>
      </c>
      <c r="D1611" s="69" t="s">
        <v>3324</v>
      </c>
      <c r="E1611" s="69" t="s">
        <v>3325</v>
      </c>
    </row>
    <row r="1612" spans="1:5" x14ac:dyDescent="0.2">
      <c r="A1612" s="49">
        <v>29</v>
      </c>
      <c r="B1612" s="64" t="s">
        <v>3326</v>
      </c>
      <c r="C1612" s="47"/>
      <c r="D1612" s="47"/>
      <c r="E1612" s="47"/>
    </row>
    <row r="1613" spans="1:5" x14ac:dyDescent="0.2">
      <c r="A1613" s="50">
        <v>29.01</v>
      </c>
      <c r="B1613" s="64" t="s">
        <v>3327</v>
      </c>
      <c r="C1613" s="47"/>
      <c r="D1613" s="47"/>
      <c r="E1613" s="47"/>
    </row>
    <row r="1614" spans="1:5" ht="33.75" x14ac:dyDescent="0.2">
      <c r="A1614" s="65" t="s">
        <v>3328</v>
      </c>
      <c r="B1614" s="65" t="s">
        <v>3329</v>
      </c>
      <c r="C1614" s="67" t="s">
        <v>221</v>
      </c>
      <c r="D1614" s="69" t="s">
        <v>281</v>
      </c>
      <c r="E1614" s="69" t="s">
        <v>3331</v>
      </c>
    </row>
    <row r="1615" spans="1:5" ht="22.5" x14ac:dyDescent="0.2">
      <c r="A1615" s="65" t="s">
        <v>3332</v>
      </c>
      <c r="B1615" s="65" t="s">
        <v>3333</v>
      </c>
      <c r="C1615" s="67" t="s">
        <v>300</v>
      </c>
      <c r="D1615" s="69" t="s">
        <v>3334</v>
      </c>
      <c r="E1615" s="69" t="s">
        <v>3336</v>
      </c>
    </row>
    <row r="1616" spans="1:5" ht="22.5" x14ac:dyDescent="0.2">
      <c r="A1616" s="65" t="s">
        <v>3337</v>
      </c>
      <c r="B1616" s="65" t="s">
        <v>3338</v>
      </c>
      <c r="C1616" s="67" t="s">
        <v>221</v>
      </c>
      <c r="D1616" s="69" t="s">
        <v>3339</v>
      </c>
      <c r="E1616" s="69" t="s">
        <v>3340</v>
      </c>
    </row>
    <row r="1617" spans="1:5" ht="22.5" x14ac:dyDescent="0.2">
      <c r="A1617" s="65" t="s">
        <v>3341</v>
      </c>
      <c r="B1617" s="65" t="s">
        <v>3342</v>
      </c>
      <c r="C1617" s="67" t="s">
        <v>300</v>
      </c>
      <c r="D1617" s="69" t="s">
        <v>3343</v>
      </c>
      <c r="E1617" s="69" t="s">
        <v>3344</v>
      </c>
    </row>
    <row r="1618" spans="1:5" ht="22.5" x14ac:dyDescent="0.2">
      <c r="A1618" s="65" t="s">
        <v>3345</v>
      </c>
      <c r="B1618" s="65" t="s">
        <v>3346</v>
      </c>
      <c r="C1618" s="67" t="s">
        <v>300</v>
      </c>
      <c r="D1618" s="69" t="s">
        <v>3347</v>
      </c>
      <c r="E1618" s="69" t="s">
        <v>3348</v>
      </c>
    </row>
    <row r="1619" spans="1:5" x14ac:dyDescent="0.2">
      <c r="A1619" s="50">
        <v>29.03</v>
      </c>
      <c r="B1619" s="64" t="s">
        <v>3349</v>
      </c>
      <c r="C1619" s="47"/>
      <c r="D1619" s="47"/>
      <c r="E1619" s="47"/>
    </row>
    <row r="1620" spans="1:5" ht="56.25" x14ac:dyDescent="0.2">
      <c r="A1620" s="65" t="s">
        <v>3350</v>
      </c>
      <c r="B1620" s="65" t="s">
        <v>3351</v>
      </c>
      <c r="C1620" s="67" t="s">
        <v>221</v>
      </c>
      <c r="D1620" s="69" t="s">
        <v>3352</v>
      </c>
      <c r="E1620" s="69" t="s">
        <v>3353</v>
      </c>
    </row>
    <row r="1621" spans="1:5" ht="56.25" x14ac:dyDescent="0.2">
      <c r="A1621" s="65" t="s">
        <v>3354</v>
      </c>
      <c r="B1621" s="65" t="s">
        <v>3355</v>
      </c>
      <c r="C1621" s="67" t="s">
        <v>221</v>
      </c>
      <c r="D1621" s="69" t="s">
        <v>3356</v>
      </c>
      <c r="E1621" s="69" t="s">
        <v>3357</v>
      </c>
    </row>
    <row r="1622" spans="1:5" ht="45" x14ac:dyDescent="0.2">
      <c r="A1622" s="65" t="s">
        <v>3358</v>
      </c>
      <c r="B1622" s="65" t="s">
        <v>3359</v>
      </c>
      <c r="C1622" s="67" t="s">
        <v>221</v>
      </c>
      <c r="D1622" s="69" t="s">
        <v>324</v>
      </c>
      <c r="E1622" s="69" t="s">
        <v>3360</v>
      </c>
    </row>
    <row r="1623" spans="1:5" ht="56.25" x14ac:dyDescent="0.2">
      <c r="A1623" s="65" t="s">
        <v>3361</v>
      </c>
      <c r="B1623" s="65" t="s">
        <v>3362</v>
      </c>
      <c r="C1623" s="67" t="s">
        <v>221</v>
      </c>
      <c r="D1623" s="69" t="s">
        <v>3363</v>
      </c>
      <c r="E1623" s="69" t="s">
        <v>3364</v>
      </c>
    </row>
    <row r="1624" spans="1:5" ht="45" x14ac:dyDescent="0.2">
      <c r="A1624" s="50">
        <v>29.2</v>
      </c>
      <c r="B1624" s="64" t="s">
        <v>3365</v>
      </c>
      <c r="C1624" s="47"/>
      <c r="D1624" s="47"/>
      <c r="E1624" s="47"/>
    </row>
    <row r="1625" spans="1:5" ht="33.75" x14ac:dyDescent="0.2">
      <c r="A1625" s="65" t="s">
        <v>3366</v>
      </c>
      <c r="B1625" s="65" t="s">
        <v>3367</v>
      </c>
      <c r="C1625" s="67" t="s">
        <v>300</v>
      </c>
      <c r="D1625" s="69" t="s">
        <v>3368</v>
      </c>
      <c r="E1625" s="69" t="s">
        <v>3369</v>
      </c>
    </row>
    <row r="1626" spans="1:5" x14ac:dyDescent="0.2">
      <c r="A1626" s="49">
        <v>30</v>
      </c>
      <c r="B1626" s="64" t="s">
        <v>3370</v>
      </c>
      <c r="C1626" s="47"/>
      <c r="D1626" s="47"/>
      <c r="E1626" s="47"/>
    </row>
    <row r="1627" spans="1:5" x14ac:dyDescent="0.2">
      <c r="A1627" s="50">
        <v>30.01</v>
      </c>
      <c r="B1627" s="64" t="s">
        <v>3371</v>
      </c>
      <c r="C1627" s="47"/>
      <c r="D1627" s="47"/>
      <c r="E1627" s="47"/>
    </row>
    <row r="1628" spans="1:5" ht="67.5" x14ac:dyDescent="0.2">
      <c r="A1628" s="65" t="s">
        <v>3372</v>
      </c>
      <c r="B1628" s="66" t="s">
        <v>3373</v>
      </c>
      <c r="C1628" s="67" t="s">
        <v>221</v>
      </c>
      <c r="D1628" s="69" t="s">
        <v>3374</v>
      </c>
      <c r="E1628" s="69" t="s">
        <v>3375</v>
      </c>
    </row>
    <row r="1629" spans="1:5" ht="67.5" x14ac:dyDescent="0.2">
      <c r="A1629" s="65" t="s">
        <v>3376</v>
      </c>
      <c r="B1629" s="66" t="s">
        <v>3377</v>
      </c>
      <c r="C1629" s="67" t="s">
        <v>203</v>
      </c>
      <c r="D1629" s="69" t="s">
        <v>3378</v>
      </c>
      <c r="E1629" s="69" t="s">
        <v>3379</v>
      </c>
    </row>
    <row r="1630" spans="1:5" ht="67.5" x14ac:dyDescent="0.2">
      <c r="A1630" s="65" t="s">
        <v>3380</v>
      </c>
      <c r="B1630" s="66" t="s">
        <v>3381</v>
      </c>
      <c r="C1630" s="67" t="s">
        <v>203</v>
      </c>
      <c r="D1630" s="69" t="s">
        <v>3382</v>
      </c>
      <c r="E1630" s="69" t="s">
        <v>3383</v>
      </c>
    </row>
    <row r="1631" spans="1:5" ht="78.75" x14ac:dyDescent="0.2">
      <c r="A1631" s="65" t="s">
        <v>3384</v>
      </c>
      <c r="B1631" s="66" t="s">
        <v>3385</v>
      </c>
      <c r="C1631" s="67" t="s">
        <v>203</v>
      </c>
      <c r="D1631" s="69" t="s">
        <v>3386</v>
      </c>
      <c r="E1631" s="69" t="s">
        <v>3387</v>
      </c>
    </row>
    <row r="1632" spans="1:5" ht="101.25" x14ac:dyDescent="0.2">
      <c r="A1632" s="70" t="s">
        <v>3388</v>
      </c>
      <c r="B1632" s="65" t="s">
        <v>3389</v>
      </c>
      <c r="C1632" s="71" t="s">
        <v>203</v>
      </c>
      <c r="D1632" s="72" t="s">
        <v>3390</v>
      </c>
      <c r="E1632" s="72" t="s">
        <v>3391</v>
      </c>
    </row>
    <row r="1633" spans="1:5" ht="78.75" x14ac:dyDescent="0.2">
      <c r="A1633" s="70" t="s">
        <v>3392</v>
      </c>
      <c r="B1633" s="65" t="s">
        <v>3393</v>
      </c>
      <c r="C1633" s="71" t="s">
        <v>203</v>
      </c>
      <c r="D1633" s="72" t="s">
        <v>3394</v>
      </c>
      <c r="E1633" s="72" t="s">
        <v>3395</v>
      </c>
    </row>
    <row r="1634" spans="1:5" ht="90" x14ac:dyDescent="0.2">
      <c r="A1634" s="70" t="s">
        <v>3396</v>
      </c>
      <c r="B1634" s="66" t="s">
        <v>3397</v>
      </c>
      <c r="C1634" s="71" t="s">
        <v>203</v>
      </c>
      <c r="D1634" s="72" t="s">
        <v>3398</v>
      </c>
      <c r="E1634" s="72" t="s">
        <v>3399</v>
      </c>
    </row>
    <row r="1635" spans="1:5" ht="90" x14ac:dyDescent="0.2">
      <c r="A1635" s="65" t="s">
        <v>3400</v>
      </c>
      <c r="B1635" s="66" t="s">
        <v>3401</v>
      </c>
      <c r="C1635" s="67" t="s">
        <v>203</v>
      </c>
      <c r="D1635" s="69" t="s">
        <v>3402</v>
      </c>
      <c r="E1635" s="69" t="s">
        <v>3403</v>
      </c>
    </row>
    <row r="1636" spans="1:5" ht="67.5" x14ac:dyDescent="0.2">
      <c r="A1636" s="65" t="s">
        <v>3404</v>
      </c>
      <c r="B1636" s="66" t="s">
        <v>3405</v>
      </c>
      <c r="C1636" s="67" t="s">
        <v>203</v>
      </c>
      <c r="D1636" s="69" t="s">
        <v>3406</v>
      </c>
      <c r="E1636" s="69" t="s">
        <v>3407</v>
      </c>
    </row>
    <row r="1637" spans="1:5" ht="78.75" x14ac:dyDescent="0.2">
      <c r="A1637" s="65" t="s">
        <v>3408</v>
      </c>
      <c r="B1637" s="66" t="s">
        <v>3409</v>
      </c>
      <c r="C1637" s="67" t="s">
        <v>203</v>
      </c>
      <c r="D1637" s="69" t="s">
        <v>3410</v>
      </c>
      <c r="E1637" s="69" t="s">
        <v>3411</v>
      </c>
    </row>
    <row r="1638" spans="1:5" ht="22.5" x14ac:dyDescent="0.2">
      <c r="A1638" s="50">
        <v>30.03</v>
      </c>
      <c r="B1638" s="64" t="s">
        <v>3412</v>
      </c>
      <c r="C1638" s="47"/>
      <c r="D1638" s="47"/>
      <c r="E1638" s="47"/>
    </row>
    <row r="1639" spans="1:5" ht="90" x14ac:dyDescent="0.2">
      <c r="A1639" s="70" t="s">
        <v>3413</v>
      </c>
      <c r="B1639" s="65" t="s">
        <v>3414</v>
      </c>
      <c r="C1639" s="71" t="s">
        <v>203</v>
      </c>
      <c r="D1639" s="72" t="s">
        <v>3415</v>
      </c>
      <c r="E1639" s="72" t="s">
        <v>3416</v>
      </c>
    </row>
    <row r="1640" spans="1:5" ht="90" x14ac:dyDescent="0.2">
      <c r="A1640" s="70" t="s">
        <v>3417</v>
      </c>
      <c r="B1640" s="65" t="s">
        <v>3418</v>
      </c>
      <c r="C1640" s="71" t="s">
        <v>203</v>
      </c>
      <c r="D1640" s="72" t="s">
        <v>3419</v>
      </c>
      <c r="E1640" s="72" t="s">
        <v>3420</v>
      </c>
    </row>
    <row r="1641" spans="1:5" x14ac:dyDescent="0.2">
      <c r="A1641" s="50">
        <v>30.04</v>
      </c>
      <c r="B1641" s="64" t="s">
        <v>3421</v>
      </c>
      <c r="C1641" s="47"/>
      <c r="D1641" s="47"/>
      <c r="E1641" s="47"/>
    </row>
    <row r="1642" spans="1:5" ht="78.75" x14ac:dyDescent="0.2">
      <c r="A1642" s="70" t="s">
        <v>3422</v>
      </c>
      <c r="B1642" s="65" t="s">
        <v>3423</v>
      </c>
      <c r="C1642" s="71" t="s">
        <v>204</v>
      </c>
      <c r="D1642" s="72" t="s">
        <v>3424</v>
      </c>
      <c r="E1642" s="72" t="s">
        <v>3426</v>
      </c>
    </row>
    <row r="1643" spans="1:5" ht="67.5" x14ac:dyDescent="0.2">
      <c r="A1643" s="65" t="s">
        <v>3427</v>
      </c>
      <c r="B1643" s="66" t="s">
        <v>3428</v>
      </c>
      <c r="C1643" s="67" t="s">
        <v>204</v>
      </c>
      <c r="D1643" s="69" t="s">
        <v>3429</v>
      </c>
      <c r="E1643" s="69" t="s">
        <v>3430</v>
      </c>
    </row>
    <row r="1644" spans="1:5" ht="67.5" x14ac:dyDescent="0.2">
      <c r="A1644" s="65" t="s">
        <v>3431</v>
      </c>
      <c r="B1644" s="66" t="s">
        <v>3432</v>
      </c>
      <c r="C1644" s="67" t="s">
        <v>204</v>
      </c>
      <c r="D1644" s="69" t="s">
        <v>3433</v>
      </c>
      <c r="E1644" s="69" t="s">
        <v>3434</v>
      </c>
    </row>
    <row r="1645" spans="1:5" ht="90" x14ac:dyDescent="0.2">
      <c r="A1645" s="65" t="s">
        <v>3435</v>
      </c>
      <c r="B1645" s="66" t="s">
        <v>3436</v>
      </c>
      <c r="C1645" s="67" t="s">
        <v>203</v>
      </c>
      <c r="D1645" s="69" t="s">
        <v>3437</v>
      </c>
      <c r="E1645" s="69" t="s">
        <v>3438</v>
      </c>
    </row>
    <row r="1646" spans="1:5" ht="56.25" x14ac:dyDescent="0.2">
      <c r="A1646" s="65" t="s">
        <v>3439</v>
      </c>
      <c r="B1646" s="66" t="s">
        <v>3440</v>
      </c>
      <c r="C1646" s="67" t="s">
        <v>221</v>
      </c>
      <c r="D1646" s="69" t="s">
        <v>3441</v>
      </c>
      <c r="E1646" s="69" t="s">
        <v>3441</v>
      </c>
    </row>
    <row r="1647" spans="1:5" ht="90" x14ac:dyDescent="0.2">
      <c r="A1647" s="65" t="s">
        <v>3442</v>
      </c>
      <c r="B1647" s="66" t="s">
        <v>3443</v>
      </c>
      <c r="C1647" s="67" t="s">
        <v>204</v>
      </c>
      <c r="D1647" s="69" t="s">
        <v>270</v>
      </c>
      <c r="E1647" s="69" t="s">
        <v>3444</v>
      </c>
    </row>
    <row r="1648" spans="1:5" ht="56.25" x14ac:dyDescent="0.2">
      <c r="A1648" s="65" t="s">
        <v>3445</v>
      </c>
      <c r="B1648" s="66" t="s">
        <v>3446</v>
      </c>
      <c r="C1648" s="67" t="s">
        <v>203</v>
      </c>
      <c r="D1648" s="69" t="s">
        <v>205</v>
      </c>
      <c r="E1648" s="69" t="s">
        <v>3448</v>
      </c>
    </row>
    <row r="1649" spans="1:5" ht="78.75" x14ac:dyDescent="0.2">
      <c r="A1649" s="65" t="s">
        <v>3449</v>
      </c>
      <c r="B1649" s="66" t="s">
        <v>3450</v>
      </c>
      <c r="C1649" s="67" t="s">
        <v>204</v>
      </c>
      <c r="D1649" s="69" t="s">
        <v>3451</v>
      </c>
      <c r="E1649" s="69" t="s">
        <v>3452</v>
      </c>
    </row>
    <row r="1650" spans="1:5" ht="22.5" x14ac:dyDescent="0.2">
      <c r="A1650" s="50">
        <v>30.06</v>
      </c>
      <c r="B1650" s="64" t="s">
        <v>3453</v>
      </c>
      <c r="C1650" s="47"/>
      <c r="D1650" s="47"/>
      <c r="E1650" s="47"/>
    </row>
    <row r="1651" spans="1:5" ht="45" x14ac:dyDescent="0.2">
      <c r="A1651" s="65" t="s">
        <v>3454</v>
      </c>
      <c r="B1651" s="65" t="s">
        <v>3455</v>
      </c>
      <c r="C1651" s="67" t="s">
        <v>203</v>
      </c>
      <c r="D1651" s="69" t="s">
        <v>1110</v>
      </c>
      <c r="E1651" s="69" t="s">
        <v>348</v>
      </c>
    </row>
    <row r="1652" spans="1:5" ht="45" x14ac:dyDescent="0.2">
      <c r="A1652" s="65" t="s">
        <v>3456</v>
      </c>
      <c r="B1652" s="65" t="s">
        <v>3457</v>
      </c>
      <c r="C1652" s="67" t="s">
        <v>203</v>
      </c>
      <c r="D1652" s="69" t="s">
        <v>3458</v>
      </c>
      <c r="E1652" s="69" t="s">
        <v>3459</v>
      </c>
    </row>
    <row r="1653" spans="1:5" ht="45" x14ac:dyDescent="0.2">
      <c r="A1653" s="65" t="s">
        <v>3460</v>
      </c>
      <c r="B1653" s="65" t="s">
        <v>3461</v>
      </c>
      <c r="C1653" s="67" t="s">
        <v>203</v>
      </c>
      <c r="D1653" s="69" t="s">
        <v>3462</v>
      </c>
      <c r="E1653" s="69" t="s">
        <v>3463</v>
      </c>
    </row>
    <row r="1654" spans="1:5" ht="67.5" x14ac:dyDescent="0.2">
      <c r="A1654" s="65" t="s">
        <v>3464</v>
      </c>
      <c r="B1654" s="66" t="s">
        <v>3465</v>
      </c>
      <c r="C1654" s="67" t="s">
        <v>221</v>
      </c>
      <c r="D1654" s="69" t="s">
        <v>437</v>
      </c>
      <c r="E1654" s="69" t="s">
        <v>3466</v>
      </c>
    </row>
    <row r="1655" spans="1:5" ht="67.5" x14ac:dyDescent="0.2">
      <c r="A1655" s="65" t="s">
        <v>3467</v>
      </c>
      <c r="B1655" s="66" t="s">
        <v>3468</v>
      </c>
      <c r="C1655" s="67" t="s">
        <v>240</v>
      </c>
      <c r="D1655" s="69" t="s">
        <v>3469</v>
      </c>
      <c r="E1655" s="69" t="s">
        <v>3470</v>
      </c>
    </row>
    <row r="1656" spans="1:5" ht="78.75" x14ac:dyDescent="0.2">
      <c r="A1656" s="70" t="s">
        <v>3471</v>
      </c>
      <c r="B1656" s="65" t="s">
        <v>3472</v>
      </c>
      <c r="C1656" s="71" t="s">
        <v>240</v>
      </c>
      <c r="D1656" s="72" t="s">
        <v>3473</v>
      </c>
      <c r="E1656" s="72" t="s">
        <v>3474</v>
      </c>
    </row>
    <row r="1657" spans="1:5" ht="67.5" x14ac:dyDescent="0.2">
      <c r="A1657" s="65" t="s">
        <v>3475</v>
      </c>
      <c r="B1657" s="66" t="s">
        <v>3476</v>
      </c>
      <c r="C1657" s="67" t="s">
        <v>203</v>
      </c>
      <c r="D1657" s="69" t="s">
        <v>3477</v>
      </c>
      <c r="E1657" s="69" t="s">
        <v>3478</v>
      </c>
    </row>
    <row r="1658" spans="1:5" ht="78.75" x14ac:dyDescent="0.2">
      <c r="A1658" s="65" t="s">
        <v>3479</v>
      </c>
      <c r="B1658" s="66" t="s">
        <v>3480</v>
      </c>
      <c r="C1658" s="67" t="s">
        <v>203</v>
      </c>
      <c r="D1658" s="69" t="s">
        <v>432</v>
      </c>
      <c r="E1658" s="69" t="s">
        <v>3481</v>
      </c>
    </row>
    <row r="1659" spans="1:5" ht="45" x14ac:dyDescent="0.2">
      <c r="A1659" s="65" t="s">
        <v>3482</v>
      </c>
      <c r="B1659" s="65" t="s">
        <v>3483</v>
      </c>
      <c r="C1659" s="67" t="s">
        <v>203</v>
      </c>
      <c r="D1659" s="69" t="s">
        <v>3484</v>
      </c>
      <c r="E1659" s="69" t="s">
        <v>3486</v>
      </c>
    </row>
    <row r="1660" spans="1:5" ht="67.5" x14ac:dyDescent="0.2">
      <c r="A1660" s="65" t="s">
        <v>3487</v>
      </c>
      <c r="B1660" s="66" t="s">
        <v>3488</v>
      </c>
      <c r="C1660" s="67" t="s">
        <v>203</v>
      </c>
      <c r="D1660" s="69" t="s">
        <v>3489</v>
      </c>
      <c r="E1660" s="69" t="s">
        <v>3491</v>
      </c>
    </row>
    <row r="1661" spans="1:5" ht="78.75" x14ac:dyDescent="0.2">
      <c r="A1661" s="65" t="s">
        <v>3492</v>
      </c>
      <c r="B1661" s="66" t="s">
        <v>3493</v>
      </c>
      <c r="C1661" s="67" t="s">
        <v>203</v>
      </c>
      <c r="D1661" s="69" t="s">
        <v>3494</v>
      </c>
      <c r="E1661" s="69" t="s">
        <v>3495</v>
      </c>
    </row>
    <row r="1662" spans="1:5" ht="67.5" x14ac:dyDescent="0.2">
      <c r="A1662" s="65" t="s">
        <v>3496</v>
      </c>
      <c r="B1662" s="66" t="s">
        <v>3497</v>
      </c>
      <c r="C1662" s="67" t="s">
        <v>203</v>
      </c>
      <c r="D1662" s="69" t="s">
        <v>3498</v>
      </c>
      <c r="E1662" s="69" t="s">
        <v>3499</v>
      </c>
    </row>
    <row r="1663" spans="1:5" x14ac:dyDescent="0.2">
      <c r="A1663" s="50">
        <v>30.08</v>
      </c>
      <c r="B1663" s="64" t="s">
        <v>3500</v>
      </c>
      <c r="C1663" s="47"/>
      <c r="D1663" s="47"/>
      <c r="E1663" s="47"/>
    </row>
    <row r="1664" spans="1:5" ht="67.5" x14ac:dyDescent="0.2">
      <c r="A1664" s="65" t="s">
        <v>3501</v>
      </c>
      <c r="B1664" s="66" t="s">
        <v>3502</v>
      </c>
      <c r="C1664" s="67" t="s">
        <v>203</v>
      </c>
      <c r="D1664" s="69" t="s">
        <v>3503</v>
      </c>
      <c r="E1664" s="69" t="s">
        <v>3504</v>
      </c>
    </row>
    <row r="1665" spans="1:5" ht="56.25" x14ac:dyDescent="0.2">
      <c r="A1665" s="65" t="s">
        <v>3505</v>
      </c>
      <c r="B1665" s="66" t="s">
        <v>3506</v>
      </c>
      <c r="C1665" s="67" t="s">
        <v>203</v>
      </c>
      <c r="D1665" s="69" t="s">
        <v>3507</v>
      </c>
      <c r="E1665" s="69" t="s">
        <v>3508</v>
      </c>
    </row>
    <row r="1666" spans="1:5" ht="67.5" x14ac:dyDescent="0.2">
      <c r="A1666" s="65" t="s">
        <v>3509</v>
      </c>
      <c r="B1666" s="66" t="s">
        <v>3510</v>
      </c>
      <c r="C1666" s="67" t="s">
        <v>203</v>
      </c>
      <c r="D1666" s="69" t="s">
        <v>3511</v>
      </c>
      <c r="E1666" s="69" t="s">
        <v>3513</v>
      </c>
    </row>
    <row r="1667" spans="1:5" ht="67.5" x14ac:dyDescent="0.2">
      <c r="A1667" s="65" t="s">
        <v>3514</v>
      </c>
      <c r="B1667" s="66" t="s">
        <v>3515</v>
      </c>
      <c r="C1667" s="67" t="s">
        <v>203</v>
      </c>
      <c r="D1667" s="69" t="s">
        <v>3516</v>
      </c>
      <c r="E1667" s="69" t="s">
        <v>3518</v>
      </c>
    </row>
    <row r="1668" spans="1:5" ht="22.5" x14ac:dyDescent="0.2">
      <c r="A1668" s="50">
        <v>30.14</v>
      </c>
      <c r="B1668" s="64" t="s">
        <v>3519</v>
      </c>
      <c r="C1668" s="47"/>
      <c r="D1668" s="47"/>
      <c r="E1668" s="47"/>
    </row>
    <row r="1669" spans="1:5" ht="78.75" x14ac:dyDescent="0.2">
      <c r="A1669" s="70" t="s">
        <v>3520</v>
      </c>
      <c r="B1669" s="65" t="s">
        <v>3521</v>
      </c>
      <c r="C1669" s="71" t="s">
        <v>240</v>
      </c>
      <c r="D1669" s="72" t="s">
        <v>3522</v>
      </c>
      <c r="E1669" s="72" t="s">
        <v>3522</v>
      </c>
    </row>
    <row r="1670" spans="1:5" ht="78.75" x14ac:dyDescent="0.2">
      <c r="A1670" s="70" t="s">
        <v>3523</v>
      </c>
      <c r="B1670" s="65" t="s">
        <v>3524</v>
      </c>
      <c r="C1670" s="71" t="s">
        <v>240</v>
      </c>
      <c r="D1670" s="72" t="s">
        <v>3525</v>
      </c>
      <c r="E1670" s="72" t="s">
        <v>3525</v>
      </c>
    </row>
    <row r="1671" spans="1:5" ht="78.75" x14ac:dyDescent="0.2">
      <c r="A1671" s="65" t="s">
        <v>3526</v>
      </c>
      <c r="B1671" s="66" t="s">
        <v>3527</v>
      </c>
      <c r="C1671" s="67" t="s">
        <v>240</v>
      </c>
      <c r="D1671" s="69" t="s">
        <v>3528</v>
      </c>
      <c r="E1671" s="69" t="s">
        <v>3528</v>
      </c>
    </row>
    <row r="1672" spans="1:5" ht="90" x14ac:dyDescent="0.2">
      <c r="A1672" s="70" t="s">
        <v>3529</v>
      </c>
      <c r="B1672" s="65" t="s">
        <v>3530</v>
      </c>
      <c r="C1672" s="71" t="s">
        <v>240</v>
      </c>
      <c r="D1672" s="72" t="s">
        <v>3531</v>
      </c>
      <c r="E1672" s="72" t="s">
        <v>3531</v>
      </c>
    </row>
    <row r="1673" spans="1:5" ht="22.5" x14ac:dyDescent="0.2">
      <c r="A1673" s="49">
        <v>32</v>
      </c>
      <c r="B1673" s="64" t="s">
        <v>3532</v>
      </c>
      <c r="C1673" s="47"/>
      <c r="D1673" s="47"/>
      <c r="E1673" s="47"/>
    </row>
    <row r="1674" spans="1:5" ht="22.5" x14ac:dyDescent="0.2">
      <c r="A1674" s="50">
        <v>32.06</v>
      </c>
      <c r="B1674" s="64" t="s">
        <v>3533</v>
      </c>
      <c r="C1674" s="47"/>
      <c r="D1674" s="47"/>
      <c r="E1674" s="47"/>
    </row>
    <row r="1675" spans="1:5" ht="33.75" x14ac:dyDescent="0.2">
      <c r="A1675" s="65" t="s">
        <v>3534</v>
      </c>
      <c r="B1675" s="65" t="s">
        <v>3535</v>
      </c>
      <c r="C1675" s="67" t="s">
        <v>204</v>
      </c>
      <c r="D1675" s="69" t="s">
        <v>3536</v>
      </c>
      <c r="E1675" s="69" t="s">
        <v>3537</v>
      </c>
    </row>
    <row r="1676" spans="1:5" ht="33.75" x14ac:dyDescent="0.2">
      <c r="A1676" s="65" t="s">
        <v>3538</v>
      </c>
      <c r="B1676" s="65" t="s">
        <v>3539</v>
      </c>
      <c r="C1676" s="67" t="s">
        <v>204</v>
      </c>
      <c r="D1676" s="69" t="s">
        <v>3540</v>
      </c>
      <c r="E1676" s="69" t="s">
        <v>3541</v>
      </c>
    </row>
    <row r="1677" spans="1:5" x14ac:dyDescent="0.2">
      <c r="A1677" s="65" t="s">
        <v>3542</v>
      </c>
      <c r="B1677" s="65" t="s">
        <v>3543</v>
      </c>
      <c r="C1677" s="67" t="s">
        <v>228</v>
      </c>
      <c r="D1677" s="69" t="s">
        <v>3544</v>
      </c>
      <c r="E1677" s="69" t="s">
        <v>3546</v>
      </c>
    </row>
    <row r="1678" spans="1:5" ht="67.5" x14ac:dyDescent="0.2">
      <c r="A1678" s="65" t="s">
        <v>3547</v>
      </c>
      <c r="B1678" s="66" t="s">
        <v>3548</v>
      </c>
      <c r="C1678" s="67" t="s">
        <v>204</v>
      </c>
      <c r="D1678" s="69" t="s">
        <v>3549</v>
      </c>
      <c r="E1678" s="69" t="s">
        <v>3551</v>
      </c>
    </row>
    <row r="1679" spans="1:5" ht="78.75" x14ac:dyDescent="0.2">
      <c r="A1679" s="70" t="s">
        <v>3552</v>
      </c>
      <c r="B1679" s="65" t="s">
        <v>3553</v>
      </c>
      <c r="C1679" s="71" t="s">
        <v>204</v>
      </c>
      <c r="D1679" s="72" t="s">
        <v>3554</v>
      </c>
      <c r="E1679" s="72" t="s">
        <v>3556</v>
      </c>
    </row>
    <row r="1680" spans="1:5" ht="45" x14ac:dyDescent="0.2">
      <c r="A1680" s="65" t="s">
        <v>3557</v>
      </c>
      <c r="B1680" s="65" t="s">
        <v>3558</v>
      </c>
      <c r="C1680" s="67" t="s">
        <v>204</v>
      </c>
      <c r="D1680" s="69" t="s">
        <v>3559</v>
      </c>
      <c r="E1680" s="69" t="s">
        <v>3559</v>
      </c>
    </row>
    <row r="1681" spans="1:5" ht="67.5" x14ac:dyDescent="0.2">
      <c r="A1681" s="65" t="s">
        <v>3560</v>
      </c>
      <c r="B1681" s="66" t="s">
        <v>3561</v>
      </c>
      <c r="C1681" s="67" t="s">
        <v>204</v>
      </c>
      <c r="D1681" s="69" t="s">
        <v>3562</v>
      </c>
      <c r="E1681" s="69" t="s">
        <v>3562</v>
      </c>
    </row>
    <row r="1682" spans="1:5" ht="67.5" x14ac:dyDescent="0.2">
      <c r="A1682" s="65" t="s">
        <v>3563</v>
      </c>
      <c r="B1682" s="66" t="s">
        <v>3564</v>
      </c>
      <c r="C1682" s="67" t="s">
        <v>204</v>
      </c>
      <c r="D1682" s="69" t="s">
        <v>3565</v>
      </c>
      <c r="E1682" s="69" t="s">
        <v>3566</v>
      </c>
    </row>
    <row r="1683" spans="1:5" ht="78.75" x14ac:dyDescent="0.2">
      <c r="A1683" s="70" t="s">
        <v>3567</v>
      </c>
      <c r="B1683" s="65" t="s">
        <v>3568</v>
      </c>
      <c r="C1683" s="71" t="s">
        <v>204</v>
      </c>
      <c r="D1683" s="72" t="s">
        <v>3569</v>
      </c>
      <c r="E1683" s="72" t="s">
        <v>3569</v>
      </c>
    </row>
    <row r="1684" spans="1:5" x14ac:dyDescent="0.2">
      <c r="A1684" s="50">
        <v>32.07</v>
      </c>
      <c r="B1684" s="64" t="s">
        <v>3570</v>
      </c>
      <c r="C1684" s="47"/>
      <c r="D1684" s="47"/>
      <c r="E1684" s="47"/>
    </row>
    <row r="1685" spans="1:5" ht="22.5" x14ac:dyDescent="0.2">
      <c r="A1685" s="65" t="s">
        <v>3571</v>
      </c>
      <c r="B1685" s="65" t="s">
        <v>3572</v>
      </c>
      <c r="C1685" s="67" t="s">
        <v>221</v>
      </c>
      <c r="D1685" s="69" t="s">
        <v>372</v>
      </c>
      <c r="E1685" s="69" t="s">
        <v>3573</v>
      </c>
    </row>
    <row r="1686" spans="1:5" ht="22.5" x14ac:dyDescent="0.2">
      <c r="A1686" s="65" t="s">
        <v>3574</v>
      </c>
      <c r="B1686" s="65" t="s">
        <v>3575</v>
      </c>
      <c r="C1686" s="67" t="s">
        <v>221</v>
      </c>
      <c r="D1686" s="69" t="s">
        <v>3576</v>
      </c>
      <c r="E1686" s="69" t="s">
        <v>3577</v>
      </c>
    </row>
    <row r="1687" spans="1:5" ht="67.5" x14ac:dyDescent="0.2">
      <c r="A1687" s="65" t="s">
        <v>3578</v>
      </c>
      <c r="B1687" s="66" t="s">
        <v>3579</v>
      </c>
      <c r="C1687" s="67" t="s">
        <v>221</v>
      </c>
      <c r="D1687" s="69" t="s">
        <v>1692</v>
      </c>
      <c r="E1687" s="69" t="s">
        <v>3581</v>
      </c>
    </row>
    <row r="1688" spans="1:5" ht="33.75" x14ac:dyDescent="0.2">
      <c r="A1688" s="65" t="s">
        <v>3582</v>
      </c>
      <c r="B1688" s="65" t="s">
        <v>3583</v>
      </c>
      <c r="C1688" s="67" t="s">
        <v>3584</v>
      </c>
      <c r="D1688" s="69" t="s">
        <v>218</v>
      </c>
      <c r="E1688" s="69" t="s">
        <v>216</v>
      </c>
    </row>
    <row r="1689" spans="1:5" ht="33.75" x14ac:dyDescent="0.2">
      <c r="A1689" s="65" t="s">
        <v>3586</v>
      </c>
      <c r="B1689" s="65" t="s">
        <v>3587</v>
      </c>
      <c r="C1689" s="67" t="s">
        <v>221</v>
      </c>
      <c r="D1689" s="69" t="s">
        <v>3588</v>
      </c>
      <c r="E1689" s="69" t="s">
        <v>3589</v>
      </c>
    </row>
    <row r="1690" spans="1:5" ht="33.75" x14ac:dyDescent="0.2">
      <c r="A1690" s="65" t="s">
        <v>3590</v>
      </c>
      <c r="B1690" s="65" t="s">
        <v>3591</v>
      </c>
      <c r="C1690" s="67" t="s">
        <v>3584</v>
      </c>
      <c r="D1690" s="69" t="s">
        <v>3592</v>
      </c>
      <c r="E1690" s="69" t="s">
        <v>213</v>
      </c>
    </row>
    <row r="1691" spans="1:5" ht="90" x14ac:dyDescent="0.2">
      <c r="A1691" s="65" t="s">
        <v>3593</v>
      </c>
      <c r="B1691" s="66" t="s">
        <v>3594</v>
      </c>
      <c r="C1691" s="67" t="s">
        <v>221</v>
      </c>
      <c r="D1691" s="69" t="s">
        <v>3595</v>
      </c>
      <c r="E1691" s="69" t="s">
        <v>3596</v>
      </c>
    </row>
    <row r="1692" spans="1:5" ht="101.25" x14ac:dyDescent="0.2">
      <c r="A1692" s="70" t="s">
        <v>3597</v>
      </c>
      <c r="B1692" s="65" t="s">
        <v>3598</v>
      </c>
      <c r="C1692" s="71" t="s">
        <v>221</v>
      </c>
      <c r="D1692" s="72" t="s">
        <v>3599</v>
      </c>
      <c r="E1692" s="72" t="s">
        <v>3600</v>
      </c>
    </row>
    <row r="1693" spans="1:5" ht="112.5" x14ac:dyDescent="0.2">
      <c r="A1693" s="70" t="s">
        <v>3601</v>
      </c>
      <c r="B1693" s="66" t="s">
        <v>3602</v>
      </c>
      <c r="C1693" s="71" t="s">
        <v>221</v>
      </c>
      <c r="D1693" s="72" t="s">
        <v>3603</v>
      </c>
      <c r="E1693" s="72" t="s">
        <v>3604</v>
      </c>
    </row>
    <row r="1694" spans="1:5" ht="112.5" x14ac:dyDescent="0.2">
      <c r="A1694" s="70" t="s">
        <v>3605</v>
      </c>
      <c r="B1694" s="66" t="s">
        <v>3606</v>
      </c>
      <c r="C1694" s="71" t="s">
        <v>221</v>
      </c>
      <c r="D1694" s="72" t="s">
        <v>3607</v>
      </c>
      <c r="E1694" s="72" t="s">
        <v>3608</v>
      </c>
    </row>
    <row r="1695" spans="1:5" ht="22.5" x14ac:dyDescent="0.2">
      <c r="A1695" s="50">
        <v>32.08</v>
      </c>
      <c r="B1695" s="64" t="s">
        <v>3609</v>
      </c>
      <c r="C1695" s="47"/>
      <c r="D1695" s="47"/>
      <c r="E1695" s="47"/>
    </row>
    <row r="1696" spans="1:5" ht="56.25" x14ac:dyDescent="0.2">
      <c r="A1696" s="65" t="s">
        <v>3610</v>
      </c>
      <c r="B1696" s="66" t="s">
        <v>3611</v>
      </c>
      <c r="C1696" s="67" t="s">
        <v>204</v>
      </c>
      <c r="D1696" s="69" t="s">
        <v>3612</v>
      </c>
      <c r="E1696" s="69" t="s">
        <v>3613</v>
      </c>
    </row>
    <row r="1697" spans="1:5" ht="56.25" x14ac:dyDescent="0.2">
      <c r="A1697" s="65" t="s">
        <v>3614</v>
      </c>
      <c r="B1697" s="66" t="s">
        <v>3615</v>
      </c>
      <c r="C1697" s="67" t="s">
        <v>204</v>
      </c>
      <c r="D1697" s="69" t="s">
        <v>3616</v>
      </c>
      <c r="E1697" s="69" t="s">
        <v>3617</v>
      </c>
    </row>
    <row r="1698" spans="1:5" ht="45" x14ac:dyDescent="0.2">
      <c r="A1698" s="65" t="s">
        <v>3618</v>
      </c>
      <c r="B1698" s="65" t="s">
        <v>3619</v>
      </c>
      <c r="C1698" s="67" t="s">
        <v>221</v>
      </c>
      <c r="D1698" s="69" t="s">
        <v>3517</v>
      </c>
      <c r="E1698" s="69" t="s">
        <v>3621</v>
      </c>
    </row>
    <row r="1699" spans="1:5" ht="45" x14ac:dyDescent="0.2">
      <c r="A1699" s="65" t="s">
        <v>3622</v>
      </c>
      <c r="B1699" s="65" t="s">
        <v>3623</v>
      </c>
      <c r="C1699" s="67" t="s">
        <v>221</v>
      </c>
      <c r="D1699" s="69" t="s">
        <v>3624</v>
      </c>
      <c r="E1699" s="69" t="s">
        <v>3625</v>
      </c>
    </row>
    <row r="1700" spans="1:5" ht="78.75" x14ac:dyDescent="0.2">
      <c r="A1700" s="65" t="s">
        <v>3626</v>
      </c>
      <c r="B1700" s="66" t="s">
        <v>3627</v>
      </c>
      <c r="C1700" s="67" t="s">
        <v>221</v>
      </c>
      <c r="D1700" s="69" t="s">
        <v>3628</v>
      </c>
      <c r="E1700" s="69" t="s">
        <v>3628</v>
      </c>
    </row>
    <row r="1701" spans="1:5" ht="78.75" x14ac:dyDescent="0.2">
      <c r="A1701" s="65" t="s">
        <v>3629</v>
      </c>
      <c r="B1701" s="66" t="s">
        <v>3630</v>
      </c>
      <c r="C1701" s="67" t="s">
        <v>221</v>
      </c>
      <c r="D1701" s="69" t="s">
        <v>3631</v>
      </c>
      <c r="E1701" s="69" t="s">
        <v>3631</v>
      </c>
    </row>
    <row r="1702" spans="1:5" ht="78.75" x14ac:dyDescent="0.2">
      <c r="A1702" s="65" t="s">
        <v>3632</v>
      </c>
      <c r="B1702" s="66" t="s">
        <v>3633</v>
      </c>
      <c r="C1702" s="67" t="s">
        <v>221</v>
      </c>
      <c r="D1702" s="69" t="s">
        <v>3634</v>
      </c>
      <c r="E1702" s="69" t="s">
        <v>3635</v>
      </c>
    </row>
    <row r="1703" spans="1:5" ht="78.75" x14ac:dyDescent="0.2">
      <c r="A1703" s="65" t="s">
        <v>3636</v>
      </c>
      <c r="B1703" s="66" t="s">
        <v>3637</v>
      </c>
      <c r="C1703" s="67" t="s">
        <v>221</v>
      </c>
      <c r="D1703" s="69" t="s">
        <v>3638</v>
      </c>
      <c r="E1703" s="69" t="s">
        <v>3639</v>
      </c>
    </row>
    <row r="1704" spans="1:5" ht="33.75" x14ac:dyDescent="0.2">
      <c r="A1704" s="65" t="s">
        <v>3640</v>
      </c>
      <c r="B1704" s="65" t="s">
        <v>3641</v>
      </c>
      <c r="C1704" s="67" t="s">
        <v>221</v>
      </c>
      <c r="D1704" s="69" t="s">
        <v>3642</v>
      </c>
      <c r="E1704" s="69" t="s">
        <v>3642</v>
      </c>
    </row>
    <row r="1705" spans="1:5" x14ac:dyDescent="0.2">
      <c r="A1705" s="50">
        <v>32.090000000000003</v>
      </c>
      <c r="B1705" s="64" t="s">
        <v>3643</v>
      </c>
      <c r="C1705" s="47"/>
      <c r="D1705" s="47"/>
      <c r="E1705" s="47"/>
    </row>
    <row r="1706" spans="1:5" ht="22.5" x14ac:dyDescent="0.2">
      <c r="A1706" s="65" t="s">
        <v>3644</v>
      </c>
      <c r="B1706" s="65" t="s">
        <v>3645</v>
      </c>
      <c r="C1706" s="67" t="s">
        <v>300</v>
      </c>
      <c r="D1706" s="69" t="s">
        <v>3646</v>
      </c>
      <c r="E1706" s="69" t="s">
        <v>3647</v>
      </c>
    </row>
    <row r="1707" spans="1:5" ht="22.5" x14ac:dyDescent="0.2">
      <c r="A1707" s="65" t="s">
        <v>3648</v>
      </c>
      <c r="B1707" s="65" t="s">
        <v>3649</v>
      </c>
      <c r="C1707" s="67" t="s">
        <v>3650</v>
      </c>
      <c r="D1707" s="69" t="s">
        <v>3651</v>
      </c>
      <c r="E1707" s="69" t="s">
        <v>3652</v>
      </c>
    </row>
    <row r="1708" spans="1:5" ht="33.75" x14ac:dyDescent="0.2">
      <c r="A1708" s="50">
        <v>32.1</v>
      </c>
      <c r="B1708" s="64" t="s">
        <v>3653</v>
      </c>
      <c r="C1708" s="47"/>
      <c r="D1708" s="47"/>
      <c r="E1708" s="47"/>
    </row>
    <row r="1709" spans="1:5" ht="78.75" x14ac:dyDescent="0.2">
      <c r="A1709" s="65" t="s">
        <v>3654</v>
      </c>
      <c r="B1709" s="66" t="s">
        <v>3655</v>
      </c>
      <c r="C1709" s="67" t="s">
        <v>221</v>
      </c>
      <c r="D1709" s="69" t="s">
        <v>3040</v>
      </c>
      <c r="E1709" s="69" t="s">
        <v>3656</v>
      </c>
    </row>
    <row r="1710" spans="1:5" ht="78.75" x14ac:dyDescent="0.2">
      <c r="A1710" s="65" t="s">
        <v>3657</v>
      </c>
      <c r="B1710" s="66" t="s">
        <v>3658</v>
      </c>
      <c r="C1710" s="67" t="s">
        <v>221</v>
      </c>
      <c r="D1710" s="69" t="s">
        <v>3659</v>
      </c>
      <c r="E1710" s="69" t="s">
        <v>3661</v>
      </c>
    </row>
    <row r="1711" spans="1:5" ht="78.75" x14ac:dyDescent="0.2">
      <c r="A1711" s="65" t="s">
        <v>3662</v>
      </c>
      <c r="B1711" s="66" t="s">
        <v>3663</v>
      </c>
      <c r="C1711" s="67" t="s">
        <v>221</v>
      </c>
      <c r="D1711" s="69" t="s">
        <v>3664</v>
      </c>
      <c r="E1711" s="69" t="s">
        <v>3666</v>
      </c>
    </row>
    <row r="1712" spans="1:5" ht="78.75" x14ac:dyDescent="0.2">
      <c r="A1712" s="65" t="s">
        <v>3667</v>
      </c>
      <c r="B1712" s="66" t="s">
        <v>3668</v>
      </c>
      <c r="C1712" s="67" t="s">
        <v>221</v>
      </c>
      <c r="D1712" s="69" t="s">
        <v>3669</v>
      </c>
      <c r="E1712" s="69" t="s">
        <v>1888</v>
      </c>
    </row>
    <row r="1713" spans="1:5" ht="78.75" x14ac:dyDescent="0.2">
      <c r="A1713" s="65" t="s">
        <v>3671</v>
      </c>
      <c r="B1713" s="66" t="s">
        <v>3672</v>
      </c>
      <c r="C1713" s="67" t="s">
        <v>221</v>
      </c>
      <c r="D1713" s="69" t="s">
        <v>3673</v>
      </c>
      <c r="E1713" s="69" t="s">
        <v>3675</v>
      </c>
    </row>
    <row r="1714" spans="1:5" ht="67.5" x14ac:dyDescent="0.2">
      <c r="A1714" s="65" t="s">
        <v>3676</v>
      </c>
      <c r="B1714" s="66" t="s">
        <v>3677</v>
      </c>
      <c r="C1714" s="67" t="s">
        <v>221</v>
      </c>
      <c r="D1714" s="69" t="s">
        <v>3678</v>
      </c>
      <c r="E1714" s="69" t="s">
        <v>3679</v>
      </c>
    </row>
    <row r="1715" spans="1:5" ht="67.5" x14ac:dyDescent="0.2">
      <c r="A1715" s="65" t="s">
        <v>3680</v>
      </c>
      <c r="B1715" s="66" t="s">
        <v>3681</v>
      </c>
      <c r="C1715" s="67" t="s">
        <v>221</v>
      </c>
      <c r="D1715" s="69" t="s">
        <v>3682</v>
      </c>
      <c r="E1715" s="69" t="s">
        <v>3684</v>
      </c>
    </row>
    <row r="1716" spans="1:5" ht="67.5" x14ac:dyDescent="0.2">
      <c r="A1716" s="65" t="s">
        <v>3685</v>
      </c>
      <c r="B1716" s="66" t="s">
        <v>3686</v>
      </c>
      <c r="C1716" s="67" t="s">
        <v>221</v>
      </c>
      <c r="D1716" s="69" t="s">
        <v>3687</v>
      </c>
      <c r="E1716" s="69" t="s">
        <v>3688</v>
      </c>
    </row>
    <row r="1717" spans="1:5" ht="22.5" x14ac:dyDescent="0.2">
      <c r="A1717" s="50">
        <v>32.11</v>
      </c>
      <c r="B1717" s="64" t="s">
        <v>3689</v>
      </c>
      <c r="C1717" s="47"/>
      <c r="D1717" s="47"/>
      <c r="E1717" s="47"/>
    </row>
    <row r="1718" spans="1:5" ht="33.75" x14ac:dyDescent="0.2">
      <c r="A1718" s="65" t="s">
        <v>3690</v>
      </c>
      <c r="B1718" s="65" t="s">
        <v>3691</v>
      </c>
      <c r="C1718" s="67" t="s">
        <v>204</v>
      </c>
      <c r="D1718" s="69" t="s">
        <v>3692</v>
      </c>
      <c r="E1718" s="69" t="s">
        <v>3693</v>
      </c>
    </row>
    <row r="1719" spans="1:5" ht="78.75" x14ac:dyDescent="0.2">
      <c r="A1719" s="65" t="s">
        <v>3694</v>
      </c>
      <c r="B1719" s="66" t="s">
        <v>3695</v>
      </c>
      <c r="C1719" s="67" t="s">
        <v>221</v>
      </c>
      <c r="D1719" s="69" t="s">
        <v>3696</v>
      </c>
      <c r="E1719" s="69" t="s">
        <v>290</v>
      </c>
    </row>
    <row r="1720" spans="1:5" ht="78.75" x14ac:dyDescent="0.2">
      <c r="A1720" s="65" t="s">
        <v>3697</v>
      </c>
      <c r="B1720" s="66" t="s">
        <v>3698</v>
      </c>
      <c r="C1720" s="67" t="s">
        <v>221</v>
      </c>
      <c r="D1720" s="69" t="s">
        <v>243</v>
      </c>
      <c r="E1720" s="69" t="s">
        <v>3699</v>
      </c>
    </row>
    <row r="1721" spans="1:5" ht="78.75" x14ac:dyDescent="0.2">
      <c r="A1721" s="65" t="s">
        <v>3700</v>
      </c>
      <c r="B1721" s="66" t="s">
        <v>3701</v>
      </c>
      <c r="C1721" s="67" t="s">
        <v>221</v>
      </c>
      <c r="D1721" s="69" t="s">
        <v>3702</v>
      </c>
      <c r="E1721" s="69" t="s">
        <v>3703</v>
      </c>
    </row>
    <row r="1722" spans="1:5" ht="78.75" x14ac:dyDescent="0.2">
      <c r="A1722" s="65" t="s">
        <v>3704</v>
      </c>
      <c r="B1722" s="66" t="s">
        <v>3705</v>
      </c>
      <c r="C1722" s="67" t="s">
        <v>221</v>
      </c>
      <c r="D1722" s="69" t="s">
        <v>376</v>
      </c>
      <c r="E1722" s="69" t="s">
        <v>3706</v>
      </c>
    </row>
    <row r="1723" spans="1:5" ht="78.75" x14ac:dyDescent="0.2">
      <c r="A1723" s="65" t="s">
        <v>3707</v>
      </c>
      <c r="B1723" s="66" t="s">
        <v>3708</v>
      </c>
      <c r="C1723" s="67" t="s">
        <v>221</v>
      </c>
      <c r="D1723" s="69" t="s">
        <v>3709</v>
      </c>
      <c r="E1723" s="69" t="s">
        <v>3710</v>
      </c>
    </row>
    <row r="1724" spans="1:5" ht="78.75" x14ac:dyDescent="0.2">
      <c r="A1724" s="65" t="s">
        <v>3711</v>
      </c>
      <c r="B1724" s="66" t="s">
        <v>3712</v>
      </c>
      <c r="C1724" s="67" t="s">
        <v>221</v>
      </c>
      <c r="D1724" s="69" t="s">
        <v>3713</v>
      </c>
      <c r="E1724" s="69" t="s">
        <v>3714</v>
      </c>
    </row>
    <row r="1725" spans="1:5" ht="78.75" x14ac:dyDescent="0.2">
      <c r="A1725" s="65" t="s">
        <v>3715</v>
      </c>
      <c r="B1725" s="66" t="s">
        <v>3716</v>
      </c>
      <c r="C1725" s="67" t="s">
        <v>221</v>
      </c>
      <c r="D1725" s="69" t="s">
        <v>241</v>
      </c>
      <c r="E1725" s="69" t="s">
        <v>3717</v>
      </c>
    </row>
    <row r="1726" spans="1:5" ht="78.75" x14ac:dyDescent="0.2">
      <c r="A1726" s="65" t="s">
        <v>3718</v>
      </c>
      <c r="B1726" s="66" t="s">
        <v>3719</v>
      </c>
      <c r="C1726" s="67" t="s">
        <v>221</v>
      </c>
      <c r="D1726" s="69" t="s">
        <v>3720</v>
      </c>
      <c r="E1726" s="69" t="s">
        <v>3721</v>
      </c>
    </row>
    <row r="1727" spans="1:5" ht="90" x14ac:dyDescent="0.2">
      <c r="A1727" s="65" t="s">
        <v>3722</v>
      </c>
      <c r="B1727" s="66" t="s">
        <v>3723</v>
      </c>
      <c r="C1727" s="67" t="s">
        <v>221</v>
      </c>
      <c r="D1727" s="69" t="s">
        <v>330</v>
      </c>
      <c r="E1727" s="69" t="s">
        <v>3724</v>
      </c>
    </row>
    <row r="1728" spans="1:5" ht="78.75" x14ac:dyDescent="0.2">
      <c r="A1728" s="65" t="s">
        <v>3725</v>
      </c>
      <c r="B1728" s="66" t="s">
        <v>3726</v>
      </c>
      <c r="C1728" s="67" t="s">
        <v>221</v>
      </c>
      <c r="D1728" s="69" t="s">
        <v>3727</v>
      </c>
      <c r="E1728" s="69" t="s">
        <v>3728</v>
      </c>
    </row>
    <row r="1729" spans="1:5" ht="90" x14ac:dyDescent="0.2">
      <c r="A1729" s="65" t="s">
        <v>3729</v>
      </c>
      <c r="B1729" s="66" t="s">
        <v>3730</v>
      </c>
      <c r="C1729" s="67" t="s">
        <v>221</v>
      </c>
      <c r="D1729" s="69" t="s">
        <v>3731</v>
      </c>
      <c r="E1729" s="69" t="s">
        <v>3732</v>
      </c>
    </row>
    <row r="1730" spans="1:5" ht="90" x14ac:dyDescent="0.2">
      <c r="A1730" s="65" t="s">
        <v>3733</v>
      </c>
      <c r="B1730" s="66" t="s">
        <v>3734</v>
      </c>
      <c r="C1730" s="67" t="s">
        <v>221</v>
      </c>
      <c r="D1730" s="69" t="s">
        <v>3735</v>
      </c>
      <c r="E1730" s="69" t="s">
        <v>3736</v>
      </c>
    </row>
    <row r="1731" spans="1:5" ht="90" x14ac:dyDescent="0.2">
      <c r="A1731" s="65" t="s">
        <v>3737</v>
      </c>
      <c r="B1731" s="66" t="s">
        <v>3738</v>
      </c>
      <c r="C1731" s="67" t="s">
        <v>221</v>
      </c>
      <c r="D1731" s="69" t="s">
        <v>397</v>
      </c>
      <c r="E1731" s="69" t="s">
        <v>3739</v>
      </c>
    </row>
    <row r="1732" spans="1:5" ht="90" x14ac:dyDescent="0.2">
      <c r="A1732" s="65" t="s">
        <v>3740</v>
      </c>
      <c r="B1732" s="66" t="s">
        <v>3741</v>
      </c>
      <c r="C1732" s="67" t="s">
        <v>221</v>
      </c>
      <c r="D1732" s="69" t="s">
        <v>3742</v>
      </c>
      <c r="E1732" s="69" t="s">
        <v>3743</v>
      </c>
    </row>
    <row r="1733" spans="1:5" ht="78.75" x14ac:dyDescent="0.2">
      <c r="A1733" s="65" t="s">
        <v>3744</v>
      </c>
      <c r="B1733" s="66" t="s">
        <v>3745</v>
      </c>
      <c r="C1733" s="67" t="s">
        <v>221</v>
      </c>
      <c r="D1733" s="69" t="s">
        <v>3746</v>
      </c>
      <c r="E1733" s="69" t="s">
        <v>537</v>
      </c>
    </row>
    <row r="1734" spans="1:5" ht="78.75" x14ac:dyDescent="0.2">
      <c r="A1734" s="65" t="s">
        <v>3747</v>
      </c>
      <c r="B1734" s="66" t="s">
        <v>3748</v>
      </c>
      <c r="C1734" s="67" t="s">
        <v>221</v>
      </c>
      <c r="D1734" s="69" t="s">
        <v>3749</v>
      </c>
      <c r="E1734" s="69" t="s">
        <v>3750</v>
      </c>
    </row>
    <row r="1735" spans="1:5" ht="78.75" x14ac:dyDescent="0.2">
      <c r="A1735" s="65" t="s">
        <v>3751</v>
      </c>
      <c r="B1735" s="66" t="s">
        <v>3752</v>
      </c>
      <c r="C1735" s="67" t="s">
        <v>221</v>
      </c>
      <c r="D1735" s="69" t="s">
        <v>3753</v>
      </c>
      <c r="E1735" s="69" t="s">
        <v>3754</v>
      </c>
    </row>
    <row r="1736" spans="1:5" ht="90" x14ac:dyDescent="0.2">
      <c r="A1736" s="65" t="s">
        <v>3755</v>
      </c>
      <c r="B1736" s="66" t="s">
        <v>3756</v>
      </c>
      <c r="C1736" s="67" t="s">
        <v>221</v>
      </c>
      <c r="D1736" s="69" t="s">
        <v>3757</v>
      </c>
      <c r="E1736" s="69" t="s">
        <v>3758</v>
      </c>
    </row>
    <row r="1737" spans="1:5" ht="78.75" x14ac:dyDescent="0.2">
      <c r="A1737" s="65" t="s">
        <v>3759</v>
      </c>
      <c r="B1737" s="66" t="s">
        <v>3760</v>
      </c>
      <c r="C1737" s="67" t="s">
        <v>221</v>
      </c>
      <c r="D1737" s="69" t="s">
        <v>3761</v>
      </c>
      <c r="E1737" s="69" t="s">
        <v>3762</v>
      </c>
    </row>
    <row r="1738" spans="1:5" ht="78.75" x14ac:dyDescent="0.2">
      <c r="A1738" s="65" t="s">
        <v>3763</v>
      </c>
      <c r="B1738" s="66" t="s">
        <v>3764</v>
      </c>
      <c r="C1738" s="67" t="s">
        <v>221</v>
      </c>
      <c r="D1738" s="69" t="s">
        <v>3765</v>
      </c>
      <c r="E1738" s="69" t="s">
        <v>3766</v>
      </c>
    </row>
    <row r="1739" spans="1:5" ht="78.75" x14ac:dyDescent="0.2">
      <c r="A1739" s="65" t="s">
        <v>3767</v>
      </c>
      <c r="B1739" s="66" t="s">
        <v>3768</v>
      </c>
      <c r="C1739" s="67" t="s">
        <v>221</v>
      </c>
      <c r="D1739" s="69" t="s">
        <v>3769</v>
      </c>
      <c r="E1739" s="69" t="s">
        <v>3770</v>
      </c>
    </row>
    <row r="1740" spans="1:5" ht="78.75" x14ac:dyDescent="0.2">
      <c r="A1740" s="65" t="s">
        <v>3771</v>
      </c>
      <c r="B1740" s="66" t="s">
        <v>3772</v>
      </c>
      <c r="C1740" s="67" t="s">
        <v>204</v>
      </c>
      <c r="D1740" s="69" t="s">
        <v>3773</v>
      </c>
      <c r="E1740" s="69" t="s">
        <v>3775</v>
      </c>
    </row>
    <row r="1741" spans="1:5" ht="90" x14ac:dyDescent="0.2">
      <c r="A1741" s="65" t="s">
        <v>3776</v>
      </c>
      <c r="B1741" s="66" t="s">
        <v>3777</v>
      </c>
      <c r="C1741" s="67" t="s">
        <v>221</v>
      </c>
      <c r="D1741" s="69" t="s">
        <v>3778</v>
      </c>
      <c r="E1741" s="69" t="s">
        <v>3779</v>
      </c>
    </row>
    <row r="1742" spans="1:5" ht="90" x14ac:dyDescent="0.2">
      <c r="A1742" s="65" t="s">
        <v>3780</v>
      </c>
      <c r="B1742" s="66" t="s">
        <v>3781</v>
      </c>
      <c r="C1742" s="67" t="s">
        <v>221</v>
      </c>
      <c r="D1742" s="69" t="s">
        <v>1111</v>
      </c>
      <c r="E1742" s="69" t="s">
        <v>3782</v>
      </c>
    </row>
    <row r="1743" spans="1:5" ht="22.5" x14ac:dyDescent="0.2">
      <c r="A1743" s="50">
        <v>32.15</v>
      </c>
      <c r="B1743" s="64" t="s">
        <v>3783</v>
      </c>
      <c r="C1743" s="47"/>
      <c r="D1743" s="47"/>
      <c r="E1743" s="47"/>
    </row>
    <row r="1744" spans="1:5" ht="56.25" x14ac:dyDescent="0.2">
      <c r="A1744" s="65" t="s">
        <v>3784</v>
      </c>
      <c r="B1744" s="66" t="s">
        <v>3785</v>
      </c>
      <c r="C1744" s="67" t="s">
        <v>204</v>
      </c>
      <c r="D1744" s="69" t="s">
        <v>3786</v>
      </c>
      <c r="E1744" s="69" t="s">
        <v>3787</v>
      </c>
    </row>
    <row r="1745" spans="1:5" ht="56.25" x14ac:dyDescent="0.2">
      <c r="A1745" s="65" t="s">
        <v>3788</v>
      </c>
      <c r="B1745" s="66" t="s">
        <v>3789</v>
      </c>
      <c r="C1745" s="67" t="s">
        <v>204</v>
      </c>
      <c r="D1745" s="69" t="s">
        <v>3790</v>
      </c>
      <c r="E1745" s="69" t="s">
        <v>3791</v>
      </c>
    </row>
    <row r="1746" spans="1:5" ht="78.75" x14ac:dyDescent="0.2">
      <c r="A1746" s="65" t="s">
        <v>3792</v>
      </c>
      <c r="B1746" s="66" t="s">
        <v>3793</v>
      </c>
      <c r="C1746" s="67" t="s">
        <v>204</v>
      </c>
      <c r="D1746" s="69" t="s">
        <v>3794</v>
      </c>
      <c r="E1746" s="69" t="s">
        <v>3796</v>
      </c>
    </row>
    <row r="1747" spans="1:5" ht="90" x14ac:dyDescent="0.2">
      <c r="A1747" s="70" t="s">
        <v>3797</v>
      </c>
      <c r="B1747" s="65" t="s">
        <v>3798</v>
      </c>
      <c r="C1747" s="71" t="s">
        <v>204</v>
      </c>
      <c r="D1747" s="72" t="s">
        <v>3799</v>
      </c>
      <c r="E1747" s="72" t="s">
        <v>3800</v>
      </c>
    </row>
    <row r="1748" spans="1:5" ht="56.25" x14ac:dyDescent="0.2">
      <c r="A1748" s="65" t="s">
        <v>3801</v>
      </c>
      <c r="B1748" s="66" t="s">
        <v>3802</v>
      </c>
      <c r="C1748" s="67" t="s">
        <v>204</v>
      </c>
      <c r="D1748" s="69" t="s">
        <v>435</v>
      </c>
      <c r="E1748" s="69" t="s">
        <v>435</v>
      </c>
    </row>
    <row r="1749" spans="1:5" ht="33.75" x14ac:dyDescent="0.2">
      <c r="A1749" s="50">
        <v>32.159999999999997</v>
      </c>
      <c r="B1749" s="64" t="s">
        <v>3803</v>
      </c>
      <c r="C1749" s="47"/>
      <c r="D1749" s="47"/>
      <c r="E1749" s="47"/>
    </row>
    <row r="1750" spans="1:5" ht="67.5" x14ac:dyDescent="0.2">
      <c r="A1750" s="65" t="s">
        <v>3804</v>
      </c>
      <c r="B1750" s="66" t="s">
        <v>3805</v>
      </c>
      <c r="C1750" s="67" t="s">
        <v>204</v>
      </c>
      <c r="D1750" s="69" t="s">
        <v>3555</v>
      </c>
      <c r="E1750" s="69" t="s">
        <v>3806</v>
      </c>
    </row>
    <row r="1751" spans="1:5" ht="67.5" x14ac:dyDescent="0.2">
      <c r="A1751" s="65" t="s">
        <v>3807</v>
      </c>
      <c r="B1751" s="66" t="s">
        <v>3808</v>
      </c>
      <c r="C1751" s="67" t="s">
        <v>204</v>
      </c>
      <c r="D1751" s="69" t="s">
        <v>3809</v>
      </c>
      <c r="E1751" s="69" t="s">
        <v>3810</v>
      </c>
    </row>
    <row r="1752" spans="1:5" ht="67.5" x14ac:dyDescent="0.2">
      <c r="A1752" s="65" t="s">
        <v>3811</v>
      </c>
      <c r="B1752" s="66" t="s">
        <v>3812</v>
      </c>
      <c r="C1752" s="67" t="s">
        <v>204</v>
      </c>
      <c r="D1752" s="69" t="s">
        <v>3813</v>
      </c>
      <c r="E1752" s="69" t="s">
        <v>3814</v>
      </c>
    </row>
    <row r="1753" spans="1:5" ht="78.75" x14ac:dyDescent="0.2">
      <c r="A1753" s="65" t="s">
        <v>3815</v>
      </c>
      <c r="B1753" s="66" t="s">
        <v>3816</v>
      </c>
      <c r="C1753" s="67" t="s">
        <v>204</v>
      </c>
      <c r="D1753" s="69" t="s">
        <v>418</v>
      </c>
      <c r="E1753" s="69" t="s">
        <v>3817</v>
      </c>
    </row>
    <row r="1754" spans="1:5" ht="56.25" x14ac:dyDescent="0.2">
      <c r="A1754" s="65" t="s">
        <v>3818</v>
      </c>
      <c r="B1754" s="66" t="s">
        <v>3819</v>
      </c>
      <c r="C1754" s="67" t="s">
        <v>204</v>
      </c>
      <c r="D1754" s="69" t="s">
        <v>3820</v>
      </c>
      <c r="E1754" s="69" t="s">
        <v>3821</v>
      </c>
    </row>
    <row r="1755" spans="1:5" ht="67.5" x14ac:dyDescent="0.2">
      <c r="A1755" s="65" t="s">
        <v>3822</v>
      </c>
      <c r="B1755" s="66" t="s">
        <v>3823</v>
      </c>
      <c r="C1755" s="67" t="s">
        <v>204</v>
      </c>
      <c r="D1755" s="69" t="s">
        <v>3824</v>
      </c>
      <c r="E1755" s="69" t="s">
        <v>3825</v>
      </c>
    </row>
    <row r="1756" spans="1:5" ht="78.75" x14ac:dyDescent="0.2">
      <c r="A1756" s="70" t="s">
        <v>3826</v>
      </c>
      <c r="B1756" s="65" t="s">
        <v>3827</v>
      </c>
      <c r="C1756" s="71" t="s">
        <v>204</v>
      </c>
      <c r="D1756" s="72" t="s">
        <v>3828</v>
      </c>
      <c r="E1756" s="72" t="s">
        <v>3830</v>
      </c>
    </row>
    <row r="1757" spans="1:5" ht="22.5" x14ac:dyDescent="0.2">
      <c r="A1757" s="50">
        <v>32.17</v>
      </c>
      <c r="B1757" s="64" t="s">
        <v>3831</v>
      </c>
      <c r="C1757" s="47"/>
      <c r="D1757" s="47"/>
      <c r="E1757" s="47"/>
    </row>
    <row r="1758" spans="1:5" ht="45" x14ac:dyDescent="0.2">
      <c r="A1758" s="65" t="s">
        <v>3832</v>
      </c>
      <c r="B1758" s="65" t="s">
        <v>3833</v>
      </c>
      <c r="C1758" s="67" t="s">
        <v>228</v>
      </c>
      <c r="D1758" s="69" t="s">
        <v>3834</v>
      </c>
      <c r="E1758" s="69" t="s">
        <v>3836</v>
      </c>
    </row>
    <row r="1759" spans="1:5" ht="56.25" x14ac:dyDescent="0.2">
      <c r="A1759" s="65" t="s">
        <v>3837</v>
      </c>
      <c r="B1759" s="66" t="s">
        <v>3838</v>
      </c>
      <c r="C1759" s="67" t="s">
        <v>228</v>
      </c>
      <c r="D1759" s="69" t="s">
        <v>3839</v>
      </c>
      <c r="E1759" s="69" t="s">
        <v>3839</v>
      </c>
    </row>
    <row r="1760" spans="1:5" ht="56.25" x14ac:dyDescent="0.2">
      <c r="A1760" s="65" t="s">
        <v>3840</v>
      </c>
      <c r="B1760" s="66" t="s">
        <v>3841</v>
      </c>
      <c r="C1760" s="67" t="s">
        <v>204</v>
      </c>
      <c r="D1760" s="69" t="s">
        <v>3842</v>
      </c>
      <c r="E1760" s="69" t="s">
        <v>367</v>
      </c>
    </row>
    <row r="1761" spans="1:5" ht="78.75" x14ac:dyDescent="0.2">
      <c r="A1761" s="65" t="s">
        <v>3844</v>
      </c>
      <c r="B1761" s="66" t="s">
        <v>3845</v>
      </c>
      <c r="C1761" s="67" t="s">
        <v>204</v>
      </c>
      <c r="D1761" s="69" t="s">
        <v>3846</v>
      </c>
      <c r="E1761" s="69" t="s">
        <v>3848</v>
      </c>
    </row>
    <row r="1762" spans="1:5" ht="67.5" x14ac:dyDescent="0.2">
      <c r="A1762" s="65" t="s">
        <v>3849</v>
      </c>
      <c r="B1762" s="66" t="s">
        <v>3850</v>
      </c>
      <c r="C1762" s="67" t="s">
        <v>204</v>
      </c>
      <c r="D1762" s="69" t="s">
        <v>3851</v>
      </c>
      <c r="E1762" s="69" t="s">
        <v>3852</v>
      </c>
    </row>
    <row r="1763" spans="1:5" ht="45" x14ac:dyDescent="0.2">
      <c r="A1763" s="50">
        <v>32.200000000000003</v>
      </c>
      <c r="B1763" s="64" t="s">
        <v>3853</v>
      </c>
      <c r="C1763" s="47"/>
      <c r="D1763" s="47"/>
      <c r="E1763" s="47"/>
    </row>
    <row r="1764" spans="1:5" ht="22.5" x14ac:dyDescent="0.2">
      <c r="A1764" s="65" t="s">
        <v>3854</v>
      </c>
      <c r="B1764" s="65" t="s">
        <v>3855</v>
      </c>
      <c r="C1764" s="67" t="s">
        <v>228</v>
      </c>
      <c r="D1764" s="73"/>
      <c r="E1764" s="69" t="s">
        <v>272</v>
      </c>
    </row>
    <row r="1765" spans="1:5" ht="22.5" x14ac:dyDescent="0.2">
      <c r="A1765" s="65" t="s">
        <v>3856</v>
      </c>
      <c r="B1765" s="65" t="s">
        <v>3857</v>
      </c>
      <c r="C1765" s="67" t="s">
        <v>204</v>
      </c>
      <c r="D1765" s="69" t="s">
        <v>3858</v>
      </c>
      <c r="E1765" s="69" t="s">
        <v>3859</v>
      </c>
    </row>
    <row r="1766" spans="1:5" ht="56.25" x14ac:dyDescent="0.2">
      <c r="A1766" s="65" t="s">
        <v>3860</v>
      </c>
      <c r="B1766" s="66" t="s">
        <v>3861</v>
      </c>
      <c r="C1766" s="67" t="s">
        <v>204</v>
      </c>
      <c r="D1766" s="69" t="s">
        <v>1237</v>
      </c>
      <c r="E1766" s="69" t="s">
        <v>3862</v>
      </c>
    </row>
    <row r="1767" spans="1:5" ht="56.25" x14ac:dyDescent="0.2">
      <c r="A1767" s="65" t="s">
        <v>3863</v>
      </c>
      <c r="B1767" s="66" t="s">
        <v>3864</v>
      </c>
      <c r="C1767" s="67" t="s">
        <v>204</v>
      </c>
      <c r="D1767" s="69" t="s">
        <v>3865</v>
      </c>
      <c r="E1767" s="69" t="s">
        <v>3866</v>
      </c>
    </row>
    <row r="1768" spans="1:5" x14ac:dyDescent="0.2">
      <c r="A1768" s="49">
        <v>33</v>
      </c>
      <c r="B1768" s="64" t="s">
        <v>3867</v>
      </c>
      <c r="C1768" s="47"/>
      <c r="D1768" s="47"/>
      <c r="E1768" s="47"/>
    </row>
    <row r="1769" spans="1:5" x14ac:dyDescent="0.2">
      <c r="A1769" s="50">
        <v>33.01</v>
      </c>
      <c r="B1769" s="64" t="s">
        <v>3868</v>
      </c>
      <c r="C1769" s="47"/>
      <c r="D1769" s="47"/>
      <c r="E1769" s="47"/>
    </row>
    <row r="1770" spans="1:5" ht="45" x14ac:dyDescent="0.2">
      <c r="A1770" s="65" t="s">
        <v>3869</v>
      </c>
      <c r="B1770" s="65" t="s">
        <v>3870</v>
      </c>
      <c r="C1770" s="67" t="s">
        <v>204</v>
      </c>
      <c r="D1770" s="69" t="s">
        <v>364</v>
      </c>
      <c r="E1770" s="69" t="s">
        <v>3692</v>
      </c>
    </row>
    <row r="1771" spans="1:5" ht="33.75" x14ac:dyDescent="0.2">
      <c r="A1771" s="65" t="s">
        <v>3872</v>
      </c>
      <c r="B1771" s="65" t="s">
        <v>3873</v>
      </c>
      <c r="C1771" s="67" t="s">
        <v>204</v>
      </c>
      <c r="D1771" s="69" t="s">
        <v>3874</v>
      </c>
      <c r="E1771" s="69" t="s">
        <v>3875</v>
      </c>
    </row>
    <row r="1772" spans="1:5" ht="22.5" x14ac:dyDescent="0.2">
      <c r="A1772" s="65" t="s">
        <v>3876</v>
      </c>
      <c r="B1772" s="65" t="s">
        <v>3877</v>
      </c>
      <c r="C1772" s="67" t="s">
        <v>204</v>
      </c>
      <c r="D1772" s="69" t="s">
        <v>3878</v>
      </c>
      <c r="E1772" s="69" t="s">
        <v>3879</v>
      </c>
    </row>
    <row r="1773" spans="1:5" ht="33.75" x14ac:dyDescent="0.2">
      <c r="A1773" s="65" t="s">
        <v>3880</v>
      </c>
      <c r="B1773" s="65" t="s">
        <v>3881</v>
      </c>
      <c r="C1773" s="67" t="s">
        <v>221</v>
      </c>
      <c r="D1773" s="69" t="s">
        <v>3882</v>
      </c>
      <c r="E1773" s="69" t="s">
        <v>3883</v>
      </c>
    </row>
    <row r="1774" spans="1:5" ht="45" x14ac:dyDescent="0.2">
      <c r="A1774" s="65" t="s">
        <v>3884</v>
      </c>
      <c r="B1774" s="65" t="s">
        <v>3885</v>
      </c>
      <c r="C1774" s="67" t="s">
        <v>204</v>
      </c>
      <c r="D1774" s="69" t="s">
        <v>3886</v>
      </c>
      <c r="E1774" s="69" t="s">
        <v>3888</v>
      </c>
    </row>
    <row r="1775" spans="1:5" x14ac:dyDescent="0.2">
      <c r="A1775" s="50">
        <v>33.020000000000003</v>
      </c>
      <c r="B1775" s="64" t="s">
        <v>3889</v>
      </c>
      <c r="C1775" s="47"/>
      <c r="D1775" s="47"/>
      <c r="E1775" s="47"/>
    </row>
    <row r="1776" spans="1:5" ht="22.5" x14ac:dyDescent="0.2">
      <c r="A1776" s="65" t="s">
        <v>3890</v>
      </c>
      <c r="B1776" s="65" t="s">
        <v>3891</v>
      </c>
      <c r="C1776" s="67" t="s">
        <v>204</v>
      </c>
      <c r="D1776" s="69" t="s">
        <v>295</v>
      </c>
      <c r="E1776" s="69" t="s">
        <v>1381</v>
      </c>
    </row>
    <row r="1777" spans="1:5" ht="22.5" x14ac:dyDescent="0.2">
      <c r="A1777" s="65" t="s">
        <v>3893</v>
      </c>
      <c r="B1777" s="65" t="s">
        <v>3894</v>
      </c>
      <c r="C1777" s="67" t="s">
        <v>204</v>
      </c>
      <c r="D1777" s="69" t="s">
        <v>227</v>
      </c>
      <c r="E1777" s="69" t="s">
        <v>383</v>
      </c>
    </row>
    <row r="1778" spans="1:5" ht="45" x14ac:dyDescent="0.2">
      <c r="A1778" s="50">
        <v>33.03</v>
      </c>
      <c r="B1778" s="64" t="s">
        <v>3895</v>
      </c>
      <c r="C1778" s="47"/>
      <c r="D1778" s="47"/>
      <c r="E1778" s="47"/>
    </row>
    <row r="1779" spans="1:5" ht="22.5" x14ac:dyDescent="0.2">
      <c r="A1779" s="65" t="s">
        <v>3896</v>
      </c>
      <c r="B1779" s="65" t="s">
        <v>3897</v>
      </c>
      <c r="C1779" s="67" t="s">
        <v>204</v>
      </c>
      <c r="D1779" s="69" t="s">
        <v>3898</v>
      </c>
      <c r="E1779" s="69" t="s">
        <v>3900</v>
      </c>
    </row>
    <row r="1780" spans="1:5" ht="33.75" x14ac:dyDescent="0.2">
      <c r="A1780" s="65" t="s">
        <v>3901</v>
      </c>
      <c r="B1780" s="65" t="s">
        <v>3902</v>
      </c>
      <c r="C1780" s="67" t="s">
        <v>204</v>
      </c>
      <c r="D1780" s="69" t="s">
        <v>288</v>
      </c>
      <c r="E1780" s="69" t="s">
        <v>3904</v>
      </c>
    </row>
    <row r="1781" spans="1:5" ht="22.5" x14ac:dyDescent="0.2">
      <c r="A1781" s="65" t="s">
        <v>3905</v>
      </c>
      <c r="B1781" s="65" t="s">
        <v>3906</v>
      </c>
      <c r="C1781" s="67" t="s">
        <v>204</v>
      </c>
      <c r="D1781" s="69" t="s">
        <v>394</v>
      </c>
      <c r="E1781" s="69" t="s">
        <v>3908</v>
      </c>
    </row>
    <row r="1782" spans="1:5" x14ac:dyDescent="0.2">
      <c r="A1782" s="65" t="s">
        <v>3909</v>
      </c>
      <c r="B1782" s="65" t="s">
        <v>3910</v>
      </c>
      <c r="C1782" s="67" t="s">
        <v>204</v>
      </c>
      <c r="D1782" s="69" t="s">
        <v>3911</v>
      </c>
      <c r="E1782" s="69" t="s">
        <v>3913</v>
      </c>
    </row>
    <row r="1783" spans="1:5" ht="67.5" x14ac:dyDescent="0.2">
      <c r="A1783" s="65" t="s">
        <v>3914</v>
      </c>
      <c r="B1783" s="66" t="s">
        <v>3915</v>
      </c>
      <c r="C1783" s="67" t="s">
        <v>204</v>
      </c>
      <c r="D1783" s="69" t="s">
        <v>3916</v>
      </c>
      <c r="E1783" s="69" t="s">
        <v>3918</v>
      </c>
    </row>
    <row r="1784" spans="1:5" ht="67.5" x14ac:dyDescent="0.2">
      <c r="A1784" s="65" t="s">
        <v>3919</v>
      </c>
      <c r="B1784" s="66" t="s">
        <v>3920</v>
      </c>
      <c r="C1784" s="67" t="s">
        <v>204</v>
      </c>
      <c r="D1784" s="69" t="s">
        <v>3921</v>
      </c>
      <c r="E1784" s="69" t="s">
        <v>3922</v>
      </c>
    </row>
    <row r="1785" spans="1:5" ht="22.5" x14ac:dyDescent="0.2">
      <c r="A1785" s="65" t="s">
        <v>3923</v>
      </c>
      <c r="B1785" s="65" t="s">
        <v>3924</v>
      </c>
      <c r="C1785" s="67" t="s">
        <v>204</v>
      </c>
      <c r="D1785" s="69" t="s">
        <v>3925</v>
      </c>
      <c r="E1785" s="69" t="s">
        <v>3926</v>
      </c>
    </row>
    <row r="1786" spans="1:5" ht="33.75" x14ac:dyDescent="0.2">
      <c r="A1786" s="50">
        <v>33.049999999999997</v>
      </c>
      <c r="B1786" s="64" t="s">
        <v>3927</v>
      </c>
      <c r="C1786" s="47"/>
      <c r="D1786" s="47"/>
      <c r="E1786" s="47"/>
    </row>
    <row r="1787" spans="1:5" ht="22.5" x14ac:dyDescent="0.2">
      <c r="A1787" s="65" t="s">
        <v>3928</v>
      </c>
      <c r="B1787" s="65" t="s">
        <v>3929</v>
      </c>
      <c r="C1787" s="67" t="s">
        <v>204</v>
      </c>
      <c r="D1787" s="69" t="s">
        <v>3930</v>
      </c>
      <c r="E1787" s="69" t="s">
        <v>3931</v>
      </c>
    </row>
    <row r="1788" spans="1:5" ht="45" x14ac:dyDescent="0.2">
      <c r="A1788" s="65" t="s">
        <v>3932</v>
      </c>
      <c r="B1788" s="65" t="s">
        <v>3933</v>
      </c>
      <c r="C1788" s="67" t="s">
        <v>221</v>
      </c>
      <c r="D1788" s="69" t="s">
        <v>3934</v>
      </c>
      <c r="E1788" s="69" t="s">
        <v>3936</v>
      </c>
    </row>
    <row r="1789" spans="1:5" ht="22.5" x14ac:dyDescent="0.2">
      <c r="A1789" s="65" t="s">
        <v>3937</v>
      </c>
      <c r="B1789" s="65" t="s">
        <v>3938</v>
      </c>
      <c r="C1789" s="67" t="s">
        <v>204</v>
      </c>
      <c r="D1789" s="69" t="s">
        <v>3939</v>
      </c>
      <c r="E1789" s="69" t="s">
        <v>3941</v>
      </c>
    </row>
    <row r="1790" spans="1:5" ht="45" x14ac:dyDescent="0.2">
      <c r="A1790" s="65" t="s">
        <v>3942</v>
      </c>
      <c r="B1790" s="65" t="s">
        <v>3943</v>
      </c>
      <c r="C1790" s="67" t="s">
        <v>221</v>
      </c>
      <c r="D1790" s="69" t="s">
        <v>3944</v>
      </c>
      <c r="E1790" s="69" t="s">
        <v>3945</v>
      </c>
    </row>
    <row r="1791" spans="1:5" x14ac:dyDescent="0.2">
      <c r="A1791" s="50">
        <v>33.06</v>
      </c>
      <c r="B1791" s="64" t="s">
        <v>3946</v>
      </c>
      <c r="C1791" s="47"/>
      <c r="D1791" s="47"/>
      <c r="E1791" s="47"/>
    </row>
    <row r="1792" spans="1:5" ht="22.5" x14ac:dyDescent="0.2">
      <c r="A1792" s="65" t="s">
        <v>3947</v>
      </c>
      <c r="B1792" s="65" t="s">
        <v>3948</v>
      </c>
      <c r="C1792" s="67" t="s">
        <v>204</v>
      </c>
      <c r="D1792" s="69" t="s">
        <v>3949</v>
      </c>
      <c r="E1792" s="69" t="s">
        <v>3950</v>
      </c>
    </row>
    <row r="1793" spans="1:5" ht="22.5" x14ac:dyDescent="0.2">
      <c r="A1793" s="50">
        <v>33.07</v>
      </c>
      <c r="B1793" s="64" t="s">
        <v>3951</v>
      </c>
      <c r="C1793" s="47"/>
      <c r="D1793" s="47"/>
      <c r="E1793" s="47"/>
    </row>
    <row r="1794" spans="1:5" ht="33.75" x14ac:dyDescent="0.2">
      <c r="A1794" s="65" t="s">
        <v>3952</v>
      </c>
      <c r="B1794" s="65" t="s">
        <v>3953</v>
      </c>
      <c r="C1794" s="67" t="s">
        <v>204</v>
      </c>
      <c r="D1794" s="69" t="s">
        <v>3954</v>
      </c>
      <c r="E1794" s="69" t="s">
        <v>3956</v>
      </c>
    </row>
    <row r="1795" spans="1:5" ht="33.75" x14ac:dyDescent="0.2">
      <c r="A1795" s="65" t="s">
        <v>3957</v>
      </c>
      <c r="B1795" s="65" t="s">
        <v>3958</v>
      </c>
      <c r="C1795" s="67" t="s">
        <v>300</v>
      </c>
      <c r="D1795" s="69" t="s">
        <v>1363</v>
      </c>
      <c r="E1795" s="69" t="s">
        <v>1363</v>
      </c>
    </row>
    <row r="1796" spans="1:5" ht="33.75" x14ac:dyDescent="0.2">
      <c r="A1796" s="65" t="s">
        <v>3959</v>
      </c>
      <c r="B1796" s="65" t="s">
        <v>3960</v>
      </c>
      <c r="C1796" s="67" t="s">
        <v>300</v>
      </c>
      <c r="D1796" s="69" t="s">
        <v>3961</v>
      </c>
      <c r="E1796" s="69" t="s">
        <v>3961</v>
      </c>
    </row>
    <row r="1797" spans="1:5" ht="112.5" x14ac:dyDescent="0.2">
      <c r="A1797" s="70" t="s">
        <v>3962</v>
      </c>
      <c r="B1797" s="66" t="s">
        <v>3963</v>
      </c>
      <c r="C1797" s="71" t="s">
        <v>204</v>
      </c>
      <c r="D1797" s="72" t="s">
        <v>3964</v>
      </c>
      <c r="E1797" s="72" t="s">
        <v>3966</v>
      </c>
    </row>
    <row r="1798" spans="1:5" ht="112.5" x14ac:dyDescent="0.2">
      <c r="A1798" s="70" t="s">
        <v>3967</v>
      </c>
      <c r="B1798" s="66" t="s">
        <v>3968</v>
      </c>
      <c r="C1798" s="71" t="s">
        <v>204</v>
      </c>
      <c r="D1798" s="72" t="s">
        <v>3969</v>
      </c>
      <c r="E1798" s="72" t="s">
        <v>3971</v>
      </c>
    </row>
    <row r="1799" spans="1:5" ht="22.5" x14ac:dyDescent="0.2">
      <c r="A1799" s="50">
        <v>33.090000000000003</v>
      </c>
      <c r="B1799" s="64" t="s">
        <v>3972</v>
      </c>
      <c r="C1799" s="47"/>
      <c r="D1799" s="47"/>
      <c r="E1799" s="47"/>
    </row>
    <row r="1800" spans="1:5" ht="33.75" x14ac:dyDescent="0.2">
      <c r="A1800" s="65" t="s">
        <v>3973</v>
      </c>
      <c r="B1800" s="65" t="s">
        <v>3974</v>
      </c>
      <c r="C1800" s="67" t="s">
        <v>221</v>
      </c>
      <c r="D1800" s="69" t="s">
        <v>357</v>
      </c>
      <c r="E1800" s="69" t="s">
        <v>399</v>
      </c>
    </row>
    <row r="1801" spans="1:5" ht="22.5" x14ac:dyDescent="0.2">
      <c r="A1801" s="65" t="s">
        <v>3976</v>
      </c>
      <c r="B1801" s="65" t="s">
        <v>3977</v>
      </c>
      <c r="C1801" s="67" t="s">
        <v>221</v>
      </c>
      <c r="D1801" s="69" t="s">
        <v>206</v>
      </c>
      <c r="E1801" s="69" t="s">
        <v>3979</v>
      </c>
    </row>
    <row r="1802" spans="1:5" ht="56.25" x14ac:dyDescent="0.2">
      <c r="A1802" s="50">
        <v>33.1</v>
      </c>
      <c r="B1802" s="64" t="s">
        <v>3980</v>
      </c>
      <c r="C1802" s="48"/>
      <c r="D1802" s="48"/>
      <c r="E1802" s="48"/>
    </row>
    <row r="1803" spans="1:5" ht="33.75" x14ac:dyDescent="0.2">
      <c r="A1803" s="65" t="s">
        <v>3981</v>
      </c>
      <c r="B1803" s="65" t="s">
        <v>3982</v>
      </c>
      <c r="C1803" s="67" t="s">
        <v>204</v>
      </c>
      <c r="D1803" s="69" t="s">
        <v>3983</v>
      </c>
      <c r="E1803" s="69" t="s">
        <v>3984</v>
      </c>
    </row>
    <row r="1804" spans="1:5" ht="33.75" x14ac:dyDescent="0.2">
      <c r="A1804" s="65" t="s">
        <v>3985</v>
      </c>
      <c r="B1804" s="65" t="s">
        <v>3986</v>
      </c>
      <c r="C1804" s="67" t="s">
        <v>204</v>
      </c>
      <c r="D1804" s="69" t="s">
        <v>368</v>
      </c>
      <c r="E1804" s="69" t="s">
        <v>3987</v>
      </c>
    </row>
    <row r="1805" spans="1:5" ht="33.75" x14ac:dyDescent="0.2">
      <c r="A1805" s="65" t="s">
        <v>3988</v>
      </c>
      <c r="B1805" s="65" t="s">
        <v>3989</v>
      </c>
      <c r="C1805" s="67" t="s">
        <v>204</v>
      </c>
      <c r="D1805" s="69" t="s">
        <v>3990</v>
      </c>
      <c r="E1805" s="69" t="s">
        <v>3991</v>
      </c>
    </row>
    <row r="1806" spans="1:5" ht="33.75" x14ac:dyDescent="0.2">
      <c r="A1806" s="65" t="s">
        <v>3992</v>
      </c>
      <c r="B1806" s="65" t="s">
        <v>3993</v>
      </c>
      <c r="C1806" s="67" t="s">
        <v>204</v>
      </c>
      <c r="D1806" s="69" t="s">
        <v>3994</v>
      </c>
      <c r="E1806" s="69" t="s">
        <v>3995</v>
      </c>
    </row>
    <row r="1807" spans="1:5" ht="33.75" x14ac:dyDescent="0.2">
      <c r="A1807" s="65" t="s">
        <v>3996</v>
      </c>
      <c r="B1807" s="65" t="s">
        <v>3997</v>
      </c>
      <c r="C1807" s="67" t="s">
        <v>204</v>
      </c>
      <c r="D1807" s="69" t="s">
        <v>1206</v>
      </c>
      <c r="E1807" s="69" t="s">
        <v>3998</v>
      </c>
    </row>
    <row r="1808" spans="1:5" ht="22.5" x14ac:dyDescent="0.2">
      <c r="A1808" s="65" t="s">
        <v>3999</v>
      </c>
      <c r="B1808" s="65" t="s">
        <v>4000</v>
      </c>
      <c r="C1808" s="67" t="s">
        <v>204</v>
      </c>
      <c r="D1808" s="69" t="s">
        <v>4001</v>
      </c>
      <c r="E1808" s="69" t="s">
        <v>4003</v>
      </c>
    </row>
    <row r="1809" spans="1:5" ht="33.75" x14ac:dyDescent="0.2">
      <c r="A1809" s="65" t="s">
        <v>4004</v>
      </c>
      <c r="B1809" s="65" t="s">
        <v>4005</v>
      </c>
      <c r="C1809" s="67" t="s">
        <v>204</v>
      </c>
      <c r="D1809" s="69" t="s">
        <v>4006</v>
      </c>
      <c r="E1809" s="69" t="s">
        <v>4007</v>
      </c>
    </row>
    <row r="1810" spans="1:5" ht="45" x14ac:dyDescent="0.2">
      <c r="A1810" s="65" t="s">
        <v>4008</v>
      </c>
      <c r="B1810" s="65" t="s">
        <v>4009</v>
      </c>
      <c r="C1810" s="67" t="s">
        <v>204</v>
      </c>
      <c r="D1810" s="69" t="s">
        <v>4010</v>
      </c>
      <c r="E1810" s="69" t="s">
        <v>4012</v>
      </c>
    </row>
    <row r="1811" spans="1:5" ht="101.25" x14ac:dyDescent="0.2">
      <c r="A1811" s="70" t="s">
        <v>4013</v>
      </c>
      <c r="B1811" s="66" t="s">
        <v>4014</v>
      </c>
      <c r="C1811" s="71" t="s">
        <v>204</v>
      </c>
      <c r="D1811" s="72" t="s">
        <v>4015</v>
      </c>
      <c r="E1811" s="72" t="s">
        <v>4015</v>
      </c>
    </row>
    <row r="1812" spans="1:5" ht="101.25" x14ac:dyDescent="0.2">
      <c r="A1812" s="70" t="s">
        <v>4016</v>
      </c>
      <c r="B1812" s="66" t="s">
        <v>4017</v>
      </c>
      <c r="C1812" s="71" t="s">
        <v>204</v>
      </c>
      <c r="D1812" s="72" t="s">
        <v>4018</v>
      </c>
      <c r="E1812" s="72" t="s">
        <v>4018</v>
      </c>
    </row>
    <row r="1813" spans="1:5" ht="33.75" x14ac:dyDescent="0.2">
      <c r="A1813" s="50">
        <v>33.11</v>
      </c>
      <c r="B1813" s="64" t="s">
        <v>4019</v>
      </c>
      <c r="C1813" s="47"/>
      <c r="D1813" s="47"/>
      <c r="E1813" s="47"/>
    </row>
    <row r="1814" spans="1:5" ht="45" x14ac:dyDescent="0.2">
      <c r="A1814" s="65" t="s">
        <v>4020</v>
      </c>
      <c r="B1814" s="65" t="s">
        <v>4021</v>
      </c>
      <c r="C1814" s="67" t="s">
        <v>204</v>
      </c>
      <c r="D1814" s="69" t="s">
        <v>4022</v>
      </c>
      <c r="E1814" s="69" t="s">
        <v>4023</v>
      </c>
    </row>
    <row r="1815" spans="1:5" ht="45" x14ac:dyDescent="0.2">
      <c r="A1815" s="50">
        <v>33.119999999999997</v>
      </c>
      <c r="B1815" s="64" t="s">
        <v>4024</v>
      </c>
      <c r="C1815" s="47"/>
      <c r="D1815" s="47"/>
      <c r="E1815" s="47"/>
    </row>
    <row r="1816" spans="1:5" ht="33.75" x14ac:dyDescent="0.2">
      <c r="A1816" s="65" t="s">
        <v>4025</v>
      </c>
      <c r="B1816" s="65" t="s">
        <v>4026</v>
      </c>
      <c r="C1816" s="67" t="s">
        <v>204</v>
      </c>
      <c r="D1816" s="69" t="s">
        <v>3458</v>
      </c>
      <c r="E1816" s="69" t="s">
        <v>4027</v>
      </c>
    </row>
    <row r="1817" spans="1:5" ht="22.5" x14ac:dyDescent="0.2">
      <c r="A1817" s="49">
        <v>34</v>
      </c>
      <c r="B1817" s="64" t="s">
        <v>4028</v>
      </c>
      <c r="C1817" s="47"/>
      <c r="D1817" s="47"/>
      <c r="E1817" s="47"/>
    </row>
    <row r="1818" spans="1:5" x14ac:dyDescent="0.2">
      <c r="A1818" s="50">
        <v>34.01</v>
      </c>
      <c r="B1818" s="64" t="s">
        <v>4029</v>
      </c>
      <c r="C1818" s="47"/>
      <c r="D1818" s="47"/>
      <c r="E1818" s="47"/>
    </row>
    <row r="1819" spans="1:5" ht="22.5" x14ac:dyDescent="0.2">
      <c r="A1819" s="65" t="s">
        <v>4030</v>
      </c>
      <c r="B1819" s="65" t="s">
        <v>4031</v>
      </c>
      <c r="C1819" s="67" t="s">
        <v>228</v>
      </c>
      <c r="D1819" s="69" t="s">
        <v>4032</v>
      </c>
      <c r="E1819" s="69" t="s">
        <v>4033</v>
      </c>
    </row>
    <row r="1820" spans="1:5" ht="56.25" x14ac:dyDescent="0.2">
      <c r="A1820" s="65" t="s">
        <v>4034</v>
      </c>
      <c r="B1820" s="65" t="s">
        <v>4035</v>
      </c>
      <c r="C1820" s="67" t="s">
        <v>204</v>
      </c>
      <c r="D1820" s="68"/>
      <c r="E1820" s="69" t="s">
        <v>243</v>
      </c>
    </row>
    <row r="1821" spans="1:5" x14ac:dyDescent="0.2">
      <c r="A1821" s="50">
        <v>34.020000000000003</v>
      </c>
      <c r="B1821" s="64" t="s">
        <v>4036</v>
      </c>
      <c r="C1821" s="47"/>
      <c r="D1821" s="47"/>
      <c r="E1821" s="47"/>
    </row>
    <row r="1822" spans="1:5" ht="45" x14ac:dyDescent="0.2">
      <c r="A1822" s="65" t="s">
        <v>4037</v>
      </c>
      <c r="B1822" s="65" t="s">
        <v>4038</v>
      </c>
      <c r="C1822" s="67" t="s">
        <v>204</v>
      </c>
      <c r="D1822" s="69" t="s">
        <v>330</v>
      </c>
      <c r="E1822" s="69" t="s">
        <v>254</v>
      </c>
    </row>
    <row r="1823" spans="1:5" ht="33.75" x14ac:dyDescent="0.2">
      <c r="A1823" s="65" t="s">
        <v>4040</v>
      </c>
      <c r="B1823" s="65" t="s">
        <v>4041</v>
      </c>
      <c r="C1823" s="67" t="s">
        <v>204</v>
      </c>
      <c r="D1823" s="69" t="s">
        <v>354</v>
      </c>
      <c r="E1823" s="69" t="s">
        <v>1194</v>
      </c>
    </row>
    <row r="1824" spans="1:5" ht="45" x14ac:dyDescent="0.2">
      <c r="A1824" s="65" t="s">
        <v>4043</v>
      </c>
      <c r="B1824" s="65" t="s">
        <v>4044</v>
      </c>
      <c r="C1824" s="67" t="s">
        <v>204</v>
      </c>
      <c r="D1824" s="69" t="s">
        <v>4045</v>
      </c>
      <c r="E1824" s="69" t="s">
        <v>521</v>
      </c>
    </row>
    <row r="1825" spans="1:5" ht="33.75" x14ac:dyDescent="0.2">
      <c r="A1825" s="65" t="s">
        <v>4046</v>
      </c>
      <c r="B1825" s="65" t="s">
        <v>4047</v>
      </c>
      <c r="C1825" s="67" t="s">
        <v>204</v>
      </c>
      <c r="D1825" s="69" t="s">
        <v>3330</v>
      </c>
      <c r="E1825" s="69" t="s">
        <v>4048</v>
      </c>
    </row>
    <row r="1826" spans="1:5" ht="45" x14ac:dyDescent="0.2">
      <c r="A1826" s="65" t="s">
        <v>4049</v>
      </c>
      <c r="B1826" s="65" t="s">
        <v>4050</v>
      </c>
      <c r="C1826" s="67" t="s">
        <v>204</v>
      </c>
      <c r="D1826" s="69" t="s">
        <v>381</v>
      </c>
      <c r="E1826" s="69" t="s">
        <v>4051</v>
      </c>
    </row>
    <row r="1827" spans="1:5" ht="45" x14ac:dyDescent="0.2">
      <c r="A1827" s="65" t="s">
        <v>4052</v>
      </c>
      <c r="B1827" s="65" t="s">
        <v>4053</v>
      </c>
      <c r="C1827" s="67" t="s">
        <v>204</v>
      </c>
      <c r="D1827" s="69" t="s">
        <v>4054</v>
      </c>
      <c r="E1827" s="69" t="s">
        <v>367</v>
      </c>
    </row>
    <row r="1828" spans="1:5" ht="45" x14ac:dyDescent="0.2">
      <c r="A1828" s="65" t="s">
        <v>4055</v>
      </c>
      <c r="B1828" s="65" t="s">
        <v>4056</v>
      </c>
      <c r="C1828" s="67" t="s">
        <v>204</v>
      </c>
      <c r="D1828" s="69" t="s">
        <v>4057</v>
      </c>
      <c r="E1828" s="69" t="s">
        <v>3545</v>
      </c>
    </row>
    <row r="1829" spans="1:5" ht="33.75" x14ac:dyDescent="0.2">
      <c r="A1829" s="65" t="s">
        <v>4058</v>
      </c>
      <c r="B1829" s="65" t="s">
        <v>4059</v>
      </c>
      <c r="C1829" s="67" t="s">
        <v>204</v>
      </c>
      <c r="D1829" s="69" t="s">
        <v>289</v>
      </c>
      <c r="E1829" s="69" t="s">
        <v>289</v>
      </c>
    </row>
    <row r="1830" spans="1:5" x14ac:dyDescent="0.2">
      <c r="A1830" s="50">
        <v>34.03</v>
      </c>
      <c r="B1830" s="64" t="s">
        <v>4060</v>
      </c>
      <c r="C1830" s="47"/>
      <c r="D1830" s="47"/>
      <c r="E1830" s="47"/>
    </row>
    <row r="1831" spans="1:5" ht="22.5" x14ac:dyDescent="0.2">
      <c r="A1831" s="65" t="s">
        <v>4061</v>
      </c>
      <c r="B1831" s="65" t="s">
        <v>4062</v>
      </c>
      <c r="C1831" s="67" t="s">
        <v>203</v>
      </c>
      <c r="D1831" s="69" t="s">
        <v>4063</v>
      </c>
      <c r="E1831" s="69" t="s">
        <v>4065</v>
      </c>
    </row>
    <row r="1832" spans="1:5" ht="22.5" x14ac:dyDescent="0.2">
      <c r="A1832" s="65" t="s">
        <v>4066</v>
      </c>
      <c r="B1832" s="65" t="s">
        <v>4067</v>
      </c>
      <c r="C1832" s="67" t="s">
        <v>203</v>
      </c>
      <c r="D1832" s="69" t="s">
        <v>4068</v>
      </c>
      <c r="E1832" s="69" t="s">
        <v>4069</v>
      </c>
    </row>
    <row r="1833" spans="1:5" ht="22.5" x14ac:dyDescent="0.2">
      <c r="A1833" s="65" t="s">
        <v>4070</v>
      </c>
      <c r="B1833" s="65" t="s">
        <v>4071</v>
      </c>
      <c r="C1833" s="67" t="s">
        <v>203</v>
      </c>
      <c r="D1833" s="69" t="s">
        <v>4072</v>
      </c>
      <c r="E1833" s="69" t="s">
        <v>4073</v>
      </c>
    </row>
    <row r="1834" spans="1:5" ht="22.5" x14ac:dyDescent="0.2">
      <c r="A1834" s="65" t="s">
        <v>4074</v>
      </c>
      <c r="B1834" s="65" t="s">
        <v>4075</v>
      </c>
      <c r="C1834" s="67" t="s">
        <v>203</v>
      </c>
      <c r="D1834" s="69" t="s">
        <v>4076</v>
      </c>
      <c r="E1834" s="69" t="s">
        <v>4077</v>
      </c>
    </row>
    <row r="1835" spans="1:5" x14ac:dyDescent="0.2">
      <c r="A1835" s="50">
        <v>34.04</v>
      </c>
      <c r="B1835" s="64" t="s">
        <v>4078</v>
      </c>
      <c r="C1835" s="47"/>
      <c r="D1835" s="47"/>
      <c r="E1835" s="47"/>
    </row>
    <row r="1836" spans="1:5" ht="33.75" x14ac:dyDescent="0.2">
      <c r="A1836" s="65" t="s">
        <v>4079</v>
      </c>
      <c r="B1836" s="65" t="s">
        <v>4080</v>
      </c>
      <c r="C1836" s="67" t="s">
        <v>203</v>
      </c>
      <c r="D1836" s="69" t="s">
        <v>4081</v>
      </c>
      <c r="E1836" s="69" t="s">
        <v>4082</v>
      </c>
    </row>
    <row r="1837" spans="1:5" ht="33.75" x14ac:dyDescent="0.2">
      <c r="A1837" s="65" t="s">
        <v>4083</v>
      </c>
      <c r="B1837" s="65" t="s">
        <v>4084</v>
      </c>
      <c r="C1837" s="67" t="s">
        <v>203</v>
      </c>
      <c r="D1837" s="69" t="s">
        <v>4085</v>
      </c>
      <c r="E1837" s="69" t="s">
        <v>4086</v>
      </c>
    </row>
    <row r="1838" spans="1:5" ht="33.75" x14ac:dyDescent="0.2">
      <c r="A1838" s="65" t="s">
        <v>4087</v>
      </c>
      <c r="B1838" s="65" t="s">
        <v>4088</v>
      </c>
      <c r="C1838" s="67" t="s">
        <v>203</v>
      </c>
      <c r="D1838" s="69" t="s">
        <v>4089</v>
      </c>
      <c r="E1838" s="69" t="s">
        <v>4090</v>
      </c>
    </row>
    <row r="1839" spans="1:5" ht="45" x14ac:dyDescent="0.2">
      <c r="A1839" s="65" t="s">
        <v>4091</v>
      </c>
      <c r="B1839" s="65" t="s">
        <v>4092</v>
      </c>
      <c r="C1839" s="67" t="s">
        <v>203</v>
      </c>
      <c r="D1839" s="69" t="s">
        <v>4093</v>
      </c>
      <c r="E1839" s="69" t="s">
        <v>4095</v>
      </c>
    </row>
    <row r="1840" spans="1:5" ht="33.75" x14ac:dyDescent="0.2">
      <c r="A1840" s="65" t="s">
        <v>4096</v>
      </c>
      <c r="B1840" s="65" t="s">
        <v>4097</v>
      </c>
      <c r="C1840" s="67" t="s">
        <v>203</v>
      </c>
      <c r="D1840" s="69" t="s">
        <v>4098</v>
      </c>
      <c r="E1840" s="69" t="s">
        <v>4099</v>
      </c>
    </row>
    <row r="1841" spans="1:5" ht="33.75" x14ac:dyDescent="0.2">
      <c r="A1841" s="65" t="s">
        <v>4100</v>
      </c>
      <c r="B1841" s="65" t="s">
        <v>4101</v>
      </c>
      <c r="C1841" s="67" t="s">
        <v>203</v>
      </c>
      <c r="D1841" s="69" t="s">
        <v>4102</v>
      </c>
      <c r="E1841" s="69" t="s">
        <v>4103</v>
      </c>
    </row>
    <row r="1842" spans="1:5" ht="33.75" x14ac:dyDescent="0.2">
      <c r="A1842" s="65" t="s">
        <v>4104</v>
      </c>
      <c r="B1842" s="65" t="s">
        <v>4105</v>
      </c>
      <c r="C1842" s="67" t="s">
        <v>203</v>
      </c>
      <c r="D1842" s="69" t="s">
        <v>4106</v>
      </c>
      <c r="E1842" s="69" t="s">
        <v>4107</v>
      </c>
    </row>
    <row r="1843" spans="1:5" ht="56.25" x14ac:dyDescent="0.2">
      <c r="A1843" s="65" t="s">
        <v>4108</v>
      </c>
      <c r="B1843" s="66" t="s">
        <v>4109</v>
      </c>
      <c r="C1843" s="67" t="s">
        <v>203</v>
      </c>
      <c r="D1843" s="69" t="s">
        <v>4110</v>
      </c>
      <c r="E1843" s="69" t="s">
        <v>4111</v>
      </c>
    </row>
    <row r="1844" spans="1:5" ht="22.5" x14ac:dyDescent="0.2">
      <c r="A1844" s="50">
        <v>34.049999999999997</v>
      </c>
      <c r="B1844" s="64" t="s">
        <v>4112</v>
      </c>
      <c r="C1844" s="47"/>
      <c r="D1844" s="47"/>
      <c r="E1844" s="47"/>
    </row>
    <row r="1845" spans="1:5" ht="33.75" x14ac:dyDescent="0.2">
      <c r="A1845" s="65" t="s">
        <v>4113</v>
      </c>
      <c r="B1845" s="65" t="s">
        <v>4114</v>
      </c>
      <c r="C1845" s="67" t="s">
        <v>221</v>
      </c>
      <c r="D1845" s="69" t="s">
        <v>4115</v>
      </c>
      <c r="E1845" s="69" t="s">
        <v>4116</v>
      </c>
    </row>
    <row r="1846" spans="1:5" ht="56.25" x14ac:dyDescent="0.2">
      <c r="A1846" s="65" t="s">
        <v>4117</v>
      </c>
      <c r="B1846" s="65" t="s">
        <v>4118</v>
      </c>
      <c r="C1846" s="67" t="s">
        <v>221</v>
      </c>
      <c r="D1846" s="69" t="s">
        <v>4119</v>
      </c>
      <c r="E1846" s="69" t="s">
        <v>4120</v>
      </c>
    </row>
    <row r="1847" spans="1:5" ht="67.5" x14ac:dyDescent="0.2">
      <c r="A1847" s="65" t="s">
        <v>4121</v>
      </c>
      <c r="B1847" s="66" t="s">
        <v>4122</v>
      </c>
      <c r="C1847" s="67" t="s">
        <v>221</v>
      </c>
      <c r="D1847" s="69" t="s">
        <v>4123</v>
      </c>
      <c r="E1847" s="69" t="s">
        <v>4124</v>
      </c>
    </row>
    <row r="1848" spans="1:5" ht="78.75" x14ac:dyDescent="0.2">
      <c r="A1848" s="65" t="s">
        <v>4125</v>
      </c>
      <c r="B1848" s="66" t="s">
        <v>4126</v>
      </c>
      <c r="C1848" s="67" t="s">
        <v>221</v>
      </c>
      <c r="D1848" s="69" t="s">
        <v>4127</v>
      </c>
      <c r="E1848" s="69" t="s">
        <v>4129</v>
      </c>
    </row>
    <row r="1849" spans="1:5" ht="67.5" x14ac:dyDescent="0.2">
      <c r="A1849" s="65" t="s">
        <v>4130</v>
      </c>
      <c r="B1849" s="66" t="s">
        <v>4131</v>
      </c>
      <c r="C1849" s="67" t="s">
        <v>204</v>
      </c>
      <c r="D1849" s="69" t="s">
        <v>4132</v>
      </c>
      <c r="E1849" s="69" t="s">
        <v>4132</v>
      </c>
    </row>
    <row r="1850" spans="1:5" ht="78.75" x14ac:dyDescent="0.2">
      <c r="A1850" s="65" t="s">
        <v>4133</v>
      </c>
      <c r="B1850" s="66" t="s">
        <v>4134</v>
      </c>
      <c r="C1850" s="67" t="s">
        <v>204</v>
      </c>
      <c r="D1850" s="69" t="s">
        <v>4135</v>
      </c>
      <c r="E1850" s="69" t="s">
        <v>4135</v>
      </c>
    </row>
    <row r="1851" spans="1:5" ht="56.25" x14ac:dyDescent="0.2">
      <c r="A1851" s="65" t="s">
        <v>4136</v>
      </c>
      <c r="B1851" s="66" t="s">
        <v>4137</v>
      </c>
      <c r="C1851" s="67" t="s">
        <v>204</v>
      </c>
      <c r="D1851" s="69" t="s">
        <v>4138</v>
      </c>
      <c r="E1851" s="69" t="s">
        <v>4138</v>
      </c>
    </row>
    <row r="1852" spans="1:5" ht="45" x14ac:dyDescent="0.2">
      <c r="A1852" s="65" t="s">
        <v>4139</v>
      </c>
      <c r="B1852" s="65" t="s">
        <v>4140</v>
      </c>
      <c r="C1852" s="67" t="s">
        <v>221</v>
      </c>
      <c r="D1852" s="69" t="s">
        <v>4141</v>
      </c>
      <c r="E1852" s="69" t="s">
        <v>4141</v>
      </c>
    </row>
    <row r="1853" spans="1:5" ht="90" x14ac:dyDescent="0.2">
      <c r="A1853" s="70" t="s">
        <v>4142</v>
      </c>
      <c r="B1853" s="65" t="s">
        <v>4143</v>
      </c>
      <c r="C1853" s="71" t="s">
        <v>204</v>
      </c>
      <c r="D1853" s="72" t="s">
        <v>4144</v>
      </c>
      <c r="E1853" s="72" t="s">
        <v>4144</v>
      </c>
    </row>
    <row r="1854" spans="1:5" ht="67.5" x14ac:dyDescent="0.2">
      <c r="A1854" s="65" t="s">
        <v>4145</v>
      </c>
      <c r="B1854" s="66" t="s">
        <v>4146</v>
      </c>
      <c r="C1854" s="67" t="s">
        <v>204</v>
      </c>
      <c r="D1854" s="69" t="s">
        <v>4147</v>
      </c>
      <c r="E1854" s="69" t="s">
        <v>4148</v>
      </c>
    </row>
    <row r="1855" spans="1:5" ht="45" x14ac:dyDescent="0.2">
      <c r="A1855" s="65" t="s">
        <v>4149</v>
      </c>
      <c r="B1855" s="65" t="s">
        <v>4150</v>
      </c>
      <c r="C1855" s="67" t="s">
        <v>204</v>
      </c>
      <c r="D1855" s="69" t="s">
        <v>4151</v>
      </c>
      <c r="E1855" s="69" t="s">
        <v>4151</v>
      </c>
    </row>
    <row r="1856" spans="1:5" ht="78.75" x14ac:dyDescent="0.2">
      <c r="A1856" s="65" t="s">
        <v>4152</v>
      </c>
      <c r="B1856" s="66" t="s">
        <v>4153</v>
      </c>
      <c r="C1856" s="67" t="s">
        <v>204</v>
      </c>
      <c r="D1856" s="69" t="s">
        <v>4154</v>
      </c>
      <c r="E1856" s="69" t="s">
        <v>4156</v>
      </c>
    </row>
    <row r="1857" spans="1:5" ht="78.75" x14ac:dyDescent="0.2">
      <c r="A1857" s="65" t="s">
        <v>4157</v>
      </c>
      <c r="B1857" s="66" t="s">
        <v>4158</v>
      </c>
      <c r="C1857" s="67" t="s">
        <v>204</v>
      </c>
      <c r="D1857" s="69" t="s">
        <v>4159</v>
      </c>
      <c r="E1857" s="69" t="s">
        <v>4160</v>
      </c>
    </row>
    <row r="1858" spans="1:5" ht="33.75" x14ac:dyDescent="0.2">
      <c r="A1858" s="65" t="s">
        <v>4161</v>
      </c>
      <c r="B1858" s="65" t="s">
        <v>4162</v>
      </c>
      <c r="C1858" s="67" t="s">
        <v>204</v>
      </c>
      <c r="D1858" s="69" t="s">
        <v>238</v>
      </c>
      <c r="E1858" s="69" t="s">
        <v>4164</v>
      </c>
    </row>
    <row r="1859" spans="1:5" ht="33.75" x14ac:dyDescent="0.2">
      <c r="A1859" s="65" t="s">
        <v>4165</v>
      </c>
      <c r="B1859" s="65" t="s">
        <v>4166</v>
      </c>
      <c r="C1859" s="67" t="s">
        <v>204</v>
      </c>
      <c r="D1859" s="69" t="s">
        <v>4167</v>
      </c>
      <c r="E1859" s="69" t="s">
        <v>4168</v>
      </c>
    </row>
    <row r="1860" spans="1:5" ht="33.75" x14ac:dyDescent="0.2">
      <c r="A1860" s="65" t="s">
        <v>4169</v>
      </c>
      <c r="B1860" s="65" t="s">
        <v>4170</v>
      </c>
      <c r="C1860" s="67" t="s">
        <v>204</v>
      </c>
      <c r="D1860" s="69" t="s">
        <v>4171</v>
      </c>
      <c r="E1860" s="69" t="s">
        <v>4173</v>
      </c>
    </row>
    <row r="1861" spans="1:5" ht="45" x14ac:dyDescent="0.2">
      <c r="A1861" s="65" t="s">
        <v>4174</v>
      </c>
      <c r="B1861" s="65" t="s">
        <v>4175</v>
      </c>
      <c r="C1861" s="67" t="s">
        <v>204</v>
      </c>
      <c r="D1861" s="69" t="s">
        <v>4176</v>
      </c>
      <c r="E1861" s="69" t="s">
        <v>4178</v>
      </c>
    </row>
    <row r="1862" spans="1:5" ht="33.75" x14ac:dyDescent="0.2">
      <c r="A1862" s="65" t="s">
        <v>4179</v>
      </c>
      <c r="B1862" s="65" t="s">
        <v>4180</v>
      </c>
      <c r="C1862" s="67" t="s">
        <v>221</v>
      </c>
      <c r="D1862" s="69" t="s">
        <v>4181</v>
      </c>
      <c r="E1862" s="69" t="s">
        <v>4183</v>
      </c>
    </row>
    <row r="1863" spans="1:5" ht="22.5" x14ac:dyDescent="0.2">
      <c r="A1863" s="50">
        <v>34.130000000000003</v>
      </c>
      <c r="B1863" s="64" t="s">
        <v>4184</v>
      </c>
      <c r="C1863" s="47"/>
      <c r="D1863" s="47"/>
      <c r="E1863" s="47"/>
    </row>
    <row r="1864" spans="1:5" ht="56.25" x14ac:dyDescent="0.2">
      <c r="A1864" s="65" t="s">
        <v>4185</v>
      </c>
      <c r="B1864" s="66" t="s">
        <v>4186</v>
      </c>
      <c r="C1864" s="67" t="s">
        <v>203</v>
      </c>
      <c r="D1864" s="69" t="s">
        <v>4187</v>
      </c>
      <c r="E1864" s="69" t="s">
        <v>4189</v>
      </c>
    </row>
    <row r="1865" spans="1:5" ht="56.25" x14ac:dyDescent="0.2">
      <c r="A1865" s="65" t="s">
        <v>4190</v>
      </c>
      <c r="B1865" s="66" t="s">
        <v>4191</v>
      </c>
      <c r="C1865" s="67" t="s">
        <v>203</v>
      </c>
      <c r="D1865" s="69" t="s">
        <v>4192</v>
      </c>
      <c r="E1865" s="69" t="s">
        <v>4194</v>
      </c>
    </row>
    <row r="1866" spans="1:5" ht="56.25" x14ac:dyDescent="0.2">
      <c r="A1866" s="65" t="s">
        <v>4195</v>
      </c>
      <c r="B1866" s="66" t="s">
        <v>4196</v>
      </c>
      <c r="C1866" s="67" t="s">
        <v>203</v>
      </c>
      <c r="D1866" s="69" t="s">
        <v>4197</v>
      </c>
      <c r="E1866" s="69" t="s">
        <v>4199</v>
      </c>
    </row>
    <row r="1867" spans="1:5" ht="56.25" x14ac:dyDescent="0.2">
      <c r="A1867" s="65" t="s">
        <v>4200</v>
      </c>
      <c r="B1867" s="66" t="s">
        <v>4201</v>
      </c>
      <c r="C1867" s="67" t="s">
        <v>203</v>
      </c>
      <c r="D1867" s="69" t="s">
        <v>4202</v>
      </c>
      <c r="E1867" s="69" t="s">
        <v>4204</v>
      </c>
    </row>
    <row r="1868" spans="1:5" ht="56.25" x14ac:dyDescent="0.2">
      <c r="A1868" s="65" t="s">
        <v>4205</v>
      </c>
      <c r="B1868" s="66" t="s">
        <v>4206</v>
      </c>
      <c r="C1868" s="67" t="s">
        <v>203</v>
      </c>
      <c r="D1868" s="69" t="s">
        <v>4207</v>
      </c>
      <c r="E1868" s="69" t="s">
        <v>4209</v>
      </c>
    </row>
    <row r="1869" spans="1:5" ht="56.25" x14ac:dyDescent="0.2">
      <c r="A1869" s="65" t="s">
        <v>4210</v>
      </c>
      <c r="B1869" s="66" t="s">
        <v>4211</v>
      </c>
      <c r="C1869" s="67" t="s">
        <v>203</v>
      </c>
      <c r="D1869" s="69" t="s">
        <v>4212</v>
      </c>
      <c r="E1869" s="69" t="s">
        <v>4214</v>
      </c>
    </row>
    <row r="1870" spans="1:5" ht="45" x14ac:dyDescent="0.2">
      <c r="A1870" s="50">
        <v>34.200000000000003</v>
      </c>
      <c r="B1870" s="64" t="s">
        <v>4215</v>
      </c>
      <c r="C1870" s="47"/>
      <c r="D1870" s="47"/>
      <c r="E1870" s="47"/>
    </row>
    <row r="1871" spans="1:5" ht="45" x14ac:dyDescent="0.2">
      <c r="A1871" s="65" t="s">
        <v>4216</v>
      </c>
      <c r="B1871" s="65" t="s">
        <v>4217</v>
      </c>
      <c r="C1871" s="67" t="s">
        <v>204</v>
      </c>
      <c r="D1871" s="69" t="s">
        <v>4218</v>
      </c>
      <c r="E1871" s="69" t="s">
        <v>4219</v>
      </c>
    </row>
    <row r="1872" spans="1:5" ht="56.25" x14ac:dyDescent="0.2">
      <c r="A1872" s="65" t="s">
        <v>4220</v>
      </c>
      <c r="B1872" s="66" t="s">
        <v>4221</v>
      </c>
      <c r="C1872" s="67" t="s">
        <v>204</v>
      </c>
      <c r="D1872" s="69" t="s">
        <v>4222</v>
      </c>
      <c r="E1872" s="69" t="s">
        <v>4224</v>
      </c>
    </row>
    <row r="1873" spans="1:5" ht="45" x14ac:dyDescent="0.2">
      <c r="A1873" s="65" t="s">
        <v>4225</v>
      </c>
      <c r="B1873" s="65" t="s">
        <v>4226</v>
      </c>
      <c r="C1873" s="67" t="s">
        <v>221</v>
      </c>
      <c r="D1873" s="69" t="s">
        <v>4227</v>
      </c>
      <c r="E1873" s="69" t="s">
        <v>4227</v>
      </c>
    </row>
    <row r="1874" spans="1:5" ht="33.75" x14ac:dyDescent="0.2">
      <c r="A1874" s="65" t="s">
        <v>4228</v>
      </c>
      <c r="B1874" s="65" t="s">
        <v>4229</v>
      </c>
      <c r="C1874" s="67" t="s">
        <v>204</v>
      </c>
      <c r="D1874" s="69" t="s">
        <v>274</v>
      </c>
      <c r="E1874" s="69" t="s">
        <v>4231</v>
      </c>
    </row>
    <row r="1875" spans="1:5" ht="45" x14ac:dyDescent="0.2">
      <c r="A1875" s="65" t="s">
        <v>4232</v>
      </c>
      <c r="B1875" s="65" t="s">
        <v>4233</v>
      </c>
      <c r="C1875" s="67" t="s">
        <v>204</v>
      </c>
      <c r="D1875" s="69" t="s">
        <v>4234</v>
      </c>
      <c r="E1875" s="69" t="s">
        <v>4236</v>
      </c>
    </row>
    <row r="1876" spans="1:5" ht="67.5" x14ac:dyDescent="0.2">
      <c r="A1876" s="65" t="s">
        <v>4237</v>
      </c>
      <c r="B1876" s="66" t="s">
        <v>4238</v>
      </c>
      <c r="C1876" s="67" t="s">
        <v>203</v>
      </c>
      <c r="D1876" s="69" t="s">
        <v>4239</v>
      </c>
      <c r="E1876" s="69" t="s">
        <v>4241</v>
      </c>
    </row>
    <row r="1877" spans="1:5" ht="22.5" x14ac:dyDescent="0.2">
      <c r="A1877" s="65" t="s">
        <v>4242</v>
      </c>
      <c r="B1877" s="65" t="s">
        <v>4243</v>
      </c>
      <c r="C1877" s="67" t="s">
        <v>204</v>
      </c>
      <c r="D1877" s="69" t="s">
        <v>4244</v>
      </c>
      <c r="E1877" s="69" t="s">
        <v>4245</v>
      </c>
    </row>
    <row r="1878" spans="1:5" ht="33.75" x14ac:dyDescent="0.2">
      <c r="A1878" s="49">
        <v>35</v>
      </c>
      <c r="B1878" s="64" t="s">
        <v>4246</v>
      </c>
      <c r="C1878" s="47"/>
      <c r="D1878" s="47"/>
      <c r="E1878" s="47"/>
    </row>
    <row r="1879" spans="1:5" ht="33.75" x14ac:dyDescent="0.2">
      <c r="A1879" s="50">
        <v>35.01</v>
      </c>
      <c r="B1879" s="64" t="s">
        <v>4247</v>
      </c>
      <c r="C1879" s="47"/>
      <c r="D1879" s="47"/>
      <c r="E1879" s="47"/>
    </row>
    <row r="1880" spans="1:5" ht="33.75" x14ac:dyDescent="0.2">
      <c r="A1880" s="65" t="s">
        <v>4248</v>
      </c>
      <c r="B1880" s="65" t="s">
        <v>4249</v>
      </c>
      <c r="C1880" s="67" t="s">
        <v>204</v>
      </c>
      <c r="D1880" s="69" t="s">
        <v>2286</v>
      </c>
      <c r="E1880" s="69" t="s">
        <v>4250</v>
      </c>
    </row>
    <row r="1881" spans="1:5" ht="33.75" x14ac:dyDescent="0.2">
      <c r="A1881" s="65" t="s">
        <v>4251</v>
      </c>
      <c r="B1881" s="65" t="s">
        <v>4252</v>
      </c>
      <c r="C1881" s="67" t="s">
        <v>240</v>
      </c>
      <c r="D1881" s="69" t="s">
        <v>4253</v>
      </c>
      <c r="E1881" s="69" t="s">
        <v>4255</v>
      </c>
    </row>
    <row r="1882" spans="1:5" ht="33.75" x14ac:dyDescent="0.2">
      <c r="A1882" s="65" t="s">
        <v>4256</v>
      </c>
      <c r="B1882" s="65" t="s">
        <v>4257</v>
      </c>
      <c r="C1882" s="67" t="s">
        <v>203</v>
      </c>
      <c r="D1882" s="69" t="s">
        <v>4258</v>
      </c>
      <c r="E1882" s="69" t="s">
        <v>4260</v>
      </c>
    </row>
    <row r="1883" spans="1:5" ht="33.75" x14ac:dyDescent="0.2">
      <c r="A1883" s="65" t="s">
        <v>4261</v>
      </c>
      <c r="B1883" s="65" t="s">
        <v>4262</v>
      </c>
      <c r="C1883" s="67" t="s">
        <v>240</v>
      </c>
      <c r="D1883" s="69" t="s">
        <v>4263</v>
      </c>
      <c r="E1883" s="69" t="s">
        <v>4264</v>
      </c>
    </row>
    <row r="1884" spans="1:5" ht="56.25" x14ac:dyDescent="0.2">
      <c r="A1884" s="65" t="s">
        <v>4265</v>
      </c>
      <c r="B1884" s="66" t="s">
        <v>4266</v>
      </c>
      <c r="C1884" s="67" t="s">
        <v>204</v>
      </c>
      <c r="D1884" s="69" t="s">
        <v>4267</v>
      </c>
      <c r="E1884" s="69" t="s">
        <v>4269</v>
      </c>
    </row>
    <row r="1885" spans="1:5" ht="22.5" x14ac:dyDescent="0.2">
      <c r="A1885" s="50">
        <v>35.03</v>
      </c>
      <c r="B1885" s="64" t="s">
        <v>4270</v>
      </c>
      <c r="C1885" s="47"/>
      <c r="D1885" s="47"/>
      <c r="E1885" s="47"/>
    </row>
    <row r="1886" spans="1:5" ht="45" x14ac:dyDescent="0.2">
      <c r="A1886" s="65" t="s">
        <v>4271</v>
      </c>
      <c r="B1886" s="65" t="s">
        <v>4272</v>
      </c>
      <c r="C1886" s="67" t="s">
        <v>203</v>
      </c>
      <c r="D1886" s="69" t="s">
        <v>4273</v>
      </c>
      <c r="E1886" s="69" t="s">
        <v>4275</v>
      </c>
    </row>
    <row r="1887" spans="1:5" x14ac:dyDescent="0.2">
      <c r="A1887" s="50">
        <v>35.04</v>
      </c>
      <c r="B1887" s="64" t="s">
        <v>4276</v>
      </c>
      <c r="C1887" s="47"/>
      <c r="D1887" s="47"/>
      <c r="E1887" s="47"/>
    </row>
    <row r="1888" spans="1:5" ht="22.5" x14ac:dyDescent="0.2">
      <c r="A1888" s="65" t="s">
        <v>4277</v>
      </c>
      <c r="B1888" s="65" t="s">
        <v>4278</v>
      </c>
      <c r="C1888" s="67" t="s">
        <v>221</v>
      </c>
      <c r="D1888" s="69" t="s">
        <v>4279</v>
      </c>
      <c r="E1888" s="69" t="s">
        <v>4281</v>
      </c>
    </row>
    <row r="1889" spans="1:5" ht="33.75" x14ac:dyDescent="0.2">
      <c r="A1889" s="65" t="s">
        <v>4282</v>
      </c>
      <c r="B1889" s="65" t="s">
        <v>4283</v>
      </c>
      <c r="C1889" s="67" t="s">
        <v>203</v>
      </c>
      <c r="D1889" s="69" t="s">
        <v>4284</v>
      </c>
      <c r="E1889" s="69" t="s">
        <v>4285</v>
      </c>
    </row>
    <row r="1890" spans="1:5" ht="22.5" x14ac:dyDescent="0.2">
      <c r="A1890" s="65" t="s">
        <v>4286</v>
      </c>
      <c r="B1890" s="65" t="s">
        <v>4287</v>
      </c>
      <c r="C1890" s="67" t="s">
        <v>204</v>
      </c>
      <c r="D1890" s="69" t="s">
        <v>4288</v>
      </c>
      <c r="E1890" s="69" t="s">
        <v>4290</v>
      </c>
    </row>
    <row r="1891" spans="1:5" ht="45" x14ac:dyDescent="0.2">
      <c r="A1891" s="65" t="s">
        <v>4291</v>
      </c>
      <c r="B1891" s="65" t="s">
        <v>4292</v>
      </c>
      <c r="C1891" s="67" t="s">
        <v>203</v>
      </c>
      <c r="D1891" s="69" t="s">
        <v>4293</v>
      </c>
      <c r="E1891" s="69" t="s">
        <v>4294</v>
      </c>
    </row>
    <row r="1892" spans="1:5" ht="45" x14ac:dyDescent="0.2">
      <c r="A1892" s="65" t="s">
        <v>4295</v>
      </c>
      <c r="B1892" s="65" t="s">
        <v>4296</v>
      </c>
      <c r="C1892" s="67" t="s">
        <v>203</v>
      </c>
      <c r="D1892" s="69" t="s">
        <v>4297</v>
      </c>
      <c r="E1892" s="69" t="s">
        <v>4298</v>
      </c>
    </row>
    <row r="1893" spans="1:5" ht="22.5" x14ac:dyDescent="0.2">
      <c r="A1893" s="50">
        <v>35.049999999999997</v>
      </c>
      <c r="B1893" s="64" t="s">
        <v>4299</v>
      </c>
      <c r="C1893" s="47"/>
      <c r="D1893" s="47"/>
      <c r="E1893" s="47"/>
    </row>
    <row r="1894" spans="1:5" ht="22.5" x14ac:dyDescent="0.2">
      <c r="A1894" s="65" t="s">
        <v>4300</v>
      </c>
      <c r="B1894" s="65" t="s">
        <v>4301</v>
      </c>
      <c r="C1894" s="67" t="s">
        <v>240</v>
      </c>
      <c r="D1894" s="69" t="s">
        <v>4302</v>
      </c>
      <c r="E1894" s="69" t="s">
        <v>4304</v>
      </c>
    </row>
    <row r="1895" spans="1:5" ht="22.5" x14ac:dyDescent="0.2">
      <c r="A1895" s="65" t="s">
        <v>4305</v>
      </c>
      <c r="B1895" s="65" t="s">
        <v>4306</v>
      </c>
      <c r="C1895" s="67" t="s">
        <v>240</v>
      </c>
      <c r="D1895" s="69" t="s">
        <v>4307</v>
      </c>
      <c r="E1895" s="69" t="s">
        <v>4308</v>
      </c>
    </row>
    <row r="1896" spans="1:5" ht="22.5" x14ac:dyDescent="0.2">
      <c r="A1896" s="65" t="s">
        <v>4309</v>
      </c>
      <c r="B1896" s="65" t="s">
        <v>4310</v>
      </c>
      <c r="C1896" s="67" t="s">
        <v>240</v>
      </c>
      <c r="D1896" s="69" t="s">
        <v>4311</v>
      </c>
      <c r="E1896" s="69" t="s">
        <v>4312</v>
      </c>
    </row>
    <row r="1897" spans="1:5" ht="33.75" x14ac:dyDescent="0.2">
      <c r="A1897" s="65" t="s">
        <v>4313</v>
      </c>
      <c r="B1897" s="65" t="s">
        <v>4314</v>
      </c>
      <c r="C1897" s="67" t="s">
        <v>240</v>
      </c>
      <c r="D1897" s="69" t="s">
        <v>4315</v>
      </c>
      <c r="E1897" s="69" t="s">
        <v>4316</v>
      </c>
    </row>
    <row r="1898" spans="1:5" ht="22.5" x14ac:dyDescent="0.2">
      <c r="A1898" s="50">
        <v>35.07</v>
      </c>
      <c r="B1898" s="64" t="s">
        <v>4317</v>
      </c>
      <c r="C1898" s="47"/>
      <c r="D1898" s="47"/>
      <c r="E1898" s="47"/>
    </row>
    <row r="1899" spans="1:5" ht="45" x14ac:dyDescent="0.2">
      <c r="A1899" s="65" t="s">
        <v>4318</v>
      </c>
      <c r="B1899" s="65" t="s">
        <v>4319</v>
      </c>
      <c r="C1899" s="67" t="s">
        <v>240</v>
      </c>
      <c r="D1899" s="69" t="s">
        <v>4320</v>
      </c>
      <c r="E1899" s="69" t="s">
        <v>4322</v>
      </c>
    </row>
    <row r="1900" spans="1:5" ht="45" x14ac:dyDescent="0.2">
      <c r="A1900" s="65" t="s">
        <v>4323</v>
      </c>
      <c r="B1900" s="65" t="s">
        <v>4324</v>
      </c>
      <c r="C1900" s="67" t="s">
        <v>240</v>
      </c>
      <c r="D1900" s="69" t="s">
        <v>4325</v>
      </c>
      <c r="E1900" s="69" t="s">
        <v>4326</v>
      </c>
    </row>
    <row r="1901" spans="1:5" ht="45" x14ac:dyDescent="0.2">
      <c r="A1901" s="65" t="s">
        <v>4327</v>
      </c>
      <c r="B1901" s="65" t="s">
        <v>4328</v>
      </c>
      <c r="C1901" s="67" t="s">
        <v>203</v>
      </c>
      <c r="D1901" s="69" t="s">
        <v>4329</v>
      </c>
      <c r="E1901" s="69" t="s">
        <v>4331</v>
      </c>
    </row>
    <row r="1902" spans="1:5" ht="45" x14ac:dyDescent="0.2">
      <c r="A1902" s="65" t="s">
        <v>4332</v>
      </c>
      <c r="B1902" s="65" t="s">
        <v>4333</v>
      </c>
      <c r="C1902" s="67" t="s">
        <v>203</v>
      </c>
      <c r="D1902" s="69" t="s">
        <v>4334</v>
      </c>
      <c r="E1902" s="69" t="s">
        <v>4335</v>
      </c>
    </row>
    <row r="1903" spans="1:5" ht="45" x14ac:dyDescent="0.2">
      <c r="A1903" s="50">
        <v>35.200000000000003</v>
      </c>
      <c r="B1903" s="64" t="s">
        <v>4336</v>
      </c>
      <c r="C1903" s="47"/>
      <c r="D1903" s="47"/>
      <c r="E1903" s="47"/>
    </row>
    <row r="1904" spans="1:5" ht="33.75" x14ac:dyDescent="0.2">
      <c r="A1904" s="65" t="s">
        <v>4337</v>
      </c>
      <c r="B1904" s="65" t="s">
        <v>4338</v>
      </c>
      <c r="C1904" s="67" t="s">
        <v>204</v>
      </c>
      <c r="D1904" s="69" t="s">
        <v>4339</v>
      </c>
      <c r="E1904" s="69" t="s">
        <v>4339</v>
      </c>
    </row>
    <row r="1905" spans="1:5" ht="56.25" x14ac:dyDescent="0.2">
      <c r="A1905" s="65" t="s">
        <v>4340</v>
      </c>
      <c r="B1905" s="66" t="s">
        <v>4341</v>
      </c>
      <c r="C1905" s="67" t="s">
        <v>203</v>
      </c>
      <c r="D1905" s="69" t="s">
        <v>4342</v>
      </c>
      <c r="E1905" s="69" t="s">
        <v>4344</v>
      </c>
    </row>
    <row r="1906" spans="1:5" ht="22.5" x14ac:dyDescent="0.2">
      <c r="A1906" s="49">
        <v>36</v>
      </c>
      <c r="B1906" s="64" t="s">
        <v>4345</v>
      </c>
      <c r="C1906" s="47"/>
      <c r="D1906" s="47"/>
      <c r="E1906" s="47"/>
    </row>
    <row r="1907" spans="1:5" ht="22.5" x14ac:dyDescent="0.2">
      <c r="A1907" s="50">
        <v>36.01</v>
      </c>
      <c r="B1907" s="64" t="s">
        <v>4346</v>
      </c>
      <c r="C1907" s="47"/>
      <c r="D1907" s="47"/>
      <c r="E1907" s="47"/>
    </row>
    <row r="1908" spans="1:5" ht="33.75" x14ac:dyDescent="0.2">
      <c r="A1908" s="65" t="s">
        <v>4347</v>
      </c>
      <c r="B1908" s="65" t="s">
        <v>4348</v>
      </c>
      <c r="C1908" s="67" t="s">
        <v>240</v>
      </c>
      <c r="D1908" s="69" t="s">
        <v>4349</v>
      </c>
      <c r="E1908" s="69" t="s">
        <v>4351</v>
      </c>
    </row>
    <row r="1909" spans="1:5" ht="45" x14ac:dyDescent="0.2">
      <c r="A1909" s="65" t="s">
        <v>4352</v>
      </c>
      <c r="B1909" s="65" t="s">
        <v>4353</v>
      </c>
      <c r="C1909" s="67" t="s">
        <v>240</v>
      </c>
      <c r="D1909" s="69" t="s">
        <v>4354</v>
      </c>
      <c r="E1909" s="69" t="s">
        <v>4355</v>
      </c>
    </row>
    <row r="1910" spans="1:5" ht="45" x14ac:dyDescent="0.2">
      <c r="A1910" s="65" t="s">
        <v>4356</v>
      </c>
      <c r="B1910" s="65" t="s">
        <v>4357</v>
      </c>
      <c r="C1910" s="67" t="s">
        <v>240</v>
      </c>
      <c r="D1910" s="69" t="s">
        <v>4358</v>
      </c>
      <c r="E1910" s="69" t="s">
        <v>4360</v>
      </c>
    </row>
    <row r="1911" spans="1:5" ht="22.5" x14ac:dyDescent="0.2">
      <c r="A1911" s="50">
        <v>36.03</v>
      </c>
      <c r="B1911" s="64" t="s">
        <v>4361</v>
      </c>
      <c r="C1911" s="47"/>
      <c r="D1911" s="47"/>
      <c r="E1911" s="47"/>
    </row>
    <row r="1912" spans="1:5" ht="45" x14ac:dyDescent="0.2">
      <c r="A1912" s="65" t="s">
        <v>4362</v>
      </c>
      <c r="B1912" s="65" t="s">
        <v>4363</v>
      </c>
      <c r="C1912" s="67" t="s">
        <v>203</v>
      </c>
      <c r="D1912" s="69" t="s">
        <v>4364</v>
      </c>
      <c r="E1912" s="69" t="s">
        <v>4366</v>
      </c>
    </row>
    <row r="1913" spans="1:5" ht="45" x14ac:dyDescent="0.2">
      <c r="A1913" s="65" t="s">
        <v>4367</v>
      </c>
      <c r="B1913" s="66" t="s">
        <v>4368</v>
      </c>
      <c r="C1913" s="67" t="s">
        <v>203</v>
      </c>
      <c r="D1913" s="69" t="s">
        <v>4369</v>
      </c>
      <c r="E1913" s="69" t="s">
        <v>4370</v>
      </c>
    </row>
    <row r="1914" spans="1:5" ht="56.25" x14ac:dyDescent="0.2">
      <c r="A1914" s="65" t="s">
        <v>4371</v>
      </c>
      <c r="B1914" s="66" t="s">
        <v>4372</v>
      </c>
      <c r="C1914" s="67" t="s">
        <v>203</v>
      </c>
      <c r="D1914" s="69" t="s">
        <v>4373</v>
      </c>
      <c r="E1914" s="69" t="s">
        <v>4374</v>
      </c>
    </row>
    <row r="1915" spans="1:5" ht="56.25" x14ac:dyDescent="0.2">
      <c r="A1915" s="65" t="s">
        <v>4375</v>
      </c>
      <c r="B1915" s="66" t="s">
        <v>4376</v>
      </c>
      <c r="C1915" s="67" t="s">
        <v>203</v>
      </c>
      <c r="D1915" s="69" t="s">
        <v>4377</v>
      </c>
      <c r="E1915" s="69" t="s">
        <v>4378</v>
      </c>
    </row>
    <row r="1916" spans="1:5" ht="56.25" x14ac:dyDescent="0.2">
      <c r="A1916" s="65" t="s">
        <v>4379</v>
      </c>
      <c r="B1916" s="66" t="s">
        <v>4380</v>
      </c>
      <c r="C1916" s="67" t="s">
        <v>203</v>
      </c>
      <c r="D1916" s="69" t="s">
        <v>4381</v>
      </c>
      <c r="E1916" s="69" t="s">
        <v>4382</v>
      </c>
    </row>
    <row r="1917" spans="1:5" ht="56.25" x14ac:dyDescent="0.2">
      <c r="A1917" s="65" t="s">
        <v>4383</v>
      </c>
      <c r="B1917" s="66" t="s">
        <v>4384</v>
      </c>
      <c r="C1917" s="67" t="s">
        <v>203</v>
      </c>
      <c r="D1917" s="69" t="s">
        <v>4385</v>
      </c>
      <c r="E1917" s="69" t="s">
        <v>4386</v>
      </c>
    </row>
    <row r="1918" spans="1:5" ht="56.25" x14ac:dyDescent="0.2">
      <c r="A1918" s="65" t="s">
        <v>4387</v>
      </c>
      <c r="B1918" s="66" t="s">
        <v>4388</v>
      </c>
      <c r="C1918" s="67" t="s">
        <v>203</v>
      </c>
      <c r="D1918" s="69" t="s">
        <v>4389</v>
      </c>
      <c r="E1918" s="69" t="s">
        <v>4391</v>
      </c>
    </row>
    <row r="1919" spans="1:5" ht="67.5" x14ac:dyDescent="0.2">
      <c r="A1919" s="65" t="s">
        <v>4392</v>
      </c>
      <c r="B1919" s="66" t="s">
        <v>4393</v>
      </c>
      <c r="C1919" s="67" t="s">
        <v>203</v>
      </c>
      <c r="D1919" s="69" t="s">
        <v>4394</v>
      </c>
      <c r="E1919" s="69" t="s">
        <v>4395</v>
      </c>
    </row>
    <row r="1920" spans="1:5" ht="56.25" x14ac:dyDescent="0.2">
      <c r="A1920" s="65" t="s">
        <v>4396</v>
      </c>
      <c r="B1920" s="66" t="s">
        <v>4397</v>
      </c>
      <c r="C1920" s="67" t="s">
        <v>203</v>
      </c>
      <c r="D1920" s="69" t="s">
        <v>4398</v>
      </c>
      <c r="E1920" s="69" t="s">
        <v>4399</v>
      </c>
    </row>
    <row r="1921" spans="1:5" ht="45" x14ac:dyDescent="0.2">
      <c r="A1921" s="65" t="s">
        <v>4400</v>
      </c>
      <c r="B1921" s="65" t="s">
        <v>4401</v>
      </c>
      <c r="C1921" s="67" t="s">
        <v>203</v>
      </c>
      <c r="D1921" s="69" t="s">
        <v>4402</v>
      </c>
      <c r="E1921" s="69" t="s">
        <v>4403</v>
      </c>
    </row>
    <row r="1922" spans="1:5" ht="33.75" x14ac:dyDescent="0.2">
      <c r="A1922" s="65" t="s">
        <v>4404</v>
      </c>
      <c r="B1922" s="65" t="s">
        <v>4405</v>
      </c>
      <c r="C1922" s="67" t="s">
        <v>203</v>
      </c>
      <c r="D1922" s="69" t="s">
        <v>4406</v>
      </c>
      <c r="E1922" s="69" t="s">
        <v>4407</v>
      </c>
    </row>
    <row r="1923" spans="1:5" x14ac:dyDescent="0.2">
      <c r="A1923" s="50">
        <v>36.04</v>
      </c>
      <c r="B1923" s="64" t="s">
        <v>4408</v>
      </c>
      <c r="C1923" s="47"/>
      <c r="D1923" s="47"/>
      <c r="E1923" s="47"/>
    </row>
    <row r="1924" spans="1:5" ht="33.75" x14ac:dyDescent="0.2">
      <c r="A1924" s="65" t="s">
        <v>4409</v>
      </c>
      <c r="B1924" s="65" t="s">
        <v>4410</v>
      </c>
      <c r="C1924" s="67" t="s">
        <v>203</v>
      </c>
      <c r="D1924" s="69" t="s">
        <v>1522</v>
      </c>
      <c r="E1924" s="69" t="s">
        <v>4411</v>
      </c>
    </row>
    <row r="1925" spans="1:5" ht="33.75" x14ac:dyDescent="0.2">
      <c r="A1925" s="65" t="s">
        <v>4412</v>
      </c>
      <c r="B1925" s="65" t="s">
        <v>4413</v>
      </c>
      <c r="C1925" s="67" t="s">
        <v>203</v>
      </c>
      <c r="D1925" s="69" t="s">
        <v>4414</v>
      </c>
      <c r="E1925" s="69" t="s">
        <v>4415</v>
      </c>
    </row>
    <row r="1926" spans="1:5" ht="33.75" x14ac:dyDescent="0.2">
      <c r="A1926" s="65" t="s">
        <v>4416</v>
      </c>
      <c r="B1926" s="65" t="s">
        <v>4417</v>
      </c>
      <c r="C1926" s="67" t="s">
        <v>203</v>
      </c>
      <c r="D1926" s="69" t="s">
        <v>4418</v>
      </c>
      <c r="E1926" s="69" t="s">
        <v>4419</v>
      </c>
    </row>
    <row r="1927" spans="1:5" ht="33.75" x14ac:dyDescent="0.2">
      <c r="A1927" s="65" t="s">
        <v>4420</v>
      </c>
      <c r="B1927" s="65" t="s">
        <v>4421</v>
      </c>
      <c r="C1927" s="67" t="s">
        <v>203</v>
      </c>
      <c r="D1927" s="69" t="s">
        <v>4422</v>
      </c>
      <c r="E1927" s="69" t="s">
        <v>4423</v>
      </c>
    </row>
    <row r="1928" spans="1:5" x14ac:dyDescent="0.2">
      <c r="A1928" s="50">
        <v>36.049999999999997</v>
      </c>
      <c r="B1928" s="64" t="s">
        <v>4424</v>
      </c>
      <c r="C1928" s="47"/>
      <c r="D1928" s="47"/>
      <c r="E1928" s="47"/>
    </row>
    <row r="1929" spans="1:5" ht="33.75" x14ac:dyDescent="0.2">
      <c r="A1929" s="65" t="s">
        <v>4425</v>
      </c>
      <c r="B1929" s="65" t="s">
        <v>4426</v>
      </c>
      <c r="C1929" s="67" t="s">
        <v>203</v>
      </c>
      <c r="D1929" s="69" t="s">
        <v>4427</v>
      </c>
      <c r="E1929" s="69" t="s">
        <v>4428</v>
      </c>
    </row>
    <row r="1930" spans="1:5" ht="45" x14ac:dyDescent="0.2">
      <c r="A1930" s="65" t="s">
        <v>4429</v>
      </c>
      <c r="B1930" s="65" t="s">
        <v>4430</v>
      </c>
      <c r="C1930" s="67" t="s">
        <v>203</v>
      </c>
      <c r="D1930" s="69" t="s">
        <v>4431</v>
      </c>
      <c r="E1930" s="69" t="s">
        <v>4432</v>
      </c>
    </row>
    <row r="1931" spans="1:5" ht="33.75" x14ac:dyDescent="0.2">
      <c r="A1931" s="65" t="s">
        <v>4433</v>
      </c>
      <c r="B1931" s="65" t="s">
        <v>4434</v>
      </c>
      <c r="C1931" s="67" t="s">
        <v>203</v>
      </c>
      <c r="D1931" s="69" t="s">
        <v>4435</v>
      </c>
      <c r="E1931" s="69" t="s">
        <v>4436</v>
      </c>
    </row>
    <row r="1932" spans="1:5" ht="33.75" x14ac:dyDescent="0.2">
      <c r="A1932" s="65" t="s">
        <v>4437</v>
      </c>
      <c r="B1932" s="65" t="s">
        <v>4438</v>
      </c>
      <c r="C1932" s="67" t="s">
        <v>203</v>
      </c>
      <c r="D1932" s="69" t="s">
        <v>4439</v>
      </c>
      <c r="E1932" s="69" t="s">
        <v>4440</v>
      </c>
    </row>
    <row r="1933" spans="1:5" ht="22.5" x14ac:dyDescent="0.2">
      <c r="A1933" s="65" t="s">
        <v>4441</v>
      </c>
      <c r="B1933" s="65" t="s">
        <v>4442</v>
      </c>
      <c r="C1933" s="67" t="s">
        <v>203</v>
      </c>
      <c r="D1933" s="69" t="s">
        <v>4443</v>
      </c>
      <c r="E1933" s="69" t="s">
        <v>4444</v>
      </c>
    </row>
    <row r="1934" spans="1:5" ht="22.5" x14ac:dyDescent="0.2">
      <c r="A1934" s="65" t="s">
        <v>4445</v>
      </c>
      <c r="B1934" s="65" t="s">
        <v>4446</v>
      </c>
      <c r="C1934" s="67" t="s">
        <v>203</v>
      </c>
      <c r="D1934" s="69" t="s">
        <v>4447</v>
      </c>
      <c r="E1934" s="69" t="s">
        <v>4448</v>
      </c>
    </row>
    <row r="1935" spans="1:5" x14ac:dyDescent="0.2">
      <c r="A1935" s="50">
        <v>36.06</v>
      </c>
      <c r="B1935" s="64" t="s">
        <v>4449</v>
      </c>
      <c r="C1935" s="47"/>
      <c r="D1935" s="47"/>
      <c r="E1935" s="47"/>
    </row>
    <row r="1936" spans="1:5" ht="45" x14ac:dyDescent="0.2">
      <c r="A1936" s="65" t="s">
        <v>4450</v>
      </c>
      <c r="B1936" s="65" t="s">
        <v>4451</v>
      </c>
      <c r="C1936" s="67" t="s">
        <v>240</v>
      </c>
      <c r="D1936" s="69" t="s">
        <v>4452</v>
      </c>
      <c r="E1936" s="69" t="s">
        <v>4453</v>
      </c>
    </row>
    <row r="1937" spans="1:5" ht="45" x14ac:dyDescent="0.2">
      <c r="A1937" s="65" t="s">
        <v>4454</v>
      </c>
      <c r="B1937" s="65" t="s">
        <v>4455</v>
      </c>
      <c r="C1937" s="67" t="s">
        <v>240</v>
      </c>
      <c r="D1937" s="69" t="s">
        <v>4456</v>
      </c>
      <c r="E1937" s="69" t="s">
        <v>4457</v>
      </c>
    </row>
    <row r="1938" spans="1:5" ht="22.5" x14ac:dyDescent="0.2">
      <c r="A1938" s="50">
        <v>36.07</v>
      </c>
      <c r="B1938" s="64" t="s">
        <v>4458</v>
      </c>
      <c r="C1938" s="47"/>
      <c r="D1938" s="47"/>
      <c r="E1938" s="47"/>
    </row>
    <row r="1939" spans="1:5" ht="67.5" x14ac:dyDescent="0.2">
      <c r="A1939" s="65" t="s">
        <v>4459</v>
      </c>
      <c r="B1939" s="66" t="s">
        <v>4460</v>
      </c>
      <c r="C1939" s="67" t="s">
        <v>203</v>
      </c>
      <c r="D1939" s="69" t="s">
        <v>4461</v>
      </c>
      <c r="E1939" s="69" t="s">
        <v>4463</v>
      </c>
    </row>
    <row r="1940" spans="1:5" ht="67.5" x14ac:dyDescent="0.2">
      <c r="A1940" s="65" t="s">
        <v>4464</v>
      </c>
      <c r="B1940" s="66" t="s">
        <v>4465</v>
      </c>
      <c r="C1940" s="67" t="s">
        <v>203</v>
      </c>
      <c r="D1940" s="69" t="s">
        <v>4466</v>
      </c>
      <c r="E1940" s="69" t="s">
        <v>4015</v>
      </c>
    </row>
    <row r="1941" spans="1:5" ht="67.5" x14ac:dyDescent="0.2">
      <c r="A1941" s="65" t="s">
        <v>4467</v>
      </c>
      <c r="B1941" s="66" t="s">
        <v>4468</v>
      </c>
      <c r="C1941" s="67" t="s">
        <v>203</v>
      </c>
      <c r="D1941" s="69" t="s">
        <v>4469</v>
      </c>
      <c r="E1941" s="69" t="s">
        <v>4470</v>
      </c>
    </row>
    <row r="1942" spans="1:5" ht="67.5" x14ac:dyDescent="0.2">
      <c r="A1942" s="65" t="s">
        <v>4471</v>
      </c>
      <c r="B1942" s="66" t="s">
        <v>4472</v>
      </c>
      <c r="C1942" s="67" t="s">
        <v>203</v>
      </c>
      <c r="D1942" s="69" t="s">
        <v>4473</v>
      </c>
      <c r="E1942" s="69" t="s">
        <v>4474</v>
      </c>
    </row>
    <row r="1943" spans="1:5" ht="22.5" x14ac:dyDescent="0.2">
      <c r="A1943" s="50">
        <v>36.08</v>
      </c>
      <c r="B1943" s="64" t="s">
        <v>4475</v>
      </c>
      <c r="C1943" s="47"/>
      <c r="D1943" s="47"/>
      <c r="E1943" s="47"/>
    </row>
    <row r="1944" spans="1:5" ht="56.25" x14ac:dyDescent="0.2">
      <c r="A1944" s="65" t="s">
        <v>4476</v>
      </c>
      <c r="B1944" s="66" t="s">
        <v>4477</v>
      </c>
      <c r="C1944" s="67" t="s">
        <v>203</v>
      </c>
      <c r="D1944" s="69" t="s">
        <v>4478</v>
      </c>
      <c r="E1944" s="69" t="s">
        <v>4480</v>
      </c>
    </row>
    <row r="1945" spans="1:5" ht="56.25" x14ac:dyDescent="0.2">
      <c r="A1945" s="65" t="s">
        <v>4481</v>
      </c>
      <c r="B1945" s="66" t="s">
        <v>4482</v>
      </c>
      <c r="C1945" s="67" t="s">
        <v>203</v>
      </c>
      <c r="D1945" s="69" t="s">
        <v>4483</v>
      </c>
      <c r="E1945" s="69" t="s">
        <v>4484</v>
      </c>
    </row>
    <row r="1946" spans="1:5" ht="56.25" x14ac:dyDescent="0.2">
      <c r="A1946" s="65" t="s">
        <v>4485</v>
      </c>
      <c r="B1946" s="66" t="s">
        <v>4486</v>
      </c>
      <c r="C1946" s="67" t="s">
        <v>203</v>
      </c>
      <c r="D1946" s="69" t="s">
        <v>4487</v>
      </c>
      <c r="E1946" s="69" t="s">
        <v>4488</v>
      </c>
    </row>
    <row r="1947" spans="1:5" ht="56.25" x14ac:dyDescent="0.2">
      <c r="A1947" s="65" t="s">
        <v>4489</v>
      </c>
      <c r="B1947" s="66" t="s">
        <v>4490</v>
      </c>
      <c r="C1947" s="67" t="s">
        <v>203</v>
      </c>
      <c r="D1947" s="69" t="s">
        <v>4491</v>
      </c>
      <c r="E1947" s="69" t="s">
        <v>4492</v>
      </c>
    </row>
    <row r="1948" spans="1:5" ht="56.25" x14ac:dyDescent="0.2">
      <c r="A1948" s="65" t="s">
        <v>4493</v>
      </c>
      <c r="B1948" s="66" t="s">
        <v>4494</v>
      </c>
      <c r="C1948" s="67" t="s">
        <v>203</v>
      </c>
      <c r="D1948" s="69" t="s">
        <v>4495</v>
      </c>
      <c r="E1948" s="69" t="s">
        <v>4497</v>
      </c>
    </row>
    <row r="1949" spans="1:5" ht="56.25" x14ac:dyDescent="0.2">
      <c r="A1949" s="65" t="s">
        <v>4498</v>
      </c>
      <c r="B1949" s="66" t="s">
        <v>4499</v>
      </c>
      <c r="C1949" s="67" t="s">
        <v>203</v>
      </c>
      <c r="D1949" s="69" t="s">
        <v>4500</v>
      </c>
      <c r="E1949" s="69" t="s">
        <v>4501</v>
      </c>
    </row>
    <row r="1950" spans="1:5" ht="56.25" x14ac:dyDescent="0.2">
      <c r="A1950" s="65" t="s">
        <v>4502</v>
      </c>
      <c r="B1950" s="66" t="s">
        <v>4503</v>
      </c>
      <c r="C1950" s="67" t="s">
        <v>203</v>
      </c>
      <c r="D1950" s="69" t="s">
        <v>4504</v>
      </c>
      <c r="E1950" s="69" t="s">
        <v>4506</v>
      </c>
    </row>
    <row r="1951" spans="1:5" ht="56.25" x14ac:dyDescent="0.2">
      <c r="A1951" s="65" t="s">
        <v>4507</v>
      </c>
      <c r="B1951" s="66" t="s">
        <v>4508</v>
      </c>
      <c r="C1951" s="67" t="s">
        <v>203</v>
      </c>
      <c r="D1951" s="69" t="s">
        <v>4509</v>
      </c>
      <c r="E1951" s="69" t="s">
        <v>4510</v>
      </c>
    </row>
    <row r="1952" spans="1:5" ht="56.25" x14ac:dyDescent="0.2">
      <c r="A1952" s="65" t="s">
        <v>4511</v>
      </c>
      <c r="B1952" s="66" t="s">
        <v>4512</v>
      </c>
      <c r="C1952" s="67" t="s">
        <v>203</v>
      </c>
      <c r="D1952" s="69" t="s">
        <v>4513</v>
      </c>
      <c r="E1952" s="69" t="s">
        <v>4515</v>
      </c>
    </row>
    <row r="1953" spans="1:5" ht="56.25" x14ac:dyDescent="0.2">
      <c r="A1953" s="65" t="s">
        <v>4516</v>
      </c>
      <c r="B1953" s="66" t="s">
        <v>4517</v>
      </c>
      <c r="C1953" s="67" t="s">
        <v>203</v>
      </c>
      <c r="D1953" s="69" t="s">
        <v>4518</v>
      </c>
      <c r="E1953" s="69" t="s">
        <v>4519</v>
      </c>
    </row>
    <row r="1954" spans="1:5" ht="22.5" x14ac:dyDescent="0.2">
      <c r="A1954" s="50">
        <v>36.090000000000003</v>
      </c>
      <c r="B1954" s="64" t="s">
        <v>4520</v>
      </c>
      <c r="C1954" s="47"/>
      <c r="D1954" s="47"/>
      <c r="E1954" s="47"/>
    </row>
    <row r="1955" spans="1:5" ht="45" x14ac:dyDescent="0.2">
      <c r="A1955" s="65" t="s">
        <v>4521</v>
      </c>
      <c r="B1955" s="65" t="s">
        <v>4522</v>
      </c>
      <c r="C1955" s="67" t="s">
        <v>203</v>
      </c>
      <c r="D1955" s="69" t="s">
        <v>4523</v>
      </c>
      <c r="E1955" s="69" t="s">
        <v>4524</v>
      </c>
    </row>
    <row r="1956" spans="1:5" ht="45" x14ac:dyDescent="0.2">
      <c r="A1956" s="65" t="s">
        <v>4525</v>
      </c>
      <c r="B1956" s="65" t="s">
        <v>4526</v>
      </c>
      <c r="C1956" s="76" t="s">
        <v>203</v>
      </c>
      <c r="D1956" s="69" t="s">
        <v>4527</v>
      </c>
      <c r="E1956" s="69" t="s">
        <v>4528</v>
      </c>
    </row>
    <row r="1957" spans="1:5" ht="45" x14ac:dyDescent="0.2">
      <c r="A1957" s="65" t="s">
        <v>4529</v>
      </c>
      <c r="B1957" s="65" t="s">
        <v>4530</v>
      </c>
      <c r="C1957" s="76" t="s">
        <v>203</v>
      </c>
      <c r="D1957" s="69" t="s">
        <v>4531</v>
      </c>
      <c r="E1957" s="69" t="s">
        <v>4533</v>
      </c>
    </row>
    <row r="1958" spans="1:5" ht="56.25" x14ac:dyDescent="0.2">
      <c r="A1958" s="65" t="s">
        <v>4534</v>
      </c>
      <c r="B1958" s="66" t="s">
        <v>4535</v>
      </c>
      <c r="C1958" s="76" t="s">
        <v>203</v>
      </c>
      <c r="D1958" s="69" t="s">
        <v>4536</v>
      </c>
      <c r="E1958" s="69" t="s">
        <v>4537</v>
      </c>
    </row>
    <row r="1959" spans="1:5" ht="56.25" x14ac:dyDescent="0.2">
      <c r="A1959" s="65" t="s">
        <v>4538</v>
      </c>
      <c r="B1959" s="66" t="s">
        <v>4539</v>
      </c>
      <c r="C1959" s="76" t="s">
        <v>203</v>
      </c>
      <c r="D1959" s="69" t="s">
        <v>4540</v>
      </c>
      <c r="E1959" s="69" t="s">
        <v>4542</v>
      </c>
    </row>
    <row r="1960" spans="1:5" ht="56.25" x14ac:dyDescent="0.2">
      <c r="A1960" s="65" t="s">
        <v>4543</v>
      </c>
      <c r="B1960" s="66" t="s">
        <v>4544</v>
      </c>
      <c r="C1960" s="76" t="s">
        <v>203</v>
      </c>
      <c r="D1960" s="69" t="s">
        <v>4545</v>
      </c>
      <c r="E1960" s="69" t="s">
        <v>4546</v>
      </c>
    </row>
    <row r="1961" spans="1:5" ht="45" x14ac:dyDescent="0.2">
      <c r="A1961" s="65" t="s">
        <v>4547</v>
      </c>
      <c r="B1961" s="65" t="s">
        <v>4548</v>
      </c>
      <c r="C1961" s="76" t="s">
        <v>203</v>
      </c>
      <c r="D1961" s="69" t="s">
        <v>4549</v>
      </c>
      <c r="E1961" s="69" t="s">
        <v>4550</v>
      </c>
    </row>
    <row r="1962" spans="1:5" ht="45" x14ac:dyDescent="0.2">
      <c r="A1962" s="65" t="s">
        <v>4551</v>
      </c>
      <c r="B1962" s="65" t="s">
        <v>4552</v>
      </c>
      <c r="C1962" s="76" t="s">
        <v>203</v>
      </c>
      <c r="D1962" s="69" t="s">
        <v>4553</v>
      </c>
      <c r="E1962" s="69" t="s">
        <v>4554</v>
      </c>
    </row>
    <row r="1963" spans="1:5" ht="45" x14ac:dyDescent="0.2">
      <c r="A1963" s="65" t="s">
        <v>4555</v>
      </c>
      <c r="B1963" s="65" t="s">
        <v>4556</v>
      </c>
      <c r="C1963" s="76" t="s">
        <v>203</v>
      </c>
      <c r="D1963" s="69" t="s">
        <v>4557</v>
      </c>
      <c r="E1963" s="69" t="s">
        <v>4558</v>
      </c>
    </row>
    <row r="1964" spans="1:5" ht="56.25" x14ac:dyDescent="0.2">
      <c r="A1964" s="65" t="s">
        <v>4559</v>
      </c>
      <c r="B1964" s="66" t="s">
        <v>4560</v>
      </c>
      <c r="C1964" s="76" t="s">
        <v>203</v>
      </c>
      <c r="D1964" s="69" t="s">
        <v>4561</v>
      </c>
      <c r="E1964" s="69" t="s">
        <v>4562</v>
      </c>
    </row>
    <row r="1965" spans="1:5" ht="56.25" x14ac:dyDescent="0.2">
      <c r="A1965" s="65" t="s">
        <v>4563</v>
      </c>
      <c r="B1965" s="66" t="s">
        <v>4564</v>
      </c>
      <c r="C1965" s="76" t="s">
        <v>203</v>
      </c>
      <c r="D1965" s="69" t="s">
        <v>4565</v>
      </c>
      <c r="E1965" s="69" t="s">
        <v>4566</v>
      </c>
    </row>
    <row r="1966" spans="1:5" ht="45" x14ac:dyDescent="0.2">
      <c r="A1966" s="65" t="s">
        <v>4567</v>
      </c>
      <c r="B1966" s="65" t="s">
        <v>4568</v>
      </c>
      <c r="C1966" s="76" t="s">
        <v>203</v>
      </c>
      <c r="D1966" s="69" t="s">
        <v>4569</v>
      </c>
      <c r="E1966" s="69" t="s">
        <v>4570</v>
      </c>
    </row>
    <row r="1967" spans="1:5" ht="45" x14ac:dyDescent="0.2">
      <c r="A1967" s="65" t="s">
        <v>4571</v>
      </c>
      <c r="B1967" s="65" t="s">
        <v>4572</v>
      </c>
      <c r="C1967" s="76" t="s">
        <v>203</v>
      </c>
      <c r="D1967" s="69" t="s">
        <v>4573</v>
      </c>
      <c r="E1967" s="69" t="s">
        <v>4574</v>
      </c>
    </row>
    <row r="1968" spans="1:5" ht="45" x14ac:dyDescent="0.2">
      <c r="A1968" s="65" t="s">
        <v>4575</v>
      </c>
      <c r="B1968" s="65" t="s">
        <v>4576</v>
      </c>
      <c r="C1968" s="76" t="s">
        <v>203</v>
      </c>
      <c r="D1968" s="69" t="s">
        <v>4577</v>
      </c>
      <c r="E1968" s="69" t="s">
        <v>4578</v>
      </c>
    </row>
    <row r="1969" spans="1:5" ht="45" x14ac:dyDescent="0.2">
      <c r="A1969" s="65" t="s">
        <v>4579</v>
      </c>
      <c r="B1969" s="65" t="s">
        <v>4580</v>
      </c>
      <c r="C1969" s="76" t="s">
        <v>203</v>
      </c>
      <c r="D1969" s="69" t="s">
        <v>4581</v>
      </c>
      <c r="E1969" s="69" t="s">
        <v>4582</v>
      </c>
    </row>
    <row r="1970" spans="1:5" ht="45" x14ac:dyDescent="0.2">
      <c r="A1970" s="65" t="s">
        <v>4583</v>
      </c>
      <c r="B1970" s="65" t="s">
        <v>4584</v>
      </c>
      <c r="C1970" s="76" t="s">
        <v>203</v>
      </c>
      <c r="D1970" s="69" t="s">
        <v>4585</v>
      </c>
      <c r="E1970" s="69" t="s">
        <v>4586</v>
      </c>
    </row>
    <row r="1971" spans="1:5" ht="56.25" x14ac:dyDescent="0.2">
      <c r="A1971" s="65" t="s">
        <v>4587</v>
      </c>
      <c r="B1971" s="66" t="s">
        <v>4588</v>
      </c>
      <c r="C1971" s="76" t="s">
        <v>203</v>
      </c>
      <c r="D1971" s="69" t="s">
        <v>4589</v>
      </c>
      <c r="E1971" s="69" t="s">
        <v>4590</v>
      </c>
    </row>
    <row r="1972" spans="1:5" ht="67.5" x14ac:dyDescent="0.2">
      <c r="A1972" s="65" t="s">
        <v>4591</v>
      </c>
      <c r="B1972" s="66" t="s">
        <v>4592</v>
      </c>
      <c r="C1972" s="76" t="s">
        <v>203</v>
      </c>
      <c r="D1972" s="69" t="s">
        <v>4593</v>
      </c>
      <c r="E1972" s="69" t="s">
        <v>4594</v>
      </c>
    </row>
    <row r="1973" spans="1:5" ht="67.5" x14ac:dyDescent="0.2">
      <c r="A1973" s="65" t="s">
        <v>4595</v>
      </c>
      <c r="B1973" s="66" t="s">
        <v>4596</v>
      </c>
      <c r="C1973" s="76" t="s">
        <v>203</v>
      </c>
      <c r="D1973" s="69" t="s">
        <v>4597</v>
      </c>
      <c r="E1973" s="69" t="s">
        <v>4598</v>
      </c>
    </row>
    <row r="1974" spans="1:5" ht="45" x14ac:dyDescent="0.2">
      <c r="A1974" s="50">
        <v>36.200000000000003</v>
      </c>
      <c r="B1974" s="64" t="s">
        <v>4599</v>
      </c>
      <c r="C1974" s="47"/>
      <c r="D1974" s="47"/>
      <c r="E1974" s="47"/>
    </row>
    <row r="1975" spans="1:5" ht="33.75" x14ac:dyDescent="0.2">
      <c r="A1975" s="65" t="s">
        <v>4600</v>
      </c>
      <c r="B1975" s="65" t="s">
        <v>4601</v>
      </c>
      <c r="C1975" s="76" t="s">
        <v>221</v>
      </c>
      <c r="D1975" s="69" t="s">
        <v>4602</v>
      </c>
      <c r="E1975" s="69" t="s">
        <v>4603</v>
      </c>
    </row>
    <row r="1976" spans="1:5" ht="33.75" x14ac:dyDescent="0.2">
      <c r="A1976" s="65" t="s">
        <v>4604</v>
      </c>
      <c r="B1976" s="65" t="s">
        <v>4605</v>
      </c>
      <c r="C1976" s="76" t="s">
        <v>203</v>
      </c>
      <c r="D1976" s="69" t="s">
        <v>4606</v>
      </c>
      <c r="E1976" s="69" t="s">
        <v>4607</v>
      </c>
    </row>
    <row r="1977" spans="1:5" ht="22.5" x14ac:dyDescent="0.2">
      <c r="A1977" s="65" t="s">
        <v>4608</v>
      </c>
      <c r="B1977" s="65" t="s">
        <v>4609</v>
      </c>
      <c r="C1977" s="76" t="s">
        <v>203</v>
      </c>
      <c r="D1977" s="69" t="s">
        <v>4610</v>
      </c>
      <c r="E1977" s="69" t="s">
        <v>4612</v>
      </c>
    </row>
    <row r="1978" spans="1:5" ht="33.75" x14ac:dyDescent="0.2">
      <c r="A1978" s="65" t="s">
        <v>4613</v>
      </c>
      <c r="B1978" s="65" t="s">
        <v>4614</v>
      </c>
      <c r="C1978" s="76" t="s">
        <v>203</v>
      </c>
      <c r="D1978" s="69" t="s">
        <v>4615</v>
      </c>
      <c r="E1978" s="69" t="s">
        <v>4616</v>
      </c>
    </row>
    <row r="1979" spans="1:5" ht="33.75" x14ac:dyDescent="0.2">
      <c r="A1979" s="65" t="s">
        <v>4617</v>
      </c>
      <c r="B1979" s="65" t="s">
        <v>4618</v>
      </c>
      <c r="C1979" s="76" t="s">
        <v>203</v>
      </c>
      <c r="D1979" s="69" t="s">
        <v>306</v>
      </c>
      <c r="E1979" s="69" t="s">
        <v>1206</v>
      </c>
    </row>
    <row r="1980" spans="1:5" ht="22.5" x14ac:dyDescent="0.2">
      <c r="A1980" s="65" t="s">
        <v>4619</v>
      </c>
      <c r="B1980" s="65" t="s">
        <v>4620</v>
      </c>
      <c r="C1980" s="76" t="s">
        <v>203</v>
      </c>
      <c r="D1980" s="69" t="s">
        <v>4621</v>
      </c>
      <c r="E1980" s="69" t="s">
        <v>4622</v>
      </c>
    </row>
    <row r="1981" spans="1:5" ht="45" x14ac:dyDescent="0.2">
      <c r="A1981" s="65" t="s">
        <v>4623</v>
      </c>
      <c r="B1981" s="65" t="s">
        <v>4624</v>
      </c>
      <c r="C1981" s="76" t="s">
        <v>203</v>
      </c>
      <c r="D1981" s="69" t="s">
        <v>4625</v>
      </c>
      <c r="E1981" s="69" t="s">
        <v>4626</v>
      </c>
    </row>
    <row r="1982" spans="1:5" ht="45" x14ac:dyDescent="0.2">
      <c r="A1982" s="65" t="s">
        <v>4627</v>
      </c>
      <c r="B1982" s="65" t="s">
        <v>4628</v>
      </c>
      <c r="C1982" s="76" t="s">
        <v>203</v>
      </c>
      <c r="D1982" s="69" t="s">
        <v>4629</v>
      </c>
      <c r="E1982" s="69" t="s">
        <v>4630</v>
      </c>
    </row>
    <row r="1983" spans="1:5" ht="33.75" x14ac:dyDescent="0.2">
      <c r="A1983" s="65" t="s">
        <v>4631</v>
      </c>
      <c r="B1983" s="65" t="s">
        <v>4632</v>
      </c>
      <c r="C1983" s="76" t="s">
        <v>203</v>
      </c>
      <c r="D1983" s="69" t="s">
        <v>4633</v>
      </c>
      <c r="E1983" s="69" t="s">
        <v>4634</v>
      </c>
    </row>
    <row r="1984" spans="1:5" ht="22.5" x14ac:dyDescent="0.2">
      <c r="A1984" s="65" t="s">
        <v>4635</v>
      </c>
      <c r="B1984" s="65" t="s">
        <v>4636</v>
      </c>
      <c r="C1984" s="76" t="s">
        <v>203</v>
      </c>
      <c r="D1984" s="69" t="s">
        <v>4637</v>
      </c>
      <c r="E1984" s="69" t="s">
        <v>4638</v>
      </c>
    </row>
    <row r="1985" spans="1:5" ht="33.75" x14ac:dyDescent="0.2">
      <c r="A1985" s="65" t="s">
        <v>4639</v>
      </c>
      <c r="B1985" s="65" t="s">
        <v>4640</v>
      </c>
      <c r="C1985" s="77" t="s">
        <v>4641</v>
      </c>
      <c r="D1985" s="69" t="s">
        <v>4642</v>
      </c>
      <c r="E1985" s="69" t="s">
        <v>4643</v>
      </c>
    </row>
    <row r="1986" spans="1:5" ht="22.5" x14ac:dyDescent="0.2">
      <c r="A1986" s="65" t="s">
        <v>4644</v>
      </c>
      <c r="B1986" s="65" t="s">
        <v>4645</v>
      </c>
      <c r="C1986" s="76" t="s">
        <v>203</v>
      </c>
      <c r="D1986" s="69" t="s">
        <v>4646</v>
      </c>
      <c r="E1986" s="69" t="s">
        <v>4647</v>
      </c>
    </row>
    <row r="1987" spans="1:5" ht="22.5" x14ac:dyDescent="0.2">
      <c r="A1987" s="65" t="s">
        <v>4648</v>
      </c>
      <c r="B1987" s="65" t="s">
        <v>4649</v>
      </c>
      <c r="C1987" s="77" t="s">
        <v>4641</v>
      </c>
      <c r="D1987" s="69" t="s">
        <v>4650</v>
      </c>
      <c r="E1987" s="69" t="s">
        <v>4651</v>
      </c>
    </row>
    <row r="1988" spans="1:5" ht="22.5" x14ac:dyDescent="0.2">
      <c r="A1988" s="65" t="s">
        <v>4652</v>
      </c>
      <c r="B1988" s="65" t="s">
        <v>4653</v>
      </c>
      <c r="C1988" s="76" t="s">
        <v>203</v>
      </c>
      <c r="D1988" s="73"/>
      <c r="E1988" s="69" t="s">
        <v>4654</v>
      </c>
    </row>
    <row r="1989" spans="1:5" x14ac:dyDescent="0.2">
      <c r="A1989" s="65" t="s">
        <v>4655</v>
      </c>
      <c r="B1989" s="65" t="s">
        <v>4656</v>
      </c>
      <c r="C1989" s="76" t="s">
        <v>338</v>
      </c>
      <c r="D1989" s="69" t="s">
        <v>4657</v>
      </c>
      <c r="E1989" s="69" t="s">
        <v>3666</v>
      </c>
    </row>
    <row r="1990" spans="1:5" ht="22.5" x14ac:dyDescent="0.2">
      <c r="A1990" s="65" t="s">
        <v>4658</v>
      </c>
      <c r="B1990" s="65" t="s">
        <v>4659</v>
      </c>
      <c r="C1990" s="76" t="s">
        <v>338</v>
      </c>
      <c r="D1990" s="69" t="s">
        <v>4657</v>
      </c>
      <c r="E1990" s="69" t="s">
        <v>4661</v>
      </c>
    </row>
    <row r="1991" spans="1:5" ht="56.25" x14ac:dyDescent="0.2">
      <c r="A1991" s="65" t="s">
        <v>4662</v>
      </c>
      <c r="B1991" s="66" t="s">
        <v>4663</v>
      </c>
      <c r="C1991" s="76" t="s">
        <v>204</v>
      </c>
      <c r="D1991" s="69" t="s">
        <v>4664</v>
      </c>
      <c r="E1991" s="69" t="s">
        <v>4665</v>
      </c>
    </row>
    <row r="1992" spans="1:5" ht="56.25" x14ac:dyDescent="0.2">
      <c r="A1992" s="65" t="s">
        <v>4666</v>
      </c>
      <c r="B1992" s="66" t="s">
        <v>4667</v>
      </c>
      <c r="C1992" s="74" t="s">
        <v>204</v>
      </c>
      <c r="D1992" s="69" t="s">
        <v>4668</v>
      </c>
      <c r="E1992" s="69" t="s">
        <v>4669</v>
      </c>
    </row>
    <row r="1993" spans="1:5" ht="33.75" x14ac:dyDescent="0.2">
      <c r="A1993" s="65" t="s">
        <v>4670</v>
      </c>
      <c r="B1993" s="65" t="s">
        <v>4671</v>
      </c>
      <c r="C1993" s="78" t="s">
        <v>4641</v>
      </c>
      <c r="D1993" s="69" t="s">
        <v>4672</v>
      </c>
      <c r="E1993" s="69" t="s">
        <v>4673</v>
      </c>
    </row>
    <row r="1994" spans="1:5" ht="22.5" x14ac:dyDescent="0.2">
      <c r="A1994" s="65" t="s">
        <v>4674</v>
      </c>
      <c r="B1994" s="65" t="s">
        <v>4675</v>
      </c>
      <c r="C1994" s="74" t="s">
        <v>203</v>
      </c>
      <c r="D1994" s="69" t="s">
        <v>4676</v>
      </c>
      <c r="E1994" s="69" t="s">
        <v>4677</v>
      </c>
    </row>
    <row r="1995" spans="1:5" ht="22.5" x14ac:dyDescent="0.2">
      <c r="A1995" s="65" t="s">
        <v>4678</v>
      </c>
      <c r="B1995" s="65" t="s">
        <v>4679</v>
      </c>
      <c r="C1995" s="74" t="s">
        <v>203</v>
      </c>
      <c r="D1995" s="69" t="s">
        <v>4680</v>
      </c>
      <c r="E1995" s="69" t="s">
        <v>4681</v>
      </c>
    </row>
    <row r="1996" spans="1:5" ht="33.75" x14ac:dyDescent="0.2">
      <c r="A1996" s="65" t="s">
        <v>4682</v>
      </c>
      <c r="B1996" s="65" t="s">
        <v>4683</v>
      </c>
      <c r="C1996" s="74" t="s">
        <v>203</v>
      </c>
      <c r="D1996" s="69" t="s">
        <v>4684</v>
      </c>
      <c r="E1996" s="69" t="s">
        <v>4685</v>
      </c>
    </row>
    <row r="1997" spans="1:5" ht="33.75" x14ac:dyDescent="0.2">
      <c r="A1997" s="65" t="s">
        <v>4686</v>
      </c>
      <c r="B1997" s="65" t="s">
        <v>4687</v>
      </c>
      <c r="C1997" s="74" t="s">
        <v>203</v>
      </c>
      <c r="D1997" s="69" t="s">
        <v>4688</v>
      </c>
      <c r="E1997" s="69" t="s">
        <v>4689</v>
      </c>
    </row>
    <row r="1998" spans="1:5" ht="45" x14ac:dyDescent="0.2">
      <c r="A1998" s="65" t="s">
        <v>4690</v>
      </c>
      <c r="B1998" s="65" t="s">
        <v>4691</v>
      </c>
      <c r="C1998" s="74" t="s">
        <v>203</v>
      </c>
      <c r="D1998" s="69" t="s">
        <v>4692</v>
      </c>
      <c r="E1998" s="69" t="s">
        <v>4693</v>
      </c>
    </row>
    <row r="1999" spans="1:5" ht="33.75" x14ac:dyDescent="0.2">
      <c r="A1999" s="65" t="s">
        <v>4694</v>
      </c>
      <c r="B1999" s="65" t="s">
        <v>4695</v>
      </c>
      <c r="C1999" s="74" t="s">
        <v>203</v>
      </c>
      <c r="D1999" s="69" t="s">
        <v>4696</v>
      </c>
      <c r="E1999" s="69" t="s">
        <v>4697</v>
      </c>
    </row>
    <row r="2000" spans="1:5" ht="33.75" x14ac:dyDescent="0.2">
      <c r="A2000" s="65" t="s">
        <v>4698</v>
      </c>
      <c r="B2000" s="65" t="s">
        <v>4699</v>
      </c>
      <c r="C2000" s="74" t="s">
        <v>203</v>
      </c>
      <c r="D2000" s="69" t="s">
        <v>4700</v>
      </c>
      <c r="E2000" s="69" t="s">
        <v>4701</v>
      </c>
    </row>
    <row r="2001" spans="1:5" ht="33.75" x14ac:dyDescent="0.2">
      <c r="A2001" s="65" t="s">
        <v>4702</v>
      </c>
      <c r="B2001" s="65" t="s">
        <v>4703</v>
      </c>
      <c r="C2001" s="74" t="s">
        <v>203</v>
      </c>
      <c r="D2001" s="69" t="s">
        <v>4704</v>
      </c>
      <c r="E2001" s="69" t="s">
        <v>4705</v>
      </c>
    </row>
    <row r="2002" spans="1:5" ht="33.75" x14ac:dyDescent="0.2">
      <c r="A2002" s="49">
        <v>37</v>
      </c>
      <c r="B2002" s="64" t="s">
        <v>4706</v>
      </c>
      <c r="C2002" s="47"/>
      <c r="D2002" s="47"/>
      <c r="E2002" s="47"/>
    </row>
    <row r="2003" spans="1:5" ht="45" x14ac:dyDescent="0.2">
      <c r="A2003" s="50">
        <v>37.01</v>
      </c>
      <c r="B2003" s="64" t="s">
        <v>4707</v>
      </c>
      <c r="C2003" s="47"/>
      <c r="D2003" s="47"/>
      <c r="E2003" s="47"/>
    </row>
    <row r="2004" spans="1:5" ht="33.75" x14ac:dyDescent="0.2">
      <c r="A2004" s="65" t="s">
        <v>4708</v>
      </c>
      <c r="B2004" s="65" t="s">
        <v>4709</v>
      </c>
      <c r="C2004" s="74" t="s">
        <v>203</v>
      </c>
      <c r="D2004" s="69" t="s">
        <v>4710</v>
      </c>
      <c r="E2004" s="69" t="s">
        <v>4712</v>
      </c>
    </row>
    <row r="2005" spans="1:5" ht="33.75" x14ac:dyDescent="0.2">
      <c r="A2005" s="65" t="s">
        <v>4713</v>
      </c>
      <c r="B2005" s="65" t="s">
        <v>4714</v>
      </c>
      <c r="C2005" s="74" t="s">
        <v>203</v>
      </c>
      <c r="D2005" s="69" t="s">
        <v>4715</v>
      </c>
      <c r="E2005" s="69" t="s">
        <v>4717</v>
      </c>
    </row>
    <row r="2006" spans="1:5" ht="33.75" x14ac:dyDescent="0.2">
      <c r="A2006" s="65" t="s">
        <v>4718</v>
      </c>
      <c r="B2006" s="65" t="s">
        <v>4719</v>
      </c>
      <c r="C2006" s="74" t="s">
        <v>203</v>
      </c>
      <c r="D2006" s="69" t="s">
        <v>4720</v>
      </c>
      <c r="E2006" s="69" t="s">
        <v>4722</v>
      </c>
    </row>
    <row r="2007" spans="1:5" ht="33.75" x14ac:dyDescent="0.2">
      <c r="A2007" s="65" t="s">
        <v>4723</v>
      </c>
      <c r="B2007" s="65" t="s">
        <v>4724</v>
      </c>
      <c r="C2007" s="74" t="s">
        <v>203</v>
      </c>
      <c r="D2007" s="69" t="s">
        <v>4725</v>
      </c>
      <c r="E2007" s="69" t="s">
        <v>4727</v>
      </c>
    </row>
    <row r="2008" spans="1:5" ht="33.75" x14ac:dyDescent="0.2">
      <c r="A2008" s="65" t="s">
        <v>4728</v>
      </c>
      <c r="B2008" s="65" t="s">
        <v>4729</v>
      </c>
      <c r="C2008" s="74" t="s">
        <v>203</v>
      </c>
      <c r="D2008" s="69" t="s">
        <v>4730</v>
      </c>
      <c r="E2008" s="69" t="s">
        <v>4732</v>
      </c>
    </row>
    <row r="2009" spans="1:5" ht="45" x14ac:dyDescent="0.2">
      <c r="A2009" s="50">
        <v>37.020000000000003</v>
      </c>
      <c r="B2009" s="64" t="s">
        <v>4733</v>
      </c>
      <c r="C2009" s="48"/>
      <c r="D2009" s="48"/>
      <c r="E2009" s="48"/>
    </row>
    <row r="2010" spans="1:5" ht="33.75" x14ac:dyDescent="0.2">
      <c r="A2010" s="65" t="s">
        <v>4734</v>
      </c>
      <c r="B2010" s="65" t="s">
        <v>4735</v>
      </c>
      <c r="C2010" s="74" t="s">
        <v>203</v>
      </c>
      <c r="D2010" s="69" t="s">
        <v>4736</v>
      </c>
      <c r="E2010" s="69" t="s">
        <v>4737</v>
      </c>
    </row>
    <row r="2011" spans="1:5" ht="33.75" x14ac:dyDescent="0.2">
      <c r="A2011" s="65" t="s">
        <v>4738</v>
      </c>
      <c r="B2011" s="65" t="s">
        <v>4739</v>
      </c>
      <c r="C2011" s="74" t="s">
        <v>203</v>
      </c>
      <c r="D2011" s="69" t="s">
        <v>4740</v>
      </c>
      <c r="E2011" s="69" t="s">
        <v>4741</v>
      </c>
    </row>
    <row r="2012" spans="1:5" ht="33.75" x14ac:dyDescent="0.2">
      <c r="A2012" s="65" t="s">
        <v>4742</v>
      </c>
      <c r="B2012" s="65" t="s">
        <v>4743</v>
      </c>
      <c r="C2012" s="74" t="s">
        <v>203</v>
      </c>
      <c r="D2012" s="69" t="s">
        <v>4744</v>
      </c>
      <c r="E2012" s="69" t="s">
        <v>4746</v>
      </c>
    </row>
    <row r="2013" spans="1:5" ht="33.75" x14ac:dyDescent="0.2">
      <c r="A2013" s="65" t="s">
        <v>4747</v>
      </c>
      <c r="B2013" s="65" t="s">
        <v>4748</v>
      </c>
      <c r="C2013" s="74" t="s">
        <v>203</v>
      </c>
      <c r="D2013" s="69" t="s">
        <v>4749</v>
      </c>
      <c r="E2013" s="69" t="s">
        <v>4750</v>
      </c>
    </row>
    <row r="2014" spans="1:5" ht="33.75" x14ac:dyDescent="0.2">
      <c r="A2014" s="50">
        <v>37.03</v>
      </c>
      <c r="B2014" s="64" t="s">
        <v>4751</v>
      </c>
      <c r="C2014" s="47"/>
      <c r="D2014" s="47"/>
      <c r="E2014" s="47"/>
    </row>
    <row r="2015" spans="1:5" ht="78.75" x14ac:dyDescent="0.2">
      <c r="A2015" s="65" t="s">
        <v>4752</v>
      </c>
      <c r="B2015" s="66" t="s">
        <v>4753</v>
      </c>
      <c r="C2015" s="74" t="s">
        <v>203</v>
      </c>
      <c r="D2015" s="69" t="s">
        <v>4754</v>
      </c>
      <c r="E2015" s="69" t="s">
        <v>4756</v>
      </c>
    </row>
    <row r="2016" spans="1:5" ht="78.75" x14ac:dyDescent="0.2">
      <c r="A2016" s="65" t="s">
        <v>4757</v>
      </c>
      <c r="B2016" s="66" t="s">
        <v>4758</v>
      </c>
      <c r="C2016" s="74" t="s">
        <v>203</v>
      </c>
      <c r="D2016" s="69" t="s">
        <v>4759</v>
      </c>
      <c r="E2016" s="69" t="s">
        <v>4760</v>
      </c>
    </row>
    <row r="2017" spans="1:5" ht="78.75" x14ac:dyDescent="0.2">
      <c r="A2017" s="65" t="s">
        <v>4761</v>
      </c>
      <c r="B2017" s="66" t="s">
        <v>4762</v>
      </c>
      <c r="C2017" s="74" t="s">
        <v>203</v>
      </c>
      <c r="D2017" s="69" t="s">
        <v>4763</v>
      </c>
      <c r="E2017" s="69" t="s">
        <v>4765</v>
      </c>
    </row>
    <row r="2018" spans="1:5" ht="78.75" x14ac:dyDescent="0.2">
      <c r="A2018" s="65" t="s">
        <v>4766</v>
      </c>
      <c r="B2018" s="66" t="s">
        <v>4767</v>
      </c>
      <c r="C2018" s="74" t="s">
        <v>203</v>
      </c>
      <c r="D2018" s="69" t="s">
        <v>4768</v>
      </c>
      <c r="E2018" s="69" t="s">
        <v>4769</v>
      </c>
    </row>
    <row r="2019" spans="1:5" ht="78.75" x14ac:dyDescent="0.2">
      <c r="A2019" s="65" t="s">
        <v>4770</v>
      </c>
      <c r="B2019" s="66" t="s">
        <v>4771</v>
      </c>
      <c r="C2019" s="74" t="s">
        <v>203</v>
      </c>
      <c r="D2019" s="69" t="s">
        <v>4772</v>
      </c>
      <c r="E2019" s="69" t="s">
        <v>4774</v>
      </c>
    </row>
    <row r="2020" spans="1:5" ht="78.75" x14ac:dyDescent="0.2">
      <c r="A2020" s="65" t="s">
        <v>4775</v>
      </c>
      <c r="B2020" s="66" t="s">
        <v>4776</v>
      </c>
      <c r="C2020" s="74" t="s">
        <v>203</v>
      </c>
      <c r="D2020" s="69" t="s">
        <v>4777</v>
      </c>
      <c r="E2020" s="69" t="s">
        <v>4778</v>
      </c>
    </row>
    <row r="2021" spans="1:5" ht="33.75" x14ac:dyDescent="0.2">
      <c r="A2021" s="50">
        <v>37.04</v>
      </c>
      <c r="B2021" s="64" t="s">
        <v>4779</v>
      </c>
      <c r="C2021" s="47"/>
      <c r="D2021" s="47"/>
      <c r="E2021" s="47"/>
    </row>
    <row r="2022" spans="1:5" ht="78.75" x14ac:dyDescent="0.2">
      <c r="A2022" s="65" t="s">
        <v>4780</v>
      </c>
      <c r="B2022" s="66" t="s">
        <v>4781</v>
      </c>
      <c r="C2022" s="74" t="s">
        <v>203</v>
      </c>
      <c r="D2022" s="69" t="s">
        <v>4782</v>
      </c>
      <c r="E2022" s="69" t="s">
        <v>4784</v>
      </c>
    </row>
    <row r="2023" spans="1:5" ht="78.75" x14ac:dyDescent="0.2">
      <c r="A2023" s="65" t="s">
        <v>4785</v>
      </c>
      <c r="B2023" s="66" t="s">
        <v>4786</v>
      </c>
      <c r="C2023" s="74" t="s">
        <v>203</v>
      </c>
      <c r="D2023" s="69" t="s">
        <v>4787</v>
      </c>
      <c r="E2023" s="69" t="s">
        <v>4788</v>
      </c>
    </row>
    <row r="2024" spans="1:5" ht="78.75" x14ac:dyDescent="0.2">
      <c r="A2024" s="65" t="s">
        <v>4789</v>
      </c>
      <c r="B2024" s="66" t="s">
        <v>4790</v>
      </c>
      <c r="C2024" s="74" t="s">
        <v>203</v>
      </c>
      <c r="D2024" s="69" t="s">
        <v>4791</v>
      </c>
      <c r="E2024" s="69" t="s">
        <v>4792</v>
      </c>
    </row>
    <row r="2025" spans="1:5" ht="78.75" x14ac:dyDescent="0.2">
      <c r="A2025" s="65" t="s">
        <v>4793</v>
      </c>
      <c r="B2025" s="66" t="s">
        <v>4794</v>
      </c>
      <c r="C2025" s="74" t="s">
        <v>203</v>
      </c>
      <c r="D2025" s="69" t="s">
        <v>4795</v>
      </c>
      <c r="E2025" s="69" t="s">
        <v>4796</v>
      </c>
    </row>
    <row r="2026" spans="1:5" ht="78.75" x14ac:dyDescent="0.2">
      <c r="A2026" s="65" t="s">
        <v>4797</v>
      </c>
      <c r="B2026" s="66" t="s">
        <v>4798</v>
      </c>
      <c r="C2026" s="74" t="s">
        <v>203</v>
      </c>
      <c r="D2026" s="69" t="s">
        <v>4799</v>
      </c>
      <c r="E2026" s="69" t="s">
        <v>4800</v>
      </c>
    </row>
    <row r="2027" spans="1:5" ht="78.75" x14ac:dyDescent="0.2">
      <c r="A2027" s="65" t="s">
        <v>4801</v>
      </c>
      <c r="B2027" s="66" t="s">
        <v>4802</v>
      </c>
      <c r="C2027" s="74" t="s">
        <v>203</v>
      </c>
      <c r="D2027" s="69" t="s">
        <v>4803</v>
      </c>
      <c r="E2027" s="69" t="s">
        <v>4804</v>
      </c>
    </row>
    <row r="2028" spans="1:5" x14ac:dyDescent="0.2">
      <c r="A2028" s="50">
        <v>37.06</v>
      </c>
      <c r="B2028" s="64" t="s">
        <v>4805</v>
      </c>
      <c r="C2028" s="47"/>
      <c r="D2028" s="47"/>
      <c r="E2028" s="47"/>
    </row>
    <row r="2029" spans="1:5" ht="56.25" x14ac:dyDescent="0.2">
      <c r="A2029" s="65" t="s">
        <v>4806</v>
      </c>
      <c r="B2029" s="66" t="s">
        <v>4807</v>
      </c>
      <c r="C2029" s="74" t="s">
        <v>204</v>
      </c>
      <c r="D2029" s="69" t="s">
        <v>4808</v>
      </c>
      <c r="E2029" s="69" t="s">
        <v>4810</v>
      </c>
    </row>
    <row r="2030" spans="1:5" x14ac:dyDescent="0.2">
      <c r="A2030" s="50">
        <v>37.1</v>
      </c>
      <c r="B2030" s="64" t="s">
        <v>4811</v>
      </c>
      <c r="C2030" s="47"/>
      <c r="D2030" s="47"/>
      <c r="E2030" s="47"/>
    </row>
    <row r="2031" spans="1:5" ht="22.5" x14ac:dyDescent="0.2">
      <c r="A2031" s="65" t="s">
        <v>4812</v>
      </c>
      <c r="B2031" s="65" t="s">
        <v>4813</v>
      </c>
      <c r="C2031" s="74" t="s">
        <v>300</v>
      </c>
      <c r="D2031" s="69" t="s">
        <v>4814</v>
      </c>
      <c r="E2031" s="69" t="s">
        <v>4815</v>
      </c>
    </row>
    <row r="2032" spans="1:5" x14ac:dyDescent="0.2">
      <c r="A2032" s="50">
        <v>37.11</v>
      </c>
      <c r="B2032" s="64" t="s">
        <v>4816</v>
      </c>
      <c r="C2032" s="47"/>
      <c r="D2032" s="47"/>
      <c r="E2032" s="47"/>
    </row>
    <row r="2033" spans="1:5" ht="33.75" x14ac:dyDescent="0.2">
      <c r="A2033" s="65" t="s">
        <v>4817</v>
      </c>
      <c r="B2033" s="65" t="s">
        <v>4818</v>
      </c>
      <c r="C2033" s="67" t="s">
        <v>203</v>
      </c>
      <c r="D2033" s="69" t="s">
        <v>4819</v>
      </c>
      <c r="E2033" s="69" t="s">
        <v>4820</v>
      </c>
    </row>
    <row r="2034" spans="1:5" ht="33.75" x14ac:dyDescent="0.2">
      <c r="A2034" s="65" t="s">
        <v>4821</v>
      </c>
      <c r="B2034" s="65" t="s">
        <v>4822</v>
      </c>
      <c r="C2034" s="67" t="s">
        <v>203</v>
      </c>
      <c r="D2034" s="69" t="s">
        <v>1398</v>
      </c>
      <c r="E2034" s="69" t="s">
        <v>4823</v>
      </c>
    </row>
    <row r="2035" spans="1:5" ht="33.75" x14ac:dyDescent="0.2">
      <c r="A2035" s="65" t="s">
        <v>4824</v>
      </c>
      <c r="B2035" s="65" t="s">
        <v>4825</v>
      </c>
      <c r="C2035" s="67" t="s">
        <v>203</v>
      </c>
      <c r="D2035" s="69" t="s">
        <v>4826</v>
      </c>
      <c r="E2035" s="69" t="s">
        <v>4827</v>
      </c>
    </row>
    <row r="2036" spans="1:5" ht="33.75" x14ac:dyDescent="0.2">
      <c r="A2036" s="65" t="s">
        <v>4828</v>
      </c>
      <c r="B2036" s="65" t="s">
        <v>4829</v>
      </c>
      <c r="C2036" s="67" t="s">
        <v>203</v>
      </c>
      <c r="D2036" s="69" t="s">
        <v>4830</v>
      </c>
      <c r="E2036" s="69" t="s">
        <v>4831</v>
      </c>
    </row>
    <row r="2037" spans="1:5" ht="33.75" x14ac:dyDescent="0.2">
      <c r="A2037" s="65" t="s">
        <v>4832</v>
      </c>
      <c r="B2037" s="65" t="s">
        <v>4833</v>
      </c>
      <c r="C2037" s="67" t="s">
        <v>203</v>
      </c>
      <c r="D2037" s="69" t="s">
        <v>4834</v>
      </c>
      <c r="E2037" s="69" t="s">
        <v>4835</v>
      </c>
    </row>
    <row r="2038" spans="1:5" ht="22.5" x14ac:dyDescent="0.2">
      <c r="A2038" s="65" t="s">
        <v>4836</v>
      </c>
      <c r="B2038" s="65" t="s">
        <v>4837</v>
      </c>
      <c r="C2038" s="67" t="s">
        <v>203</v>
      </c>
      <c r="D2038" s="69" t="s">
        <v>4838</v>
      </c>
      <c r="E2038" s="69" t="s">
        <v>4840</v>
      </c>
    </row>
    <row r="2039" spans="1:5" ht="22.5" x14ac:dyDescent="0.2">
      <c r="A2039" s="65" t="s">
        <v>4841</v>
      </c>
      <c r="B2039" s="65" t="s">
        <v>4842</v>
      </c>
      <c r="C2039" s="67" t="s">
        <v>203</v>
      </c>
      <c r="D2039" s="69" t="s">
        <v>4843</v>
      </c>
      <c r="E2039" s="69" t="s">
        <v>4844</v>
      </c>
    </row>
    <row r="2040" spans="1:5" x14ac:dyDescent="0.2">
      <c r="A2040" s="50">
        <v>37.119999999999997</v>
      </c>
      <c r="B2040" s="64" t="s">
        <v>4845</v>
      </c>
      <c r="C2040" s="47"/>
      <c r="D2040" s="47"/>
      <c r="E2040" s="47"/>
    </row>
    <row r="2041" spans="1:5" ht="22.5" x14ac:dyDescent="0.2">
      <c r="A2041" s="65" t="s">
        <v>4846</v>
      </c>
      <c r="B2041" s="65" t="s">
        <v>4847</v>
      </c>
      <c r="C2041" s="67" t="s">
        <v>203</v>
      </c>
      <c r="D2041" s="69" t="s">
        <v>4848</v>
      </c>
      <c r="E2041" s="69" t="s">
        <v>4849</v>
      </c>
    </row>
    <row r="2042" spans="1:5" ht="22.5" x14ac:dyDescent="0.2">
      <c r="A2042" s="65" t="s">
        <v>4850</v>
      </c>
      <c r="B2042" s="65" t="s">
        <v>4851</v>
      </c>
      <c r="C2042" s="67" t="s">
        <v>203</v>
      </c>
      <c r="D2042" s="69" t="s">
        <v>4852</v>
      </c>
      <c r="E2042" s="69" t="s">
        <v>4853</v>
      </c>
    </row>
    <row r="2043" spans="1:5" ht="22.5" x14ac:dyDescent="0.2">
      <c r="A2043" s="65" t="s">
        <v>4854</v>
      </c>
      <c r="B2043" s="65" t="s">
        <v>4855</v>
      </c>
      <c r="C2043" s="67" t="s">
        <v>203</v>
      </c>
      <c r="D2043" s="69" t="s">
        <v>4856</v>
      </c>
      <c r="E2043" s="69" t="s">
        <v>4857</v>
      </c>
    </row>
    <row r="2044" spans="1:5" ht="22.5" x14ac:dyDescent="0.2">
      <c r="A2044" s="65" t="s">
        <v>4858</v>
      </c>
      <c r="B2044" s="65" t="s">
        <v>4859</v>
      </c>
      <c r="C2044" s="67" t="s">
        <v>203</v>
      </c>
      <c r="D2044" s="69" t="s">
        <v>4860</v>
      </c>
      <c r="E2044" s="69" t="s">
        <v>4861</v>
      </c>
    </row>
    <row r="2045" spans="1:5" ht="33.75" x14ac:dyDescent="0.2">
      <c r="A2045" s="65" t="s">
        <v>4862</v>
      </c>
      <c r="B2045" s="65" t="s">
        <v>4863</v>
      </c>
      <c r="C2045" s="67" t="s">
        <v>203</v>
      </c>
      <c r="D2045" s="69" t="s">
        <v>4864</v>
      </c>
      <c r="E2045" s="69" t="s">
        <v>4865</v>
      </c>
    </row>
    <row r="2046" spans="1:5" ht="33.75" x14ac:dyDescent="0.2">
      <c r="A2046" s="65" t="s">
        <v>4866</v>
      </c>
      <c r="B2046" s="65" t="s">
        <v>4867</v>
      </c>
      <c r="C2046" s="67" t="s">
        <v>203</v>
      </c>
      <c r="D2046" s="69" t="s">
        <v>4868</v>
      </c>
      <c r="E2046" s="69" t="s">
        <v>4869</v>
      </c>
    </row>
    <row r="2047" spans="1:5" ht="33.75" x14ac:dyDescent="0.2">
      <c r="A2047" s="65" t="s">
        <v>4870</v>
      </c>
      <c r="B2047" s="65" t="s">
        <v>4871</v>
      </c>
      <c r="C2047" s="67" t="s">
        <v>203</v>
      </c>
      <c r="D2047" s="69" t="s">
        <v>4872</v>
      </c>
      <c r="E2047" s="69" t="s">
        <v>4873</v>
      </c>
    </row>
    <row r="2048" spans="1:5" ht="33.75" x14ac:dyDescent="0.2">
      <c r="A2048" s="65" t="s">
        <v>4874</v>
      </c>
      <c r="B2048" s="65" t="s">
        <v>4875</v>
      </c>
      <c r="C2048" s="67" t="s">
        <v>203</v>
      </c>
      <c r="D2048" s="69" t="s">
        <v>4876</v>
      </c>
      <c r="E2048" s="69" t="s">
        <v>4877</v>
      </c>
    </row>
    <row r="2049" spans="1:5" ht="22.5" x14ac:dyDescent="0.2">
      <c r="A2049" s="65" t="s">
        <v>4878</v>
      </c>
      <c r="B2049" s="65" t="s">
        <v>4879</v>
      </c>
      <c r="C2049" s="67" t="s">
        <v>203</v>
      </c>
      <c r="D2049" s="69" t="s">
        <v>4880</v>
      </c>
      <c r="E2049" s="69" t="s">
        <v>4881</v>
      </c>
    </row>
    <row r="2050" spans="1:5" x14ac:dyDescent="0.2">
      <c r="A2050" s="50">
        <v>37.130000000000003</v>
      </c>
      <c r="B2050" s="64" t="s">
        <v>4882</v>
      </c>
      <c r="C2050" s="47"/>
      <c r="D2050" s="47"/>
      <c r="E2050" s="47"/>
    </row>
    <row r="2051" spans="1:5" ht="56.25" x14ac:dyDescent="0.2">
      <c r="A2051" s="65" t="s">
        <v>4883</v>
      </c>
      <c r="B2051" s="66" t="s">
        <v>4884</v>
      </c>
      <c r="C2051" s="67" t="s">
        <v>203</v>
      </c>
      <c r="D2051" s="69" t="s">
        <v>4885</v>
      </c>
      <c r="E2051" s="69" t="s">
        <v>4887</v>
      </c>
    </row>
    <row r="2052" spans="1:5" ht="56.25" x14ac:dyDescent="0.2">
      <c r="A2052" s="65" t="s">
        <v>4888</v>
      </c>
      <c r="B2052" s="66" t="s">
        <v>4889</v>
      </c>
      <c r="C2052" s="67" t="s">
        <v>203</v>
      </c>
      <c r="D2052" s="69" t="s">
        <v>4890</v>
      </c>
      <c r="E2052" s="69" t="s">
        <v>4891</v>
      </c>
    </row>
    <row r="2053" spans="1:5" ht="90" x14ac:dyDescent="0.2">
      <c r="A2053" s="65" t="s">
        <v>4892</v>
      </c>
      <c r="B2053" s="66" t="s">
        <v>4893</v>
      </c>
      <c r="C2053" s="67" t="s">
        <v>240</v>
      </c>
      <c r="D2053" s="69" t="s">
        <v>4894</v>
      </c>
      <c r="E2053" s="69" t="s">
        <v>4896</v>
      </c>
    </row>
    <row r="2054" spans="1:5" ht="56.25" x14ac:dyDescent="0.2">
      <c r="A2054" s="65" t="s">
        <v>4897</v>
      </c>
      <c r="B2054" s="66" t="s">
        <v>4898</v>
      </c>
      <c r="C2054" s="67" t="s">
        <v>203</v>
      </c>
      <c r="D2054" s="69" t="s">
        <v>4899</v>
      </c>
      <c r="E2054" s="69" t="s">
        <v>4900</v>
      </c>
    </row>
    <row r="2055" spans="1:5" ht="56.25" x14ac:dyDescent="0.2">
      <c r="A2055" s="65" t="s">
        <v>4901</v>
      </c>
      <c r="B2055" s="66" t="s">
        <v>4902</v>
      </c>
      <c r="C2055" s="67" t="s">
        <v>203</v>
      </c>
      <c r="D2055" s="69" t="s">
        <v>4903</v>
      </c>
      <c r="E2055" s="69" t="s">
        <v>4904</v>
      </c>
    </row>
    <row r="2056" spans="1:5" ht="56.25" x14ac:dyDescent="0.2">
      <c r="A2056" s="65" t="s">
        <v>4905</v>
      </c>
      <c r="B2056" s="65" t="s">
        <v>4906</v>
      </c>
      <c r="C2056" s="67" t="s">
        <v>203</v>
      </c>
      <c r="D2056" s="69" t="s">
        <v>297</v>
      </c>
      <c r="E2056" s="69" t="s">
        <v>4907</v>
      </c>
    </row>
    <row r="2057" spans="1:5" ht="56.25" x14ac:dyDescent="0.2">
      <c r="A2057" s="65" t="s">
        <v>4908</v>
      </c>
      <c r="B2057" s="65" t="s">
        <v>4909</v>
      </c>
      <c r="C2057" s="67" t="s">
        <v>203</v>
      </c>
      <c r="D2057" s="69" t="s">
        <v>4910</v>
      </c>
      <c r="E2057" s="69" t="s">
        <v>4911</v>
      </c>
    </row>
    <row r="2058" spans="1:5" ht="56.25" x14ac:dyDescent="0.2">
      <c r="A2058" s="65" t="s">
        <v>4912</v>
      </c>
      <c r="B2058" s="65" t="s">
        <v>4913</v>
      </c>
      <c r="C2058" s="67" t="s">
        <v>203</v>
      </c>
      <c r="D2058" s="69" t="s">
        <v>4914</v>
      </c>
      <c r="E2058" s="69" t="s">
        <v>4915</v>
      </c>
    </row>
    <row r="2059" spans="1:5" ht="56.25" x14ac:dyDescent="0.2">
      <c r="A2059" s="65" t="s">
        <v>4916</v>
      </c>
      <c r="B2059" s="65" t="s">
        <v>4917</v>
      </c>
      <c r="C2059" s="67" t="s">
        <v>203</v>
      </c>
      <c r="D2059" s="69" t="s">
        <v>4918</v>
      </c>
      <c r="E2059" s="69" t="s">
        <v>4919</v>
      </c>
    </row>
    <row r="2060" spans="1:5" ht="56.25" x14ac:dyDescent="0.2">
      <c r="A2060" s="65" t="s">
        <v>4920</v>
      </c>
      <c r="B2060" s="65" t="s">
        <v>4921</v>
      </c>
      <c r="C2060" s="67" t="s">
        <v>203</v>
      </c>
      <c r="D2060" s="69" t="s">
        <v>4922</v>
      </c>
      <c r="E2060" s="69" t="s">
        <v>4924</v>
      </c>
    </row>
    <row r="2061" spans="1:5" ht="56.25" x14ac:dyDescent="0.2">
      <c r="A2061" s="65" t="s">
        <v>4925</v>
      </c>
      <c r="B2061" s="65" t="s">
        <v>4926</v>
      </c>
      <c r="C2061" s="67" t="s">
        <v>203</v>
      </c>
      <c r="D2061" s="69" t="s">
        <v>4927</v>
      </c>
      <c r="E2061" s="69" t="s">
        <v>4928</v>
      </c>
    </row>
    <row r="2062" spans="1:5" ht="78.75" x14ac:dyDescent="0.2">
      <c r="A2062" s="65" t="s">
        <v>4929</v>
      </c>
      <c r="B2062" s="66" t="s">
        <v>4930</v>
      </c>
      <c r="C2062" s="67" t="s">
        <v>203</v>
      </c>
      <c r="D2062" s="69" t="s">
        <v>4931</v>
      </c>
      <c r="E2062" s="69" t="s">
        <v>4932</v>
      </c>
    </row>
    <row r="2063" spans="1:5" ht="67.5" x14ac:dyDescent="0.2">
      <c r="A2063" s="65" t="s">
        <v>4933</v>
      </c>
      <c r="B2063" s="66" t="s">
        <v>4934</v>
      </c>
      <c r="C2063" s="67" t="s">
        <v>203</v>
      </c>
      <c r="D2063" s="69" t="s">
        <v>4935</v>
      </c>
      <c r="E2063" s="69" t="s">
        <v>4936</v>
      </c>
    </row>
    <row r="2064" spans="1:5" ht="78.75" x14ac:dyDescent="0.2">
      <c r="A2064" s="65" t="s">
        <v>4937</v>
      </c>
      <c r="B2064" s="66" t="s">
        <v>4938</v>
      </c>
      <c r="C2064" s="67" t="s">
        <v>203</v>
      </c>
      <c r="D2064" s="69" t="s">
        <v>4939</v>
      </c>
      <c r="E2064" s="69" t="s">
        <v>4940</v>
      </c>
    </row>
    <row r="2065" spans="1:5" ht="78.75" x14ac:dyDescent="0.2">
      <c r="A2065" s="65" t="s">
        <v>4941</v>
      </c>
      <c r="B2065" s="66" t="s">
        <v>4942</v>
      </c>
      <c r="C2065" s="67" t="s">
        <v>203</v>
      </c>
      <c r="D2065" s="69" t="s">
        <v>4943</v>
      </c>
      <c r="E2065" s="69" t="s">
        <v>4944</v>
      </c>
    </row>
    <row r="2066" spans="1:5" ht="78.75" x14ac:dyDescent="0.2">
      <c r="A2066" s="65" t="s">
        <v>4945</v>
      </c>
      <c r="B2066" s="66" t="s">
        <v>4946</v>
      </c>
      <c r="C2066" s="67" t="s">
        <v>203</v>
      </c>
      <c r="D2066" s="69" t="s">
        <v>4947</v>
      </c>
      <c r="E2066" s="69" t="s">
        <v>4948</v>
      </c>
    </row>
    <row r="2067" spans="1:5" ht="78.75" x14ac:dyDescent="0.2">
      <c r="A2067" s="65" t="s">
        <v>4949</v>
      </c>
      <c r="B2067" s="66" t="s">
        <v>4950</v>
      </c>
      <c r="C2067" s="67" t="s">
        <v>203</v>
      </c>
      <c r="D2067" s="69" t="s">
        <v>4951</v>
      </c>
      <c r="E2067" s="69" t="s">
        <v>4952</v>
      </c>
    </row>
    <row r="2068" spans="1:5" ht="78.75" x14ac:dyDescent="0.2">
      <c r="A2068" s="65" t="s">
        <v>4953</v>
      </c>
      <c r="B2068" s="66" t="s">
        <v>4954</v>
      </c>
      <c r="C2068" s="67" t="s">
        <v>203</v>
      </c>
      <c r="D2068" s="69" t="s">
        <v>4955</v>
      </c>
      <c r="E2068" s="69" t="s">
        <v>4956</v>
      </c>
    </row>
    <row r="2069" spans="1:5" ht="78.75" x14ac:dyDescent="0.2">
      <c r="A2069" s="65" t="s">
        <v>4957</v>
      </c>
      <c r="B2069" s="66" t="s">
        <v>4958</v>
      </c>
      <c r="C2069" s="74" t="s">
        <v>203</v>
      </c>
      <c r="D2069" s="69" t="s">
        <v>4959</v>
      </c>
      <c r="E2069" s="69" t="s">
        <v>4960</v>
      </c>
    </row>
    <row r="2070" spans="1:5" ht="56.25" x14ac:dyDescent="0.2">
      <c r="A2070" s="65" t="s">
        <v>4961</v>
      </c>
      <c r="B2070" s="66" t="s">
        <v>4962</v>
      </c>
      <c r="C2070" s="74" t="s">
        <v>203</v>
      </c>
      <c r="D2070" s="69" t="s">
        <v>4963</v>
      </c>
      <c r="E2070" s="69" t="s">
        <v>4964</v>
      </c>
    </row>
    <row r="2071" spans="1:5" ht="56.25" x14ac:dyDescent="0.2">
      <c r="A2071" s="65" t="s">
        <v>4965</v>
      </c>
      <c r="B2071" s="66" t="s">
        <v>4966</v>
      </c>
      <c r="C2071" s="74" t="s">
        <v>203</v>
      </c>
      <c r="D2071" s="69" t="s">
        <v>4967</v>
      </c>
      <c r="E2071" s="69" t="s">
        <v>4968</v>
      </c>
    </row>
    <row r="2072" spans="1:5" ht="56.25" x14ac:dyDescent="0.2">
      <c r="A2072" s="65" t="s">
        <v>4969</v>
      </c>
      <c r="B2072" s="66" t="s">
        <v>4970</v>
      </c>
      <c r="C2072" s="74" t="s">
        <v>203</v>
      </c>
      <c r="D2072" s="69" t="s">
        <v>4971</v>
      </c>
      <c r="E2072" s="69" t="s">
        <v>4972</v>
      </c>
    </row>
    <row r="2073" spans="1:5" ht="56.25" x14ac:dyDescent="0.2">
      <c r="A2073" s="65" t="s">
        <v>4973</v>
      </c>
      <c r="B2073" s="66" t="s">
        <v>4974</v>
      </c>
      <c r="C2073" s="74" t="s">
        <v>203</v>
      </c>
      <c r="D2073" s="69" t="s">
        <v>4975</v>
      </c>
      <c r="E2073" s="69" t="s">
        <v>4976</v>
      </c>
    </row>
    <row r="2074" spans="1:5" ht="56.25" x14ac:dyDescent="0.2">
      <c r="A2074" s="65" t="s">
        <v>4977</v>
      </c>
      <c r="B2074" s="66" t="s">
        <v>4978</v>
      </c>
      <c r="C2074" s="74" t="s">
        <v>203</v>
      </c>
      <c r="D2074" s="69" t="s">
        <v>4979</v>
      </c>
      <c r="E2074" s="69" t="s">
        <v>4980</v>
      </c>
    </row>
    <row r="2075" spans="1:5" ht="45" x14ac:dyDescent="0.2">
      <c r="A2075" s="65" t="s">
        <v>4981</v>
      </c>
      <c r="B2075" s="65" t="s">
        <v>4982</v>
      </c>
      <c r="C2075" s="74" t="s">
        <v>203</v>
      </c>
      <c r="D2075" s="69" t="s">
        <v>624</v>
      </c>
      <c r="E2075" s="69" t="s">
        <v>4983</v>
      </c>
    </row>
    <row r="2076" spans="1:5" ht="56.25" x14ac:dyDescent="0.2">
      <c r="A2076" s="65" t="s">
        <v>4984</v>
      </c>
      <c r="B2076" s="65" t="s">
        <v>4985</v>
      </c>
      <c r="C2076" s="74" t="s">
        <v>203</v>
      </c>
      <c r="D2076" s="69" t="s">
        <v>4986</v>
      </c>
      <c r="E2076" s="69" t="s">
        <v>4987</v>
      </c>
    </row>
    <row r="2077" spans="1:5" ht="56.25" x14ac:dyDescent="0.2">
      <c r="A2077" s="65" t="s">
        <v>4988</v>
      </c>
      <c r="B2077" s="66" t="s">
        <v>4989</v>
      </c>
      <c r="C2077" s="74" t="s">
        <v>203</v>
      </c>
      <c r="D2077" s="69" t="s">
        <v>4990</v>
      </c>
      <c r="E2077" s="69" t="s">
        <v>4991</v>
      </c>
    </row>
    <row r="2078" spans="1:5" ht="56.25" x14ac:dyDescent="0.2">
      <c r="A2078" s="65" t="s">
        <v>4992</v>
      </c>
      <c r="B2078" s="66" t="s">
        <v>4993</v>
      </c>
      <c r="C2078" s="74" t="s">
        <v>203</v>
      </c>
      <c r="D2078" s="69" t="s">
        <v>1931</v>
      </c>
      <c r="E2078" s="69" t="s">
        <v>4994</v>
      </c>
    </row>
    <row r="2079" spans="1:5" ht="45" x14ac:dyDescent="0.2">
      <c r="A2079" s="65" t="s">
        <v>4995</v>
      </c>
      <c r="B2079" s="65" t="s">
        <v>4996</v>
      </c>
      <c r="C2079" s="74" t="s">
        <v>203</v>
      </c>
      <c r="D2079" s="69" t="s">
        <v>4997</v>
      </c>
      <c r="E2079" s="69" t="s">
        <v>4998</v>
      </c>
    </row>
    <row r="2080" spans="1:5" ht="67.5" x14ac:dyDescent="0.2">
      <c r="A2080" s="65" t="s">
        <v>4999</v>
      </c>
      <c r="B2080" s="66" t="s">
        <v>5000</v>
      </c>
      <c r="C2080" s="74" t="s">
        <v>203</v>
      </c>
      <c r="D2080" s="69" t="s">
        <v>5001</v>
      </c>
      <c r="E2080" s="69" t="s">
        <v>5002</v>
      </c>
    </row>
    <row r="2081" spans="1:5" ht="90" x14ac:dyDescent="0.2">
      <c r="A2081" s="65" t="s">
        <v>5003</v>
      </c>
      <c r="B2081" s="66" t="s">
        <v>5004</v>
      </c>
      <c r="C2081" s="74" t="s">
        <v>203</v>
      </c>
      <c r="D2081" s="69" t="s">
        <v>5005</v>
      </c>
      <c r="E2081" s="69" t="s">
        <v>5006</v>
      </c>
    </row>
    <row r="2082" spans="1:5" ht="90" x14ac:dyDescent="0.2">
      <c r="A2082" s="65" t="s">
        <v>5007</v>
      </c>
      <c r="B2082" s="66" t="s">
        <v>5008</v>
      </c>
      <c r="C2082" s="74" t="s">
        <v>203</v>
      </c>
      <c r="D2082" s="69" t="s">
        <v>5009</v>
      </c>
      <c r="E2082" s="69" t="s">
        <v>5010</v>
      </c>
    </row>
    <row r="2083" spans="1:5" ht="56.25" x14ac:dyDescent="0.2">
      <c r="A2083" s="65" t="s">
        <v>5011</v>
      </c>
      <c r="B2083" s="66" t="s">
        <v>5012</v>
      </c>
      <c r="C2083" s="74" t="s">
        <v>203</v>
      </c>
      <c r="D2083" s="69" t="s">
        <v>5013</v>
      </c>
      <c r="E2083" s="69" t="s">
        <v>5014</v>
      </c>
    </row>
    <row r="2084" spans="1:5" ht="22.5" x14ac:dyDescent="0.2">
      <c r="A2084" s="50">
        <v>37.14</v>
      </c>
      <c r="B2084" s="64" t="s">
        <v>5015</v>
      </c>
      <c r="C2084" s="47"/>
      <c r="D2084" s="47"/>
      <c r="E2084" s="47"/>
    </row>
    <row r="2085" spans="1:5" ht="56.25" x14ac:dyDescent="0.2">
      <c r="A2085" s="65" t="s">
        <v>5016</v>
      </c>
      <c r="B2085" s="66" t="s">
        <v>5017</v>
      </c>
      <c r="C2085" s="74" t="s">
        <v>203</v>
      </c>
      <c r="D2085" s="69" t="s">
        <v>5018</v>
      </c>
      <c r="E2085" s="69" t="s">
        <v>5019</v>
      </c>
    </row>
    <row r="2086" spans="1:5" ht="78.75" x14ac:dyDescent="0.2">
      <c r="A2086" s="65" t="s">
        <v>5020</v>
      </c>
      <c r="B2086" s="66" t="s">
        <v>5021</v>
      </c>
      <c r="C2086" s="74" t="s">
        <v>203</v>
      </c>
      <c r="D2086" s="69" t="s">
        <v>5022</v>
      </c>
      <c r="E2086" s="69" t="s">
        <v>5024</v>
      </c>
    </row>
    <row r="2087" spans="1:5" ht="78.75" x14ac:dyDescent="0.2">
      <c r="A2087" s="65" t="s">
        <v>5025</v>
      </c>
      <c r="B2087" s="66" t="s">
        <v>5026</v>
      </c>
      <c r="C2087" s="74" t="s">
        <v>203</v>
      </c>
      <c r="D2087" s="69" t="s">
        <v>5027</v>
      </c>
      <c r="E2087" s="69" t="s">
        <v>5028</v>
      </c>
    </row>
    <row r="2088" spans="1:5" ht="78.75" x14ac:dyDescent="0.2">
      <c r="A2088" s="65" t="s">
        <v>5029</v>
      </c>
      <c r="B2088" s="66" t="s">
        <v>5030</v>
      </c>
      <c r="C2088" s="74" t="s">
        <v>203</v>
      </c>
      <c r="D2088" s="69" t="s">
        <v>5031</v>
      </c>
      <c r="E2088" s="69" t="s">
        <v>5032</v>
      </c>
    </row>
    <row r="2089" spans="1:5" ht="78.75" x14ac:dyDescent="0.2">
      <c r="A2089" s="65" t="s">
        <v>5033</v>
      </c>
      <c r="B2089" s="66" t="s">
        <v>5034</v>
      </c>
      <c r="C2089" s="74" t="s">
        <v>203</v>
      </c>
      <c r="D2089" s="69" t="s">
        <v>5035</v>
      </c>
      <c r="E2089" s="69" t="s">
        <v>5036</v>
      </c>
    </row>
    <row r="2090" spans="1:5" ht="78.75" x14ac:dyDescent="0.2">
      <c r="A2090" s="65" t="s">
        <v>5037</v>
      </c>
      <c r="B2090" s="66" t="s">
        <v>5038</v>
      </c>
      <c r="C2090" s="74" t="s">
        <v>203</v>
      </c>
      <c r="D2090" s="69" t="s">
        <v>5039</v>
      </c>
      <c r="E2090" s="69" t="s">
        <v>5040</v>
      </c>
    </row>
    <row r="2091" spans="1:5" ht="78.75" x14ac:dyDescent="0.2">
      <c r="A2091" s="65" t="s">
        <v>5041</v>
      </c>
      <c r="B2091" s="66" t="s">
        <v>5042</v>
      </c>
      <c r="C2091" s="74" t="s">
        <v>203</v>
      </c>
      <c r="D2091" s="69" t="s">
        <v>5043</v>
      </c>
      <c r="E2091" s="69" t="s">
        <v>5044</v>
      </c>
    </row>
    <row r="2092" spans="1:5" ht="78.75" x14ac:dyDescent="0.2">
      <c r="A2092" s="65" t="s">
        <v>5045</v>
      </c>
      <c r="B2092" s="66" t="s">
        <v>5046</v>
      </c>
      <c r="C2092" s="74" t="s">
        <v>203</v>
      </c>
      <c r="D2092" s="69" t="s">
        <v>5047</v>
      </c>
      <c r="E2092" s="69" t="s">
        <v>5048</v>
      </c>
    </row>
    <row r="2093" spans="1:5" ht="78.75" x14ac:dyDescent="0.2">
      <c r="A2093" s="65" t="s">
        <v>5049</v>
      </c>
      <c r="B2093" s="66" t="s">
        <v>5050</v>
      </c>
      <c r="C2093" s="74" t="s">
        <v>203</v>
      </c>
      <c r="D2093" s="69" t="s">
        <v>5051</v>
      </c>
      <c r="E2093" s="69" t="s">
        <v>5052</v>
      </c>
    </row>
    <row r="2094" spans="1:5" ht="78.75" x14ac:dyDescent="0.2">
      <c r="A2094" s="65" t="s">
        <v>5053</v>
      </c>
      <c r="B2094" s="66" t="s">
        <v>5054</v>
      </c>
      <c r="C2094" s="74" t="s">
        <v>203</v>
      </c>
      <c r="D2094" s="69" t="s">
        <v>5055</v>
      </c>
      <c r="E2094" s="69" t="s">
        <v>5056</v>
      </c>
    </row>
    <row r="2095" spans="1:5" ht="78.75" x14ac:dyDescent="0.2">
      <c r="A2095" s="65" t="s">
        <v>5057</v>
      </c>
      <c r="B2095" s="66" t="s">
        <v>5058</v>
      </c>
      <c r="C2095" s="74" t="s">
        <v>203</v>
      </c>
      <c r="D2095" s="69" t="s">
        <v>5059</v>
      </c>
      <c r="E2095" s="69" t="s">
        <v>5060</v>
      </c>
    </row>
    <row r="2096" spans="1:5" ht="78.75" x14ac:dyDescent="0.2">
      <c r="A2096" s="65" t="s">
        <v>5061</v>
      </c>
      <c r="B2096" s="66" t="s">
        <v>5062</v>
      </c>
      <c r="C2096" s="74" t="s">
        <v>203</v>
      </c>
      <c r="D2096" s="69" t="s">
        <v>5063</v>
      </c>
      <c r="E2096" s="69" t="s">
        <v>5064</v>
      </c>
    </row>
    <row r="2097" spans="1:5" ht="78.75" x14ac:dyDescent="0.2">
      <c r="A2097" s="65" t="s">
        <v>5065</v>
      </c>
      <c r="B2097" s="66" t="s">
        <v>5066</v>
      </c>
      <c r="C2097" s="67" t="s">
        <v>203</v>
      </c>
      <c r="D2097" s="69" t="s">
        <v>5067</v>
      </c>
      <c r="E2097" s="69" t="s">
        <v>5068</v>
      </c>
    </row>
    <row r="2098" spans="1:5" ht="67.5" x14ac:dyDescent="0.2">
      <c r="A2098" s="65" t="s">
        <v>5069</v>
      </c>
      <c r="B2098" s="66" t="s">
        <v>5070</v>
      </c>
      <c r="C2098" s="67" t="s">
        <v>203</v>
      </c>
      <c r="D2098" s="69" t="s">
        <v>5071</v>
      </c>
      <c r="E2098" s="69" t="s">
        <v>5072</v>
      </c>
    </row>
    <row r="2099" spans="1:5" ht="67.5" x14ac:dyDescent="0.2">
      <c r="A2099" s="65" t="s">
        <v>5073</v>
      </c>
      <c r="B2099" s="66" t="s">
        <v>5074</v>
      </c>
      <c r="C2099" s="67" t="s">
        <v>203</v>
      </c>
      <c r="D2099" s="69" t="s">
        <v>5075</v>
      </c>
      <c r="E2099" s="69" t="s">
        <v>5076</v>
      </c>
    </row>
    <row r="2100" spans="1:5" ht="67.5" x14ac:dyDescent="0.2">
      <c r="A2100" s="65" t="s">
        <v>5077</v>
      </c>
      <c r="B2100" s="66" t="s">
        <v>5078</v>
      </c>
      <c r="C2100" s="67" t="s">
        <v>203</v>
      </c>
      <c r="D2100" s="69" t="s">
        <v>5079</v>
      </c>
      <c r="E2100" s="69" t="s">
        <v>5080</v>
      </c>
    </row>
    <row r="2101" spans="1:5" ht="56.25" x14ac:dyDescent="0.2">
      <c r="A2101" s="65" t="s">
        <v>5081</v>
      </c>
      <c r="B2101" s="66" t="s">
        <v>5082</v>
      </c>
      <c r="C2101" s="67" t="s">
        <v>203</v>
      </c>
      <c r="D2101" s="69" t="s">
        <v>5083</v>
      </c>
      <c r="E2101" s="69" t="s">
        <v>5084</v>
      </c>
    </row>
    <row r="2102" spans="1:5" ht="56.25" x14ac:dyDescent="0.2">
      <c r="A2102" s="65" t="s">
        <v>5085</v>
      </c>
      <c r="B2102" s="66" t="s">
        <v>5086</v>
      </c>
      <c r="C2102" s="67" t="s">
        <v>203</v>
      </c>
      <c r="D2102" s="69" t="s">
        <v>5087</v>
      </c>
      <c r="E2102" s="69" t="s">
        <v>5088</v>
      </c>
    </row>
    <row r="2103" spans="1:5" ht="56.25" x14ac:dyDescent="0.2">
      <c r="A2103" s="65" t="s">
        <v>5089</v>
      </c>
      <c r="B2103" s="66" t="s">
        <v>5090</v>
      </c>
      <c r="C2103" s="67" t="s">
        <v>203</v>
      </c>
      <c r="D2103" s="69" t="s">
        <v>5091</v>
      </c>
      <c r="E2103" s="69" t="s">
        <v>5093</v>
      </c>
    </row>
    <row r="2104" spans="1:5" ht="56.25" x14ac:dyDescent="0.2">
      <c r="A2104" s="65" t="s">
        <v>5094</v>
      </c>
      <c r="B2104" s="66" t="s">
        <v>5095</v>
      </c>
      <c r="C2104" s="67" t="s">
        <v>203</v>
      </c>
      <c r="D2104" s="69" t="s">
        <v>5096</v>
      </c>
      <c r="E2104" s="69" t="s">
        <v>5098</v>
      </c>
    </row>
    <row r="2105" spans="1:5" ht="45" x14ac:dyDescent="0.2">
      <c r="A2105" s="65" t="s">
        <v>5099</v>
      </c>
      <c r="B2105" s="65" t="s">
        <v>5100</v>
      </c>
      <c r="C2105" s="67" t="s">
        <v>203</v>
      </c>
      <c r="D2105" s="69" t="s">
        <v>5101</v>
      </c>
      <c r="E2105" s="69" t="s">
        <v>5102</v>
      </c>
    </row>
    <row r="2106" spans="1:5" ht="45" x14ac:dyDescent="0.2">
      <c r="A2106" s="65" t="s">
        <v>5103</v>
      </c>
      <c r="B2106" s="65" t="s">
        <v>5104</v>
      </c>
      <c r="C2106" s="67" t="s">
        <v>203</v>
      </c>
      <c r="D2106" s="69" t="s">
        <v>5105</v>
      </c>
      <c r="E2106" s="69" t="s">
        <v>5106</v>
      </c>
    </row>
    <row r="2107" spans="1:5" ht="22.5" x14ac:dyDescent="0.2">
      <c r="A2107" s="50">
        <v>37.15</v>
      </c>
      <c r="B2107" s="64" t="s">
        <v>5107</v>
      </c>
      <c r="C2107" s="47"/>
      <c r="D2107" s="47"/>
      <c r="E2107" s="47"/>
    </row>
    <row r="2108" spans="1:5" ht="56.25" x14ac:dyDescent="0.2">
      <c r="A2108" s="65" t="s">
        <v>5108</v>
      </c>
      <c r="B2108" s="66" t="s">
        <v>5109</v>
      </c>
      <c r="C2108" s="67" t="s">
        <v>203</v>
      </c>
      <c r="D2108" s="69" t="s">
        <v>5110</v>
      </c>
      <c r="E2108" s="69" t="s">
        <v>5112</v>
      </c>
    </row>
    <row r="2109" spans="1:5" ht="56.25" x14ac:dyDescent="0.2">
      <c r="A2109" s="65" t="s">
        <v>5113</v>
      </c>
      <c r="B2109" s="66" t="s">
        <v>5114</v>
      </c>
      <c r="C2109" s="67" t="s">
        <v>203</v>
      </c>
      <c r="D2109" s="69" t="s">
        <v>5115</v>
      </c>
      <c r="E2109" s="69" t="s">
        <v>5116</v>
      </c>
    </row>
    <row r="2110" spans="1:5" ht="56.25" x14ac:dyDescent="0.2">
      <c r="A2110" s="65" t="s">
        <v>5117</v>
      </c>
      <c r="B2110" s="66" t="s">
        <v>5118</v>
      </c>
      <c r="C2110" s="67" t="s">
        <v>203</v>
      </c>
      <c r="D2110" s="69" t="s">
        <v>5119</v>
      </c>
      <c r="E2110" s="69" t="s">
        <v>5121</v>
      </c>
    </row>
    <row r="2111" spans="1:5" ht="56.25" x14ac:dyDescent="0.2">
      <c r="A2111" s="65" t="s">
        <v>5122</v>
      </c>
      <c r="B2111" s="66" t="s">
        <v>5123</v>
      </c>
      <c r="C2111" s="67" t="s">
        <v>203</v>
      </c>
      <c r="D2111" s="69" t="s">
        <v>5124</v>
      </c>
      <c r="E2111" s="69" t="s">
        <v>5125</v>
      </c>
    </row>
    <row r="2112" spans="1:5" ht="56.25" x14ac:dyDescent="0.2">
      <c r="A2112" s="65" t="s">
        <v>5126</v>
      </c>
      <c r="B2112" s="66" t="s">
        <v>5127</v>
      </c>
      <c r="C2112" s="67" t="s">
        <v>203</v>
      </c>
      <c r="D2112" s="69" t="s">
        <v>5128</v>
      </c>
      <c r="E2112" s="69" t="s">
        <v>5129</v>
      </c>
    </row>
    <row r="2113" spans="1:5" ht="45" x14ac:dyDescent="0.2">
      <c r="A2113" s="65" t="s">
        <v>5130</v>
      </c>
      <c r="B2113" s="65" t="s">
        <v>5131</v>
      </c>
      <c r="C2113" s="67" t="s">
        <v>203</v>
      </c>
      <c r="D2113" s="69" t="s">
        <v>5132</v>
      </c>
      <c r="E2113" s="69" t="s">
        <v>5133</v>
      </c>
    </row>
    <row r="2114" spans="1:5" ht="56.25" x14ac:dyDescent="0.2">
      <c r="A2114" s="65" t="s">
        <v>5134</v>
      </c>
      <c r="B2114" s="66" t="s">
        <v>5135</v>
      </c>
      <c r="C2114" s="67" t="s">
        <v>203</v>
      </c>
      <c r="D2114" s="69" t="s">
        <v>5136</v>
      </c>
      <c r="E2114" s="69" t="s">
        <v>5137</v>
      </c>
    </row>
    <row r="2115" spans="1:5" x14ac:dyDescent="0.2">
      <c r="A2115" s="50">
        <v>37.159999999999997</v>
      </c>
      <c r="B2115" s="64" t="s">
        <v>5138</v>
      </c>
      <c r="C2115" s="47"/>
      <c r="D2115" s="47"/>
      <c r="E2115" s="47"/>
    </row>
    <row r="2116" spans="1:5" ht="67.5" x14ac:dyDescent="0.2">
      <c r="A2116" s="65" t="s">
        <v>5139</v>
      </c>
      <c r="B2116" s="66" t="s">
        <v>5140</v>
      </c>
      <c r="C2116" s="67" t="s">
        <v>5141</v>
      </c>
      <c r="D2116" s="69" t="s">
        <v>5142</v>
      </c>
      <c r="E2116" s="69" t="s">
        <v>5143</v>
      </c>
    </row>
    <row r="2117" spans="1:5" ht="33.75" x14ac:dyDescent="0.2">
      <c r="A2117" s="50">
        <v>37.17</v>
      </c>
      <c r="B2117" s="64" t="s">
        <v>5144</v>
      </c>
      <c r="C2117" s="47"/>
      <c r="D2117" s="47"/>
      <c r="E2117" s="47"/>
    </row>
    <row r="2118" spans="1:5" ht="45" x14ac:dyDescent="0.2">
      <c r="A2118" s="65" t="s">
        <v>5145</v>
      </c>
      <c r="B2118" s="65" t="s">
        <v>5146</v>
      </c>
      <c r="C2118" s="67" t="s">
        <v>203</v>
      </c>
      <c r="D2118" s="69" t="s">
        <v>5147</v>
      </c>
      <c r="E2118" s="69" t="s">
        <v>5148</v>
      </c>
    </row>
    <row r="2119" spans="1:5" ht="45" x14ac:dyDescent="0.2">
      <c r="A2119" s="65" t="s">
        <v>5149</v>
      </c>
      <c r="B2119" s="65" t="s">
        <v>5150</v>
      </c>
      <c r="C2119" s="67" t="s">
        <v>203</v>
      </c>
      <c r="D2119" s="69" t="s">
        <v>5151</v>
      </c>
      <c r="E2119" s="69" t="s">
        <v>5152</v>
      </c>
    </row>
    <row r="2120" spans="1:5" ht="45" x14ac:dyDescent="0.2">
      <c r="A2120" s="65" t="s">
        <v>5153</v>
      </c>
      <c r="B2120" s="65" t="s">
        <v>5154</v>
      </c>
      <c r="C2120" s="67" t="s">
        <v>203</v>
      </c>
      <c r="D2120" s="69" t="s">
        <v>5155</v>
      </c>
      <c r="E2120" s="69" t="s">
        <v>5156</v>
      </c>
    </row>
    <row r="2121" spans="1:5" ht="45" x14ac:dyDescent="0.2">
      <c r="A2121" s="65" t="s">
        <v>5157</v>
      </c>
      <c r="B2121" s="65" t="s">
        <v>5158</v>
      </c>
      <c r="C2121" s="67" t="s">
        <v>203</v>
      </c>
      <c r="D2121" s="69" t="s">
        <v>5159</v>
      </c>
      <c r="E2121" s="69" t="s">
        <v>5160</v>
      </c>
    </row>
    <row r="2122" spans="1:5" ht="45" x14ac:dyDescent="0.2">
      <c r="A2122" s="65" t="s">
        <v>5161</v>
      </c>
      <c r="B2122" s="65" t="s">
        <v>5162</v>
      </c>
      <c r="C2122" s="67" t="s">
        <v>203</v>
      </c>
      <c r="D2122" s="69" t="s">
        <v>5163</v>
      </c>
      <c r="E2122" s="69" t="s">
        <v>5164</v>
      </c>
    </row>
    <row r="2123" spans="1:5" ht="45" x14ac:dyDescent="0.2">
      <c r="A2123" s="65" t="s">
        <v>5165</v>
      </c>
      <c r="B2123" s="65" t="s">
        <v>5166</v>
      </c>
      <c r="C2123" s="67" t="s">
        <v>203</v>
      </c>
      <c r="D2123" s="69" t="s">
        <v>5167</v>
      </c>
      <c r="E2123" s="69" t="s">
        <v>5168</v>
      </c>
    </row>
    <row r="2124" spans="1:5" ht="45" x14ac:dyDescent="0.2">
      <c r="A2124" s="65" t="s">
        <v>5169</v>
      </c>
      <c r="B2124" s="65" t="s">
        <v>5170</v>
      </c>
      <c r="C2124" s="67" t="s">
        <v>203</v>
      </c>
      <c r="D2124" s="69" t="s">
        <v>5171</v>
      </c>
      <c r="E2124" s="69" t="s">
        <v>5172</v>
      </c>
    </row>
    <row r="2125" spans="1:5" ht="45" x14ac:dyDescent="0.2">
      <c r="A2125" s="65" t="s">
        <v>5173</v>
      </c>
      <c r="B2125" s="65" t="s">
        <v>5174</v>
      </c>
      <c r="C2125" s="67" t="s">
        <v>203</v>
      </c>
      <c r="D2125" s="69" t="s">
        <v>5175</v>
      </c>
      <c r="E2125" s="69" t="s">
        <v>5176</v>
      </c>
    </row>
    <row r="2126" spans="1:5" ht="45" x14ac:dyDescent="0.2">
      <c r="A2126" s="65" t="s">
        <v>5177</v>
      </c>
      <c r="B2126" s="65" t="s">
        <v>5178</v>
      </c>
      <c r="C2126" s="67" t="s">
        <v>203</v>
      </c>
      <c r="D2126" s="69" t="s">
        <v>5179</v>
      </c>
      <c r="E2126" s="69" t="s">
        <v>5180</v>
      </c>
    </row>
    <row r="2127" spans="1:5" ht="22.5" x14ac:dyDescent="0.2">
      <c r="A2127" s="50">
        <v>37.18</v>
      </c>
      <c r="B2127" s="64" t="s">
        <v>5181</v>
      </c>
      <c r="C2127" s="47"/>
      <c r="D2127" s="47"/>
      <c r="E2127" s="47"/>
    </row>
    <row r="2128" spans="1:5" ht="56.25" x14ac:dyDescent="0.2">
      <c r="A2128" s="65" t="s">
        <v>5182</v>
      </c>
      <c r="B2128" s="66" t="s">
        <v>5183</v>
      </c>
      <c r="C2128" s="67" t="s">
        <v>203</v>
      </c>
      <c r="D2128" s="69" t="s">
        <v>5184</v>
      </c>
      <c r="E2128" s="69" t="s">
        <v>5186</v>
      </c>
    </row>
    <row r="2129" spans="1:5" ht="56.25" x14ac:dyDescent="0.2">
      <c r="A2129" s="65" t="s">
        <v>5187</v>
      </c>
      <c r="B2129" s="66" t="s">
        <v>5188</v>
      </c>
      <c r="C2129" s="67" t="s">
        <v>203</v>
      </c>
      <c r="D2129" s="69" t="s">
        <v>5189</v>
      </c>
      <c r="E2129" s="69" t="s">
        <v>5190</v>
      </c>
    </row>
    <row r="2130" spans="1:5" ht="67.5" x14ac:dyDescent="0.2">
      <c r="A2130" s="65" t="s">
        <v>5191</v>
      </c>
      <c r="B2130" s="66" t="s">
        <v>5192</v>
      </c>
      <c r="C2130" s="67" t="s">
        <v>203</v>
      </c>
      <c r="D2130" s="69" t="s">
        <v>5193</v>
      </c>
      <c r="E2130" s="69" t="s">
        <v>5194</v>
      </c>
    </row>
    <row r="2131" spans="1:5" ht="22.5" x14ac:dyDescent="0.2">
      <c r="A2131" s="50">
        <v>37.19</v>
      </c>
      <c r="B2131" s="64" t="s">
        <v>5195</v>
      </c>
      <c r="C2131" s="47"/>
      <c r="D2131" s="47"/>
      <c r="E2131" s="47"/>
    </row>
    <row r="2132" spans="1:5" ht="33.75" x14ac:dyDescent="0.2">
      <c r="A2132" s="65" t="s">
        <v>5196</v>
      </c>
      <c r="B2132" s="65" t="s">
        <v>5197</v>
      </c>
      <c r="C2132" s="67" t="s">
        <v>203</v>
      </c>
      <c r="D2132" s="69" t="s">
        <v>5198</v>
      </c>
      <c r="E2132" s="69" t="s">
        <v>5199</v>
      </c>
    </row>
    <row r="2133" spans="1:5" ht="33.75" x14ac:dyDescent="0.2">
      <c r="A2133" s="65" t="s">
        <v>5200</v>
      </c>
      <c r="B2133" s="65" t="s">
        <v>5201</v>
      </c>
      <c r="C2133" s="74" t="s">
        <v>203</v>
      </c>
      <c r="D2133" s="69" t="s">
        <v>5202</v>
      </c>
      <c r="E2133" s="69" t="s">
        <v>5203</v>
      </c>
    </row>
    <row r="2134" spans="1:5" ht="33.75" x14ac:dyDescent="0.2">
      <c r="A2134" s="65" t="s">
        <v>5204</v>
      </c>
      <c r="B2134" s="65" t="s">
        <v>5205</v>
      </c>
      <c r="C2134" s="74" t="s">
        <v>203</v>
      </c>
      <c r="D2134" s="69" t="s">
        <v>5206</v>
      </c>
      <c r="E2134" s="69" t="s">
        <v>5207</v>
      </c>
    </row>
    <row r="2135" spans="1:5" ht="33.75" x14ac:dyDescent="0.2">
      <c r="A2135" s="65" t="s">
        <v>5208</v>
      </c>
      <c r="B2135" s="65" t="s">
        <v>5209</v>
      </c>
      <c r="C2135" s="74" t="s">
        <v>203</v>
      </c>
      <c r="D2135" s="69" t="s">
        <v>5210</v>
      </c>
      <c r="E2135" s="69" t="s">
        <v>5211</v>
      </c>
    </row>
    <row r="2136" spans="1:5" ht="33.75" x14ac:dyDescent="0.2">
      <c r="A2136" s="65" t="s">
        <v>5212</v>
      </c>
      <c r="B2136" s="65" t="s">
        <v>5213</v>
      </c>
      <c r="C2136" s="74" t="s">
        <v>203</v>
      </c>
      <c r="D2136" s="69" t="s">
        <v>5214</v>
      </c>
      <c r="E2136" s="69" t="s">
        <v>5215</v>
      </c>
    </row>
    <row r="2137" spans="1:5" ht="45" x14ac:dyDescent="0.2">
      <c r="A2137" s="50">
        <v>37.200000000000003</v>
      </c>
      <c r="B2137" s="64" t="s">
        <v>5216</v>
      </c>
      <c r="C2137" s="47"/>
      <c r="D2137" s="47"/>
      <c r="E2137" s="47"/>
    </row>
    <row r="2138" spans="1:5" ht="33.75" x14ac:dyDescent="0.2">
      <c r="A2138" s="65" t="s">
        <v>5217</v>
      </c>
      <c r="B2138" s="65" t="s">
        <v>5218</v>
      </c>
      <c r="C2138" s="74" t="s">
        <v>203</v>
      </c>
      <c r="D2138" s="69" t="s">
        <v>5219</v>
      </c>
      <c r="E2138" s="69" t="s">
        <v>5220</v>
      </c>
    </row>
    <row r="2139" spans="1:5" ht="33.75" x14ac:dyDescent="0.2">
      <c r="A2139" s="65" t="s">
        <v>5221</v>
      </c>
      <c r="B2139" s="65" t="s">
        <v>5222</v>
      </c>
      <c r="C2139" s="74" t="s">
        <v>203</v>
      </c>
      <c r="D2139" s="69" t="s">
        <v>5223</v>
      </c>
      <c r="E2139" s="69" t="s">
        <v>5224</v>
      </c>
    </row>
    <row r="2140" spans="1:5" ht="22.5" x14ac:dyDescent="0.2">
      <c r="A2140" s="65" t="s">
        <v>5225</v>
      </c>
      <c r="B2140" s="65" t="s">
        <v>5226</v>
      </c>
      <c r="C2140" s="74" t="s">
        <v>203</v>
      </c>
      <c r="D2140" s="69" t="s">
        <v>5227</v>
      </c>
      <c r="E2140" s="69" t="s">
        <v>5228</v>
      </c>
    </row>
    <row r="2141" spans="1:5" ht="56.25" x14ac:dyDescent="0.2">
      <c r="A2141" s="65" t="s">
        <v>5229</v>
      </c>
      <c r="B2141" s="66" t="s">
        <v>5230</v>
      </c>
      <c r="C2141" s="74" t="s">
        <v>203</v>
      </c>
      <c r="D2141" s="68"/>
      <c r="E2141" s="69" t="s">
        <v>319</v>
      </c>
    </row>
    <row r="2142" spans="1:5" ht="45" x14ac:dyDescent="0.2">
      <c r="A2142" s="65" t="s">
        <v>5231</v>
      </c>
      <c r="B2142" s="65" t="s">
        <v>5232</v>
      </c>
      <c r="C2142" s="74" t="s">
        <v>204</v>
      </c>
      <c r="D2142" s="68"/>
      <c r="E2142" s="69" t="s">
        <v>335</v>
      </c>
    </row>
    <row r="2143" spans="1:5" ht="56.25" x14ac:dyDescent="0.2">
      <c r="A2143" s="65" t="s">
        <v>5233</v>
      </c>
      <c r="B2143" s="65" t="s">
        <v>5234</v>
      </c>
      <c r="C2143" s="74" t="s">
        <v>204</v>
      </c>
      <c r="D2143" s="68"/>
      <c r="E2143" s="69" t="s">
        <v>337</v>
      </c>
    </row>
    <row r="2144" spans="1:5" ht="67.5" x14ac:dyDescent="0.2">
      <c r="A2144" s="65" t="s">
        <v>5235</v>
      </c>
      <c r="B2144" s="66" t="s">
        <v>5236</v>
      </c>
      <c r="C2144" s="74" t="s">
        <v>203</v>
      </c>
      <c r="D2144" s="69" t="s">
        <v>5237</v>
      </c>
      <c r="E2144" s="69" t="s">
        <v>5238</v>
      </c>
    </row>
    <row r="2145" spans="1:5" ht="33.75" x14ac:dyDescent="0.2">
      <c r="A2145" s="65" t="s">
        <v>5239</v>
      </c>
      <c r="B2145" s="65" t="s">
        <v>5240</v>
      </c>
      <c r="C2145" s="74" t="s">
        <v>203</v>
      </c>
      <c r="D2145" s="69" t="s">
        <v>5241</v>
      </c>
      <c r="E2145" s="69" t="s">
        <v>5242</v>
      </c>
    </row>
    <row r="2146" spans="1:5" ht="45" x14ac:dyDescent="0.2">
      <c r="A2146" s="65" t="s">
        <v>5243</v>
      </c>
      <c r="B2146" s="65" t="s">
        <v>5244</v>
      </c>
      <c r="C2146" s="74" t="s">
        <v>204</v>
      </c>
      <c r="D2146" s="69" t="s">
        <v>5245</v>
      </c>
      <c r="E2146" s="69" t="s">
        <v>5246</v>
      </c>
    </row>
    <row r="2147" spans="1:5" ht="78.75" x14ac:dyDescent="0.2">
      <c r="A2147" s="65" t="s">
        <v>5247</v>
      </c>
      <c r="B2147" s="66" t="s">
        <v>5248</v>
      </c>
      <c r="C2147" s="74" t="s">
        <v>203</v>
      </c>
      <c r="D2147" s="69" t="s">
        <v>5249</v>
      </c>
      <c r="E2147" s="69" t="s">
        <v>5251</v>
      </c>
    </row>
    <row r="2148" spans="1:5" ht="78.75" x14ac:dyDescent="0.2">
      <c r="A2148" s="65" t="s">
        <v>5252</v>
      </c>
      <c r="B2148" s="66" t="s">
        <v>5253</v>
      </c>
      <c r="C2148" s="74" t="s">
        <v>203</v>
      </c>
      <c r="D2148" s="69" t="s">
        <v>5254</v>
      </c>
      <c r="E2148" s="69" t="s">
        <v>5255</v>
      </c>
    </row>
    <row r="2149" spans="1:5" ht="67.5" x14ac:dyDescent="0.2">
      <c r="A2149" s="65" t="s">
        <v>5256</v>
      </c>
      <c r="B2149" s="66" t="s">
        <v>5257</v>
      </c>
      <c r="C2149" s="74" t="s">
        <v>203</v>
      </c>
      <c r="D2149" s="69" t="s">
        <v>5258</v>
      </c>
      <c r="E2149" s="69" t="s">
        <v>5259</v>
      </c>
    </row>
    <row r="2150" spans="1:5" ht="33.75" x14ac:dyDescent="0.2">
      <c r="A2150" s="65" t="s">
        <v>5260</v>
      </c>
      <c r="B2150" s="65" t="s">
        <v>5261</v>
      </c>
      <c r="C2150" s="74" t="s">
        <v>203</v>
      </c>
      <c r="D2150" s="69" t="s">
        <v>5262</v>
      </c>
      <c r="E2150" s="69" t="s">
        <v>5263</v>
      </c>
    </row>
    <row r="2151" spans="1:5" ht="22.5" x14ac:dyDescent="0.2">
      <c r="A2151" s="50">
        <v>37.21</v>
      </c>
      <c r="B2151" s="64" t="s">
        <v>5264</v>
      </c>
      <c r="C2151" s="47"/>
      <c r="D2151" s="47"/>
      <c r="E2151" s="47"/>
    </row>
    <row r="2152" spans="1:5" ht="56.25" x14ac:dyDescent="0.2">
      <c r="A2152" s="65" t="s">
        <v>5265</v>
      </c>
      <c r="B2152" s="66" t="s">
        <v>5266</v>
      </c>
      <c r="C2152" s="74" t="s">
        <v>203</v>
      </c>
      <c r="D2152" s="69" t="s">
        <v>5267</v>
      </c>
      <c r="E2152" s="69" t="s">
        <v>5268</v>
      </c>
    </row>
    <row r="2153" spans="1:5" ht="22.5" x14ac:dyDescent="0.2">
      <c r="A2153" s="50">
        <v>37.22</v>
      </c>
      <c r="B2153" s="64" t="s">
        <v>5269</v>
      </c>
      <c r="C2153" s="47"/>
      <c r="D2153" s="47"/>
      <c r="E2153" s="47"/>
    </row>
    <row r="2154" spans="1:5" ht="45" x14ac:dyDescent="0.2">
      <c r="A2154" s="65" t="s">
        <v>5270</v>
      </c>
      <c r="B2154" s="65" t="s">
        <v>5271</v>
      </c>
      <c r="C2154" s="74" t="s">
        <v>203</v>
      </c>
      <c r="D2154" s="69" t="s">
        <v>5272</v>
      </c>
      <c r="E2154" s="69" t="s">
        <v>5273</v>
      </c>
    </row>
    <row r="2155" spans="1:5" x14ac:dyDescent="0.2">
      <c r="A2155" s="50">
        <v>37.24</v>
      </c>
      <c r="B2155" s="64" t="s">
        <v>5274</v>
      </c>
      <c r="C2155" s="47"/>
      <c r="D2155" s="47"/>
      <c r="E2155" s="47"/>
    </row>
    <row r="2156" spans="1:5" ht="56.25" x14ac:dyDescent="0.2">
      <c r="A2156" s="65" t="s">
        <v>5275</v>
      </c>
      <c r="B2156" s="66" t="s">
        <v>5276</v>
      </c>
      <c r="C2156" s="74" t="s">
        <v>203</v>
      </c>
      <c r="D2156" s="69" t="s">
        <v>5277</v>
      </c>
      <c r="E2156" s="69" t="s">
        <v>5279</v>
      </c>
    </row>
    <row r="2157" spans="1:5" ht="56.25" x14ac:dyDescent="0.2">
      <c r="A2157" s="65" t="s">
        <v>5280</v>
      </c>
      <c r="B2157" s="66" t="s">
        <v>5281</v>
      </c>
      <c r="C2157" s="74" t="s">
        <v>203</v>
      </c>
      <c r="D2157" s="69" t="s">
        <v>5282</v>
      </c>
      <c r="E2157" s="69" t="s">
        <v>5283</v>
      </c>
    </row>
    <row r="2158" spans="1:5" ht="56.25" x14ac:dyDescent="0.2">
      <c r="A2158" s="65" t="s">
        <v>5284</v>
      </c>
      <c r="B2158" s="66" t="s">
        <v>5285</v>
      </c>
      <c r="C2158" s="74" t="s">
        <v>203</v>
      </c>
      <c r="D2158" s="69" t="s">
        <v>5286</v>
      </c>
      <c r="E2158" s="69" t="s">
        <v>5287</v>
      </c>
    </row>
    <row r="2159" spans="1:5" ht="90" x14ac:dyDescent="0.2">
      <c r="A2159" s="70" t="s">
        <v>5288</v>
      </c>
      <c r="B2159" s="65" t="s">
        <v>5289</v>
      </c>
      <c r="C2159" s="75" t="s">
        <v>203</v>
      </c>
      <c r="D2159" s="72" t="s">
        <v>5290</v>
      </c>
      <c r="E2159" s="72" t="s">
        <v>5292</v>
      </c>
    </row>
    <row r="2160" spans="1:5" ht="90" x14ac:dyDescent="0.2">
      <c r="A2160" s="70" t="s">
        <v>5293</v>
      </c>
      <c r="B2160" s="65" t="s">
        <v>5294</v>
      </c>
      <c r="C2160" s="75" t="s">
        <v>203</v>
      </c>
      <c r="D2160" s="72" t="s">
        <v>5295</v>
      </c>
      <c r="E2160" s="72" t="s">
        <v>5296</v>
      </c>
    </row>
    <row r="2161" spans="1:5" ht="101.25" x14ac:dyDescent="0.2">
      <c r="A2161" s="70" t="s">
        <v>5297</v>
      </c>
      <c r="B2161" s="65" t="s">
        <v>5298</v>
      </c>
      <c r="C2161" s="75" t="s">
        <v>203</v>
      </c>
      <c r="D2161" s="72" t="s">
        <v>5299</v>
      </c>
      <c r="E2161" s="72" t="s">
        <v>5300</v>
      </c>
    </row>
    <row r="2162" spans="1:5" ht="101.25" x14ac:dyDescent="0.2">
      <c r="A2162" s="70" t="s">
        <v>5301</v>
      </c>
      <c r="B2162" s="66" t="s">
        <v>5302</v>
      </c>
      <c r="C2162" s="75" t="s">
        <v>203</v>
      </c>
      <c r="D2162" s="72" t="s">
        <v>5303</v>
      </c>
      <c r="E2162" s="72" t="s">
        <v>5304</v>
      </c>
    </row>
    <row r="2163" spans="1:5" x14ac:dyDescent="0.2">
      <c r="A2163" s="50">
        <v>37.25</v>
      </c>
      <c r="B2163" s="64" t="s">
        <v>5305</v>
      </c>
      <c r="C2163" s="47"/>
      <c r="D2163" s="47"/>
      <c r="E2163" s="47"/>
    </row>
    <row r="2164" spans="1:5" ht="78.75" x14ac:dyDescent="0.2">
      <c r="A2164" s="65" t="s">
        <v>5306</v>
      </c>
      <c r="B2164" s="66" t="s">
        <v>5307</v>
      </c>
      <c r="C2164" s="74" t="s">
        <v>203</v>
      </c>
      <c r="D2164" s="69" t="s">
        <v>5308</v>
      </c>
      <c r="E2164" s="69" t="s">
        <v>5310</v>
      </c>
    </row>
    <row r="2165" spans="1:5" ht="78.75" x14ac:dyDescent="0.2">
      <c r="A2165" s="65" t="s">
        <v>5311</v>
      </c>
      <c r="B2165" s="66" t="s">
        <v>5312</v>
      </c>
      <c r="C2165" s="74" t="s">
        <v>203</v>
      </c>
      <c r="D2165" s="69" t="s">
        <v>5313</v>
      </c>
      <c r="E2165" s="69" t="s">
        <v>5314</v>
      </c>
    </row>
    <row r="2166" spans="1:5" ht="78.75" x14ac:dyDescent="0.2">
      <c r="A2166" s="65" t="s">
        <v>5315</v>
      </c>
      <c r="B2166" s="66" t="s">
        <v>5316</v>
      </c>
      <c r="C2166" s="67" t="s">
        <v>203</v>
      </c>
      <c r="D2166" s="69" t="s">
        <v>5317</v>
      </c>
      <c r="E2166" s="69" t="s">
        <v>5318</v>
      </c>
    </row>
    <row r="2167" spans="1:5" ht="78.75" x14ac:dyDescent="0.2">
      <c r="A2167" s="70" t="s">
        <v>5319</v>
      </c>
      <c r="B2167" s="65" t="s">
        <v>5320</v>
      </c>
      <c r="C2167" s="71" t="s">
        <v>203</v>
      </c>
      <c r="D2167" s="72" t="s">
        <v>5321</v>
      </c>
      <c r="E2167" s="72" t="s">
        <v>5322</v>
      </c>
    </row>
    <row r="2168" spans="1:5" ht="78.75" x14ac:dyDescent="0.2">
      <c r="A2168" s="70" t="s">
        <v>5323</v>
      </c>
      <c r="B2168" s="65" t="s">
        <v>5324</v>
      </c>
      <c r="C2168" s="71" t="s">
        <v>203</v>
      </c>
      <c r="D2168" s="72" t="s">
        <v>5325</v>
      </c>
      <c r="E2168" s="72" t="s">
        <v>5326</v>
      </c>
    </row>
    <row r="2169" spans="1:5" ht="67.5" x14ac:dyDescent="0.2">
      <c r="A2169" s="65" t="s">
        <v>5327</v>
      </c>
      <c r="B2169" s="66" t="s">
        <v>5328</v>
      </c>
      <c r="C2169" s="67" t="s">
        <v>240</v>
      </c>
      <c r="D2169" s="69" t="s">
        <v>5329</v>
      </c>
      <c r="E2169" s="69" t="s">
        <v>5330</v>
      </c>
    </row>
    <row r="2170" spans="1:5" ht="45" x14ac:dyDescent="0.2">
      <c r="A2170" s="49">
        <v>38</v>
      </c>
      <c r="B2170" s="64" t="s">
        <v>5331</v>
      </c>
      <c r="C2170" s="48"/>
      <c r="D2170" s="48"/>
      <c r="E2170" s="48"/>
    </row>
    <row r="2171" spans="1:5" ht="22.5" x14ac:dyDescent="0.2">
      <c r="A2171" s="50">
        <v>38.01</v>
      </c>
      <c r="B2171" s="64" t="s">
        <v>5332</v>
      </c>
      <c r="C2171" s="47"/>
      <c r="D2171" s="47"/>
      <c r="E2171" s="47"/>
    </row>
    <row r="2172" spans="1:5" ht="33.75" x14ac:dyDescent="0.2">
      <c r="A2172" s="65" t="s">
        <v>5333</v>
      </c>
      <c r="B2172" s="65" t="s">
        <v>5334</v>
      </c>
      <c r="C2172" s="67" t="s">
        <v>221</v>
      </c>
      <c r="D2172" s="69" t="s">
        <v>5335</v>
      </c>
      <c r="E2172" s="69" t="s">
        <v>5336</v>
      </c>
    </row>
    <row r="2173" spans="1:5" ht="33.75" x14ac:dyDescent="0.2">
      <c r="A2173" s="65" t="s">
        <v>5337</v>
      </c>
      <c r="B2173" s="65" t="s">
        <v>5338</v>
      </c>
      <c r="C2173" s="67" t="s">
        <v>221</v>
      </c>
      <c r="D2173" s="69" t="s">
        <v>294</v>
      </c>
      <c r="E2173" s="69" t="s">
        <v>5339</v>
      </c>
    </row>
    <row r="2174" spans="1:5" ht="33.75" x14ac:dyDescent="0.2">
      <c r="A2174" s="65" t="s">
        <v>5340</v>
      </c>
      <c r="B2174" s="65" t="s">
        <v>5341</v>
      </c>
      <c r="C2174" s="67" t="s">
        <v>221</v>
      </c>
      <c r="D2174" s="69" t="s">
        <v>5342</v>
      </c>
      <c r="E2174" s="69" t="s">
        <v>5344</v>
      </c>
    </row>
    <row r="2175" spans="1:5" ht="33.75" x14ac:dyDescent="0.2">
      <c r="A2175" s="65" t="s">
        <v>5345</v>
      </c>
      <c r="B2175" s="65" t="s">
        <v>5346</v>
      </c>
      <c r="C2175" s="67" t="s">
        <v>221</v>
      </c>
      <c r="D2175" s="69" t="s">
        <v>5347</v>
      </c>
      <c r="E2175" s="69" t="s">
        <v>5348</v>
      </c>
    </row>
    <row r="2176" spans="1:5" ht="33.75" x14ac:dyDescent="0.2">
      <c r="A2176" s="65" t="s">
        <v>5349</v>
      </c>
      <c r="B2176" s="65" t="s">
        <v>5350</v>
      </c>
      <c r="C2176" s="67" t="s">
        <v>221</v>
      </c>
      <c r="D2176" s="69" t="s">
        <v>4431</v>
      </c>
      <c r="E2176" s="69" t="s">
        <v>5351</v>
      </c>
    </row>
    <row r="2177" spans="1:5" ht="33.75" x14ac:dyDescent="0.2">
      <c r="A2177" s="65" t="s">
        <v>5352</v>
      </c>
      <c r="B2177" s="65" t="s">
        <v>5353</v>
      </c>
      <c r="C2177" s="67" t="s">
        <v>221</v>
      </c>
      <c r="D2177" s="69" t="s">
        <v>4923</v>
      </c>
      <c r="E2177" s="69" t="s">
        <v>5354</v>
      </c>
    </row>
    <row r="2178" spans="1:5" ht="33.75" x14ac:dyDescent="0.2">
      <c r="A2178" s="65" t="s">
        <v>5355</v>
      </c>
      <c r="B2178" s="65" t="s">
        <v>5356</v>
      </c>
      <c r="C2178" s="67" t="s">
        <v>221</v>
      </c>
      <c r="D2178" s="69" t="s">
        <v>5357</v>
      </c>
      <c r="E2178" s="69" t="s">
        <v>5358</v>
      </c>
    </row>
    <row r="2179" spans="1:5" ht="33.75" x14ac:dyDescent="0.2">
      <c r="A2179" s="65" t="s">
        <v>5359</v>
      </c>
      <c r="B2179" s="65" t="s">
        <v>5360</v>
      </c>
      <c r="C2179" s="67" t="s">
        <v>221</v>
      </c>
      <c r="D2179" s="69" t="s">
        <v>5361</v>
      </c>
      <c r="E2179" s="69" t="s">
        <v>5362</v>
      </c>
    </row>
    <row r="2180" spans="1:5" ht="56.25" x14ac:dyDescent="0.2">
      <c r="A2180" s="50">
        <v>38.04</v>
      </c>
      <c r="B2180" s="51" t="s">
        <v>5363</v>
      </c>
      <c r="C2180" s="48"/>
      <c r="D2180" s="48"/>
      <c r="E2180" s="48"/>
    </row>
    <row r="2181" spans="1:5" ht="45" x14ac:dyDescent="0.2">
      <c r="A2181" s="65" t="s">
        <v>5364</v>
      </c>
      <c r="B2181" s="65" t="s">
        <v>5365</v>
      </c>
      <c r="C2181" s="67" t="s">
        <v>221</v>
      </c>
      <c r="D2181" s="69" t="s">
        <v>290</v>
      </c>
      <c r="E2181" s="69" t="s">
        <v>5366</v>
      </c>
    </row>
    <row r="2182" spans="1:5" ht="45" x14ac:dyDescent="0.2">
      <c r="A2182" s="65" t="s">
        <v>5367</v>
      </c>
      <c r="B2182" s="65" t="s">
        <v>5368</v>
      </c>
      <c r="C2182" s="67" t="s">
        <v>221</v>
      </c>
      <c r="D2182" s="69" t="s">
        <v>283</v>
      </c>
      <c r="E2182" s="69" t="s">
        <v>5369</v>
      </c>
    </row>
    <row r="2183" spans="1:5" ht="56.25" x14ac:dyDescent="0.2">
      <c r="A2183" s="65" t="s">
        <v>5370</v>
      </c>
      <c r="B2183" s="65" t="s">
        <v>5371</v>
      </c>
      <c r="C2183" s="67" t="s">
        <v>221</v>
      </c>
      <c r="D2183" s="69" t="s">
        <v>5372</v>
      </c>
      <c r="E2183" s="69" t="s">
        <v>5373</v>
      </c>
    </row>
    <row r="2184" spans="1:5" ht="56.25" x14ac:dyDescent="0.2">
      <c r="A2184" s="65" t="s">
        <v>5374</v>
      </c>
      <c r="B2184" s="65" t="s">
        <v>5375</v>
      </c>
      <c r="C2184" s="67" t="s">
        <v>221</v>
      </c>
      <c r="D2184" s="69" t="s">
        <v>5376</v>
      </c>
      <c r="E2184" s="69" t="s">
        <v>5377</v>
      </c>
    </row>
    <row r="2185" spans="1:5" ht="45" x14ac:dyDescent="0.2">
      <c r="A2185" s="65" t="s">
        <v>5378</v>
      </c>
      <c r="B2185" s="65" t="s">
        <v>5379</v>
      </c>
      <c r="C2185" s="67" t="s">
        <v>221</v>
      </c>
      <c r="D2185" s="69" t="s">
        <v>5380</v>
      </c>
      <c r="E2185" s="69" t="s">
        <v>5381</v>
      </c>
    </row>
    <row r="2186" spans="1:5" ht="56.25" x14ac:dyDescent="0.2">
      <c r="A2186" s="65" t="s">
        <v>5382</v>
      </c>
      <c r="B2186" s="65" t="s">
        <v>5383</v>
      </c>
      <c r="C2186" s="67" t="s">
        <v>221</v>
      </c>
      <c r="D2186" s="69" t="s">
        <v>5384</v>
      </c>
      <c r="E2186" s="69" t="s">
        <v>5385</v>
      </c>
    </row>
    <row r="2187" spans="1:5" ht="45" x14ac:dyDescent="0.2">
      <c r="A2187" s="65" t="s">
        <v>5386</v>
      </c>
      <c r="B2187" s="65" t="s">
        <v>5387</v>
      </c>
      <c r="C2187" s="67" t="s">
        <v>221</v>
      </c>
      <c r="D2187" s="69" t="s">
        <v>5388</v>
      </c>
      <c r="E2187" s="69" t="s">
        <v>5389</v>
      </c>
    </row>
    <row r="2188" spans="1:5" ht="45" x14ac:dyDescent="0.2">
      <c r="A2188" s="65" t="s">
        <v>5390</v>
      </c>
      <c r="B2188" s="65" t="s">
        <v>5391</v>
      </c>
      <c r="C2188" s="67" t="s">
        <v>221</v>
      </c>
      <c r="D2188" s="69" t="s">
        <v>5392</v>
      </c>
      <c r="E2188" s="69" t="s">
        <v>5393</v>
      </c>
    </row>
    <row r="2189" spans="1:5" ht="56.25" x14ac:dyDescent="0.2">
      <c r="A2189" s="50">
        <v>38.049999999999997</v>
      </c>
      <c r="B2189" s="64" t="s">
        <v>5394</v>
      </c>
      <c r="C2189" s="48"/>
      <c r="D2189" s="48"/>
      <c r="E2189" s="48"/>
    </row>
    <row r="2190" spans="1:5" ht="56.25" x14ac:dyDescent="0.2">
      <c r="A2190" s="65" t="s">
        <v>5395</v>
      </c>
      <c r="B2190" s="66" t="s">
        <v>5396</v>
      </c>
      <c r="C2190" s="67" t="s">
        <v>221</v>
      </c>
      <c r="D2190" s="69" t="s">
        <v>5397</v>
      </c>
      <c r="E2190" s="69" t="s">
        <v>5398</v>
      </c>
    </row>
    <row r="2191" spans="1:5" ht="45" x14ac:dyDescent="0.2">
      <c r="A2191" s="65" t="s">
        <v>5399</v>
      </c>
      <c r="B2191" s="65" t="s">
        <v>5400</v>
      </c>
      <c r="C2191" s="67" t="s">
        <v>221</v>
      </c>
      <c r="D2191" s="69" t="s">
        <v>5401</v>
      </c>
      <c r="E2191" s="69" t="s">
        <v>5402</v>
      </c>
    </row>
    <row r="2192" spans="1:5" ht="56.25" x14ac:dyDescent="0.2">
      <c r="A2192" s="65" t="s">
        <v>5403</v>
      </c>
      <c r="B2192" s="66" t="s">
        <v>5404</v>
      </c>
      <c r="C2192" s="67" t="s">
        <v>221</v>
      </c>
      <c r="D2192" s="69" t="s">
        <v>5405</v>
      </c>
      <c r="E2192" s="69" t="s">
        <v>5406</v>
      </c>
    </row>
    <row r="2193" spans="1:5" ht="56.25" x14ac:dyDescent="0.2">
      <c r="A2193" s="65" t="s">
        <v>5407</v>
      </c>
      <c r="B2193" s="66" t="s">
        <v>5408</v>
      </c>
      <c r="C2193" s="67" t="s">
        <v>221</v>
      </c>
      <c r="D2193" s="69" t="s">
        <v>5409</v>
      </c>
      <c r="E2193" s="69" t="s">
        <v>5410</v>
      </c>
    </row>
    <row r="2194" spans="1:5" ht="45" x14ac:dyDescent="0.2">
      <c r="A2194" s="65" t="s">
        <v>5411</v>
      </c>
      <c r="B2194" s="65" t="s">
        <v>5412</v>
      </c>
      <c r="C2194" s="67" t="s">
        <v>221</v>
      </c>
      <c r="D2194" s="69" t="s">
        <v>5413</v>
      </c>
      <c r="E2194" s="69" t="s">
        <v>5414</v>
      </c>
    </row>
    <row r="2195" spans="1:5" ht="56.25" x14ac:dyDescent="0.2">
      <c r="A2195" s="65" t="s">
        <v>5415</v>
      </c>
      <c r="B2195" s="66" t="s">
        <v>5416</v>
      </c>
      <c r="C2195" s="67" t="s">
        <v>221</v>
      </c>
      <c r="D2195" s="69" t="s">
        <v>5417</v>
      </c>
      <c r="E2195" s="69" t="s">
        <v>5418</v>
      </c>
    </row>
    <row r="2196" spans="1:5" ht="45" x14ac:dyDescent="0.2">
      <c r="A2196" s="65" t="s">
        <v>5419</v>
      </c>
      <c r="B2196" s="65" t="s">
        <v>5420</v>
      </c>
      <c r="C2196" s="67" t="s">
        <v>221</v>
      </c>
      <c r="D2196" s="69" t="s">
        <v>5421</v>
      </c>
      <c r="E2196" s="69" t="s">
        <v>5422</v>
      </c>
    </row>
    <row r="2197" spans="1:5" ht="45" x14ac:dyDescent="0.2">
      <c r="A2197" s="65" t="s">
        <v>5423</v>
      </c>
      <c r="B2197" s="65" t="s">
        <v>5424</v>
      </c>
      <c r="C2197" s="67" t="s">
        <v>221</v>
      </c>
      <c r="D2197" s="69" t="s">
        <v>5425</v>
      </c>
      <c r="E2197" s="69" t="s">
        <v>5426</v>
      </c>
    </row>
    <row r="2198" spans="1:5" ht="78.75" x14ac:dyDescent="0.2">
      <c r="A2198" s="50">
        <v>38.06</v>
      </c>
      <c r="B2198" s="51" t="s">
        <v>5427</v>
      </c>
      <c r="C2198" s="48"/>
      <c r="D2198" s="48"/>
      <c r="E2198" s="48"/>
    </row>
    <row r="2199" spans="1:5" ht="56.25" x14ac:dyDescent="0.2">
      <c r="A2199" s="65" t="s">
        <v>5428</v>
      </c>
      <c r="B2199" s="66" t="s">
        <v>5429</v>
      </c>
      <c r="C2199" s="67" t="s">
        <v>221</v>
      </c>
      <c r="D2199" s="69" t="s">
        <v>1116</v>
      </c>
      <c r="E2199" s="69" t="s">
        <v>533</v>
      </c>
    </row>
    <row r="2200" spans="1:5" ht="56.25" x14ac:dyDescent="0.2">
      <c r="A2200" s="65" t="s">
        <v>5430</v>
      </c>
      <c r="B2200" s="66" t="s">
        <v>5431</v>
      </c>
      <c r="C2200" s="67" t="s">
        <v>221</v>
      </c>
      <c r="D2200" s="69" t="s">
        <v>5432</v>
      </c>
      <c r="E2200" s="69" t="s">
        <v>5433</v>
      </c>
    </row>
    <row r="2201" spans="1:5" ht="45" x14ac:dyDescent="0.2">
      <c r="A2201" s="65" t="s">
        <v>5434</v>
      </c>
      <c r="B2201" s="65" t="s">
        <v>5435</v>
      </c>
      <c r="C2201" s="67" t="s">
        <v>221</v>
      </c>
      <c r="D2201" s="69" t="s">
        <v>3537</v>
      </c>
      <c r="E2201" s="69" t="s">
        <v>5436</v>
      </c>
    </row>
    <row r="2202" spans="1:5" ht="56.25" x14ac:dyDescent="0.2">
      <c r="A2202" s="65" t="s">
        <v>5437</v>
      </c>
      <c r="B2202" s="66" t="s">
        <v>5438</v>
      </c>
      <c r="C2202" s="67" t="s">
        <v>221</v>
      </c>
      <c r="D2202" s="69" t="s">
        <v>5439</v>
      </c>
      <c r="E2202" s="69" t="s">
        <v>423</v>
      </c>
    </row>
    <row r="2203" spans="1:5" ht="56.25" x14ac:dyDescent="0.2">
      <c r="A2203" s="65" t="s">
        <v>5440</v>
      </c>
      <c r="B2203" s="66" t="s">
        <v>5441</v>
      </c>
      <c r="C2203" s="67" t="s">
        <v>221</v>
      </c>
      <c r="D2203" s="69" t="s">
        <v>5442</v>
      </c>
      <c r="E2203" s="69" t="s">
        <v>5443</v>
      </c>
    </row>
    <row r="2204" spans="1:5" ht="45" x14ac:dyDescent="0.2">
      <c r="A2204" s="65" t="s">
        <v>5444</v>
      </c>
      <c r="B2204" s="65" t="s">
        <v>5445</v>
      </c>
      <c r="C2204" s="67" t="s">
        <v>221</v>
      </c>
      <c r="D2204" s="69" t="s">
        <v>5446</v>
      </c>
      <c r="E2204" s="69" t="s">
        <v>5447</v>
      </c>
    </row>
    <row r="2205" spans="1:5" ht="56.25" x14ac:dyDescent="0.2">
      <c r="A2205" s="65" t="s">
        <v>5448</v>
      </c>
      <c r="B2205" s="66" t="s">
        <v>5449</v>
      </c>
      <c r="C2205" s="67" t="s">
        <v>221</v>
      </c>
      <c r="D2205" s="69" t="s">
        <v>4274</v>
      </c>
      <c r="E2205" s="69" t="s">
        <v>5450</v>
      </c>
    </row>
    <row r="2206" spans="1:5" ht="45" x14ac:dyDescent="0.2">
      <c r="A2206" s="65" t="s">
        <v>5451</v>
      </c>
      <c r="B2206" s="65" t="s">
        <v>5452</v>
      </c>
      <c r="C2206" s="67" t="s">
        <v>221</v>
      </c>
      <c r="D2206" s="69" t="s">
        <v>5453</v>
      </c>
      <c r="E2206" s="69" t="s">
        <v>5454</v>
      </c>
    </row>
    <row r="2207" spans="1:5" ht="45" x14ac:dyDescent="0.2">
      <c r="A2207" s="65" t="s">
        <v>5455</v>
      </c>
      <c r="B2207" s="65" t="s">
        <v>5456</v>
      </c>
      <c r="C2207" s="67" t="s">
        <v>221</v>
      </c>
      <c r="D2207" s="69" t="s">
        <v>5457</v>
      </c>
      <c r="E2207" s="69" t="s">
        <v>5458</v>
      </c>
    </row>
    <row r="2208" spans="1:5" ht="22.5" x14ac:dyDescent="0.2">
      <c r="A2208" s="50">
        <v>38.07</v>
      </c>
      <c r="B2208" s="64" t="s">
        <v>5459</v>
      </c>
      <c r="C2208" s="47"/>
      <c r="D2208" s="47"/>
      <c r="E2208" s="47"/>
    </row>
    <row r="2209" spans="1:5" ht="45" x14ac:dyDescent="0.2">
      <c r="A2209" s="65" t="s">
        <v>5460</v>
      </c>
      <c r="B2209" s="65" t="s">
        <v>5461</v>
      </c>
      <c r="C2209" s="67" t="s">
        <v>240</v>
      </c>
      <c r="D2209" s="69" t="s">
        <v>4876</v>
      </c>
      <c r="E2209" s="69" t="s">
        <v>5462</v>
      </c>
    </row>
    <row r="2210" spans="1:5" ht="33.75" x14ac:dyDescent="0.2">
      <c r="A2210" s="65" t="s">
        <v>5463</v>
      </c>
      <c r="B2210" s="65" t="s">
        <v>5464</v>
      </c>
      <c r="C2210" s="67" t="s">
        <v>221</v>
      </c>
      <c r="D2210" s="69" t="s">
        <v>5465</v>
      </c>
      <c r="E2210" s="69" t="s">
        <v>408</v>
      </c>
    </row>
    <row r="2211" spans="1:5" ht="22.5" x14ac:dyDescent="0.2">
      <c r="A2211" s="65" t="s">
        <v>5466</v>
      </c>
      <c r="B2211" s="65" t="s">
        <v>5467</v>
      </c>
      <c r="C2211" s="67" t="s">
        <v>203</v>
      </c>
      <c r="D2211" s="69" t="s">
        <v>5468</v>
      </c>
      <c r="E2211" s="69" t="s">
        <v>268</v>
      </c>
    </row>
    <row r="2212" spans="1:5" ht="33.75" x14ac:dyDescent="0.2">
      <c r="A2212" s="65" t="s">
        <v>5469</v>
      </c>
      <c r="B2212" s="65" t="s">
        <v>5470</v>
      </c>
      <c r="C2212" s="67" t="s">
        <v>203</v>
      </c>
      <c r="D2212" s="69" t="s">
        <v>5471</v>
      </c>
      <c r="E2212" s="69" t="s">
        <v>5472</v>
      </c>
    </row>
    <row r="2213" spans="1:5" ht="33.75" x14ac:dyDescent="0.2">
      <c r="A2213" s="65" t="s">
        <v>5473</v>
      </c>
      <c r="B2213" s="65" t="s">
        <v>5474</v>
      </c>
      <c r="C2213" s="67" t="s">
        <v>203</v>
      </c>
      <c r="D2213" s="69" t="s">
        <v>3944</v>
      </c>
      <c r="E2213" s="69" t="s">
        <v>5475</v>
      </c>
    </row>
    <row r="2214" spans="1:5" ht="22.5" x14ac:dyDescent="0.2">
      <c r="A2214" s="65" t="s">
        <v>5476</v>
      </c>
      <c r="B2214" s="65" t="s">
        <v>5477</v>
      </c>
      <c r="C2214" s="67" t="s">
        <v>203</v>
      </c>
      <c r="D2214" s="69" t="s">
        <v>1237</v>
      </c>
      <c r="E2214" s="69" t="s">
        <v>3339</v>
      </c>
    </row>
    <row r="2215" spans="1:5" ht="33.75" x14ac:dyDescent="0.2">
      <c r="A2215" s="65" t="s">
        <v>5478</v>
      </c>
      <c r="B2215" s="65" t="s">
        <v>5479</v>
      </c>
      <c r="C2215" s="67" t="s">
        <v>221</v>
      </c>
      <c r="D2215" s="69" t="s">
        <v>285</v>
      </c>
      <c r="E2215" s="69" t="s">
        <v>5480</v>
      </c>
    </row>
    <row r="2216" spans="1:5" ht="45" x14ac:dyDescent="0.2">
      <c r="A2216" s="65" t="s">
        <v>5481</v>
      </c>
      <c r="B2216" s="65" t="s">
        <v>5482</v>
      </c>
      <c r="C2216" s="67" t="s">
        <v>221</v>
      </c>
      <c r="D2216" s="69" t="s">
        <v>302</v>
      </c>
      <c r="E2216" s="69" t="s">
        <v>5484</v>
      </c>
    </row>
    <row r="2217" spans="1:5" ht="45" x14ac:dyDescent="0.2">
      <c r="A2217" s="65" t="s">
        <v>5485</v>
      </c>
      <c r="B2217" s="65" t="s">
        <v>5486</v>
      </c>
      <c r="C2217" s="67" t="s">
        <v>221</v>
      </c>
      <c r="D2217" s="69" t="s">
        <v>5487</v>
      </c>
      <c r="E2217" s="69" t="s">
        <v>5488</v>
      </c>
    </row>
    <row r="2218" spans="1:5" ht="45" x14ac:dyDescent="0.2">
      <c r="A2218" s="65" t="s">
        <v>5489</v>
      </c>
      <c r="B2218" s="65" t="s">
        <v>5490</v>
      </c>
      <c r="C2218" s="67" t="s">
        <v>221</v>
      </c>
      <c r="D2218" s="69" t="s">
        <v>5491</v>
      </c>
      <c r="E2218" s="69" t="s">
        <v>410</v>
      </c>
    </row>
    <row r="2219" spans="1:5" ht="56.25" x14ac:dyDescent="0.2">
      <c r="A2219" s="65" t="s">
        <v>5492</v>
      </c>
      <c r="B2219" s="65" t="s">
        <v>5493</v>
      </c>
      <c r="C2219" s="67" t="s">
        <v>221</v>
      </c>
      <c r="D2219" s="69" t="s">
        <v>5494</v>
      </c>
      <c r="E2219" s="69" t="s">
        <v>5495</v>
      </c>
    </row>
    <row r="2220" spans="1:5" ht="56.25" x14ac:dyDescent="0.2">
      <c r="A2220" s="65" t="s">
        <v>5496</v>
      </c>
      <c r="B2220" s="65" t="s">
        <v>5497</v>
      </c>
      <c r="C2220" s="67" t="s">
        <v>221</v>
      </c>
      <c r="D2220" s="69" t="s">
        <v>5498</v>
      </c>
      <c r="E2220" s="69" t="s">
        <v>5499</v>
      </c>
    </row>
    <row r="2221" spans="1:5" ht="22.5" x14ac:dyDescent="0.2">
      <c r="A2221" s="65" t="s">
        <v>5500</v>
      </c>
      <c r="B2221" s="65" t="s">
        <v>5501</v>
      </c>
      <c r="C2221" s="67" t="s">
        <v>221</v>
      </c>
      <c r="D2221" s="69" t="s">
        <v>5502</v>
      </c>
      <c r="E2221" s="69" t="s">
        <v>5503</v>
      </c>
    </row>
    <row r="2222" spans="1:5" ht="56.25" x14ac:dyDescent="0.2">
      <c r="A2222" s="65" t="s">
        <v>5504</v>
      </c>
      <c r="B2222" s="66" t="s">
        <v>5505</v>
      </c>
      <c r="C2222" s="67" t="s">
        <v>221</v>
      </c>
      <c r="D2222" s="69" t="s">
        <v>5506</v>
      </c>
      <c r="E2222" s="69" t="s">
        <v>5507</v>
      </c>
    </row>
    <row r="2223" spans="1:5" ht="67.5" x14ac:dyDescent="0.2">
      <c r="A2223" s="65" t="s">
        <v>5508</v>
      </c>
      <c r="B2223" s="66" t="s">
        <v>5509</v>
      </c>
      <c r="C2223" s="67" t="s">
        <v>221</v>
      </c>
      <c r="D2223" s="69" t="s">
        <v>5510</v>
      </c>
      <c r="E2223" s="69" t="s">
        <v>5511</v>
      </c>
    </row>
    <row r="2224" spans="1:5" ht="67.5" x14ac:dyDescent="0.2">
      <c r="A2224" s="65" t="s">
        <v>5512</v>
      </c>
      <c r="B2224" s="66" t="s">
        <v>5513</v>
      </c>
      <c r="C2224" s="67" t="s">
        <v>221</v>
      </c>
      <c r="D2224" s="69" t="s">
        <v>5514</v>
      </c>
      <c r="E2224" s="69" t="s">
        <v>5515</v>
      </c>
    </row>
    <row r="2225" spans="1:5" ht="56.25" x14ac:dyDescent="0.2">
      <c r="A2225" s="65" t="s">
        <v>5516</v>
      </c>
      <c r="B2225" s="66" t="s">
        <v>5517</v>
      </c>
      <c r="C2225" s="67" t="s">
        <v>203</v>
      </c>
      <c r="D2225" s="69" t="s">
        <v>5518</v>
      </c>
      <c r="E2225" s="69" t="s">
        <v>5519</v>
      </c>
    </row>
    <row r="2226" spans="1:5" ht="56.25" x14ac:dyDescent="0.2">
      <c r="A2226" s="65" t="s">
        <v>5520</v>
      </c>
      <c r="B2226" s="66" t="s">
        <v>5521</v>
      </c>
      <c r="C2226" s="67" t="s">
        <v>203</v>
      </c>
      <c r="D2226" s="69" t="s">
        <v>5522</v>
      </c>
      <c r="E2226" s="69" t="s">
        <v>5523</v>
      </c>
    </row>
    <row r="2227" spans="1:5" ht="56.25" x14ac:dyDescent="0.2">
      <c r="A2227" s="65" t="s">
        <v>5524</v>
      </c>
      <c r="B2227" s="66" t="s">
        <v>5525</v>
      </c>
      <c r="C2227" s="67" t="s">
        <v>203</v>
      </c>
      <c r="D2227" s="69" t="s">
        <v>5526</v>
      </c>
      <c r="E2227" s="69" t="s">
        <v>5527</v>
      </c>
    </row>
    <row r="2228" spans="1:5" ht="22.5" x14ac:dyDescent="0.2">
      <c r="A2228" s="50">
        <v>38.1</v>
      </c>
      <c r="B2228" s="64" t="s">
        <v>5528</v>
      </c>
      <c r="C2228" s="47"/>
      <c r="D2228" s="47"/>
      <c r="E2228" s="47"/>
    </row>
    <row r="2229" spans="1:5" ht="45" x14ac:dyDescent="0.2">
      <c r="A2229" s="65" t="s">
        <v>5529</v>
      </c>
      <c r="B2229" s="65" t="s">
        <v>5530</v>
      </c>
      <c r="C2229" s="67" t="s">
        <v>221</v>
      </c>
      <c r="D2229" s="69" t="s">
        <v>5531</v>
      </c>
      <c r="E2229" s="69" t="s">
        <v>5532</v>
      </c>
    </row>
    <row r="2230" spans="1:5" ht="45" x14ac:dyDescent="0.2">
      <c r="A2230" s="65" t="s">
        <v>5533</v>
      </c>
      <c r="B2230" s="65" t="s">
        <v>5534</v>
      </c>
      <c r="C2230" s="67" t="s">
        <v>221</v>
      </c>
      <c r="D2230" s="69" t="s">
        <v>5535</v>
      </c>
      <c r="E2230" s="69" t="s">
        <v>5277</v>
      </c>
    </row>
    <row r="2231" spans="1:5" ht="67.5" x14ac:dyDescent="0.2">
      <c r="A2231" s="65" t="s">
        <v>5536</v>
      </c>
      <c r="B2231" s="66" t="s">
        <v>5537</v>
      </c>
      <c r="C2231" s="67" t="s">
        <v>203</v>
      </c>
      <c r="D2231" s="69" t="s">
        <v>5538</v>
      </c>
      <c r="E2231" s="69" t="s">
        <v>5539</v>
      </c>
    </row>
    <row r="2232" spans="1:5" ht="67.5" x14ac:dyDescent="0.2">
      <c r="A2232" s="65" t="s">
        <v>5540</v>
      </c>
      <c r="B2232" s="66" t="s">
        <v>5541</v>
      </c>
      <c r="C2232" s="67" t="s">
        <v>203</v>
      </c>
      <c r="D2232" s="69" t="s">
        <v>5542</v>
      </c>
      <c r="E2232" s="69" t="s">
        <v>5543</v>
      </c>
    </row>
    <row r="2233" spans="1:5" ht="67.5" x14ac:dyDescent="0.2">
      <c r="A2233" s="65" t="s">
        <v>5544</v>
      </c>
      <c r="B2233" s="66" t="s">
        <v>5545</v>
      </c>
      <c r="C2233" s="67" t="s">
        <v>203</v>
      </c>
      <c r="D2233" s="69" t="s">
        <v>5546</v>
      </c>
      <c r="E2233" s="69" t="s">
        <v>5547</v>
      </c>
    </row>
    <row r="2234" spans="1:5" ht="45" x14ac:dyDescent="0.2">
      <c r="A2234" s="65" t="s">
        <v>5548</v>
      </c>
      <c r="B2234" s="65" t="s">
        <v>5549</v>
      </c>
      <c r="C2234" s="67" t="s">
        <v>203</v>
      </c>
      <c r="D2234" s="69" t="s">
        <v>5550</v>
      </c>
      <c r="E2234" s="69" t="s">
        <v>5552</v>
      </c>
    </row>
    <row r="2235" spans="1:5" ht="45" x14ac:dyDescent="0.2">
      <c r="A2235" s="65" t="s">
        <v>5553</v>
      </c>
      <c r="B2235" s="65" t="s">
        <v>5554</v>
      </c>
      <c r="C2235" s="67" t="s">
        <v>203</v>
      </c>
      <c r="D2235" s="69" t="s">
        <v>5555</v>
      </c>
      <c r="E2235" s="69" t="s">
        <v>5556</v>
      </c>
    </row>
    <row r="2236" spans="1:5" ht="45" x14ac:dyDescent="0.2">
      <c r="A2236" s="65" t="s">
        <v>5557</v>
      </c>
      <c r="B2236" s="65" t="s">
        <v>5558</v>
      </c>
      <c r="C2236" s="67" t="s">
        <v>203</v>
      </c>
      <c r="D2236" s="69" t="s">
        <v>5559</v>
      </c>
      <c r="E2236" s="69" t="s">
        <v>5560</v>
      </c>
    </row>
    <row r="2237" spans="1:5" ht="33.75" x14ac:dyDescent="0.2">
      <c r="A2237" s="65" t="s">
        <v>5561</v>
      </c>
      <c r="B2237" s="65" t="s">
        <v>5562</v>
      </c>
      <c r="C2237" s="67" t="s">
        <v>203</v>
      </c>
      <c r="D2237" s="69" t="s">
        <v>324</v>
      </c>
      <c r="E2237" s="69" t="s">
        <v>5563</v>
      </c>
    </row>
    <row r="2238" spans="1:5" x14ac:dyDescent="0.2">
      <c r="A2238" s="50">
        <v>38.119999999999997</v>
      </c>
      <c r="B2238" s="64" t="s">
        <v>5564</v>
      </c>
      <c r="C2238" s="47"/>
      <c r="D2238" s="47"/>
      <c r="E2238" s="47"/>
    </row>
    <row r="2239" spans="1:5" ht="56.25" x14ac:dyDescent="0.2">
      <c r="A2239" s="65" t="s">
        <v>5565</v>
      </c>
      <c r="B2239" s="66" t="s">
        <v>5566</v>
      </c>
      <c r="C2239" s="67" t="s">
        <v>221</v>
      </c>
      <c r="D2239" s="69" t="s">
        <v>5567</v>
      </c>
      <c r="E2239" s="69" t="s">
        <v>5568</v>
      </c>
    </row>
    <row r="2240" spans="1:5" ht="56.25" x14ac:dyDescent="0.2">
      <c r="A2240" s="65" t="s">
        <v>5569</v>
      </c>
      <c r="B2240" s="66" t="s">
        <v>5570</v>
      </c>
      <c r="C2240" s="67" t="s">
        <v>221</v>
      </c>
      <c r="D2240" s="69" t="s">
        <v>5571</v>
      </c>
      <c r="E2240" s="69" t="s">
        <v>5572</v>
      </c>
    </row>
    <row r="2241" spans="1:5" ht="56.25" x14ac:dyDescent="0.2">
      <c r="A2241" s="65" t="s">
        <v>5573</v>
      </c>
      <c r="B2241" s="66" t="s">
        <v>5574</v>
      </c>
      <c r="C2241" s="67" t="s">
        <v>221</v>
      </c>
      <c r="D2241" s="69" t="s">
        <v>5575</v>
      </c>
      <c r="E2241" s="69" t="s">
        <v>5576</v>
      </c>
    </row>
    <row r="2242" spans="1:5" ht="56.25" x14ac:dyDescent="0.2">
      <c r="A2242" s="65" t="s">
        <v>5577</v>
      </c>
      <c r="B2242" s="66" t="s">
        <v>5578</v>
      </c>
      <c r="C2242" s="67" t="s">
        <v>221</v>
      </c>
      <c r="D2242" s="69" t="s">
        <v>5579</v>
      </c>
      <c r="E2242" s="69" t="s">
        <v>5580</v>
      </c>
    </row>
    <row r="2243" spans="1:5" ht="56.25" x14ac:dyDescent="0.2">
      <c r="A2243" s="65" t="s">
        <v>5581</v>
      </c>
      <c r="B2243" s="66" t="s">
        <v>5582</v>
      </c>
      <c r="C2243" s="67" t="s">
        <v>221</v>
      </c>
      <c r="D2243" s="69" t="s">
        <v>5583</v>
      </c>
      <c r="E2243" s="69" t="s">
        <v>5584</v>
      </c>
    </row>
    <row r="2244" spans="1:5" ht="33.75" x14ac:dyDescent="0.2">
      <c r="A2244" s="50">
        <v>38.130000000000003</v>
      </c>
      <c r="B2244" s="64" t="s">
        <v>5585</v>
      </c>
      <c r="C2244" s="47"/>
      <c r="D2244" s="47"/>
      <c r="E2244" s="47"/>
    </row>
    <row r="2245" spans="1:5" ht="56.25" x14ac:dyDescent="0.2">
      <c r="A2245" s="65" t="s">
        <v>5586</v>
      </c>
      <c r="B2245" s="66" t="s">
        <v>5587</v>
      </c>
      <c r="C2245" s="67" t="s">
        <v>221</v>
      </c>
      <c r="D2245" s="69" t="s">
        <v>278</v>
      </c>
      <c r="E2245" s="69" t="s">
        <v>5588</v>
      </c>
    </row>
    <row r="2246" spans="1:5" ht="56.25" x14ac:dyDescent="0.2">
      <c r="A2246" s="65" t="s">
        <v>5589</v>
      </c>
      <c r="B2246" s="66" t="s">
        <v>5590</v>
      </c>
      <c r="C2246" s="67" t="s">
        <v>221</v>
      </c>
      <c r="D2246" s="69" t="s">
        <v>5591</v>
      </c>
      <c r="E2246" s="69" t="s">
        <v>5592</v>
      </c>
    </row>
    <row r="2247" spans="1:5" ht="56.25" x14ac:dyDescent="0.2">
      <c r="A2247" s="65" t="s">
        <v>5593</v>
      </c>
      <c r="B2247" s="66" t="s">
        <v>5594</v>
      </c>
      <c r="C2247" s="67" t="s">
        <v>221</v>
      </c>
      <c r="D2247" s="69" t="s">
        <v>5595</v>
      </c>
      <c r="E2247" s="69" t="s">
        <v>5596</v>
      </c>
    </row>
    <row r="2248" spans="1:5" ht="56.25" x14ac:dyDescent="0.2">
      <c r="A2248" s="65" t="s">
        <v>5597</v>
      </c>
      <c r="B2248" s="66" t="s">
        <v>5598</v>
      </c>
      <c r="C2248" s="67" t="s">
        <v>221</v>
      </c>
      <c r="D2248" s="69" t="s">
        <v>5599</v>
      </c>
      <c r="E2248" s="69" t="s">
        <v>5600</v>
      </c>
    </row>
    <row r="2249" spans="1:5" ht="56.25" x14ac:dyDescent="0.2">
      <c r="A2249" s="65" t="s">
        <v>5601</v>
      </c>
      <c r="B2249" s="66" t="s">
        <v>5602</v>
      </c>
      <c r="C2249" s="67" t="s">
        <v>221</v>
      </c>
      <c r="D2249" s="69" t="s">
        <v>587</v>
      </c>
      <c r="E2249" s="69" t="s">
        <v>5603</v>
      </c>
    </row>
    <row r="2250" spans="1:5" ht="56.25" x14ac:dyDescent="0.2">
      <c r="A2250" s="65" t="s">
        <v>5604</v>
      </c>
      <c r="B2250" s="66" t="s">
        <v>5605</v>
      </c>
      <c r="C2250" s="67" t="s">
        <v>221</v>
      </c>
      <c r="D2250" s="69" t="s">
        <v>5606</v>
      </c>
      <c r="E2250" s="69" t="s">
        <v>5607</v>
      </c>
    </row>
    <row r="2251" spans="1:5" ht="56.25" x14ac:dyDescent="0.2">
      <c r="A2251" s="65" t="s">
        <v>5608</v>
      </c>
      <c r="B2251" s="66" t="s">
        <v>5609</v>
      </c>
      <c r="C2251" s="67" t="s">
        <v>221</v>
      </c>
      <c r="D2251" s="69" t="s">
        <v>5610</v>
      </c>
      <c r="E2251" s="69" t="s">
        <v>5611</v>
      </c>
    </row>
    <row r="2252" spans="1:5" ht="22.5" x14ac:dyDescent="0.2">
      <c r="A2252" s="50">
        <v>38.15</v>
      </c>
      <c r="B2252" s="64" t="s">
        <v>5612</v>
      </c>
      <c r="C2252" s="47"/>
      <c r="D2252" s="47"/>
      <c r="E2252" s="47"/>
    </row>
    <row r="2253" spans="1:5" ht="33.75" x14ac:dyDescent="0.2">
      <c r="A2253" s="65" t="s">
        <v>5613</v>
      </c>
      <c r="B2253" s="65" t="s">
        <v>5614</v>
      </c>
      <c r="C2253" s="67" t="s">
        <v>221</v>
      </c>
      <c r="D2253" s="69" t="s">
        <v>5615</v>
      </c>
      <c r="E2253" s="69" t="s">
        <v>5616</v>
      </c>
    </row>
    <row r="2254" spans="1:5" ht="33.75" x14ac:dyDescent="0.2">
      <c r="A2254" s="65" t="s">
        <v>5617</v>
      </c>
      <c r="B2254" s="65" t="s">
        <v>5618</v>
      </c>
      <c r="C2254" s="67" t="s">
        <v>221</v>
      </c>
      <c r="D2254" s="69" t="s">
        <v>4219</v>
      </c>
      <c r="E2254" s="69" t="s">
        <v>5619</v>
      </c>
    </row>
    <row r="2255" spans="1:5" ht="33.75" x14ac:dyDescent="0.2">
      <c r="A2255" s="65" t="s">
        <v>5620</v>
      </c>
      <c r="B2255" s="65" t="s">
        <v>5621</v>
      </c>
      <c r="C2255" s="67" t="s">
        <v>221</v>
      </c>
      <c r="D2255" s="69" t="s">
        <v>5622</v>
      </c>
      <c r="E2255" s="69" t="s">
        <v>5623</v>
      </c>
    </row>
    <row r="2256" spans="1:5" ht="33.75" x14ac:dyDescent="0.2">
      <c r="A2256" s="65" t="s">
        <v>5624</v>
      </c>
      <c r="B2256" s="65" t="s">
        <v>5625</v>
      </c>
      <c r="C2256" s="67" t="s">
        <v>203</v>
      </c>
      <c r="D2256" s="69" t="s">
        <v>5626</v>
      </c>
      <c r="E2256" s="69" t="s">
        <v>5628</v>
      </c>
    </row>
    <row r="2257" spans="1:5" ht="33.75" x14ac:dyDescent="0.2">
      <c r="A2257" s="65" t="s">
        <v>5629</v>
      </c>
      <c r="B2257" s="65" t="s">
        <v>5630</v>
      </c>
      <c r="C2257" s="67" t="s">
        <v>203</v>
      </c>
      <c r="D2257" s="69" t="s">
        <v>5631</v>
      </c>
      <c r="E2257" s="69" t="s">
        <v>1349</v>
      </c>
    </row>
    <row r="2258" spans="1:5" ht="33.75" x14ac:dyDescent="0.2">
      <c r="A2258" s="65" t="s">
        <v>5632</v>
      </c>
      <c r="B2258" s="65" t="s">
        <v>5633</v>
      </c>
      <c r="C2258" s="67" t="s">
        <v>203</v>
      </c>
      <c r="D2258" s="69" t="s">
        <v>5092</v>
      </c>
      <c r="E2258" s="69" t="s">
        <v>5634</v>
      </c>
    </row>
    <row r="2259" spans="1:5" ht="33.75" x14ac:dyDescent="0.2">
      <c r="A2259" s="65" t="s">
        <v>5635</v>
      </c>
      <c r="B2259" s="65" t="s">
        <v>5636</v>
      </c>
      <c r="C2259" s="67" t="s">
        <v>203</v>
      </c>
      <c r="D2259" s="69" t="s">
        <v>5637</v>
      </c>
      <c r="E2259" s="69" t="s">
        <v>5638</v>
      </c>
    </row>
    <row r="2260" spans="1:5" ht="33.75" x14ac:dyDescent="0.2">
      <c r="A2260" s="65" t="s">
        <v>5639</v>
      </c>
      <c r="B2260" s="65" t="s">
        <v>5640</v>
      </c>
      <c r="C2260" s="67" t="s">
        <v>203</v>
      </c>
      <c r="D2260" s="69" t="s">
        <v>5641</v>
      </c>
      <c r="E2260" s="69" t="s">
        <v>5642</v>
      </c>
    </row>
    <row r="2261" spans="1:5" ht="33.75" x14ac:dyDescent="0.2">
      <c r="A2261" s="65" t="s">
        <v>5643</v>
      </c>
      <c r="B2261" s="65" t="s">
        <v>5644</v>
      </c>
      <c r="C2261" s="67" t="s">
        <v>203</v>
      </c>
      <c r="D2261" s="69" t="s">
        <v>5645</v>
      </c>
      <c r="E2261" s="69" t="s">
        <v>5646</v>
      </c>
    </row>
    <row r="2262" spans="1:5" ht="22.5" x14ac:dyDescent="0.2">
      <c r="A2262" s="50">
        <v>38.159999999999997</v>
      </c>
      <c r="B2262" s="64" t="s">
        <v>5647</v>
      </c>
      <c r="C2262" s="47"/>
      <c r="D2262" s="47"/>
      <c r="E2262" s="47"/>
    </row>
    <row r="2263" spans="1:5" ht="33.75" x14ac:dyDescent="0.2">
      <c r="A2263" s="65" t="s">
        <v>5648</v>
      </c>
      <c r="B2263" s="65" t="s">
        <v>5649</v>
      </c>
      <c r="C2263" s="67" t="s">
        <v>221</v>
      </c>
      <c r="D2263" s="69" t="s">
        <v>5650</v>
      </c>
      <c r="E2263" s="69" t="s">
        <v>5651</v>
      </c>
    </row>
    <row r="2264" spans="1:5" ht="56.25" x14ac:dyDescent="0.2">
      <c r="A2264" s="65" t="s">
        <v>5652</v>
      </c>
      <c r="B2264" s="66" t="s">
        <v>5653</v>
      </c>
      <c r="C2264" s="67" t="s">
        <v>203</v>
      </c>
      <c r="D2264" s="69" t="s">
        <v>5654</v>
      </c>
      <c r="E2264" s="69" t="s">
        <v>5655</v>
      </c>
    </row>
    <row r="2265" spans="1:5" ht="45" x14ac:dyDescent="0.2">
      <c r="A2265" s="65" t="s">
        <v>5656</v>
      </c>
      <c r="B2265" s="65" t="s">
        <v>5657</v>
      </c>
      <c r="C2265" s="67" t="s">
        <v>203</v>
      </c>
      <c r="D2265" s="69" t="s">
        <v>5658</v>
      </c>
      <c r="E2265" s="69" t="s">
        <v>5659</v>
      </c>
    </row>
    <row r="2266" spans="1:5" ht="78.75" x14ac:dyDescent="0.2">
      <c r="A2266" s="70" t="s">
        <v>5660</v>
      </c>
      <c r="B2266" s="65" t="s">
        <v>5661</v>
      </c>
      <c r="C2266" s="71" t="s">
        <v>203</v>
      </c>
      <c r="D2266" s="72" t="s">
        <v>5662</v>
      </c>
      <c r="E2266" s="72" t="s">
        <v>5663</v>
      </c>
    </row>
    <row r="2267" spans="1:5" ht="56.25" x14ac:dyDescent="0.2">
      <c r="A2267" s="65" t="s">
        <v>5664</v>
      </c>
      <c r="B2267" s="66" t="s">
        <v>5665</v>
      </c>
      <c r="C2267" s="67" t="s">
        <v>203</v>
      </c>
      <c r="D2267" s="69" t="s">
        <v>5666</v>
      </c>
      <c r="E2267" s="69" t="s">
        <v>5667</v>
      </c>
    </row>
    <row r="2268" spans="1:5" ht="78.75" x14ac:dyDescent="0.2">
      <c r="A2268" s="70" t="s">
        <v>5668</v>
      </c>
      <c r="B2268" s="65" t="s">
        <v>5669</v>
      </c>
      <c r="C2268" s="71" t="s">
        <v>203</v>
      </c>
      <c r="D2268" s="72" t="s">
        <v>5670</v>
      </c>
      <c r="E2268" s="72" t="s">
        <v>858</v>
      </c>
    </row>
    <row r="2269" spans="1:5" ht="56.25" x14ac:dyDescent="0.2">
      <c r="A2269" s="65" t="s">
        <v>5671</v>
      </c>
      <c r="B2269" s="66" t="s">
        <v>5672</v>
      </c>
      <c r="C2269" s="67" t="s">
        <v>203</v>
      </c>
      <c r="D2269" s="69" t="s">
        <v>5673</v>
      </c>
      <c r="E2269" s="69" t="s">
        <v>5674</v>
      </c>
    </row>
    <row r="2270" spans="1:5" ht="33.75" x14ac:dyDescent="0.2">
      <c r="A2270" s="65" t="s">
        <v>5675</v>
      </c>
      <c r="B2270" s="65" t="s">
        <v>5676</v>
      </c>
      <c r="C2270" s="67" t="s">
        <v>221</v>
      </c>
      <c r="D2270" s="69" t="s">
        <v>5677</v>
      </c>
      <c r="E2270" s="69" t="s">
        <v>5678</v>
      </c>
    </row>
    <row r="2271" spans="1:5" ht="56.25" x14ac:dyDescent="0.2">
      <c r="A2271" s="65" t="s">
        <v>5679</v>
      </c>
      <c r="B2271" s="66" t="s">
        <v>5680</v>
      </c>
      <c r="C2271" s="67" t="s">
        <v>203</v>
      </c>
      <c r="D2271" s="69" t="s">
        <v>5681</v>
      </c>
      <c r="E2271" s="69" t="s">
        <v>5682</v>
      </c>
    </row>
    <row r="2272" spans="1:5" ht="56.25" x14ac:dyDescent="0.2">
      <c r="A2272" s="65" t="s">
        <v>5683</v>
      </c>
      <c r="B2272" s="66" t="s">
        <v>5684</v>
      </c>
      <c r="C2272" s="67" t="s">
        <v>203</v>
      </c>
      <c r="D2272" s="69" t="s">
        <v>5335</v>
      </c>
      <c r="E2272" s="69" t="s">
        <v>5685</v>
      </c>
    </row>
    <row r="2273" spans="1:5" ht="56.25" x14ac:dyDescent="0.2">
      <c r="A2273" s="65" t="s">
        <v>5686</v>
      </c>
      <c r="B2273" s="66" t="s">
        <v>5687</v>
      </c>
      <c r="C2273" s="67" t="s">
        <v>203</v>
      </c>
      <c r="D2273" s="69" t="s">
        <v>5688</v>
      </c>
      <c r="E2273" s="69" t="s">
        <v>5689</v>
      </c>
    </row>
    <row r="2274" spans="1:5" ht="56.25" x14ac:dyDescent="0.2">
      <c r="A2274" s="65" t="s">
        <v>5690</v>
      </c>
      <c r="B2274" s="66" t="s">
        <v>5691</v>
      </c>
      <c r="C2274" s="67" t="s">
        <v>203</v>
      </c>
      <c r="D2274" s="69" t="s">
        <v>5692</v>
      </c>
      <c r="E2274" s="69" t="s">
        <v>5693</v>
      </c>
    </row>
    <row r="2275" spans="1:5" ht="101.25" x14ac:dyDescent="0.2">
      <c r="A2275" s="65" t="s">
        <v>5694</v>
      </c>
      <c r="B2275" s="66" t="s">
        <v>5695</v>
      </c>
      <c r="C2275" s="67" t="s">
        <v>203</v>
      </c>
      <c r="D2275" s="69" t="s">
        <v>5696</v>
      </c>
      <c r="E2275" s="69" t="s">
        <v>5698</v>
      </c>
    </row>
    <row r="2276" spans="1:5" ht="45" x14ac:dyDescent="0.2">
      <c r="A2276" s="65" t="s">
        <v>5699</v>
      </c>
      <c r="B2276" s="65" t="s">
        <v>5700</v>
      </c>
      <c r="C2276" s="67" t="s">
        <v>203</v>
      </c>
      <c r="D2276" s="69" t="s">
        <v>5701</v>
      </c>
      <c r="E2276" s="69" t="s">
        <v>5702</v>
      </c>
    </row>
    <row r="2277" spans="1:5" ht="22.5" x14ac:dyDescent="0.2">
      <c r="A2277" s="50">
        <v>38.19</v>
      </c>
      <c r="B2277" s="64" t="s">
        <v>5703</v>
      </c>
      <c r="C2277" s="47"/>
      <c r="D2277" s="47"/>
      <c r="E2277" s="47"/>
    </row>
    <row r="2278" spans="1:5" ht="45" x14ac:dyDescent="0.2">
      <c r="A2278" s="65" t="s">
        <v>5704</v>
      </c>
      <c r="B2278" s="65" t="s">
        <v>5705</v>
      </c>
      <c r="C2278" s="67" t="s">
        <v>221</v>
      </c>
      <c r="D2278" s="69" t="s">
        <v>5706</v>
      </c>
      <c r="E2278" s="69" t="s">
        <v>5707</v>
      </c>
    </row>
    <row r="2279" spans="1:5" ht="45" x14ac:dyDescent="0.2">
      <c r="A2279" s="65" t="s">
        <v>5708</v>
      </c>
      <c r="B2279" s="65" t="s">
        <v>5709</v>
      </c>
      <c r="C2279" s="67" t="s">
        <v>221</v>
      </c>
      <c r="D2279" s="69" t="s">
        <v>5710</v>
      </c>
      <c r="E2279" s="69" t="s">
        <v>1997</v>
      </c>
    </row>
    <row r="2280" spans="1:5" ht="45" x14ac:dyDescent="0.2">
      <c r="A2280" s="65" t="s">
        <v>5711</v>
      </c>
      <c r="B2280" s="65" t="s">
        <v>5712</v>
      </c>
      <c r="C2280" s="67" t="s">
        <v>221</v>
      </c>
      <c r="D2280" s="69" t="s">
        <v>5713</v>
      </c>
      <c r="E2280" s="69" t="s">
        <v>5714</v>
      </c>
    </row>
    <row r="2281" spans="1:5" ht="56.25" x14ac:dyDescent="0.2">
      <c r="A2281" s="65" t="s">
        <v>5715</v>
      </c>
      <c r="B2281" s="66" t="s">
        <v>5716</v>
      </c>
      <c r="C2281" s="67" t="s">
        <v>221</v>
      </c>
      <c r="D2281" s="69" t="s">
        <v>5717</v>
      </c>
      <c r="E2281" s="69" t="s">
        <v>5718</v>
      </c>
    </row>
    <row r="2282" spans="1:5" ht="56.25" x14ac:dyDescent="0.2">
      <c r="A2282" s="65" t="s">
        <v>5719</v>
      </c>
      <c r="B2282" s="66" t="s">
        <v>5720</v>
      </c>
      <c r="C2282" s="67" t="s">
        <v>221</v>
      </c>
      <c r="D2282" s="69" t="s">
        <v>5721</v>
      </c>
      <c r="E2282" s="69" t="s">
        <v>5722</v>
      </c>
    </row>
    <row r="2283" spans="1:5" ht="45" x14ac:dyDescent="0.2">
      <c r="A2283" s="50">
        <v>38.200000000000003</v>
      </c>
      <c r="B2283" s="64" t="s">
        <v>5723</v>
      </c>
      <c r="C2283" s="47"/>
      <c r="D2283" s="47"/>
      <c r="E2283" s="47"/>
    </row>
    <row r="2284" spans="1:5" ht="22.5" x14ac:dyDescent="0.2">
      <c r="A2284" s="65" t="s">
        <v>5724</v>
      </c>
      <c r="B2284" s="65" t="s">
        <v>5725</v>
      </c>
      <c r="C2284" s="67" t="s">
        <v>221</v>
      </c>
      <c r="D2284" s="73"/>
      <c r="E2284" s="69" t="s">
        <v>324</v>
      </c>
    </row>
    <row r="2285" spans="1:5" ht="22.5" x14ac:dyDescent="0.2">
      <c r="A2285" s="65" t="s">
        <v>5726</v>
      </c>
      <c r="B2285" s="65" t="s">
        <v>5727</v>
      </c>
      <c r="C2285" s="67" t="s">
        <v>221</v>
      </c>
      <c r="D2285" s="73"/>
      <c r="E2285" s="69" t="s">
        <v>318</v>
      </c>
    </row>
    <row r="2286" spans="1:5" ht="33.75" x14ac:dyDescent="0.2">
      <c r="A2286" s="65" t="s">
        <v>5728</v>
      </c>
      <c r="B2286" s="65" t="s">
        <v>5729</v>
      </c>
      <c r="C2286" s="67" t="s">
        <v>203</v>
      </c>
      <c r="D2286" s="73"/>
      <c r="E2286" s="69" t="s">
        <v>323</v>
      </c>
    </row>
    <row r="2287" spans="1:5" ht="22.5" x14ac:dyDescent="0.2">
      <c r="A2287" s="65" t="s">
        <v>5730</v>
      </c>
      <c r="B2287" s="65" t="s">
        <v>5731</v>
      </c>
      <c r="C2287" s="67" t="s">
        <v>221</v>
      </c>
      <c r="D2287" s="73"/>
      <c r="E2287" s="69" t="s">
        <v>321</v>
      </c>
    </row>
    <row r="2288" spans="1:5" ht="22.5" x14ac:dyDescent="0.2">
      <c r="A2288" s="50">
        <v>38.21</v>
      </c>
      <c r="B2288" s="64" t="s">
        <v>5732</v>
      </c>
      <c r="C2288" s="47"/>
      <c r="D2288" s="47"/>
      <c r="E2288" s="47"/>
    </row>
    <row r="2289" spans="1:5" ht="45" x14ac:dyDescent="0.2">
      <c r="A2289" s="65" t="s">
        <v>5733</v>
      </c>
      <c r="B2289" s="65" t="s">
        <v>5734</v>
      </c>
      <c r="C2289" s="67" t="s">
        <v>221</v>
      </c>
      <c r="D2289" s="69" t="s">
        <v>2280</v>
      </c>
      <c r="E2289" s="69" t="s">
        <v>5735</v>
      </c>
    </row>
    <row r="2290" spans="1:5" ht="45" x14ac:dyDescent="0.2">
      <c r="A2290" s="65" t="s">
        <v>5736</v>
      </c>
      <c r="B2290" s="65" t="s">
        <v>5737</v>
      </c>
      <c r="C2290" s="67" t="s">
        <v>221</v>
      </c>
      <c r="D2290" s="69" t="s">
        <v>5738</v>
      </c>
      <c r="E2290" s="69" t="s">
        <v>5739</v>
      </c>
    </row>
    <row r="2291" spans="1:5" ht="45" x14ac:dyDescent="0.2">
      <c r="A2291" s="65" t="s">
        <v>5740</v>
      </c>
      <c r="B2291" s="65" t="s">
        <v>5741</v>
      </c>
      <c r="C2291" s="67" t="s">
        <v>221</v>
      </c>
      <c r="D2291" s="69" t="s">
        <v>5742</v>
      </c>
      <c r="E2291" s="69" t="s">
        <v>5743</v>
      </c>
    </row>
    <row r="2292" spans="1:5" ht="45" x14ac:dyDescent="0.2">
      <c r="A2292" s="65" t="s">
        <v>5744</v>
      </c>
      <c r="B2292" s="65" t="s">
        <v>5745</v>
      </c>
      <c r="C2292" s="67" t="s">
        <v>221</v>
      </c>
      <c r="D2292" s="69" t="s">
        <v>5746</v>
      </c>
      <c r="E2292" s="69" t="s">
        <v>5747</v>
      </c>
    </row>
    <row r="2293" spans="1:5" ht="45" x14ac:dyDescent="0.2">
      <c r="A2293" s="65" t="s">
        <v>5748</v>
      </c>
      <c r="B2293" s="65" t="s">
        <v>5749</v>
      </c>
      <c r="C2293" s="67" t="s">
        <v>221</v>
      </c>
      <c r="D2293" s="69" t="s">
        <v>5750</v>
      </c>
      <c r="E2293" s="69" t="s">
        <v>5751</v>
      </c>
    </row>
    <row r="2294" spans="1:5" ht="45" x14ac:dyDescent="0.2">
      <c r="A2294" s="65" t="s">
        <v>5752</v>
      </c>
      <c r="B2294" s="65" t="s">
        <v>5753</v>
      </c>
      <c r="C2294" s="67" t="s">
        <v>221</v>
      </c>
      <c r="D2294" s="69" t="s">
        <v>5754</v>
      </c>
      <c r="E2294" s="69" t="s">
        <v>5755</v>
      </c>
    </row>
    <row r="2295" spans="1:5" ht="45" x14ac:dyDescent="0.2">
      <c r="A2295" s="65" t="s">
        <v>5756</v>
      </c>
      <c r="B2295" s="65" t="s">
        <v>5757</v>
      </c>
      <c r="C2295" s="67" t="s">
        <v>221</v>
      </c>
      <c r="D2295" s="69" t="s">
        <v>5758</v>
      </c>
      <c r="E2295" s="69" t="s">
        <v>5759</v>
      </c>
    </row>
    <row r="2296" spans="1:5" ht="45" x14ac:dyDescent="0.2">
      <c r="A2296" s="65" t="s">
        <v>5760</v>
      </c>
      <c r="B2296" s="65" t="s">
        <v>5761</v>
      </c>
      <c r="C2296" s="67" t="s">
        <v>221</v>
      </c>
      <c r="D2296" s="69" t="s">
        <v>5762</v>
      </c>
      <c r="E2296" s="69" t="s">
        <v>5763</v>
      </c>
    </row>
    <row r="2297" spans="1:5" ht="45" x14ac:dyDescent="0.2">
      <c r="A2297" s="65" t="s">
        <v>5764</v>
      </c>
      <c r="B2297" s="65" t="s">
        <v>5765</v>
      </c>
      <c r="C2297" s="67" t="s">
        <v>221</v>
      </c>
      <c r="D2297" s="69" t="s">
        <v>5766</v>
      </c>
      <c r="E2297" s="69" t="s">
        <v>5767</v>
      </c>
    </row>
    <row r="2298" spans="1:5" ht="45" x14ac:dyDescent="0.2">
      <c r="A2298" s="65" t="s">
        <v>5768</v>
      </c>
      <c r="B2298" s="65" t="s">
        <v>5769</v>
      </c>
      <c r="C2298" s="67" t="s">
        <v>221</v>
      </c>
      <c r="D2298" s="69" t="s">
        <v>480</v>
      </c>
      <c r="E2298" s="69" t="s">
        <v>5770</v>
      </c>
    </row>
    <row r="2299" spans="1:5" ht="45" x14ac:dyDescent="0.2">
      <c r="A2299" s="65" t="s">
        <v>5771</v>
      </c>
      <c r="B2299" s="65" t="s">
        <v>5772</v>
      </c>
      <c r="C2299" s="67" t="s">
        <v>221</v>
      </c>
      <c r="D2299" s="69" t="s">
        <v>5773</v>
      </c>
      <c r="E2299" s="69" t="s">
        <v>5774</v>
      </c>
    </row>
    <row r="2300" spans="1:5" ht="56.25" x14ac:dyDescent="0.2">
      <c r="A2300" s="65" t="s">
        <v>5775</v>
      </c>
      <c r="B2300" s="65" t="s">
        <v>5776</v>
      </c>
      <c r="C2300" s="67" t="s">
        <v>221</v>
      </c>
      <c r="D2300" s="69" t="s">
        <v>5777</v>
      </c>
      <c r="E2300" s="69" t="s">
        <v>5778</v>
      </c>
    </row>
    <row r="2301" spans="1:5" ht="56.25" x14ac:dyDescent="0.2">
      <c r="A2301" s="65" t="s">
        <v>5779</v>
      </c>
      <c r="B2301" s="65" t="s">
        <v>5780</v>
      </c>
      <c r="C2301" s="67" t="s">
        <v>221</v>
      </c>
      <c r="D2301" s="69" t="s">
        <v>5781</v>
      </c>
      <c r="E2301" s="69" t="s">
        <v>5782</v>
      </c>
    </row>
    <row r="2302" spans="1:5" ht="56.25" x14ac:dyDescent="0.2">
      <c r="A2302" s="65" t="s">
        <v>5783</v>
      </c>
      <c r="B2302" s="65" t="s">
        <v>5784</v>
      </c>
      <c r="C2302" s="67" t="s">
        <v>221</v>
      </c>
      <c r="D2302" s="69" t="s">
        <v>5785</v>
      </c>
      <c r="E2302" s="69" t="s">
        <v>5786</v>
      </c>
    </row>
    <row r="2303" spans="1:5" ht="56.25" x14ac:dyDescent="0.2">
      <c r="A2303" s="65" t="s">
        <v>5787</v>
      </c>
      <c r="B2303" s="65" t="s">
        <v>5788</v>
      </c>
      <c r="C2303" s="67" t="s">
        <v>221</v>
      </c>
      <c r="D2303" s="69" t="s">
        <v>5789</v>
      </c>
      <c r="E2303" s="69" t="s">
        <v>5790</v>
      </c>
    </row>
    <row r="2304" spans="1:5" ht="22.5" x14ac:dyDescent="0.2">
      <c r="A2304" s="50">
        <v>38.22</v>
      </c>
      <c r="B2304" s="64" t="s">
        <v>5791</v>
      </c>
      <c r="C2304" s="47"/>
      <c r="D2304" s="47"/>
      <c r="E2304" s="47"/>
    </row>
    <row r="2305" spans="1:5" ht="56.25" x14ac:dyDescent="0.2">
      <c r="A2305" s="65" t="s">
        <v>5792</v>
      </c>
      <c r="B2305" s="65" t="s">
        <v>5793</v>
      </c>
      <c r="C2305" s="67" t="s">
        <v>221</v>
      </c>
      <c r="D2305" s="69" t="s">
        <v>5794</v>
      </c>
      <c r="E2305" s="69" t="s">
        <v>5795</v>
      </c>
    </row>
    <row r="2306" spans="1:5" ht="56.25" x14ac:dyDescent="0.2">
      <c r="A2306" s="65" t="s">
        <v>5796</v>
      </c>
      <c r="B2306" s="65" t="s">
        <v>5797</v>
      </c>
      <c r="C2306" s="67" t="s">
        <v>221</v>
      </c>
      <c r="D2306" s="69" t="s">
        <v>5798</v>
      </c>
      <c r="E2306" s="69" t="s">
        <v>5799</v>
      </c>
    </row>
    <row r="2307" spans="1:5" ht="56.25" x14ac:dyDescent="0.2">
      <c r="A2307" s="65" t="s">
        <v>5800</v>
      </c>
      <c r="B2307" s="65" t="s">
        <v>5801</v>
      </c>
      <c r="C2307" s="67" t="s">
        <v>221</v>
      </c>
      <c r="D2307" s="69" t="s">
        <v>5802</v>
      </c>
      <c r="E2307" s="69" t="s">
        <v>5803</v>
      </c>
    </row>
    <row r="2308" spans="1:5" ht="56.25" x14ac:dyDescent="0.2">
      <c r="A2308" s="65" t="s">
        <v>5804</v>
      </c>
      <c r="B2308" s="65" t="s">
        <v>5805</v>
      </c>
      <c r="C2308" s="67" t="s">
        <v>221</v>
      </c>
      <c r="D2308" s="69" t="s">
        <v>5806</v>
      </c>
      <c r="E2308" s="69" t="s">
        <v>5807</v>
      </c>
    </row>
    <row r="2309" spans="1:5" ht="56.25" x14ac:dyDescent="0.2">
      <c r="A2309" s="65" t="s">
        <v>5808</v>
      </c>
      <c r="B2309" s="65" t="s">
        <v>5809</v>
      </c>
      <c r="C2309" s="67" t="s">
        <v>221</v>
      </c>
      <c r="D2309" s="69" t="s">
        <v>5810</v>
      </c>
      <c r="E2309" s="69" t="s">
        <v>5811</v>
      </c>
    </row>
    <row r="2310" spans="1:5" ht="45" x14ac:dyDescent="0.2">
      <c r="A2310" s="65" t="s">
        <v>5812</v>
      </c>
      <c r="B2310" s="65" t="s">
        <v>5813</v>
      </c>
      <c r="C2310" s="67" t="s">
        <v>221</v>
      </c>
      <c r="D2310" s="69" t="s">
        <v>5814</v>
      </c>
      <c r="E2310" s="69" t="s">
        <v>5815</v>
      </c>
    </row>
    <row r="2311" spans="1:5" ht="45" x14ac:dyDescent="0.2">
      <c r="A2311" s="65" t="s">
        <v>5816</v>
      </c>
      <c r="B2311" s="65" t="s">
        <v>5817</v>
      </c>
      <c r="C2311" s="67" t="s">
        <v>221</v>
      </c>
      <c r="D2311" s="69" t="s">
        <v>5818</v>
      </c>
      <c r="E2311" s="69" t="s">
        <v>806</v>
      </c>
    </row>
    <row r="2312" spans="1:5" ht="45" x14ac:dyDescent="0.2">
      <c r="A2312" s="65" t="s">
        <v>5819</v>
      </c>
      <c r="B2312" s="65" t="s">
        <v>5820</v>
      </c>
      <c r="C2312" s="67" t="s">
        <v>221</v>
      </c>
      <c r="D2312" s="69" t="s">
        <v>5821</v>
      </c>
      <c r="E2312" s="69" t="s">
        <v>5822</v>
      </c>
    </row>
    <row r="2313" spans="1:5" ht="45" x14ac:dyDescent="0.2">
      <c r="A2313" s="65" t="s">
        <v>5823</v>
      </c>
      <c r="B2313" s="65" t="s">
        <v>5824</v>
      </c>
      <c r="C2313" s="67" t="s">
        <v>221</v>
      </c>
      <c r="D2313" s="69" t="s">
        <v>5825</v>
      </c>
      <c r="E2313" s="69" t="s">
        <v>5826</v>
      </c>
    </row>
    <row r="2314" spans="1:5" ht="45" x14ac:dyDescent="0.2">
      <c r="A2314" s="65" t="s">
        <v>5827</v>
      </c>
      <c r="B2314" s="65" t="s">
        <v>5828</v>
      </c>
      <c r="C2314" s="67" t="s">
        <v>221</v>
      </c>
      <c r="D2314" s="69" t="s">
        <v>5829</v>
      </c>
      <c r="E2314" s="69" t="s">
        <v>5830</v>
      </c>
    </row>
    <row r="2315" spans="1:5" ht="45" x14ac:dyDescent="0.2">
      <c r="A2315" s="65" t="s">
        <v>5831</v>
      </c>
      <c r="B2315" s="65" t="s">
        <v>5832</v>
      </c>
      <c r="C2315" s="67" t="s">
        <v>221</v>
      </c>
      <c r="D2315" s="69" t="s">
        <v>5833</v>
      </c>
      <c r="E2315" s="69" t="s">
        <v>5834</v>
      </c>
    </row>
    <row r="2316" spans="1:5" ht="45" x14ac:dyDescent="0.2">
      <c r="A2316" s="65" t="s">
        <v>5835</v>
      </c>
      <c r="B2316" s="65" t="s">
        <v>5836</v>
      </c>
      <c r="C2316" s="67" t="s">
        <v>221</v>
      </c>
      <c r="D2316" s="69" t="s">
        <v>5837</v>
      </c>
      <c r="E2316" s="69" t="s">
        <v>5838</v>
      </c>
    </row>
    <row r="2317" spans="1:5" ht="22.5" x14ac:dyDescent="0.2">
      <c r="A2317" s="50">
        <v>38.229999999999997</v>
      </c>
      <c r="B2317" s="64" t="s">
        <v>5839</v>
      </c>
      <c r="C2317" s="47"/>
      <c r="D2317" s="47"/>
      <c r="E2317" s="47"/>
    </row>
    <row r="2318" spans="1:5" ht="45" x14ac:dyDescent="0.2">
      <c r="A2318" s="65" t="s">
        <v>5840</v>
      </c>
      <c r="B2318" s="65" t="s">
        <v>5841</v>
      </c>
      <c r="C2318" s="67" t="s">
        <v>203</v>
      </c>
      <c r="D2318" s="69" t="s">
        <v>5842</v>
      </c>
      <c r="E2318" s="69" t="s">
        <v>5843</v>
      </c>
    </row>
    <row r="2319" spans="1:5" ht="45" x14ac:dyDescent="0.2">
      <c r="A2319" s="65" t="s">
        <v>5844</v>
      </c>
      <c r="B2319" s="65" t="s">
        <v>5845</v>
      </c>
      <c r="C2319" s="67" t="s">
        <v>203</v>
      </c>
      <c r="D2319" s="69" t="s">
        <v>3352</v>
      </c>
      <c r="E2319" s="69" t="s">
        <v>5846</v>
      </c>
    </row>
    <row r="2320" spans="1:5" ht="45" x14ac:dyDescent="0.2">
      <c r="A2320" s="65" t="s">
        <v>5847</v>
      </c>
      <c r="B2320" s="65" t="s">
        <v>5848</v>
      </c>
      <c r="C2320" s="67" t="s">
        <v>203</v>
      </c>
      <c r="D2320" s="69" t="s">
        <v>5849</v>
      </c>
      <c r="E2320" s="69" t="s">
        <v>5850</v>
      </c>
    </row>
    <row r="2321" spans="1:5" ht="45" x14ac:dyDescent="0.2">
      <c r="A2321" s="65" t="s">
        <v>5851</v>
      </c>
      <c r="B2321" s="65" t="s">
        <v>5852</v>
      </c>
      <c r="C2321" s="67" t="s">
        <v>203</v>
      </c>
      <c r="D2321" s="69" t="s">
        <v>5853</v>
      </c>
      <c r="E2321" s="69" t="s">
        <v>1393</v>
      </c>
    </row>
    <row r="2322" spans="1:5" ht="45" x14ac:dyDescent="0.2">
      <c r="A2322" s="65" t="s">
        <v>5854</v>
      </c>
      <c r="B2322" s="65" t="s">
        <v>5855</v>
      </c>
      <c r="C2322" s="67" t="s">
        <v>203</v>
      </c>
      <c r="D2322" s="69" t="s">
        <v>5856</v>
      </c>
      <c r="E2322" s="69" t="s">
        <v>5857</v>
      </c>
    </row>
    <row r="2323" spans="1:5" ht="45" x14ac:dyDescent="0.2">
      <c r="A2323" s="65" t="s">
        <v>5858</v>
      </c>
      <c r="B2323" s="65" t="s">
        <v>5859</v>
      </c>
      <c r="C2323" s="67" t="s">
        <v>203</v>
      </c>
      <c r="D2323" s="69" t="s">
        <v>5860</v>
      </c>
      <c r="E2323" s="69" t="s">
        <v>5861</v>
      </c>
    </row>
    <row r="2324" spans="1:5" ht="45" x14ac:dyDescent="0.2">
      <c r="A2324" s="65" t="s">
        <v>5862</v>
      </c>
      <c r="B2324" s="65" t="s">
        <v>5863</v>
      </c>
      <c r="C2324" s="67" t="s">
        <v>203</v>
      </c>
      <c r="D2324" s="69" t="s">
        <v>314</v>
      </c>
      <c r="E2324" s="69" t="s">
        <v>5864</v>
      </c>
    </row>
    <row r="2325" spans="1:5" ht="45" x14ac:dyDescent="0.2">
      <c r="A2325" s="65" t="s">
        <v>5865</v>
      </c>
      <c r="B2325" s="65" t="s">
        <v>5866</v>
      </c>
      <c r="C2325" s="67" t="s">
        <v>203</v>
      </c>
      <c r="D2325" s="69" t="s">
        <v>5867</v>
      </c>
      <c r="E2325" s="69" t="s">
        <v>5868</v>
      </c>
    </row>
    <row r="2326" spans="1:5" ht="45" x14ac:dyDescent="0.2">
      <c r="A2326" s="65" t="s">
        <v>5869</v>
      </c>
      <c r="B2326" s="65" t="s">
        <v>5870</v>
      </c>
      <c r="C2326" s="67" t="s">
        <v>203</v>
      </c>
      <c r="D2326" s="69" t="s">
        <v>1355</v>
      </c>
      <c r="E2326" s="69" t="s">
        <v>5871</v>
      </c>
    </row>
    <row r="2327" spans="1:5" ht="45" x14ac:dyDescent="0.2">
      <c r="A2327" s="65" t="s">
        <v>5872</v>
      </c>
      <c r="B2327" s="65" t="s">
        <v>5873</v>
      </c>
      <c r="C2327" s="67" t="s">
        <v>203</v>
      </c>
      <c r="D2327" s="69" t="s">
        <v>5874</v>
      </c>
      <c r="E2327" s="69" t="s">
        <v>5875</v>
      </c>
    </row>
    <row r="2328" spans="1:5" ht="45" x14ac:dyDescent="0.2">
      <c r="A2328" s="65" t="s">
        <v>5876</v>
      </c>
      <c r="B2328" s="65" t="s">
        <v>5877</v>
      </c>
      <c r="C2328" s="67" t="s">
        <v>203</v>
      </c>
      <c r="D2328" s="69" t="s">
        <v>3984</v>
      </c>
      <c r="E2328" s="69" t="s">
        <v>5878</v>
      </c>
    </row>
    <row r="2329" spans="1:5" ht="45" x14ac:dyDescent="0.2">
      <c r="A2329" s="65" t="s">
        <v>5879</v>
      </c>
      <c r="B2329" s="65" t="s">
        <v>5880</v>
      </c>
      <c r="C2329" s="67" t="s">
        <v>203</v>
      </c>
      <c r="D2329" s="69" t="s">
        <v>5881</v>
      </c>
      <c r="E2329" s="69" t="s">
        <v>5882</v>
      </c>
    </row>
    <row r="2330" spans="1:5" ht="33.75" x14ac:dyDescent="0.2">
      <c r="A2330" s="65" t="s">
        <v>5883</v>
      </c>
      <c r="B2330" s="65" t="s">
        <v>5884</v>
      </c>
      <c r="C2330" s="67" t="s">
        <v>203</v>
      </c>
      <c r="D2330" s="69" t="s">
        <v>231</v>
      </c>
      <c r="E2330" s="69" t="s">
        <v>5885</v>
      </c>
    </row>
    <row r="2331" spans="1:5" ht="33.75" x14ac:dyDescent="0.2">
      <c r="A2331" s="65" t="s">
        <v>5886</v>
      </c>
      <c r="B2331" s="65" t="s">
        <v>5887</v>
      </c>
      <c r="C2331" s="67" t="s">
        <v>203</v>
      </c>
      <c r="D2331" s="69" t="s">
        <v>1107</v>
      </c>
      <c r="E2331" s="69" t="s">
        <v>5888</v>
      </c>
    </row>
    <row r="2332" spans="1:5" ht="33.75" x14ac:dyDescent="0.2">
      <c r="A2332" s="65" t="s">
        <v>5889</v>
      </c>
      <c r="B2332" s="65" t="s">
        <v>5890</v>
      </c>
      <c r="C2332" s="67" t="s">
        <v>203</v>
      </c>
      <c r="D2332" s="69" t="s">
        <v>5891</v>
      </c>
      <c r="E2332" s="69" t="s">
        <v>5892</v>
      </c>
    </row>
    <row r="2333" spans="1:5" ht="33.75" x14ac:dyDescent="0.2">
      <c r="A2333" s="65" t="s">
        <v>5893</v>
      </c>
      <c r="B2333" s="65" t="s">
        <v>5894</v>
      </c>
      <c r="C2333" s="67" t="s">
        <v>203</v>
      </c>
      <c r="D2333" s="69" t="s">
        <v>5895</v>
      </c>
      <c r="E2333" s="69" t="s">
        <v>5896</v>
      </c>
    </row>
    <row r="2334" spans="1:5" ht="33.75" x14ac:dyDescent="0.2">
      <c r="A2334" s="65" t="s">
        <v>5897</v>
      </c>
      <c r="B2334" s="65" t="s">
        <v>5898</v>
      </c>
      <c r="C2334" s="67" t="s">
        <v>203</v>
      </c>
      <c r="D2334" s="69" t="s">
        <v>5899</v>
      </c>
      <c r="E2334" s="69" t="s">
        <v>5900</v>
      </c>
    </row>
    <row r="2335" spans="1:5" ht="33.75" x14ac:dyDescent="0.2">
      <c r="A2335" s="65" t="s">
        <v>5901</v>
      </c>
      <c r="B2335" s="65" t="s">
        <v>5902</v>
      </c>
      <c r="C2335" s="67" t="s">
        <v>203</v>
      </c>
      <c r="D2335" s="69" t="s">
        <v>5903</v>
      </c>
      <c r="E2335" s="69" t="s">
        <v>5904</v>
      </c>
    </row>
    <row r="2336" spans="1:5" ht="33.75" x14ac:dyDescent="0.2">
      <c r="A2336" s="65" t="s">
        <v>5905</v>
      </c>
      <c r="B2336" s="65" t="s">
        <v>5906</v>
      </c>
      <c r="C2336" s="67" t="s">
        <v>203</v>
      </c>
      <c r="D2336" s="69" t="s">
        <v>5907</v>
      </c>
      <c r="E2336" s="69" t="s">
        <v>5908</v>
      </c>
    </row>
    <row r="2337" spans="1:5" ht="33.75" x14ac:dyDescent="0.2">
      <c r="A2337" s="49">
        <v>39</v>
      </c>
      <c r="B2337" s="64" t="s">
        <v>5909</v>
      </c>
      <c r="C2337" s="47"/>
      <c r="D2337" s="47"/>
      <c r="E2337" s="47"/>
    </row>
    <row r="2338" spans="1:5" ht="45" x14ac:dyDescent="0.2">
      <c r="A2338" s="50">
        <v>39.020000000000003</v>
      </c>
      <c r="B2338" s="64" t="s">
        <v>5910</v>
      </c>
      <c r="C2338" s="47"/>
      <c r="D2338" s="47"/>
      <c r="E2338" s="47"/>
    </row>
    <row r="2339" spans="1:5" ht="45" x14ac:dyDescent="0.2">
      <c r="A2339" s="65" t="s">
        <v>5911</v>
      </c>
      <c r="B2339" s="65" t="s">
        <v>5912</v>
      </c>
      <c r="C2339" s="67" t="s">
        <v>221</v>
      </c>
      <c r="D2339" s="69" t="s">
        <v>1418</v>
      </c>
      <c r="E2339" s="69" t="s">
        <v>266</v>
      </c>
    </row>
    <row r="2340" spans="1:5" ht="45" x14ac:dyDescent="0.2">
      <c r="A2340" s="65" t="s">
        <v>5913</v>
      </c>
      <c r="B2340" s="65" t="s">
        <v>5914</v>
      </c>
      <c r="C2340" s="67" t="s">
        <v>221</v>
      </c>
      <c r="D2340" s="69" t="s">
        <v>5915</v>
      </c>
      <c r="E2340" s="69" t="s">
        <v>1482</v>
      </c>
    </row>
    <row r="2341" spans="1:5" ht="45" x14ac:dyDescent="0.2">
      <c r="A2341" s="65" t="s">
        <v>5916</v>
      </c>
      <c r="B2341" s="65" t="s">
        <v>5917</v>
      </c>
      <c r="C2341" s="67" t="s">
        <v>221</v>
      </c>
      <c r="D2341" s="69" t="s">
        <v>5918</v>
      </c>
      <c r="E2341" s="69" t="s">
        <v>5919</v>
      </c>
    </row>
    <row r="2342" spans="1:5" ht="45" x14ac:dyDescent="0.2">
      <c r="A2342" s="65" t="s">
        <v>5920</v>
      </c>
      <c r="B2342" s="65" t="s">
        <v>5921</v>
      </c>
      <c r="C2342" s="67" t="s">
        <v>221</v>
      </c>
      <c r="D2342" s="69" t="s">
        <v>5922</v>
      </c>
      <c r="E2342" s="69" t="s">
        <v>1701</v>
      </c>
    </row>
    <row r="2343" spans="1:5" ht="45" x14ac:dyDescent="0.2">
      <c r="A2343" s="65" t="s">
        <v>5924</v>
      </c>
      <c r="B2343" s="65" t="s">
        <v>5925</v>
      </c>
      <c r="C2343" s="67" t="s">
        <v>221</v>
      </c>
      <c r="D2343" s="69" t="s">
        <v>5926</v>
      </c>
      <c r="E2343" s="69" t="s">
        <v>5927</v>
      </c>
    </row>
    <row r="2344" spans="1:5" ht="45" x14ac:dyDescent="0.2">
      <c r="A2344" s="50">
        <v>39.03</v>
      </c>
      <c r="B2344" s="64" t="s">
        <v>5928</v>
      </c>
      <c r="C2344" s="47"/>
      <c r="D2344" s="47"/>
      <c r="E2344" s="47"/>
    </row>
    <row r="2345" spans="1:5" ht="45" x14ac:dyDescent="0.2">
      <c r="A2345" s="65" t="s">
        <v>5929</v>
      </c>
      <c r="B2345" s="65" t="s">
        <v>5930</v>
      </c>
      <c r="C2345" s="67" t="s">
        <v>221</v>
      </c>
      <c r="D2345" s="69" t="s">
        <v>377</v>
      </c>
      <c r="E2345" s="69" t="s">
        <v>5931</v>
      </c>
    </row>
    <row r="2346" spans="1:5" ht="45" x14ac:dyDescent="0.2">
      <c r="A2346" s="65" t="s">
        <v>5932</v>
      </c>
      <c r="B2346" s="65" t="s">
        <v>5933</v>
      </c>
      <c r="C2346" s="67" t="s">
        <v>221</v>
      </c>
      <c r="D2346" s="69" t="s">
        <v>249</v>
      </c>
      <c r="E2346" s="69" t="s">
        <v>5934</v>
      </c>
    </row>
    <row r="2347" spans="1:5" ht="45" x14ac:dyDescent="0.2">
      <c r="A2347" s="65" t="s">
        <v>5935</v>
      </c>
      <c r="B2347" s="65" t="s">
        <v>5936</v>
      </c>
      <c r="C2347" s="67" t="s">
        <v>221</v>
      </c>
      <c r="D2347" s="69" t="s">
        <v>5937</v>
      </c>
      <c r="E2347" s="69" t="s">
        <v>3243</v>
      </c>
    </row>
    <row r="2348" spans="1:5" ht="45" x14ac:dyDescent="0.2">
      <c r="A2348" s="65" t="s">
        <v>5938</v>
      </c>
      <c r="B2348" s="65" t="s">
        <v>5939</v>
      </c>
      <c r="C2348" s="67" t="s">
        <v>221</v>
      </c>
      <c r="D2348" s="69" t="s">
        <v>5940</v>
      </c>
      <c r="E2348" s="69" t="s">
        <v>5941</v>
      </c>
    </row>
    <row r="2349" spans="1:5" ht="45" x14ac:dyDescent="0.2">
      <c r="A2349" s="65" t="s">
        <v>5942</v>
      </c>
      <c r="B2349" s="65" t="s">
        <v>5943</v>
      </c>
      <c r="C2349" s="67" t="s">
        <v>221</v>
      </c>
      <c r="D2349" s="69" t="s">
        <v>5944</v>
      </c>
      <c r="E2349" s="69" t="s">
        <v>847</v>
      </c>
    </row>
    <row r="2350" spans="1:5" ht="33.75" x14ac:dyDescent="0.2">
      <c r="A2350" s="50">
        <v>39.04</v>
      </c>
      <c r="B2350" s="64" t="s">
        <v>5945</v>
      </c>
      <c r="C2350" s="47"/>
      <c r="D2350" s="47"/>
      <c r="E2350" s="47"/>
    </row>
    <row r="2351" spans="1:5" ht="33.75" x14ac:dyDescent="0.2">
      <c r="A2351" s="65" t="s">
        <v>5946</v>
      </c>
      <c r="B2351" s="65" t="s">
        <v>5947</v>
      </c>
      <c r="C2351" s="67" t="s">
        <v>221</v>
      </c>
      <c r="D2351" s="69" t="s">
        <v>5948</v>
      </c>
      <c r="E2351" s="69" t="s">
        <v>5949</v>
      </c>
    </row>
    <row r="2352" spans="1:5" ht="33.75" x14ac:dyDescent="0.2">
      <c r="A2352" s="65" t="s">
        <v>5950</v>
      </c>
      <c r="B2352" s="65" t="s">
        <v>5951</v>
      </c>
      <c r="C2352" s="67" t="s">
        <v>221</v>
      </c>
      <c r="D2352" s="69" t="s">
        <v>3620</v>
      </c>
      <c r="E2352" s="69" t="s">
        <v>365</v>
      </c>
    </row>
    <row r="2353" spans="1:5" ht="33.75" x14ac:dyDescent="0.2">
      <c r="A2353" s="65" t="s">
        <v>5952</v>
      </c>
      <c r="B2353" s="65" t="s">
        <v>5953</v>
      </c>
      <c r="C2353" s="67" t="s">
        <v>221</v>
      </c>
      <c r="D2353" s="69" t="s">
        <v>5954</v>
      </c>
      <c r="E2353" s="69" t="s">
        <v>5955</v>
      </c>
    </row>
    <row r="2354" spans="1:5" ht="33.75" x14ac:dyDescent="0.2">
      <c r="A2354" s="65" t="s">
        <v>5956</v>
      </c>
      <c r="B2354" s="65" t="s">
        <v>5957</v>
      </c>
      <c r="C2354" s="67" t="s">
        <v>221</v>
      </c>
      <c r="D2354" s="69" t="s">
        <v>5958</v>
      </c>
      <c r="E2354" s="69" t="s">
        <v>5959</v>
      </c>
    </row>
    <row r="2355" spans="1:5" ht="33.75" x14ac:dyDescent="0.2">
      <c r="A2355" s="65" t="s">
        <v>5960</v>
      </c>
      <c r="B2355" s="65" t="s">
        <v>5961</v>
      </c>
      <c r="C2355" s="67" t="s">
        <v>221</v>
      </c>
      <c r="D2355" s="69" t="s">
        <v>5962</v>
      </c>
      <c r="E2355" s="69" t="s">
        <v>5963</v>
      </c>
    </row>
    <row r="2356" spans="1:5" ht="33.75" x14ac:dyDescent="0.2">
      <c r="A2356" s="65" t="s">
        <v>5964</v>
      </c>
      <c r="B2356" s="65" t="s">
        <v>5965</v>
      </c>
      <c r="C2356" s="67" t="s">
        <v>221</v>
      </c>
      <c r="D2356" s="69" t="s">
        <v>5966</v>
      </c>
      <c r="E2356" s="69" t="s">
        <v>5967</v>
      </c>
    </row>
    <row r="2357" spans="1:5" ht="33.75" x14ac:dyDescent="0.2">
      <c r="A2357" s="65" t="s">
        <v>5968</v>
      </c>
      <c r="B2357" s="65" t="s">
        <v>5969</v>
      </c>
      <c r="C2357" s="67" t="s">
        <v>221</v>
      </c>
      <c r="D2357" s="69" t="s">
        <v>5970</v>
      </c>
      <c r="E2357" s="69" t="s">
        <v>5971</v>
      </c>
    </row>
    <row r="2358" spans="1:5" ht="33.75" x14ac:dyDescent="0.2">
      <c r="A2358" s="65" t="s">
        <v>5972</v>
      </c>
      <c r="B2358" s="65" t="s">
        <v>5973</v>
      </c>
      <c r="C2358" s="67" t="s">
        <v>221</v>
      </c>
      <c r="D2358" s="69" t="s">
        <v>5974</v>
      </c>
      <c r="E2358" s="69" t="s">
        <v>5975</v>
      </c>
    </row>
    <row r="2359" spans="1:5" ht="45" x14ac:dyDescent="0.2">
      <c r="A2359" s="50">
        <v>39.049999999999997</v>
      </c>
      <c r="B2359" s="64" t="s">
        <v>5976</v>
      </c>
      <c r="C2359" s="47"/>
      <c r="D2359" s="47"/>
      <c r="E2359" s="47"/>
    </row>
    <row r="2360" spans="1:5" ht="45" x14ac:dyDescent="0.2">
      <c r="A2360" s="65" t="s">
        <v>5977</v>
      </c>
      <c r="B2360" s="65" t="s">
        <v>5978</v>
      </c>
      <c r="C2360" s="67" t="s">
        <v>221</v>
      </c>
      <c r="D2360" s="69" t="s">
        <v>5979</v>
      </c>
      <c r="E2360" s="69" t="s">
        <v>5981</v>
      </c>
    </row>
    <row r="2361" spans="1:5" ht="45" x14ac:dyDescent="0.2">
      <c r="A2361" s="50">
        <v>39.06</v>
      </c>
      <c r="B2361" s="64" t="s">
        <v>5982</v>
      </c>
      <c r="C2361" s="47"/>
      <c r="D2361" s="47"/>
      <c r="E2361" s="47"/>
    </row>
    <row r="2362" spans="1:5" ht="45" x14ac:dyDescent="0.2">
      <c r="A2362" s="65" t="s">
        <v>5983</v>
      </c>
      <c r="B2362" s="65" t="s">
        <v>5984</v>
      </c>
      <c r="C2362" s="67" t="s">
        <v>221</v>
      </c>
      <c r="D2362" s="69" t="s">
        <v>5985</v>
      </c>
      <c r="E2362" s="69" t="s">
        <v>5987</v>
      </c>
    </row>
    <row r="2363" spans="1:5" ht="45" x14ac:dyDescent="0.2">
      <c r="A2363" s="65" t="s">
        <v>5988</v>
      </c>
      <c r="B2363" s="65" t="s">
        <v>5989</v>
      </c>
      <c r="C2363" s="67" t="s">
        <v>221</v>
      </c>
      <c r="D2363" s="69" t="s">
        <v>5990</v>
      </c>
      <c r="E2363" s="69" t="s">
        <v>5992</v>
      </c>
    </row>
    <row r="2364" spans="1:5" ht="45" x14ac:dyDescent="0.2">
      <c r="A2364" s="65" t="s">
        <v>5993</v>
      </c>
      <c r="B2364" s="65" t="s">
        <v>5994</v>
      </c>
      <c r="C2364" s="67" t="s">
        <v>221</v>
      </c>
      <c r="D2364" s="69" t="s">
        <v>5995</v>
      </c>
      <c r="E2364" s="69" t="s">
        <v>5996</v>
      </c>
    </row>
    <row r="2365" spans="1:5" ht="45" x14ac:dyDescent="0.2">
      <c r="A2365" s="65" t="s">
        <v>5997</v>
      </c>
      <c r="B2365" s="65" t="s">
        <v>5998</v>
      </c>
      <c r="C2365" s="67" t="s">
        <v>221</v>
      </c>
      <c r="D2365" s="69" t="s">
        <v>5999</v>
      </c>
      <c r="E2365" s="69" t="s">
        <v>6000</v>
      </c>
    </row>
    <row r="2366" spans="1:5" x14ac:dyDescent="0.2">
      <c r="A2366" s="50">
        <v>39.090000000000003</v>
      </c>
      <c r="B2366" s="64" t="s">
        <v>6001</v>
      </c>
      <c r="C2366" s="47"/>
      <c r="D2366" s="47"/>
      <c r="E2366" s="47"/>
    </row>
    <row r="2367" spans="1:5" ht="33.75" x14ac:dyDescent="0.2">
      <c r="A2367" s="65" t="s">
        <v>6002</v>
      </c>
      <c r="B2367" s="65" t="s">
        <v>6003</v>
      </c>
      <c r="C2367" s="67" t="s">
        <v>203</v>
      </c>
      <c r="D2367" s="69" t="s">
        <v>6004</v>
      </c>
      <c r="E2367" s="69" t="s">
        <v>6005</v>
      </c>
    </row>
    <row r="2368" spans="1:5" ht="33.75" x14ac:dyDescent="0.2">
      <c r="A2368" s="65" t="s">
        <v>6006</v>
      </c>
      <c r="B2368" s="65" t="s">
        <v>6007</v>
      </c>
      <c r="C2368" s="67" t="s">
        <v>203</v>
      </c>
      <c r="D2368" s="69" t="s">
        <v>6008</v>
      </c>
      <c r="E2368" s="69" t="s">
        <v>6009</v>
      </c>
    </row>
    <row r="2369" spans="1:5" ht="33.75" x14ac:dyDescent="0.2">
      <c r="A2369" s="65" t="s">
        <v>6010</v>
      </c>
      <c r="B2369" s="65" t="s">
        <v>6011</v>
      </c>
      <c r="C2369" s="67" t="s">
        <v>203</v>
      </c>
      <c r="D2369" s="69" t="s">
        <v>6012</v>
      </c>
      <c r="E2369" s="69" t="s">
        <v>6013</v>
      </c>
    </row>
    <row r="2370" spans="1:5" ht="33.75" x14ac:dyDescent="0.2">
      <c r="A2370" s="65" t="s">
        <v>6014</v>
      </c>
      <c r="B2370" s="65" t="s">
        <v>6015</v>
      </c>
      <c r="C2370" s="67" t="s">
        <v>203</v>
      </c>
      <c r="D2370" s="69" t="s">
        <v>379</v>
      </c>
      <c r="E2370" s="69" t="s">
        <v>6016</v>
      </c>
    </row>
    <row r="2371" spans="1:5" ht="33.75" x14ac:dyDescent="0.2">
      <c r="A2371" s="65" t="s">
        <v>6017</v>
      </c>
      <c r="B2371" s="65" t="s">
        <v>6018</v>
      </c>
      <c r="C2371" s="67" t="s">
        <v>203</v>
      </c>
      <c r="D2371" s="69" t="s">
        <v>6019</v>
      </c>
      <c r="E2371" s="69" t="s">
        <v>6020</v>
      </c>
    </row>
    <row r="2372" spans="1:5" ht="45" x14ac:dyDescent="0.2">
      <c r="A2372" s="65" t="s">
        <v>6021</v>
      </c>
      <c r="B2372" s="65" t="s">
        <v>6022</v>
      </c>
      <c r="C2372" s="67" t="s">
        <v>203</v>
      </c>
      <c r="D2372" s="69" t="s">
        <v>6023</v>
      </c>
      <c r="E2372" s="69" t="s">
        <v>6024</v>
      </c>
    </row>
    <row r="2373" spans="1:5" ht="45" x14ac:dyDescent="0.2">
      <c r="A2373" s="65" t="s">
        <v>6025</v>
      </c>
      <c r="B2373" s="65" t="s">
        <v>6026</v>
      </c>
      <c r="C2373" s="67" t="s">
        <v>203</v>
      </c>
      <c r="D2373" s="69" t="s">
        <v>259</v>
      </c>
      <c r="E2373" s="69" t="s">
        <v>6027</v>
      </c>
    </row>
    <row r="2374" spans="1:5" ht="45" x14ac:dyDescent="0.2">
      <c r="A2374" s="65" t="s">
        <v>6028</v>
      </c>
      <c r="B2374" s="65" t="s">
        <v>6029</v>
      </c>
      <c r="C2374" s="67" t="s">
        <v>203</v>
      </c>
      <c r="D2374" s="69" t="s">
        <v>6030</v>
      </c>
      <c r="E2374" s="69" t="s">
        <v>6031</v>
      </c>
    </row>
    <row r="2375" spans="1:5" ht="33.75" x14ac:dyDescent="0.2">
      <c r="A2375" s="50">
        <v>39.1</v>
      </c>
      <c r="B2375" s="64" t="s">
        <v>6032</v>
      </c>
      <c r="C2375" s="47"/>
      <c r="D2375" s="47"/>
      <c r="E2375" s="47"/>
    </row>
    <row r="2376" spans="1:5" ht="33.75" x14ac:dyDescent="0.2">
      <c r="A2376" s="65" t="s">
        <v>6033</v>
      </c>
      <c r="B2376" s="65" t="s">
        <v>6034</v>
      </c>
      <c r="C2376" s="67" t="s">
        <v>203</v>
      </c>
      <c r="D2376" s="69" t="s">
        <v>6035</v>
      </c>
      <c r="E2376" s="69" t="s">
        <v>6036</v>
      </c>
    </row>
    <row r="2377" spans="1:5" ht="45" x14ac:dyDescent="0.2">
      <c r="A2377" s="65" t="s">
        <v>6037</v>
      </c>
      <c r="B2377" s="65" t="s">
        <v>6038</v>
      </c>
      <c r="C2377" s="67" t="s">
        <v>203</v>
      </c>
      <c r="D2377" s="69" t="s">
        <v>6039</v>
      </c>
      <c r="E2377" s="69" t="s">
        <v>3589</v>
      </c>
    </row>
    <row r="2378" spans="1:5" ht="33.75" x14ac:dyDescent="0.2">
      <c r="A2378" s="65" t="s">
        <v>6040</v>
      </c>
      <c r="B2378" s="65" t="s">
        <v>6041</v>
      </c>
      <c r="C2378" s="67" t="s">
        <v>203</v>
      </c>
      <c r="D2378" s="69" t="s">
        <v>6042</v>
      </c>
      <c r="E2378" s="69" t="s">
        <v>6043</v>
      </c>
    </row>
    <row r="2379" spans="1:5" ht="33.75" x14ac:dyDescent="0.2">
      <c r="A2379" s="65" t="s">
        <v>6044</v>
      </c>
      <c r="B2379" s="65" t="s">
        <v>6045</v>
      </c>
      <c r="C2379" s="67" t="s">
        <v>203</v>
      </c>
      <c r="D2379" s="69" t="s">
        <v>2737</v>
      </c>
      <c r="E2379" s="69" t="s">
        <v>428</v>
      </c>
    </row>
    <row r="2380" spans="1:5" ht="33.75" x14ac:dyDescent="0.2">
      <c r="A2380" s="65" t="s">
        <v>6046</v>
      </c>
      <c r="B2380" s="65" t="s">
        <v>6047</v>
      </c>
      <c r="C2380" s="67" t="s">
        <v>203</v>
      </c>
      <c r="D2380" s="69" t="s">
        <v>408</v>
      </c>
      <c r="E2380" s="69" t="s">
        <v>6048</v>
      </c>
    </row>
    <row r="2381" spans="1:5" ht="33.75" x14ac:dyDescent="0.2">
      <c r="A2381" s="65" t="s">
        <v>6049</v>
      </c>
      <c r="B2381" s="65" t="s">
        <v>6050</v>
      </c>
      <c r="C2381" s="67" t="s">
        <v>203</v>
      </c>
      <c r="D2381" s="69" t="s">
        <v>6051</v>
      </c>
      <c r="E2381" s="69" t="s">
        <v>6052</v>
      </c>
    </row>
    <row r="2382" spans="1:5" ht="33.75" x14ac:dyDescent="0.2">
      <c r="A2382" s="65" t="s">
        <v>6053</v>
      </c>
      <c r="B2382" s="65" t="s">
        <v>6054</v>
      </c>
      <c r="C2382" s="67" t="s">
        <v>203</v>
      </c>
      <c r="D2382" s="69" t="s">
        <v>6055</v>
      </c>
      <c r="E2382" s="69" t="s">
        <v>6056</v>
      </c>
    </row>
    <row r="2383" spans="1:5" ht="33.75" x14ac:dyDescent="0.2">
      <c r="A2383" s="65" t="s">
        <v>6057</v>
      </c>
      <c r="B2383" s="65" t="s">
        <v>6058</v>
      </c>
      <c r="C2383" s="67" t="s">
        <v>203</v>
      </c>
      <c r="D2383" s="69" t="s">
        <v>6059</v>
      </c>
      <c r="E2383" s="69" t="s">
        <v>6060</v>
      </c>
    </row>
    <row r="2384" spans="1:5" ht="45" x14ac:dyDescent="0.2">
      <c r="A2384" s="65" t="s">
        <v>6061</v>
      </c>
      <c r="B2384" s="65" t="s">
        <v>6062</v>
      </c>
      <c r="C2384" s="67" t="s">
        <v>203</v>
      </c>
      <c r="D2384" s="69" t="s">
        <v>6063</v>
      </c>
      <c r="E2384" s="69" t="s">
        <v>6064</v>
      </c>
    </row>
    <row r="2385" spans="1:5" ht="45" x14ac:dyDescent="0.2">
      <c r="A2385" s="65" t="s">
        <v>6065</v>
      </c>
      <c r="B2385" s="65" t="s">
        <v>6066</v>
      </c>
      <c r="C2385" s="67" t="s">
        <v>203</v>
      </c>
      <c r="D2385" s="69" t="s">
        <v>356</v>
      </c>
      <c r="E2385" s="69" t="s">
        <v>6067</v>
      </c>
    </row>
    <row r="2386" spans="1:5" ht="45" x14ac:dyDescent="0.2">
      <c r="A2386" s="65" t="s">
        <v>6068</v>
      </c>
      <c r="B2386" s="65" t="s">
        <v>6069</v>
      </c>
      <c r="C2386" s="67" t="s">
        <v>203</v>
      </c>
      <c r="D2386" s="69" t="s">
        <v>6070</v>
      </c>
      <c r="E2386" s="69" t="s">
        <v>6071</v>
      </c>
    </row>
    <row r="2387" spans="1:5" ht="45" x14ac:dyDescent="0.2">
      <c r="A2387" s="65" t="s">
        <v>6072</v>
      </c>
      <c r="B2387" s="65" t="s">
        <v>6073</v>
      </c>
      <c r="C2387" s="67" t="s">
        <v>203</v>
      </c>
      <c r="D2387" s="69" t="s">
        <v>6074</v>
      </c>
      <c r="E2387" s="69" t="s">
        <v>405</v>
      </c>
    </row>
    <row r="2388" spans="1:5" ht="22.5" x14ac:dyDescent="0.2">
      <c r="A2388" s="50">
        <v>39.11</v>
      </c>
      <c r="B2388" s="64" t="s">
        <v>6075</v>
      </c>
      <c r="C2388" s="47"/>
      <c r="D2388" s="47"/>
      <c r="E2388" s="47"/>
    </row>
    <row r="2389" spans="1:5" ht="67.5" x14ac:dyDescent="0.2">
      <c r="A2389" s="65" t="s">
        <v>6076</v>
      </c>
      <c r="B2389" s="66" t="s">
        <v>6077</v>
      </c>
      <c r="C2389" s="67" t="s">
        <v>221</v>
      </c>
      <c r="D2389" s="69" t="s">
        <v>6078</v>
      </c>
      <c r="E2389" s="69" t="s">
        <v>3444</v>
      </c>
    </row>
    <row r="2390" spans="1:5" ht="67.5" x14ac:dyDescent="0.2">
      <c r="A2390" s="65" t="s">
        <v>6079</v>
      </c>
      <c r="B2390" s="66" t="s">
        <v>6080</v>
      </c>
      <c r="C2390" s="67" t="s">
        <v>221</v>
      </c>
      <c r="D2390" s="69" t="s">
        <v>301</v>
      </c>
      <c r="E2390" s="69" t="s">
        <v>6081</v>
      </c>
    </row>
    <row r="2391" spans="1:5" ht="67.5" x14ac:dyDescent="0.2">
      <c r="A2391" s="65" t="s">
        <v>6082</v>
      </c>
      <c r="B2391" s="66" t="s">
        <v>6083</v>
      </c>
      <c r="C2391" s="67" t="s">
        <v>221</v>
      </c>
      <c r="D2391" s="69" t="s">
        <v>6084</v>
      </c>
      <c r="E2391" s="69" t="s">
        <v>5892</v>
      </c>
    </row>
    <row r="2392" spans="1:5" ht="45" x14ac:dyDescent="0.2">
      <c r="A2392" s="65" t="s">
        <v>6085</v>
      </c>
      <c r="B2392" s="65" t="s">
        <v>6086</v>
      </c>
      <c r="C2392" s="67" t="s">
        <v>221</v>
      </c>
      <c r="D2392" s="69" t="s">
        <v>6087</v>
      </c>
      <c r="E2392" s="69" t="s">
        <v>261</v>
      </c>
    </row>
    <row r="2393" spans="1:5" ht="22.5" x14ac:dyDescent="0.2">
      <c r="A2393" s="65" t="s">
        <v>6088</v>
      </c>
      <c r="B2393" s="65" t="s">
        <v>6089</v>
      </c>
      <c r="C2393" s="67" t="s">
        <v>221</v>
      </c>
      <c r="D2393" s="69" t="s">
        <v>399</v>
      </c>
      <c r="E2393" s="69" t="s">
        <v>6090</v>
      </c>
    </row>
    <row r="2394" spans="1:5" ht="67.5" x14ac:dyDescent="0.2">
      <c r="A2394" s="65" t="s">
        <v>6091</v>
      </c>
      <c r="B2394" s="66" t="s">
        <v>6092</v>
      </c>
      <c r="C2394" s="67" t="s">
        <v>221</v>
      </c>
      <c r="D2394" s="69" t="s">
        <v>6093</v>
      </c>
      <c r="E2394" s="69" t="s">
        <v>6094</v>
      </c>
    </row>
    <row r="2395" spans="1:5" ht="56.25" x14ac:dyDescent="0.2">
      <c r="A2395" s="65" t="s">
        <v>6095</v>
      </c>
      <c r="B2395" s="66" t="s">
        <v>6096</v>
      </c>
      <c r="C2395" s="67" t="s">
        <v>221</v>
      </c>
      <c r="D2395" s="69" t="s">
        <v>6097</v>
      </c>
      <c r="E2395" s="69" t="s">
        <v>6098</v>
      </c>
    </row>
    <row r="2396" spans="1:5" ht="67.5" x14ac:dyDescent="0.2">
      <c r="A2396" s="65" t="s">
        <v>6099</v>
      </c>
      <c r="B2396" s="66" t="s">
        <v>6100</v>
      </c>
      <c r="C2396" s="67" t="s">
        <v>221</v>
      </c>
      <c r="D2396" s="69" t="s">
        <v>1103</v>
      </c>
      <c r="E2396" s="69" t="s">
        <v>6102</v>
      </c>
    </row>
    <row r="2397" spans="1:5" ht="67.5" x14ac:dyDescent="0.2">
      <c r="A2397" s="65" t="s">
        <v>6103</v>
      </c>
      <c r="B2397" s="66" t="s">
        <v>6104</v>
      </c>
      <c r="C2397" s="67" t="s">
        <v>221</v>
      </c>
      <c r="D2397" s="69" t="s">
        <v>3875</v>
      </c>
      <c r="E2397" s="69" t="s">
        <v>3334</v>
      </c>
    </row>
    <row r="2398" spans="1:5" ht="67.5" x14ac:dyDescent="0.2">
      <c r="A2398" s="65" t="s">
        <v>6105</v>
      </c>
      <c r="B2398" s="66" t="s">
        <v>6106</v>
      </c>
      <c r="C2398" s="67" t="s">
        <v>221</v>
      </c>
      <c r="D2398" s="69" t="s">
        <v>6107</v>
      </c>
      <c r="E2398" s="69" t="s">
        <v>6108</v>
      </c>
    </row>
    <row r="2399" spans="1:5" ht="67.5" x14ac:dyDescent="0.2">
      <c r="A2399" s="65" t="s">
        <v>6109</v>
      </c>
      <c r="B2399" s="66" t="s">
        <v>6110</v>
      </c>
      <c r="C2399" s="67" t="s">
        <v>221</v>
      </c>
      <c r="D2399" s="69" t="s">
        <v>1381</v>
      </c>
      <c r="E2399" s="69" t="s">
        <v>3616</v>
      </c>
    </row>
    <row r="2400" spans="1:5" ht="67.5" x14ac:dyDescent="0.2">
      <c r="A2400" s="65" t="s">
        <v>6111</v>
      </c>
      <c r="B2400" s="66" t="s">
        <v>6112</v>
      </c>
      <c r="C2400" s="67" t="s">
        <v>221</v>
      </c>
      <c r="D2400" s="69" t="s">
        <v>6113</v>
      </c>
      <c r="E2400" s="69" t="s">
        <v>6114</v>
      </c>
    </row>
    <row r="2401" spans="1:5" ht="67.5" x14ac:dyDescent="0.2">
      <c r="A2401" s="65" t="s">
        <v>6115</v>
      </c>
      <c r="B2401" s="66" t="s">
        <v>6116</v>
      </c>
      <c r="C2401" s="67" t="s">
        <v>221</v>
      </c>
      <c r="D2401" s="69" t="s">
        <v>6117</v>
      </c>
      <c r="E2401" s="69" t="s">
        <v>6118</v>
      </c>
    </row>
    <row r="2402" spans="1:5" ht="67.5" x14ac:dyDescent="0.2">
      <c r="A2402" s="65" t="s">
        <v>6119</v>
      </c>
      <c r="B2402" s="66" t="s">
        <v>6120</v>
      </c>
      <c r="C2402" s="67" t="s">
        <v>221</v>
      </c>
      <c r="D2402" s="69" t="s">
        <v>6121</v>
      </c>
      <c r="E2402" s="69" t="s">
        <v>6122</v>
      </c>
    </row>
    <row r="2403" spans="1:5" ht="67.5" x14ac:dyDescent="0.2">
      <c r="A2403" s="65" t="s">
        <v>6123</v>
      </c>
      <c r="B2403" s="66" t="s">
        <v>6124</v>
      </c>
      <c r="C2403" s="67" t="s">
        <v>221</v>
      </c>
      <c r="D2403" s="69" t="s">
        <v>6125</v>
      </c>
      <c r="E2403" s="69" t="s">
        <v>6126</v>
      </c>
    </row>
    <row r="2404" spans="1:5" ht="67.5" x14ac:dyDescent="0.2">
      <c r="A2404" s="65" t="s">
        <v>6127</v>
      </c>
      <c r="B2404" s="66" t="s">
        <v>6128</v>
      </c>
      <c r="C2404" s="67" t="s">
        <v>221</v>
      </c>
      <c r="D2404" s="69" t="s">
        <v>6129</v>
      </c>
      <c r="E2404" s="69" t="s">
        <v>6130</v>
      </c>
    </row>
    <row r="2405" spans="1:5" ht="45" x14ac:dyDescent="0.2">
      <c r="A2405" s="50">
        <v>39.119999999999997</v>
      </c>
      <c r="B2405" s="64" t="s">
        <v>6131</v>
      </c>
      <c r="C2405" s="48"/>
      <c r="D2405" s="48"/>
      <c r="E2405" s="48"/>
    </row>
    <row r="2406" spans="1:5" ht="90" x14ac:dyDescent="0.2">
      <c r="A2406" s="65" t="s">
        <v>6132</v>
      </c>
      <c r="B2406" s="66" t="s">
        <v>6133</v>
      </c>
      <c r="C2406" s="67" t="s">
        <v>221</v>
      </c>
      <c r="D2406" s="69" t="s">
        <v>316</v>
      </c>
      <c r="E2406" s="69" t="s">
        <v>6134</v>
      </c>
    </row>
    <row r="2407" spans="1:5" ht="90" x14ac:dyDescent="0.2">
      <c r="A2407" s="65" t="s">
        <v>6135</v>
      </c>
      <c r="B2407" s="66" t="s">
        <v>6136</v>
      </c>
      <c r="C2407" s="67" t="s">
        <v>221</v>
      </c>
      <c r="D2407" s="69" t="s">
        <v>6137</v>
      </c>
      <c r="E2407" s="69" t="s">
        <v>6138</v>
      </c>
    </row>
    <row r="2408" spans="1:5" ht="90" x14ac:dyDescent="0.2">
      <c r="A2408" s="65" t="s">
        <v>6139</v>
      </c>
      <c r="B2408" s="66" t="s">
        <v>6140</v>
      </c>
      <c r="C2408" s="67" t="s">
        <v>221</v>
      </c>
      <c r="D2408" s="69" t="s">
        <v>6141</v>
      </c>
      <c r="E2408" s="69" t="s">
        <v>6142</v>
      </c>
    </row>
    <row r="2409" spans="1:5" ht="22.5" x14ac:dyDescent="0.2">
      <c r="A2409" s="50">
        <v>39.14</v>
      </c>
      <c r="B2409" s="64" t="s">
        <v>6143</v>
      </c>
      <c r="C2409" s="47"/>
      <c r="D2409" s="47"/>
      <c r="E2409" s="47"/>
    </row>
    <row r="2410" spans="1:5" ht="33.75" x14ac:dyDescent="0.2">
      <c r="A2410" s="65" t="s">
        <v>6144</v>
      </c>
      <c r="B2410" s="65" t="s">
        <v>6145</v>
      </c>
      <c r="C2410" s="67" t="s">
        <v>221</v>
      </c>
      <c r="D2410" s="69" t="s">
        <v>296</v>
      </c>
      <c r="E2410" s="69" t="s">
        <v>3356</v>
      </c>
    </row>
    <row r="2411" spans="1:5" ht="33.75" x14ac:dyDescent="0.2">
      <c r="A2411" s="65" t="s">
        <v>6147</v>
      </c>
      <c r="B2411" s="65" t="s">
        <v>6148</v>
      </c>
      <c r="C2411" s="67" t="s">
        <v>221</v>
      </c>
      <c r="D2411" s="69" t="s">
        <v>6149</v>
      </c>
      <c r="E2411" s="69" t="s">
        <v>6150</v>
      </c>
    </row>
    <row r="2412" spans="1:5" ht="22.5" x14ac:dyDescent="0.2">
      <c r="A2412" s="50">
        <v>39.15</v>
      </c>
      <c r="B2412" s="64" t="s">
        <v>6151</v>
      </c>
      <c r="C2412" s="47"/>
      <c r="D2412" s="47"/>
      <c r="E2412" s="47"/>
    </row>
    <row r="2413" spans="1:5" ht="33.75" x14ac:dyDescent="0.2">
      <c r="A2413" s="65" t="s">
        <v>6152</v>
      </c>
      <c r="B2413" s="65" t="s">
        <v>6153</v>
      </c>
      <c r="C2413" s="67" t="s">
        <v>221</v>
      </c>
      <c r="D2413" s="69" t="s">
        <v>6154</v>
      </c>
      <c r="E2413" s="69" t="s">
        <v>3907</v>
      </c>
    </row>
    <row r="2414" spans="1:5" ht="33.75" x14ac:dyDescent="0.2">
      <c r="A2414" s="65" t="s">
        <v>6155</v>
      </c>
      <c r="B2414" s="65" t="s">
        <v>6156</v>
      </c>
      <c r="C2414" s="67" t="s">
        <v>221</v>
      </c>
      <c r="D2414" s="69" t="s">
        <v>229</v>
      </c>
      <c r="E2414" s="69" t="s">
        <v>6157</v>
      </c>
    </row>
    <row r="2415" spans="1:5" ht="33.75" x14ac:dyDescent="0.2">
      <c r="A2415" s="50">
        <v>39.18</v>
      </c>
      <c r="B2415" s="64" t="s">
        <v>6158</v>
      </c>
      <c r="C2415" s="47"/>
      <c r="D2415" s="47"/>
      <c r="E2415" s="47"/>
    </row>
    <row r="2416" spans="1:5" ht="22.5" x14ac:dyDescent="0.2">
      <c r="A2416" s="65" t="s">
        <v>6159</v>
      </c>
      <c r="B2416" s="65" t="s">
        <v>6160</v>
      </c>
      <c r="C2416" s="67" t="s">
        <v>221</v>
      </c>
      <c r="D2416" s="69" t="s">
        <v>3949</v>
      </c>
      <c r="E2416" s="69" t="s">
        <v>275</v>
      </c>
    </row>
    <row r="2417" spans="1:5" ht="22.5" x14ac:dyDescent="0.2">
      <c r="A2417" s="65" t="s">
        <v>6161</v>
      </c>
      <c r="B2417" s="65" t="s">
        <v>6162</v>
      </c>
      <c r="C2417" s="67" t="s">
        <v>221</v>
      </c>
      <c r="D2417" s="69" t="s">
        <v>5867</v>
      </c>
      <c r="E2417" s="69" t="s">
        <v>6163</v>
      </c>
    </row>
    <row r="2418" spans="1:5" ht="22.5" x14ac:dyDescent="0.2">
      <c r="A2418" s="65" t="s">
        <v>6164</v>
      </c>
      <c r="B2418" s="65" t="s">
        <v>6165</v>
      </c>
      <c r="C2418" s="67" t="s">
        <v>221</v>
      </c>
      <c r="D2418" s="69" t="s">
        <v>6166</v>
      </c>
      <c r="E2418" s="69" t="s">
        <v>6167</v>
      </c>
    </row>
    <row r="2419" spans="1:5" ht="22.5" x14ac:dyDescent="0.2">
      <c r="A2419" s="65" t="s">
        <v>6168</v>
      </c>
      <c r="B2419" s="65" t="s">
        <v>6169</v>
      </c>
      <c r="C2419" s="67" t="s">
        <v>221</v>
      </c>
      <c r="D2419" s="69" t="s">
        <v>6170</v>
      </c>
      <c r="E2419" s="69" t="s">
        <v>6171</v>
      </c>
    </row>
    <row r="2420" spans="1:5" ht="22.5" x14ac:dyDescent="0.2">
      <c r="A2420" s="65" t="s">
        <v>6172</v>
      </c>
      <c r="B2420" s="65" t="s">
        <v>6173</v>
      </c>
      <c r="C2420" s="67" t="s">
        <v>221</v>
      </c>
      <c r="D2420" s="69" t="s">
        <v>222</v>
      </c>
      <c r="E2420" s="69" t="s">
        <v>384</v>
      </c>
    </row>
    <row r="2421" spans="1:5" ht="33.75" x14ac:dyDescent="0.2">
      <c r="A2421" s="65" t="s">
        <v>6174</v>
      </c>
      <c r="B2421" s="65" t="s">
        <v>6175</v>
      </c>
      <c r="C2421" s="67" t="s">
        <v>221</v>
      </c>
      <c r="D2421" s="69" t="s">
        <v>6176</v>
      </c>
      <c r="E2421" s="69" t="s">
        <v>6177</v>
      </c>
    </row>
    <row r="2422" spans="1:5" ht="33.75" x14ac:dyDescent="0.2">
      <c r="A2422" s="65" t="s">
        <v>6178</v>
      </c>
      <c r="B2422" s="65" t="s">
        <v>6179</v>
      </c>
      <c r="C2422" s="67" t="s">
        <v>221</v>
      </c>
      <c r="D2422" s="69" t="s">
        <v>6180</v>
      </c>
      <c r="E2422" s="69" t="s">
        <v>6181</v>
      </c>
    </row>
    <row r="2423" spans="1:5" ht="45" x14ac:dyDescent="0.2">
      <c r="A2423" s="50">
        <v>39.200000000000003</v>
      </c>
      <c r="B2423" s="64" t="s">
        <v>6182</v>
      </c>
      <c r="C2423" s="47"/>
      <c r="D2423" s="47"/>
      <c r="E2423" s="47"/>
    </row>
    <row r="2424" spans="1:5" ht="22.5" x14ac:dyDescent="0.2">
      <c r="A2424" s="65" t="s">
        <v>6183</v>
      </c>
      <c r="B2424" s="65" t="s">
        <v>6184</v>
      </c>
      <c r="C2424" s="67" t="s">
        <v>203</v>
      </c>
      <c r="D2424" s="69" t="s">
        <v>6185</v>
      </c>
      <c r="E2424" s="69" t="s">
        <v>6187</v>
      </c>
    </row>
    <row r="2425" spans="1:5" ht="45" x14ac:dyDescent="0.2">
      <c r="A2425" s="65" t="s">
        <v>6188</v>
      </c>
      <c r="B2425" s="65" t="s">
        <v>6189</v>
      </c>
      <c r="C2425" s="67" t="s">
        <v>221</v>
      </c>
      <c r="D2425" s="68"/>
      <c r="E2425" s="69" t="s">
        <v>6146</v>
      </c>
    </row>
    <row r="2426" spans="1:5" ht="56.25" x14ac:dyDescent="0.2">
      <c r="A2426" s="65" t="s">
        <v>6190</v>
      </c>
      <c r="B2426" s="66" t="s">
        <v>6191</v>
      </c>
      <c r="C2426" s="67" t="s">
        <v>221</v>
      </c>
      <c r="D2426" s="68"/>
      <c r="E2426" s="69" t="s">
        <v>6192</v>
      </c>
    </row>
    <row r="2427" spans="1:5" ht="45" x14ac:dyDescent="0.2">
      <c r="A2427" s="50">
        <v>39.21</v>
      </c>
      <c r="B2427" s="64" t="s">
        <v>6193</v>
      </c>
      <c r="C2427" s="48"/>
      <c r="D2427" s="48"/>
      <c r="E2427" s="48"/>
    </row>
    <row r="2428" spans="1:5" ht="56.25" x14ac:dyDescent="0.2">
      <c r="A2428" s="65" t="s">
        <v>6194</v>
      </c>
      <c r="B2428" s="66" t="s">
        <v>6195</v>
      </c>
      <c r="C2428" s="67" t="s">
        <v>221</v>
      </c>
      <c r="D2428" s="69" t="s">
        <v>260</v>
      </c>
      <c r="E2428" s="69" t="s">
        <v>5923</v>
      </c>
    </row>
    <row r="2429" spans="1:5" ht="56.25" x14ac:dyDescent="0.2">
      <c r="A2429" s="65" t="s">
        <v>6196</v>
      </c>
      <c r="B2429" s="66" t="s">
        <v>6197</v>
      </c>
      <c r="C2429" s="67" t="s">
        <v>221</v>
      </c>
      <c r="D2429" s="69" t="s">
        <v>6198</v>
      </c>
      <c r="E2429" s="69" t="s">
        <v>6199</v>
      </c>
    </row>
    <row r="2430" spans="1:5" ht="56.25" x14ac:dyDescent="0.2">
      <c r="A2430" s="65" t="s">
        <v>6200</v>
      </c>
      <c r="B2430" s="66" t="s">
        <v>6201</v>
      </c>
      <c r="C2430" s="67" t="s">
        <v>221</v>
      </c>
      <c r="D2430" s="69" t="s">
        <v>6202</v>
      </c>
      <c r="E2430" s="69" t="s">
        <v>6203</v>
      </c>
    </row>
    <row r="2431" spans="1:5" ht="56.25" x14ac:dyDescent="0.2">
      <c r="A2431" s="65" t="s">
        <v>6204</v>
      </c>
      <c r="B2431" s="66" t="s">
        <v>6205</v>
      </c>
      <c r="C2431" s="67" t="s">
        <v>221</v>
      </c>
      <c r="D2431" s="69" t="s">
        <v>5465</v>
      </c>
      <c r="E2431" s="69" t="s">
        <v>3243</v>
      </c>
    </row>
    <row r="2432" spans="1:5" ht="56.25" x14ac:dyDescent="0.2">
      <c r="A2432" s="65" t="s">
        <v>6206</v>
      </c>
      <c r="B2432" s="66" t="s">
        <v>6207</v>
      </c>
      <c r="C2432" s="67" t="s">
        <v>221</v>
      </c>
      <c r="D2432" s="69" t="s">
        <v>6208</v>
      </c>
      <c r="E2432" s="69" t="s">
        <v>6209</v>
      </c>
    </row>
    <row r="2433" spans="1:5" ht="56.25" x14ac:dyDescent="0.2">
      <c r="A2433" s="65" t="s">
        <v>6210</v>
      </c>
      <c r="B2433" s="66" t="s">
        <v>6211</v>
      </c>
      <c r="C2433" s="67" t="s">
        <v>221</v>
      </c>
      <c r="D2433" s="69" t="s">
        <v>6212</v>
      </c>
      <c r="E2433" s="69" t="s">
        <v>1227</v>
      </c>
    </row>
    <row r="2434" spans="1:5" ht="56.25" x14ac:dyDescent="0.2">
      <c r="A2434" s="65" t="s">
        <v>6213</v>
      </c>
      <c r="B2434" s="66" t="s">
        <v>6214</v>
      </c>
      <c r="C2434" s="67" t="s">
        <v>221</v>
      </c>
      <c r="D2434" s="69" t="s">
        <v>6215</v>
      </c>
      <c r="E2434" s="69" t="s">
        <v>6216</v>
      </c>
    </row>
    <row r="2435" spans="1:5" ht="56.25" x14ac:dyDescent="0.2">
      <c r="A2435" s="65" t="s">
        <v>6217</v>
      </c>
      <c r="B2435" s="66" t="s">
        <v>6218</v>
      </c>
      <c r="C2435" s="67" t="s">
        <v>221</v>
      </c>
      <c r="D2435" s="69" t="s">
        <v>4923</v>
      </c>
      <c r="E2435" s="69" t="s">
        <v>6219</v>
      </c>
    </row>
    <row r="2436" spans="1:5" ht="56.25" x14ac:dyDescent="0.2">
      <c r="A2436" s="65" t="s">
        <v>6220</v>
      </c>
      <c r="B2436" s="66" t="s">
        <v>6221</v>
      </c>
      <c r="C2436" s="67" t="s">
        <v>221</v>
      </c>
      <c r="D2436" s="69" t="s">
        <v>313</v>
      </c>
      <c r="E2436" s="69" t="s">
        <v>6222</v>
      </c>
    </row>
    <row r="2437" spans="1:5" ht="56.25" x14ac:dyDescent="0.2">
      <c r="A2437" s="65" t="s">
        <v>6223</v>
      </c>
      <c r="B2437" s="66" t="s">
        <v>6224</v>
      </c>
      <c r="C2437" s="67" t="s">
        <v>221</v>
      </c>
      <c r="D2437" s="69" t="s">
        <v>6225</v>
      </c>
      <c r="E2437" s="69" t="s">
        <v>6226</v>
      </c>
    </row>
    <row r="2438" spans="1:5" ht="56.25" x14ac:dyDescent="0.2">
      <c r="A2438" s="65" t="s">
        <v>6227</v>
      </c>
      <c r="B2438" s="66" t="s">
        <v>6228</v>
      </c>
      <c r="C2438" s="67" t="s">
        <v>221</v>
      </c>
      <c r="D2438" s="69" t="s">
        <v>6229</v>
      </c>
      <c r="E2438" s="69" t="s">
        <v>6230</v>
      </c>
    </row>
    <row r="2439" spans="1:5" ht="56.25" x14ac:dyDescent="0.2">
      <c r="A2439" s="65" t="s">
        <v>6231</v>
      </c>
      <c r="B2439" s="66" t="s">
        <v>6232</v>
      </c>
      <c r="C2439" s="67" t="s">
        <v>221</v>
      </c>
      <c r="D2439" s="69" t="s">
        <v>6233</v>
      </c>
      <c r="E2439" s="69" t="s">
        <v>6234</v>
      </c>
    </row>
    <row r="2440" spans="1:5" ht="56.25" x14ac:dyDescent="0.2">
      <c r="A2440" s="65" t="s">
        <v>6235</v>
      </c>
      <c r="B2440" s="66" t="s">
        <v>6236</v>
      </c>
      <c r="C2440" s="67" t="s">
        <v>221</v>
      </c>
      <c r="D2440" s="69" t="s">
        <v>6237</v>
      </c>
      <c r="E2440" s="69" t="s">
        <v>6238</v>
      </c>
    </row>
    <row r="2441" spans="1:5" ht="56.25" x14ac:dyDescent="0.2">
      <c r="A2441" s="65" t="s">
        <v>6239</v>
      </c>
      <c r="B2441" s="66" t="s">
        <v>6240</v>
      </c>
      <c r="C2441" s="67" t="s">
        <v>221</v>
      </c>
      <c r="D2441" s="69" t="s">
        <v>6241</v>
      </c>
      <c r="E2441" s="69" t="s">
        <v>6242</v>
      </c>
    </row>
    <row r="2442" spans="1:5" ht="56.25" x14ac:dyDescent="0.2">
      <c r="A2442" s="65" t="s">
        <v>6243</v>
      </c>
      <c r="B2442" s="66" t="s">
        <v>6244</v>
      </c>
      <c r="C2442" s="67" t="s">
        <v>221</v>
      </c>
      <c r="D2442" s="69" t="s">
        <v>6245</v>
      </c>
      <c r="E2442" s="69" t="s">
        <v>6246</v>
      </c>
    </row>
    <row r="2443" spans="1:5" ht="56.25" x14ac:dyDescent="0.2">
      <c r="A2443" s="65" t="s">
        <v>6247</v>
      </c>
      <c r="B2443" s="66" t="s">
        <v>6248</v>
      </c>
      <c r="C2443" s="67" t="s">
        <v>221</v>
      </c>
      <c r="D2443" s="69" t="s">
        <v>2136</v>
      </c>
      <c r="E2443" s="69" t="s">
        <v>6249</v>
      </c>
    </row>
    <row r="2444" spans="1:5" ht="56.25" x14ac:dyDescent="0.2">
      <c r="A2444" s="65" t="s">
        <v>6250</v>
      </c>
      <c r="B2444" s="66" t="s">
        <v>6251</v>
      </c>
      <c r="C2444" s="67" t="s">
        <v>221</v>
      </c>
      <c r="D2444" s="69" t="s">
        <v>6252</v>
      </c>
      <c r="E2444" s="69" t="s">
        <v>6253</v>
      </c>
    </row>
    <row r="2445" spans="1:5" ht="56.25" x14ac:dyDescent="0.2">
      <c r="A2445" s="65" t="s">
        <v>6254</v>
      </c>
      <c r="B2445" s="66" t="s">
        <v>6255</v>
      </c>
      <c r="C2445" s="67" t="s">
        <v>221</v>
      </c>
      <c r="D2445" s="69" t="s">
        <v>6256</v>
      </c>
      <c r="E2445" s="69" t="s">
        <v>380</v>
      </c>
    </row>
    <row r="2446" spans="1:5" ht="56.25" x14ac:dyDescent="0.2">
      <c r="A2446" s="65" t="s">
        <v>6257</v>
      </c>
      <c r="B2446" s="66" t="s">
        <v>6258</v>
      </c>
      <c r="C2446" s="67" t="s">
        <v>221</v>
      </c>
      <c r="D2446" s="69" t="s">
        <v>6259</v>
      </c>
      <c r="E2446" s="69" t="s">
        <v>6260</v>
      </c>
    </row>
    <row r="2447" spans="1:5" ht="56.25" x14ac:dyDescent="0.2">
      <c r="A2447" s="65" t="s">
        <v>6261</v>
      </c>
      <c r="B2447" s="66" t="s">
        <v>6262</v>
      </c>
      <c r="C2447" s="67" t="s">
        <v>221</v>
      </c>
      <c r="D2447" s="69" t="s">
        <v>6263</v>
      </c>
      <c r="E2447" s="69" t="s">
        <v>6264</v>
      </c>
    </row>
    <row r="2448" spans="1:5" ht="56.25" x14ac:dyDescent="0.2">
      <c r="A2448" s="65" t="s">
        <v>6265</v>
      </c>
      <c r="B2448" s="66" t="s">
        <v>6266</v>
      </c>
      <c r="C2448" s="67" t="s">
        <v>221</v>
      </c>
      <c r="D2448" s="69" t="s">
        <v>6267</v>
      </c>
      <c r="E2448" s="69" t="s">
        <v>6268</v>
      </c>
    </row>
    <row r="2449" spans="1:5" ht="56.25" x14ac:dyDescent="0.2">
      <c r="A2449" s="65" t="s">
        <v>6269</v>
      </c>
      <c r="B2449" s="66" t="s">
        <v>6270</v>
      </c>
      <c r="C2449" s="67" t="s">
        <v>221</v>
      </c>
      <c r="D2449" s="69" t="s">
        <v>6271</v>
      </c>
      <c r="E2449" s="69" t="s">
        <v>6272</v>
      </c>
    </row>
    <row r="2450" spans="1:5" ht="45" x14ac:dyDescent="0.2">
      <c r="A2450" s="50">
        <v>39.24</v>
      </c>
      <c r="B2450" s="64" t="s">
        <v>6273</v>
      </c>
      <c r="C2450" s="47"/>
      <c r="D2450" s="47"/>
      <c r="E2450" s="47"/>
    </row>
    <row r="2451" spans="1:5" ht="56.25" x14ac:dyDescent="0.2">
      <c r="A2451" s="65" t="s">
        <v>6274</v>
      </c>
      <c r="B2451" s="66" t="s">
        <v>6275</v>
      </c>
      <c r="C2451" s="67" t="s">
        <v>221</v>
      </c>
      <c r="D2451" s="69" t="s">
        <v>6276</v>
      </c>
      <c r="E2451" s="69" t="s">
        <v>379</v>
      </c>
    </row>
    <row r="2452" spans="1:5" ht="56.25" x14ac:dyDescent="0.2">
      <c r="A2452" s="65" t="s">
        <v>6277</v>
      </c>
      <c r="B2452" s="66" t="s">
        <v>6278</v>
      </c>
      <c r="C2452" s="67" t="s">
        <v>221</v>
      </c>
      <c r="D2452" s="69" t="s">
        <v>6279</v>
      </c>
      <c r="E2452" s="69" t="s">
        <v>6280</v>
      </c>
    </row>
    <row r="2453" spans="1:5" ht="45" x14ac:dyDescent="0.2">
      <c r="A2453" s="65" t="s">
        <v>6281</v>
      </c>
      <c r="B2453" s="65" t="s">
        <v>6282</v>
      </c>
      <c r="C2453" s="67" t="s">
        <v>221</v>
      </c>
      <c r="D2453" s="69" t="s">
        <v>378</v>
      </c>
      <c r="E2453" s="69" t="s">
        <v>6283</v>
      </c>
    </row>
    <row r="2454" spans="1:5" ht="45" x14ac:dyDescent="0.2">
      <c r="A2454" s="65" t="s">
        <v>6284</v>
      </c>
      <c r="B2454" s="65" t="s">
        <v>6285</v>
      </c>
      <c r="C2454" s="67" t="s">
        <v>221</v>
      </c>
      <c r="D2454" s="69" t="s">
        <v>6286</v>
      </c>
      <c r="E2454" s="69" t="s">
        <v>6287</v>
      </c>
    </row>
    <row r="2455" spans="1:5" ht="45" x14ac:dyDescent="0.2">
      <c r="A2455" s="65" t="s">
        <v>6288</v>
      </c>
      <c r="B2455" s="65" t="s">
        <v>6289</v>
      </c>
      <c r="C2455" s="67" t="s">
        <v>221</v>
      </c>
      <c r="D2455" s="69" t="s">
        <v>6290</v>
      </c>
      <c r="E2455" s="69" t="s">
        <v>6291</v>
      </c>
    </row>
    <row r="2456" spans="1:5" ht="45" x14ac:dyDescent="0.2">
      <c r="A2456" s="65" t="s">
        <v>6292</v>
      </c>
      <c r="B2456" s="65" t="s">
        <v>6293</v>
      </c>
      <c r="C2456" s="67" t="s">
        <v>221</v>
      </c>
      <c r="D2456" s="69" t="s">
        <v>6294</v>
      </c>
      <c r="E2456" s="69" t="s">
        <v>4128</v>
      </c>
    </row>
    <row r="2457" spans="1:5" ht="45" x14ac:dyDescent="0.2">
      <c r="A2457" s="50">
        <v>39.25</v>
      </c>
      <c r="B2457" s="64" t="s">
        <v>6296</v>
      </c>
      <c r="C2457" s="48"/>
      <c r="D2457" s="48"/>
      <c r="E2457" s="48"/>
    </row>
    <row r="2458" spans="1:5" ht="45" x14ac:dyDescent="0.2">
      <c r="A2458" s="65" t="s">
        <v>6297</v>
      </c>
      <c r="B2458" s="65" t="s">
        <v>6298</v>
      </c>
      <c r="C2458" s="67" t="s">
        <v>221</v>
      </c>
      <c r="D2458" s="69" t="s">
        <v>5908</v>
      </c>
      <c r="E2458" s="69" t="s">
        <v>6299</v>
      </c>
    </row>
    <row r="2459" spans="1:5" ht="45" x14ac:dyDescent="0.2">
      <c r="A2459" s="65" t="s">
        <v>6300</v>
      </c>
      <c r="B2459" s="65" t="s">
        <v>6301</v>
      </c>
      <c r="C2459" s="67" t="s">
        <v>221</v>
      </c>
      <c r="D2459" s="69" t="s">
        <v>6302</v>
      </c>
      <c r="E2459" s="69" t="s">
        <v>6303</v>
      </c>
    </row>
    <row r="2460" spans="1:5" ht="67.5" x14ac:dyDescent="0.2">
      <c r="A2460" s="50">
        <v>39.26</v>
      </c>
      <c r="B2460" s="51" t="s">
        <v>6304</v>
      </c>
      <c r="C2460" s="48"/>
      <c r="D2460" s="48"/>
      <c r="E2460" s="48"/>
    </row>
    <row r="2461" spans="1:5" ht="67.5" x14ac:dyDescent="0.2">
      <c r="A2461" s="65" t="s">
        <v>6305</v>
      </c>
      <c r="B2461" s="66" t="s">
        <v>6306</v>
      </c>
      <c r="C2461" s="67" t="s">
        <v>221</v>
      </c>
      <c r="D2461" s="69" t="s">
        <v>6307</v>
      </c>
      <c r="E2461" s="69" t="s">
        <v>6308</v>
      </c>
    </row>
    <row r="2462" spans="1:5" ht="67.5" x14ac:dyDescent="0.2">
      <c r="A2462" s="65" t="s">
        <v>6309</v>
      </c>
      <c r="B2462" s="66" t="s">
        <v>6310</v>
      </c>
      <c r="C2462" s="67" t="s">
        <v>221</v>
      </c>
      <c r="D2462" s="69" t="s">
        <v>6311</v>
      </c>
      <c r="E2462" s="69" t="s">
        <v>1176</v>
      </c>
    </row>
    <row r="2463" spans="1:5" ht="67.5" x14ac:dyDescent="0.2">
      <c r="A2463" s="65" t="s">
        <v>6312</v>
      </c>
      <c r="B2463" s="66" t="s">
        <v>6313</v>
      </c>
      <c r="C2463" s="67" t="s">
        <v>221</v>
      </c>
      <c r="D2463" s="69" t="s">
        <v>3550</v>
      </c>
      <c r="E2463" s="69" t="s">
        <v>6314</v>
      </c>
    </row>
    <row r="2464" spans="1:5" ht="67.5" x14ac:dyDescent="0.2">
      <c r="A2464" s="65" t="s">
        <v>6315</v>
      </c>
      <c r="B2464" s="66" t="s">
        <v>6316</v>
      </c>
      <c r="C2464" s="67" t="s">
        <v>221</v>
      </c>
      <c r="D2464" s="69" t="s">
        <v>6317</v>
      </c>
      <c r="E2464" s="69" t="s">
        <v>6134</v>
      </c>
    </row>
    <row r="2465" spans="1:5" ht="67.5" x14ac:dyDescent="0.2">
      <c r="A2465" s="65" t="s">
        <v>6318</v>
      </c>
      <c r="B2465" s="66" t="s">
        <v>6319</v>
      </c>
      <c r="C2465" s="67" t="s">
        <v>221</v>
      </c>
      <c r="D2465" s="69" t="s">
        <v>6320</v>
      </c>
      <c r="E2465" s="69" t="s">
        <v>6321</v>
      </c>
    </row>
    <row r="2466" spans="1:5" ht="67.5" x14ac:dyDescent="0.2">
      <c r="A2466" s="65" t="s">
        <v>6322</v>
      </c>
      <c r="B2466" s="66" t="s">
        <v>6323</v>
      </c>
      <c r="C2466" s="67" t="s">
        <v>221</v>
      </c>
      <c r="D2466" s="69" t="s">
        <v>425</v>
      </c>
      <c r="E2466" s="69" t="s">
        <v>4848</v>
      </c>
    </row>
    <row r="2467" spans="1:5" ht="67.5" x14ac:dyDescent="0.2">
      <c r="A2467" s="65" t="s">
        <v>6324</v>
      </c>
      <c r="B2467" s="66" t="s">
        <v>6325</v>
      </c>
      <c r="C2467" s="67" t="s">
        <v>221</v>
      </c>
      <c r="D2467" s="69" t="s">
        <v>6326</v>
      </c>
      <c r="E2467" s="69" t="s">
        <v>6327</v>
      </c>
    </row>
    <row r="2468" spans="1:5" ht="67.5" x14ac:dyDescent="0.2">
      <c r="A2468" s="65" t="s">
        <v>6328</v>
      </c>
      <c r="B2468" s="66" t="s">
        <v>6329</v>
      </c>
      <c r="C2468" s="67" t="s">
        <v>221</v>
      </c>
      <c r="D2468" s="69" t="s">
        <v>3293</v>
      </c>
      <c r="E2468" s="69" t="s">
        <v>6330</v>
      </c>
    </row>
    <row r="2469" spans="1:5" ht="67.5" x14ac:dyDescent="0.2">
      <c r="A2469" s="65" t="s">
        <v>6331</v>
      </c>
      <c r="B2469" s="66" t="s">
        <v>6332</v>
      </c>
      <c r="C2469" s="67" t="s">
        <v>221</v>
      </c>
      <c r="D2469" s="69" t="s">
        <v>6333</v>
      </c>
      <c r="E2469" s="69" t="s">
        <v>4602</v>
      </c>
    </row>
    <row r="2470" spans="1:5" ht="67.5" x14ac:dyDescent="0.2">
      <c r="A2470" s="65" t="s">
        <v>6334</v>
      </c>
      <c r="B2470" s="66" t="s">
        <v>6335</v>
      </c>
      <c r="C2470" s="67" t="s">
        <v>221</v>
      </c>
      <c r="D2470" s="69" t="s">
        <v>6336</v>
      </c>
      <c r="E2470" s="69" t="s">
        <v>6337</v>
      </c>
    </row>
    <row r="2471" spans="1:5" ht="67.5" x14ac:dyDescent="0.2">
      <c r="A2471" s="65" t="s">
        <v>6338</v>
      </c>
      <c r="B2471" s="66" t="s">
        <v>6339</v>
      </c>
      <c r="C2471" s="67" t="s">
        <v>221</v>
      </c>
      <c r="D2471" s="69" t="s">
        <v>6340</v>
      </c>
      <c r="E2471" s="69" t="s">
        <v>6341</v>
      </c>
    </row>
    <row r="2472" spans="1:5" ht="67.5" x14ac:dyDescent="0.2">
      <c r="A2472" s="65" t="s">
        <v>6342</v>
      </c>
      <c r="B2472" s="66" t="s">
        <v>6343</v>
      </c>
      <c r="C2472" s="67" t="s">
        <v>221</v>
      </c>
      <c r="D2472" s="69" t="s">
        <v>6344</v>
      </c>
      <c r="E2472" s="69" t="s">
        <v>1593</v>
      </c>
    </row>
    <row r="2473" spans="1:5" ht="67.5" x14ac:dyDescent="0.2">
      <c r="A2473" s="65" t="s">
        <v>6345</v>
      </c>
      <c r="B2473" s="66" t="s">
        <v>6346</v>
      </c>
      <c r="C2473" s="67" t="s">
        <v>221</v>
      </c>
      <c r="D2473" s="69" t="s">
        <v>6347</v>
      </c>
      <c r="E2473" s="69" t="s">
        <v>6348</v>
      </c>
    </row>
    <row r="2474" spans="1:5" ht="67.5" x14ac:dyDescent="0.2">
      <c r="A2474" s="65" t="s">
        <v>6349</v>
      </c>
      <c r="B2474" s="66" t="s">
        <v>6350</v>
      </c>
      <c r="C2474" s="67" t="s">
        <v>221</v>
      </c>
      <c r="D2474" s="69" t="s">
        <v>6351</v>
      </c>
      <c r="E2474" s="69" t="s">
        <v>6352</v>
      </c>
    </row>
    <row r="2475" spans="1:5" ht="67.5" x14ac:dyDescent="0.2">
      <c r="A2475" s="65" t="s">
        <v>6353</v>
      </c>
      <c r="B2475" s="66" t="s">
        <v>6354</v>
      </c>
      <c r="C2475" s="67" t="s">
        <v>221</v>
      </c>
      <c r="D2475" s="69" t="s">
        <v>6355</v>
      </c>
      <c r="E2475" s="69" t="s">
        <v>6356</v>
      </c>
    </row>
    <row r="2476" spans="1:5" x14ac:dyDescent="0.2">
      <c r="A2476" s="50">
        <v>39.270000000000003</v>
      </c>
      <c r="B2476" s="64" t="s">
        <v>6357</v>
      </c>
      <c r="C2476" s="47"/>
      <c r="D2476" s="47"/>
      <c r="E2476" s="47"/>
    </row>
    <row r="2477" spans="1:5" ht="45" x14ac:dyDescent="0.2">
      <c r="A2477" s="65" t="s">
        <v>6358</v>
      </c>
      <c r="B2477" s="65" t="s">
        <v>6359</v>
      </c>
      <c r="C2477" s="67" t="s">
        <v>221</v>
      </c>
      <c r="D2477" s="69" t="s">
        <v>6360</v>
      </c>
      <c r="E2477" s="69" t="s">
        <v>3727</v>
      </c>
    </row>
    <row r="2478" spans="1:5" ht="45" x14ac:dyDescent="0.2">
      <c r="A2478" s="65" t="s">
        <v>6361</v>
      </c>
      <c r="B2478" s="65" t="s">
        <v>6362</v>
      </c>
      <c r="C2478" s="67" t="s">
        <v>221</v>
      </c>
      <c r="D2478" s="69" t="s">
        <v>6363</v>
      </c>
      <c r="E2478" s="69" t="s">
        <v>6364</v>
      </c>
    </row>
    <row r="2479" spans="1:5" ht="45" x14ac:dyDescent="0.2">
      <c r="A2479" s="65" t="s">
        <v>6365</v>
      </c>
      <c r="B2479" s="65" t="s">
        <v>6366</v>
      </c>
      <c r="C2479" s="67" t="s">
        <v>221</v>
      </c>
      <c r="D2479" s="69" t="s">
        <v>3330</v>
      </c>
      <c r="E2479" s="69" t="s">
        <v>6212</v>
      </c>
    </row>
    <row r="2480" spans="1:5" ht="56.25" x14ac:dyDescent="0.2">
      <c r="A2480" s="65" t="s">
        <v>6367</v>
      </c>
      <c r="B2480" s="66" t="s">
        <v>6368</v>
      </c>
      <c r="C2480" s="67" t="s">
        <v>221</v>
      </c>
      <c r="D2480" s="69" t="s">
        <v>6369</v>
      </c>
      <c r="E2480" s="69" t="s">
        <v>6370</v>
      </c>
    </row>
    <row r="2481" spans="1:5" ht="56.25" x14ac:dyDescent="0.2">
      <c r="A2481" s="65" t="s">
        <v>6371</v>
      </c>
      <c r="B2481" s="66" t="s">
        <v>6372</v>
      </c>
      <c r="C2481" s="67" t="s">
        <v>221</v>
      </c>
      <c r="D2481" s="69" t="s">
        <v>395</v>
      </c>
      <c r="E2481" s="69" t="s">
        <v>6373</v>
      </c>
    </row>
    <row r="2482" spans="1:5" ht="56.25" x14ac:dyDescent="0.2">
      <c r="A2482" s="50">
        <v>39.29</v>
      </c>
      <c r="B2482" s="51" t="s">
        <v>6374</v>
      </c>
      <c r="C2482" s="48"/>
      <c r="D2482" s="48"/>
      <c r="E2482" s="48"/>
    </row>
    <row r="2483" spans="1:5" ht="67.5" x14ac:dyDescent="0.2">
      <c r="A2483" s="65" t="s">
        <v>6375</v>
      </c>
      <c r="B2483" s="66" t="s">
        <v>6376</v>
      </c>
      <c r="C2483" s="67" t="s">
        <v>221</v>
      </c>
      <c r="D2483" s="69" t="s">
        <v>1115</v>
      </c>
      <c r="E2483" s="69" t="s">
        <v>3040</v>
      </c>
    </row>
    <row r="2484" spans="1:5" ht="67.5" x14ac:dyDescent="0.2">
      <c r="A2484" s="65" t="s">
        <v>6377</v>
      </c>
      <c r="B2484" s="66" t="s">
        <v>6378</v>
      </c>
      <c r="C2484" s="67" t="s">
        <v>221</v>
      </c>
      <c r="D2484" s="69" t="s">
        <v>6379</v>
      </c>
      <c r="E2484" s="69" t="s">
        <v>6380</v>
      </c>
    </row>
    <row r="2485" spans="1:5" ht="67.5" x14ac:dyDescent="0.2">
      <c r="A2485" s="65" t="s">
        <v>6381</v>
      </c>
      <c r="B2485" s="66" t="s">
        <v>6382</v>
      </c>
      <c r="C2485" s="67" t="s">
        <v>221</v>
      </c>
      <c r="D2485" s="69" t="s">
        <v>6383</v>
      </c>
      <c r="E2485" s="69" t="s">
        <v>6384</v>
      </c>
    </row>
    <row r="2486" spans="1:5" ht="67.5" x14ac:dyDescent="0.2">
      <c r="A2486" s="65" t="s">
        <v>6385</v>
      </c>
      <c r="B2486" s="66" t="s">
        <v>6386</v>
      </c>
      <c r="C2486" s="67" t="s">
        <v>221</v>
      </c>
      <c r="D2486" s="69" t="s">
        <v>3809</v>
      </c>
      <c r="E2486" s="69" t="s">
        <v>1197</v>
      </c>
    </row>
    <row r="2487" spans="1:5" ht="67.5" x14ac:dyDescent="0.2">
      <c r="A2487" s="65" t="s">
        <v>6387</v>
      </c>
      <c r="B2487" s="66" t="s">
        <v>6388</v>
      </c>
      <c r="C2487" s="67" t="s">
        <v>221</v>
      </c>
      <c r="D2487" s="69" t="s">
        <v>6389</v>
      </c>
      <c r="E2487" s="69" t="s">
        <v>6390</v>
      </c>
    </row>
    <row r="2488" spans="1:5" ht="22.5" x14ac:dyDescent="0.2">
      <c r="A2488" s="50">
        <v>39.299999999999997</v>
      </c>
      <c r="B2488" s="64" t="s">
        <v>6391</v>
      </c>
      <c r="C2488" s="47"/>
      <c r="D2488" s="47"/>
      <c r="E2488" s="47"/>
    </row>
    <row r="2489" spans="1:5" ht="45" x14ac:dyDescent="0.2">
      <c r="A2489" s="65" t="s">
        <v>6392</v>
      </c>
      <c r="B2489" s="65" t="s">
        <v>6393</v>
      </c>
      <c r="C2489" s="67" t="s">
        <v>221</v>
      </c>
      <c r="D2489" s="69" t="s">
        <v>6394</v>
      </c>
      <c r="E2489" s="69" t="s">
        <v>6395</v>
      </c>
    </row>
    <row r="2490" spans="1:5" ht="56.25" x14ac:dyDescent="0.2">
      <c r="A2490" s="49">
        <v>40</v>
      </c>
      <c r="B2490" s="51" t="s">
        <v>6396</v>
      </c>
      <c r="C2490" s="48"/>
      <c r="D2490" s="48"/>
      <c r="E2490" s="48"/>
    </row>
    <row r="2491" spans="1:5" ht="22.5" x14ac:dyDescent="0.2">
      <c r="A2491" s="50">
        <v>40.01</v>
      </c>
      <c r="B2491" s="64" t="s">
        <v>6397</v>
      </c>
      <c r="C2491" s="47"/>
      <c r="D2491" s="47"/>
      <c r="E2491" s="47"/>
    </row>
    <row r="2492" spans="1:5" ht="22.5" x14ac:dyDescent="0.2">
      <c r="A2492" s="65" t="s">
        <v>6398</v>
      </c>
      <c r="B2492" s="65" t="s">
        <v>6399</v>
      </c>
      <c r="C2492" s="67" t="s">
        <v>203</v>
      </c>
      <c r="D2492" s="69" t="s">
        <v>3934</v>
      </c>
      <c r="E2492" s="69" t="s">
        <v>641</v>
      </c>
    </row>
    <row r="2493" spans="1:5" ht="22.5" x14ac:dyDescent="0.2">
      <c r="A2493" s="65" t="s">
        <v>6400</v>
      </c>
      <c r="B2493" s="65" t="s">
        <v>6401</v>
      </c>
      <c r="C2493" s="67" t="s">
        <v>203</v>
      </c>
      <c r="D2493" s="69" t="s">
        <v>3588</v>
      </c>
      <c r="E2493" s="69" t="s">
        <v>6402</v>
      </c>
    </row>
    <row r="2494" spans="1:5" ht="45" x14ac:dyDescent="0.2">
      <c r="A2494" s="65" t="s">
        <v>6403</v>
      </c>
      <c r="B2494" s="65" t="s">
        <v>6404</v>
      </c>
      <c r="C2494" s="67" t="s">
        <v>203</v>
      </c>
      <c r="D2494" s="69" t="s">
        <v>244</v>
      </c>
      <c r="E2494" s="69" t="s">
        <v>6405</v>
      </c>
    </row>
    <row r="2495" spans="1:5" ht="33.75" x14ac:dyDescent="0.2">
      <c r="A2495" s="65" t="s">
        <v>6406</v>
      </c>
      <c r="B2495" s="65" t="s">
        <v>6407</v>
      </c>
      <c r="C2495" s="67" t="s">
        <v>203</v>
      </c>
      <c r="D2495" s="69" t="s">
        <v>6408</v>
      </c>
      <c r="E2495" s="69" t="s">
        <v>6409</v>
      </c>
    </row>
    <row r="2496" spans="1:5" ht="22.5" x14ac:dyDescent="0.2">
      <c r="A2496" s="50">
        <v>40.020000000000003</v>
      </c>
      <c r="B2496" s="64" t="s">
        <v>6410</v>
      </c>
      <c r="C2496" s="47"/>
      <c r="D2496" s="47"/>
      <c r="E2496" s="47"/>
    </row>
    <row r="2497" spans="1:5" ht="33.75" x14ac:dyDescent="0.2">
      <c r="A2497" s="65" t="s">
        <v>6411</v>
      </c>
      <c r="B2497" s="65" t="s">
        <v>6412</v>
      </c>
      <c r="C2497" s="67" t="s">
        <v>203</v>
      </c>
      <c r="D2497" s="69" t="s">
        <v>6413</v>
      </c>
      <c r="E2497" s="69" t="s">
        <v>6414</v>
      </c>
    </row>
    <row r="2498" spans="1:5" ht="45" x14ac:dyDescent="0.2">
      <c r="A2498" s="65" t="s">
        <v>6415</v>
      </c>
      <c r="B2498" s="65" t="s">
        <v>6416</v>
      </c>
      <c r="C2498" s="67" t="s">
        <v>203</v>
      </c>
      <c r="D2498" s="69" t="s">
        <v>6417</v>
      </c>
      <c r="E2498" s="69" t="s">
        <v>6418</v>
      </c>
    </row>
    <row r="2499" spans="1:5" ht="45" x14ac:dyDescent="0.2">
      <c r="A2499" s="65" t="s">
        <v>6419</v>
      </c>
      <c r="B2499" s="65" t="s">
        <v>6420</v>
      </c>
      <c r="C2499" s="67" t="s">
        <v>203</v>
      </c>
      <c r="D2499" s="69" t="s">
        <v>3899</v>
      </c>
      <c r="E2499" s="69" t="s">
        <v>6421</v>
      </c>
    </row>
    <row r="2500" spans="1:5" ht="56.25" x14ac:dyDescent="0.2">
      <c r="A2500" s="65" t="s">
        <v>6422</v>
      </c>
      <c r="B2500" s="66" t="s">
        <v>6423</v>
      </c>
      <c r="C2500" s="67" t="s">
        <v>203</v>
      </c>
      <c r="D2500" s="69" t="s">
        <v>341</v>
      </c>
      <c r="E2500" s="69" t="s">
        <v>6424</v>
      </c>
    </row>
    <row r="2501" spans="1:5" ht="56.25" x14ac:dyDescent="0.2">
      <c r="A2501" s="65" t="s">
        <v>6425</v>
      </c>
      <c r="B2501" s="66" t="s">
        <v>6426</v>
      </c>
      <c r="C2501" s="67" t="s">
        <v>203</v>
      </c>
      <c r="D2501" s="69" t="s">
        <v>6427</v>
      </c>
      <c r="E2501" s="69" t="s">
        <v>6428</v>
      </c>
    </row>
    <row r="2502" spans="1:5" ht="56.25" x14ac:dyDescent="0.2">
      <c r="A2502" s="65" t="s">
        <v>6429</v>
      </c>
      <c r="B2502" s="66" t="s">
        <v>6430</v>
      </c>
      <c r="C2502" s="67" t="s">
        <v>203</v>
      </c>
      <c r="D2502" s="69" t="s">
        <v>6431</v>
      </c>
      <c r="E2502" s="69" t="s">
        <v>6432</v>
      </c>
    </row>
    <row r="2503" spans="1:5" ht="56.25" x14ac:dyDescent="0.2">
      <c r="A2503" s="65" t="s">
        <v>6433</v>
      </c>
      <c r="B2503" s="66" t="s">
        <v>6434</v>
      </c>
      <c r="C2503" s="67" t="s">
        <v>203</v>
      </c>
      <c r="D2503" s="69" t="s">
        <v>6435</v>
      </c>
      <c r="E2503" s="69" t="s">
        <v>6436</v>
      </c>
    </row>
    <row r="2504" spans="1:5" ht="67.5" x14ac:dyDescent="0.2">
      <c r="A2504" s="65" t="s">
        <v>6437</v>
      </c>
      <c r="B2504" s="66" t="s">
        <v>6438</v>
      </c>
      <c r="C2504" s="67" t="s">
        <v>203</v>
      </c>
      <c r="D2504" s="69" t="s">
        <v>6439</v>
      </c>
      <c r="E2504" s="69" t="s">
        <v>6440</v>
      </c>
    </row>
    <row r="2505" spans="1:5" ht="67.5" x14ac:dyDescent="0.2">
      <c r="A2505" s="65" t="s">
        <v>6441</v>
      </c>
      <c r="B2505" s="66" t="s">
        <v>6442</v>
      </c>
      <c r="C2505" s="67" t="s">
        <v>203</v>
      </c>
      <c r="D2505" s="69" t="s">
        <v>6443</v>
      </c>
      <c r="E2505" s="69" t="s">
        <v>6444</v>
      </c>
    </row>
    <row r="2506" spans="1:5" ht="67.5" x14ac:dyDescent="0.2">
      <c r="A2506" s="65" t="s">
        <v>6445</v>
      </c>
      <c r="B2506" s="66" t="s">
        <v>6446</v>
      </c>
      <c r="C2506" s="67" t="s">
        <v>203</v>
      </c>
      <c r="D2506" s="69" t="s">
        <v>6447</v>
      </c>
      <c r="E2506" s="69" t="s">
        <v>6448</v>
      </c>
    </row>
    <row r="2507" spans="1:5" ht="67.5" x14ac:dyDescent="0.2">
      <c r="A2507" s="65" t="s">
        <v>6449</v>
      </c>
      <c r="B2507" s="66" t="s">
        <v>6450</v>
      </c>
      <c r="C2507" s="67" t="s">
        <v>203</v>
      </c>
      <c r="D2507" s="69" t="s">
        <v>6451</v>
      </c>
      <c r="E2507" s="69" t="s">
        <v>6452</v>
      </c>
    </row>
    <row r="2508" spans="1:5" ht="45" x14ac:dyDescent="0.2">
      <c r="A2508" s="65" t="s">
        <v>6453</v>
      </c>
      <c r="B2508" s="65" t="s">
        <v>6454</v>
      </c>
      <c r="C2508" s="67" t="s">
        <v>203</v>
      </c>
      <c r="D2508" s="69" t="s">
        <v>6455</v>
      </c>
      <c r="E2508" s="69" t="s">
        <v>6456</v>
      </c>
    </row>
    <row r="2509" spans="1:5" ht="45" x14ac:dyDescent="0.2">
      <c r="A2509" s="65" t="s">
        <v>6457</v>
      </c>
      <c r="B2509" s="65" t="s">
        <v>6458</v>
      </c>
      <c r="C2509" s="67" t="s">
        <v>203</v>
      </c>
      <c r="D2509" s="69" t="s">
        <v>415</v>
      </c>
      <c r="E2509" s="69" t="s">
        <v>6459</v>
      </c>
    </row>
    <row r="2510" spans="1:5" ht="45" x14ac:dyDescent="0.2">
      <c r="A2510" s="65" t="s">
        <v>6460</v>
      </c>
      <c r="B2510" s="65" t="s">
        <v>6461</v>
      </c>
      <c r="C2510" s="67" t="s">
        <v>203</v>
      </c>
      <c r="D2510" s="69" t="s">
        <v>6462</v>
      </c>
      <c r="E2510" s="69" t="s">
        <v>6463</v>
      </c>
    </row>
    <row r="2511" spans="1:5" x14ac:dyDescent="0.2">
      <c r="A2511" s="50">
        <v>40.04</v>
      </c>
      <c r="B2511" s="64" t="s">
        <v>6464</v>
      </c>
      <c r="C2511" s="47"/>
      <c r="D2511" s="47"/>
      <c r="E2511" s="47"/>
    </row>
    <row r="2512" spans="1:5" ht="33.75" x14ac:dyDescent="0.2">
      <c r="A2512" s="65" t="s">
        <v>6465</v>
      </c>
      <c r="B2512" s="65" t="s">
        <v>6466</v>
      </c>
      <c r="C2512" s="67" t="s">
        <v>240</v>
      </c>
      <c r="D2512" s="69" t="s">
        <v>366</v>
      </c>
      <c r="E2512" s="69" t="s">
        <v>6467</v>
      </c>
    </row>
    <row r="2513" spans="1:5" ht="22.5" x14ac:dyDescent="0.2">
      <c r="A2513" s="65" t="s">
        <v>6468</v>
      </c>
      <c r="B2513" s="65" t="s">
        <v>6469</v>
      </c>
      <c r="C2513" s="67" t="s">
        <v>203</v>
      </c>
      <c r="D2513" s="69" t="s">
        <v>6470</v>
      </c>
      <c r="E2513" s="69" t="s">
        <v>6471</v>
      </c>
    </row>
    <row r="2514" spans="1:5" ht="33.75" x14ac:dyDescent="0.2">
      <c r="A2514" s="65" t="s">
        <v>6472</v>
      </c>
      <c r="B2514" s="65" t="s">
        <v>6473</v>
      </c>
      <c r="C2514" s="67" t="s">
        <v>203</v>
      </c>
      <c r="D2514" s="69" t="s">
        <v>6474</v>
      </c>
      <c r="E2514" s="69" t="s">
        <v>6475</v>
      </c>
    </row>
    <row r="2515" spans="1:5" ht="45" x14ac:dyDescent="0.2">
      <c r="A2515" s="65" t="s">
        <v>6476</v>
      </c>
      <c r="B2515" s="65" t="s">
        <v>6477</v>
      </c>
      <c r="C2515" s="67" t="s">
        <v>240</v>
      </c>
      <c r="D2515" s="69" t="s">
        <v>6478</v>
      </c>
      <c r="E2515" s="69" t="s">
        <v>6479</v>
      </c>
    </row>
    <row r="2516" spans="1:5" ht="33.75" x14ac:dyDescent="0.2">
      <c r="A2516" s="65" t="s">
        <v>6480</v>
      </c>
      <c r="B2516" s="65" t="s">
        <v>6481</v>
      </c>
      <c r="C2516" s="67" t="s">
        <v>240</v>
      </c>
      <c r="D2516" s="69" t="s">
        <v>6482</v>
      </c>
      <c r="E2516" s="69" t="s">
        <v>6483</v>
      </c>
    </row>
    <row r="2517" spans="1:5" ht="45" x14ac:dyDescent="0.2">
      <c r="A2517" s="65" t="s">
        <v>6484</v>
      </c>
      <c r="B2517" s="65" t="s">
        <v>6485</v>
      </c>
      <c r="C2517" s="67" t="s">
        <v>240</v>
      </c>
      <c r="D2517" s="69" t="s">
        <v>6486</v>
      </c>
      <c r="E2517" s="69" t="s">
        <v>6487</v>
      </c>
    </row>
    <row r="2518" spans="1:5" ht="45" x14ac:dyDescent="0.2">
      <c r="A2518" s="65" t="s">
        <v>6488</v>
      </c>
      <c r="B2518" s="65" t="s">
        <v>6489</v>
      </c>
      <c r="C2518" s="67" t="s">
        <v>240</v>
      </c>
      <c r="D2518" s="69" t="s">
        <v>6490</v>
      </c>
      <c r="E2518" s="69" t="s">
        <v>6491</v>
      </c>
    </row>
    <row r="2519" spans="1:5" ht="78.75" x14ac:dyDescent="0.2">
      <c r="A2519" s="65" t="s">
        <v>6492</v>
      </c>
      <c r="B2519" s="66" t="s">
        <v>6493</v>
      </c>
      <c r="C2519" s="67" t="s">
        <v>203</v>
      </c>
      <c r="D2519" s="69" t="s">
        <v>6494</v>
      </c>
      <c r="E2519" s="69" t="s">
        <v>3673</v>
      </c>
    </row>
    <row r="2520" spans="1:5" ht="22.5" x14ac:dyDescent="0.2">
      <c r="A2520" s="65" t="s">
        <v>6495</v>
      </c>
      <c r="B2520" s="65" t="s">
        <v>6496</v>
      </c>
      <c r="C2520" s="67" t="s">
        <v>240</v>
      </c>
      <c r="D2520" s="69" t="s">
        <v>6051</v>
      </c>
      <c r="E2520" s="69" t="s">
        <v>6497</v>
      </c>
    </row>
    <row r="2521" spans="1:5" ht="22.5" x14ac:dyDescent="0.2">
      <c r="A2521" s="65" t="s">
        <v>6498</v>
      </c>
      <c r="B2521" s="65" t="s">
        <v>6499</v>
      </c>
      <c r="C2521" s="67" t="s">
        <v>240</v>
      </c>
      <c r="D2521" s="69" t="s">
        <v>6500</v>
      </c>
      <c r="E2521" s="69" t="s">
        <v>6501</v>
      </c>
    </row>
    <row r="2522" spans="1:5" ht="33.75" x14ac:dyDescent="0.2">
      <c r="A2522" s="65" t="s">
        <v>6502</v>
      </c>
      <c r="B2522" s="65" t="s">
        <v>6503</v>
      </c>
      <c r="C2522" s="67" t="s">
        <v>240</v>
      </c>
      <c r="D2522" s="69" t="s">
        <v>6504</v>
      </c>
      <c r="E2522" s="69" t="s">
        <v>6505</v>
      </c>
    </row>
    <row r="2523" spans="1:5" ht="45" x14ac:dyDescent="0.2">
      <c r="A2523" s="65" t="s">
        <v>6506</v>
      </c>
      <c r="B2523" s="65" t="s">
        <v>6507</v>
      </c>
      <c r="C2523" s="67" t="s">
        <v>240</v>
      </c>
      <c r="D2523" s="69" t="s">
        <v>6508</v>
      </c>
      <c r="E2523" s="69" t="s">
        <v>6509</v>
      </c>
    </row>
    <row r="2524" spans="1:5" ht="56.25" x14ac:dyDescent="0.2">
      <c r="A2524" s="65" t="s">
        <v>6510</v>
      </c>
      <c r="B2524" s="65" t="s">
        <v>6511</v>
      </c>
      <c r="C2524" s="67" t="s">
        <v>240</v>
      </c>
      <c r="D2524" s="69" t="s">
        <v>6512</v>
      </c>
      <c r="E2524" s="69" t="s">
        <v>6513</v>
      </c>
    </row>
    <row r="2525" spans="1:5" ht="22.5" x14ac:dyDescent="0.2">
      <c r="A2525" s="50">
        <v>40.049999999999997</v>
      </c>
      <c r="B2525" s="64" t="s">
        <v>6514</v>
      </c>
      <c r="C2525" s="47"/>
      <c r="D2525" s="47"/>
      <c r="E2525" s="47"/>
    </row>
    <row r="2526" spans="1:5" ht="22.5" x14ac:dyDescent="0.2">
      <c r="A2526" s="65" t="s">
        <v>6515</v>
      </c>
      <c r="B2526" s="65" t="s">
        <v>6516</v>
      </c>
      <c r="C2526" s="67" t="s">
        <v>240</v>
      </c>
      <c r="D2526" s="69" t="s">
        <v>3892</v>
      </c>
      <c r="E2526" s="69" t="s">
        <v>6518</v>
      </c>
    </row>
    <row r="2527" spans="1:5" ht="33.75" x14ac:dyDescent="0.2">
      <c r="A2527" s="65" t="s">
        <v>6519</v>
      </c>
      <c r="B2527" s="65" t="s">
        <v>6520</v>
      </c>
      <c r="C2527" s="67" t="s">
        <v>240</v>
      </c>
      <c r="D2527" s="69" t="s">
        <v>3931</v>
      </c>
      <c r="E2527" s="69" t="s">
        <v>6521</v>
      </c>
    </row>
    <row r="2528" spans="1:5" ht="33.75" x14ac:dyDescent="0.2">
      <c r="A2528" s="65" t="s">
        <v>6522</v>
      </c>
      <c r="B2528" s="65" t="s">
        <v>6523</v>
      </c>
      <c r="C2528" s="67" t="s">
        <v>240</v>
      </c>
      <c r="D2528" s="69" t="s">
        <v>6524</v>
      </c>
      <c r="E2528" s="69" t="s">
        <v>6525</v>
      </c>
    </row>
    <row r="2529" spans="1:5" ht="33.75" x14ac:dyDescent="0.2">
      <c r="A2529" s="65" t="s">
        <v>6526</v>
      </c>
      <c r="B2529" s="65" t="s">
        <v>6527</v>
      </c>
      <c r="C2529" s="67" t="s">
        <v>240</v>
      </c>
      <c r="D2529" s="69" t="s">
        <v>6528</v>
      </c>
      <c r="E2529" s="69" t="s">
        <v>6529</v>
      </c>
    </row>
    <row r="2530" spans="1:5" ht="33.75" x14ac:dyDescent="0.2">
      <c r="A2530" s="65" t="s">
        <v>6530</v>
      </c>
      <c r="B2530" s="65" t="s">
        <v>6531</v>
      </c>
      <c r="C2530" s="67" t="s">
        <v>240</v>
      </c>
      <c r="D2530" s="69" t="s">
        <v>1102</v>
      </c>
      <c r="E2530" s="69" t="s">
        <v>6532</v>
      </c>
    </row>
    <row r="2531" spans="1:5" ht="33.75" x14ac:dyDescent="0.2">
      <c r="A2531" s="65" t="s">
        <v>6533</v>
      </c>
      <c r="B2531" s="65" t="s">
        <v>6534</v>
      </c>
      <c r="C2531" s="67" t="s">
        <v>240</v>
      </c>
      <c r="D2531" s="69" t="s">
        <v>410</v>
      </c>
      <c r="E2531" s="69" t="s">
        <v>1263</v>
      </c>
    </row>
    <row r="2532" spans="1:5" ht="33.75" x14ac:dyDescent="0.2">
      <c r="A2532" s="65" t="s">
        <v>6536</v>
      </c>
      <c r="B2532" s="65" t="s">
        <v>6537</v>
      </c>
      <c r="C2532" s="67" t="s">
        <v>240</v>
      </c>
      <c r="D2532" s="69" t="s">
        <v>318</v>
      </c>
      <c r="E2532" s="69" t="s">
        <v>6538</v>
      </c>
    </row>
    <row r="2533" spans="1:5" ht="33.75" x14ac:dyDescent="0.2">
      <c r="A2533" s="65" t="s">
        <v>6539</v>
      </c>
      <c r="B2533" s="65" t="s">
        <v>6540</v>
      </c>
      <c r="C2533" s="67" t="s">
        <v>240</v>
      </c>
      <c r="D2533" s="69" t="s">
        <v>6541</v>
      </c>
      <c r="E2533" s="69" t="s">
        <v>6542</v>
      </c>
    </row>
    <row r="2534" spans="1:5" ht="33.75" x14ac:dyDescent="0.2">
      <c r="A2534" s="65" t="s">
        <v>6543</v>
      </c>
      <c r="B2534" s="65" t="s">
        <v>6544</v>
      </c>
      <c r="C2534" s="67" t="s">
        <v>240</v>
      </c>
      <c r="D2534" s="69" t="s">
        <v>3883</v>
      </c>
      <c r="E2534" s="69" t="s">
        <v>538</v>
      </c>
    </row>
    <row r="2535" spans="1:5" ht="33.75" x14ac:dyDescent="0.2">
      <c r="A2535" s="65" t="s">
        <v>6545</v>
      </c>
      <c r="B2535" s="65" t="s">
        <v>6546</v>
      </c>
      <c r="C2535" s="67" t="s">
        <v>240</v>
      </c>
      <c r="D2535" s="69" t="s">
        <v>6547</v>
      </c>
      <c r="E2535" s="69" t="s">
        <v>6548</v>
      </c>
    </row>
    <row r="2536" spans="1:5" ht="33.75" x14ac:dyDescent="0.2">
      <c r="A2536" s="65" t="s">
        <v>6549</v>
      </c>
      <c r="B2536" s="65" t="s">
        <v>6550</v>
      </c>
      <c r="C2536" s="67" t="s">
        <v>240</v>
      </c>
      <c r="D2536" s="69" t="s">
        <v>6142</v>
      </c>
      <c r="E2536" s="69" t="s">
        <v>6551</v>
      </c>
    </row>
    <row r="2537" spans="1:5" ht="56.25" x14ac:dyDescent="0.2">
      <c r="A2537" s="65" t="s">
        <v>6552</v>
      </c>
      <c r="B2537" s="65" t="s">
        <v>6553</v>
      </c>
      <c r="C2537" s="67" t="s">
        <v>240</v>
      </c>
      <c r="D2537" s="69" t="s">
        <v>6554</v>
      </c>
      <c r="E2537" s="69" t="s">
        <v>6555</v>
      </c>
    </row>
    <row r="2538" spans="1:5" ht="45" x14ac:dyDescent="0.2">
      <c r="A2538" s="65" t="s">
        <v>6556</v>
      </c>
      <c r="B2538" s="65" t="s">
        <v>6557</v>
      </c>
      <c r="C2538" s="67" t="s">
        <v>203</v>
      </c>
      <c r="D2538" s="69" t="s">
        <v>6558</v>
      </c>
      <c r="E2538" s="69" t="s">
        <v>6559</v>
      </c>
    </row>
    <row r="2539" spans="1:5" ht="67.5" x14ac:dyDescent="0.2">
      <c r="A2539" s="65" t="s">
        <v>6560</v>
      </c>
      <c r="B2539" s="66" t="s">
        <v>6561</v>
      </c>
      <c r="C2539" s="67" t="s">
        <v>203</v>
      </c>
      <c r="D2539" s="69" t="s">
        <v>6562</v>
      </c>
      <c r="E2539" s="69" t="s">
        <v>6563</v>
      </c>
    </row>
    <row r="2540" spans="1:5" x14ac:dyDescent="0.2">
      <c r="A2540" s="50">
        <v>40.06</v>
      </c>
      <c r="B2540" s="64" t="s">
        <v>6564</v>
      </c>
      <c r="C2540" s="47"/>
      <c r="D2540" s="47"/>
      <c r="E2540" s="47"/>
    </row>
    <row r="2541" spans="1:5" ht="22.5" x14ac:dyDescent="0.2">
      <c r="A2541" s="65" t="s">
        <v>6565</v>
      </c>
      <c r="B2541" s="65" t="s">
        <v>6566</v>
      </c>
      <c r="C2541" s="67" t="s">
        <v>240</v>
      </c>
      <c r="D2541" s="69" t="s">
        <v>6567</v>
      </c>
      <c r="E2541" s="69" t="s">
        <v>1900</v>
      </c>
    </row>
    <row r="2542" spans="1:5" ht="22.5" x14ac:dyDescent="0.2">
      <c r="A2542" s="65" t="s">
        <v>6568</v>
      </c>
      <c r="B2542" s="65" t="s">
        <v>6569</v>
      </c>
      <c r="C2542" s="67" t="s">
        <v>240</v>
      </c>
      <c r="D2542" s="69" t="s">
        <v>242</v>
      </c>
      <c r="E2542" s="69" t="s">
        <v>6570</v>
      </c>
    </row>
    <row r="2543" spans="1:5" ht="22.5" x14ac:dyDescent="0.2">
      <c r="A2543" s="65" t="s">
        <v>6571</v>
      </c>
      <c r="B2543" s="65" t="s">
        <v>6572</v>
      </c>
      <c r="C2543" s="67" t="s">
        <v>240</v>
      </c>
      <c r="D2543" s="69" t="s">
        <v>6573</v>
      </c>
      <c r="E2543" s="69" t="s">
        <v>6574</v>
      </c>
    </row>
    <row r="2544" spans="1:5" ht="22.5" x14ac:dyDescent="0.2">
      <c r="A2544" s="65" t="s">
        <v>6575</v>
      </c>
      <c r="B2544" s="65" t="s">
        <v>6576</v>
      </c>
      <c r="C2544" s="67" t="s">
        <v>240</v>
      </c>
      <c r="D2544" s="69" t="s">
        <v>6577</v>
      </c>
      <c r="E2544" s="69" t="s">
        <v>6578</v>
      </c>
    </row>
    <row r="2545" spans="1:5" ht="22.5" x14ac:dyDescent="0.2">
      <c r="A2545" s="65" t="s">
        <v>6579</v>
      </c>
      <c r="B2545" s="65" t="s">
        <v>6580</v>
      </c>
      <c r="C2545" s="67" t="s">
        <v>240</v>
      </c>
      <c r="D2545" s="69" t="s">
        <v>6581</v>
      </c>
      <c r="E2545" s="69" t="s">
        <v>6582</v>
      </c>
    </row>
    <row r="2546" spans="1:5" ht="22.5" x14ac:dyDescent="0.2">
      <c r="A2546" s="65" t="s">
        <v>6583</v>
      </c>
      <c r="B2546" s="65" t="s">
        <v>6584</v>
      </c>
      <c r="C2546" s="67" t="s">
        <v>240</v>
      </c>
      <c r="D2546" s="69" t="s">
        <v>6585</v>
      </c>
      <c r="E2546" s="69" t="s">
        <v>6586</v>
      </c>
    </row>
    <row r="2547" spans="1:5" ht="22.5" x14ac:dyDescent="0.2">
      <c r="A2547" s="65" t="s">
        <v>6587</v>
      </c>
      <c r="B2547" s="65" t="s">
        <v>6588</v>
      </c>
      <c r="C2547" s="67" t="s">
        <v>240</v>
      </c>
      <c r="D2547" s="69" t="s">
        <v>6589</v>
      </c>
      <c r="E2547" s="69" t="s">
        <v>6590</v>
      </c>
    </row>
    <row r="2548" spans="1:5" ht="22.5" x14ac:dyDescent="0.2">
      <c r="A2548" s="65" t="s">
        <v>6591</v>
      </c>
      <c r="B2548" s="65" t="s">
        <v>6592</v>
      </c>
      <c r="C2548" s="67" t="s">
        <v>240</v>
      </c>
      <c r="D2548" s="69" t="s">
        <v>6593</v>
      </c>
      <c r="E2548" s="69" t="s">
        <v>6594</v>
      </c>
    </row>
    <row r="2549" spans="1:5" ht="22.5" x14ac:dyDescent="0.2">
      <c r="A2549" s="65" t="s">
        <v>6595</v>
      </c>
      <c r="B2549" s="65" t="s">
        <v>6596</v>
      </c>
      <c r="C2549" s="67" t="s">
        <v>240</v>
      </c>
      <c r="D2549" s="69" t="s">
        <v>6597</v>
      </c>
      <c r="E2549" s="69" t="s">
        <v>5369</v>
      </c>
    </row>
    <row r="2550" spans="1:5" ht="22.5" x14ac:dyDescent="0.2">
      <c r="A2550" s="50">
        <v>40.07</v>
      </c>
      <c r="B2550" s="64" t="s">
        <v>6598</v>
      </c>
      <c r="C2550" s="47"/>
      <c r="D2550" s="47"/>
      <c r="E2550" s="47"/>
    </row>
    <row r="2551" spans="1:5" ht="22.5" x14ac:dyDescent="0.2">
      <c r="A2551" s="65" t="s">
        <v>6599</v>
      </c>
      <c r="B2551" s="65" t="s">
        <v>6600</v>
      </c>
      <c r="C2551" s="67" t="s">
        <v>203</v>
      </c>
      <c r="D2551" s="69" t="s">
        <v>375</v>
      </c>
      <c r="E2551" s="69" t="s">
        <v>396</v>
      </c>
    </row>
    <row r="2552" spans="1:5" ht="22.5" x14ac:dyDescent="0.2">
      <c r="A2552" s="65" t="s">
        <v>6601</v>
      </c>
      <c r="B2552" s="65" t="s">
        <v>6602</v>
      </c>
      <c r="C2552" s="67" t="s">
        <v>203</v>
      </c>
      <c r="D2552" s="69" t="s">
        <v>6603</v>
      </c>
      <c r="E2552" s="69" t="s">
        <v>6604</v>
      </c>
    </row>
    <row r="2553" spans="1:5" ht="22.5" x14ac:dyDescent="0.2">
      <c r="A2553" s="65" t="s">
        <v>6605</v>
      </c>
      <c r="B2553" s="65" t="s">
        <v>6606</v>
      </c>
      <c r="C2553" s="67" t="s">
        <v>203</v>
      </c>
      <c r="D2553" s="69" t="s">
        <v>6607</v>
      </c>
      <c r="E2553" s="69" t="s">
        <v>6608</v>
      </c>
    </row>
    <row r="2554" spans="1:5" x14ac:dyDescent="0.2">
      <c r="A2554" s="50">
        <v>40.1</v>
      </c>
      <c r="B2554" s="64" t="s">
        <v>6609</v>
      </c>
      <c r="C2554" s="47"/>
      <c r="D2554" s="47"/>
      <c r="E2554" s="47"/>
    </row>
    <row r="2555" spans="1:5" ht="22.5" x14ac:dyDescent="0.2">
      <c r="A2555" s="65" t="s">
        <v>6610</v>
      </c>
      <c r="B2555" s="65" t="s">
        <v>6611</v>
      </c>
      <c r="C2555" s="67" t="s">
        <v>203</v>
      </c>
      <c r="D2555" s="69" t="s">
        <v>6612</v>
      </c>
      <c r="E2555" s="69" t="s">
        <v>6613</v>
      </c>
    </row>
    <row r="2556" spans="1:5" ht="22.5" x14ac:dyDescent="0.2">
      <c r="A2556" s="65" t="s">
        <v>6614</v>
      </c>
      <c r="B2556" s="65" t="s">
        <v>6615</v>
      </c>
      <c r="C2556" s="67" t="s">
        <v>203</v>
      </c>
      <c r="D2556" s="69" t="s">
        <v>6616</v>
      </c>
      <c r="E2556" s="69" t="s">
        <v>6617</v>
      </c>
    </row>
    <row r="2557" spans="1:5" ht="22.5" x14ac:dyDescent="0.2">
      <c r="A2557" s="65" t="s">
        <v>6618</v>
      </c>
      <c r="B2557" s="65" t="s">
        <v>6619</v>
      </c>
      <c r="C2557" s="67" t="s">
        <v>203</v>
      </c>
      <c r="D2557" s="69" t="s">
        <v>6620</v>
      </c>
      <c r="E2557" s="69" t="s">
        <v>6621</v>
      </c>
    </row>
    <row r="2558" spans="1:5" ht="22.5" x14ac:dyDescent="0.2">
      <c r="A2558" s="65" t="s">
        <v>6622</v>
      </c>
      <c r="B2558" s="65" t="s">
        <v>6623</v>
      </c>
      <c r="C2558" s="67" t="s">
        <v>203</v>
      </c>
      <c r="D2558" s="69" t="s">
        <v>6624</v>
      </c>
      <c r="E2558" s="69" t="s">
        <v>6625</v>
      </c>
    </row>
    <row r="2559" spans="1:5" ht="22.5" x14ac:dyDescent="0.2">
      <c r="A2559" s="65" t="s">
        <v>6626</v>
      </c>
      <c r="B2559" s="65" t="s">
        <v>6627</v>
      </c>
      <c r="C2559" s="67" t="s">
        <v>203</v>
      </c>
      <c r="D2559" s="69" t="s">
        <v>6628</v>
      </c>
      <c r="E2559" s="69" t="s">
        <v>6629</v>
      </c>
    </row>
    <row r="2560" spans="1:5" ht="22.5" x14ac:dyDescent="0.2">
      <c r="A2560" s="65" t="s">
        <v>6630</v>
      </c>
      <c r="B2560" s="65" t="s">
        <v>6631</v>
      </c>
      <c r="C2560" s="67" t="s">
        <v>203</v>
      </c>
      <c r="D2560" s="69" t="s">
        <v>6632</v>
      </c>
      <c r="E2560" s="69" t="s">
        <v>6633</v>
      </c>
    </row>
    <row r="2561" spans="1:5" ht="22.5" x14ac:dyDescent="0.2">
      <c r="A2561" s="65" t="s">
        <v>6634</v>
      </c>
      <c r="B2561" s="65" t="s">
        <v>6635</v>
      </c>
      <c r="C2561" s="67" t="s">
        <v>203</v>
      </c>
      <c r="D2561" s="69" t="s">
        <v>6636</v>
      </c>
      <c r="E2561" s="69" t="s">
        <v>6637</v>
      </c>
    </row>
    <row r="2562" spans="1:5" ht="22.5" x14ac:dyDescent="0.2">
      <c r="A2562" s="65" t="s">
        <v>6638</v>
      </c>
      <c r="B2562" s="65" t="s">
        <v>6639</v>
      </c>
      <c r="C2562" s="67" t="s">
        <v>203</v>
      </c>
      <c r="D2562" s="69" t="s">
        <v>6640</v>
      </c>
      <c r="E2562" s="69" t="s">
        <v>6641</v>
      </c>
    </row>
    <row r="2563" spans="1:5" ht="22.5" x14ac:dyDescent="0.2">
      <c r="A2563" s="65" t="s">
        <v>6642</v>
      </c>
      <c r="B2563" s="65" t="s">
        <v>6643</v>
      </c>
      <c r="C2563" s="74" t="s">
        <v>203</v>
      </c>
      <c r="D2563" s="69" t="s">
        <v>6644</v>
      </c>
      <c r="E2563" s="69" t="s">
        <v>6645</v>
      </c>
    </row>
    <row r="2564" spans="1:5" ht="22.5" x14ac:dyDescent="0.2">
      <c r="A2564" s="65" t="s">
        <v>6646</v>
      </c>
      <c r="B2564" s="65" t="s">
        <v>6647</v>
      </c>
      <c r="C2564" s="74" t="s">
        <v>203</v>
      </c>
      <c r="D2564" s="69" t="s">
        <v>6648</v>
      </c>
      <c r="E2564" s="69" t="s">
        <v>6649</v>
      </c>
    </row>
    <row r="2565" spans="1:5" ht="22.5" x14ac:dyDescent="0.2">
      <c r="A2565" s="65" t="s">
        <v>6650</v>
      </c>
      <c r="B2565" s="65" t="s">
        <v>6651</v>
      </c>
      <c r="C2565" s="74" t="s">
        <v>203</v>
      </c>
      <c r="D2565" s="69" t="s">
        <v>6652</v>
      </c>
      <c r="E2565" s="69" t="s">
        <v>6653</v>
      </c>
    </row>
    <row r="2566" spans="1:5" ht="22.5" x14ac:dyDescent="0.2">
      <c r="A2566" s="65" t="s">
        <v>6654</v>
      </c>
      <c r="B2566" s="65" t="s">
        <v>6655</v>
      </c>
      <c r="C2566" s="74" t="s">
        <v>203</v>
      </c>
      <c r="D2566" s="69" t="s">
        <v>6656</v>
      </c>
      <c r="E2566" s="69" t="s">
        <v>6657</v>
      </c>
    </row>
    <row r="2567" spans="1:5" ht="22.5" x14ac:dyDescent="0.2">
      <c r="A2567" s="65" t="s">
        <v>6658</v>
      </c>
      <c r="B2567" s="65" t="s">
        <v>6659</v>
      </c>
      <c r="C2567" s="74" t="s">
        <v>203</v>
      </c>
      <c r="D2567" s="69" t="s">
        <v>6660</v>
      </c>
      <c r="E2567" s="69" t="s">
        <v>6661</v>
      </c>
    </row>
    <row r="2568" spans="1:5" ht="22.5" x14ac:dyDescent="0.2">
      <c r="A2568" s="65" t="s">
        <v>6662</v>
      </c>
      <c r="B2568" s="65" t="s">
        <v>6663</v>
      </c>
      <c r="C2568" s="74" t="s">
        <v>203</v>
      </c>
      <c r="D2568" s="69" t="s">
        <v>6664</v>
      </c>
      <c r="E2568" s="69" t="s">
        <v>6665</v>
      </c>
    </row>
    <row r="2569" spans="1:5" ht="22.5" x14ac:dyDescent="0.2">
      <c r="A2569" s="65" t="s">
        <v>6666</v>
      </c>
      <c r="B2569" s="65" t="s">
        <v>6667</v>
      </c>
      <c r="C2569" s="74" t="s">
        <v>203</v>
      </c>
      <c r="D2569" s="69" t="s">
        <v>6668</v>
      </c>
      <c r="E2569" s="69" t="s">
        <v>6669</v>
      </c>
    </row>
    <row r="2570" spans="1:5" x14ac:dyDescent="0.2">
      <c r="A2570" s="50">
        <v>40.11</v>
      </c>
      <c r="B2570" s="64" t="s">
        <v>6670</v>
      </c>
      <c r="C2570" s="47"/>
      <c r="D2570" s="47"/>
      <c r="E2570" s="47"/>
    </row>
    <row r="2571" spans="1:5" ht="33.75" x14ac:dyDescent="0.2">
      <c r="A2571" s="65" t="s">
        <v>6671</v>
      </c>
      <c r="B2571" s="65" t="s">
        <v>6672</v>
      </c>
      <c r="C2571" s="74" t="s">
        <v>203</v>
      </c>
      <c r="D2571" s="69" t="s">
        <v>344</v>
      </c>
      <c r="E2571" s="69" t="s">
        <v>6673</v>
      </c>
    </row>
    <row r="2572" spans="1:5" ht="56.25" x14ac:dyDescent="0.2">
      <c r="A2572" s="65" t="s">
        <v>6674</v>
      </c>
      <c r="B2572" s="66" t="s">
        <v>6675</v>
      </c>
      <c r="C2572" s="74" t="s">
        <v>203</v>
      </c>
      <c r="D2572" s="69" t="s">
        <v>6676</v>
      </c>
      <c r="E2572" s="69" t="s">
        <v>6677</v>
      </c>
    </row>
    <row r="2573" spans="1:5" ht="67.5" x14ac:dyDescent="0.2">
      <c r="A2573" s="65" t="s">
        <v>6678</v>
      </c>
      <c r="B2573" s="66" t="s">
        <v>6679</v>
      </c>
      <c r="C2573" s="74" t="s">
        <v>203</v>
      </c>
      <c r="D2573" s="69" t="s">
        <v>6680</v>
      </c>
      <c r="E2573" s="69" t="s">
        <v>6681</v>
      </c>
    </row>
    <row r="2574" spans="1:5" ht="67.5" x14ac:dyDescent="0.2">
      <c r="A2574" s="65" t="s">
        <v>6682</v>
      </c>
      <c r="B2574" s="66" t="s">
        <v>6683</v>
      </c>
      <c r="C2574" s="74" t="s">
        <v>203</v>
      </c>
      <c r="D2574" s="69" t="s">
        <v>6684</v>
      </c>
      <c r="E2574" s="69" t="s">
        <v>6685</v>
      </c>
    </row>
    <row r="2575" spans="1:5" ht="33.75" x14ac:dyDescent="0.2">
      <c r="A2575" s="65" t="s">
        <v>6686</v>
      </c>
      <c r="B2575" s="65" t="s">
        <v>6687</v>
      </c>
      <c r="C2575" s="74" t="s">
        <v>203</v>
      </c>
      <c r="D2575" s="69" t="s">
        <v>6688</v>
      </c>
      <c r="E2575" s="69" t="s">
        <v>6689</v>
      </c>
    </row>
    <row r="2576" spans="1:5" ht="56.25" x14ac:dyDescent="0.2">
      <c r="A2576" s="65" t="s">
        <v>6690</v>
      </c>
      <c r="B2576" s="66" t="s">
        <v>6691</v>
      </c>
      <c r="C2576" s="74" t="s">
        <v>203</v>
      </c>
      <c r="D2576" s="69" t="s">
        <v>6692</v>
      </c>
      <c r="E2576" s="69" t="s">
        <v>6693</v>
      </c>
    </row>
    <row r="2577" spans="1:5" ht="45" x14ac:dyDescent="0.2">
      <c r="A2577" s="65" t="s">
        <v>6694</v>
      </c>
      <c r="B2577" s="65" t="s">
        <v>6695</v>
      </c>
      <c r="C2577" s="74" t="s">
        <v>203</v>
      </c>
      <c r="D2577" s="69" t="s">
        <v>6696</v>
      </c>
      <c r="E2577" s="69" t="s">
        <v>6697</v>
      </c>
    </row>
    <row r="2578" spans="1:5" ht="45" x14ac:dyDescent="0.2">
      <c r="A2578" s="65" t="s">
        <v>6698</v>
      </c>
      <c r="B2578" s="65" t="s">
        <v>6699</v>
      </c>
      <c r="C2578" s="74" t="s">
        <v>203</v>
      </c>
      <c r="D2578" s="69" t="s">
        <v>6700</v>
      </c>
      <c r="E2578" s="69" t="s">
        <v>6701</v>
      </c>
    </row>
    <row r="2579" spans="1:5" ht="56.25" x14ac:dyDescent="0.2">
      <c r="A2579" s="65" t="s">
        <v>6702</v>
      </c>
      <c r="B2579" s="66" t="s">
        <v>6703</v>
      </c>
      <c r="C2579" s="74" t="s">
        <v>203</v>
      </c>
      <c r="D2579" s="69" t="s">
        <v>6704</v>
      </c>
      <c r="E2579" s="69" t="s">
        <v>6705</v>
      </c>
    </row>
    <row r="2580" spans="1:5" ht="33.75" x14ac:dyDescent="0.2">
      <c r="A2580" s="65" t="s">
        <v>6706</v>
      </c>
      <c r="B2580" s="65" t="s">
        <v>6707</v>
      </c>
      <c r="C2580" s="74" t="s">
        <v>203</v>
      </c>
      <c r="D2580" s="69" t="s">
        <v>6708</v>
      </c>
      <c r="E2580" s="69" t="s">
        <v>6709</v>
      </c>
    </row>
    <row r="2581" spans="1:5" ht="33.75" x14ac:dyDescent="0.2">
      <c r="A2581" s="65" t="s">
        <v>6710</v>
      </c>
      <c r="B2581" s="65" t="s">
        <v>6711</v>
      </c>
      <c r="C2581" s="74" t="s">
        <v>203</v>
      </c>
      <c r="D2581" s="69" t="s">
        <v>6712</v>
      </c>
      <c r="E2581" s="69" t="s">
        <v>6713</v>
      </c>
    </row>
    <row r="2582" spans="1:5" ht="22.5" x14ac:dyDescent="0.2">
      <c r="A2582" s="50">
        <v>40.119999999999997</v>
      </c>
      <c r="B2582" s="64" t="s">
        <v>6714</v>
      </c>
      <c r="C2582" s="47"/>
      <c r="D2582" s="47"/>
      <c r="E2582" s="47"/>
    </row>
    <row r="2583" spans="1:5" ht="45" x14ac:dyDescent="0.2">
      <c r="A2583" s="65" t="s">
        <v>6715</v>
      </c>
      <c r="B2583" s="65" t="s">
        <v>6716</v>
      </c>
      <c r="C2583" s="74" t="s">
        <v>203</v>
      </c>
      <c r="D2583" s="69" t="s">
        <v>6717</v>
      </c>
      <c r="E2583" s="69" t="s">
        <v>6718</v>
      </c>
    </row>
    <row r="2584" spans="1:5" ht="45" x14ac:dyDescent="0.2">
      <c r="A2584" s="65" t="s">
        <v>6719</v>
      </c>
      <c r="B2584" s="65" t="s">
        <v>6720</v>
      </c>
      <c r="C2584" s="74" t="s">
        <v>203</v>
      </c>
      <c r="D2584" s="69" t="s">
        <v>6721</v>
      </c>
      <c r="E2584" s="69" t="s">
        <v>6722</v>
      </c>
    </row>
    <row r="2585" spans="1:5" ht="45" x14ac:dyDescent="0.2">
      <c r="A2585" s="65" t="s">
        <v>6723</v>
      </c>
      <c r="B2585" s="65" t="s">
        <v>6724</v>
      </c>
      <c r="C2585" s="74" t="s">
        <v>203</v>
      </c>
      <c r="D2585" s="69" t="s">
        <v>6725</v>
      </c>
      <c r="E2585" s="69" t="s">
        <v>6726</v>
      </c>
    </row>
    <row r="2586" spans="1:5" ht="45" x14ac:dyDescent="0.2">
      <c r="A2586" s="65" t="s">
        <v>6727</v>
      </c>
      <c r="B2586" s="65" t="s">
        <v>6728</v>
      </c>
      <c r="C2586" s="74" t="s">
        <v>203</v>
      </c>
      <c r="D2586" s="69" t="s">
        <v>6729</v>
      </c>
      <c r="E2586" s="69" t="s">
        <v>6730</v>
      </c>
    </row>
    <row r="2587" spans="1:5" x14ac:dyDescent="0.2">
      <c r="A2587" s="50">
        <v>40.130000000000003</v>
      </c>
      <c r="B2587" s="64" t="s">
        <v>6731</v>
      </c>
      <c r="C2587" s="47"/>
      <c r="D2587" s="47"/>
      <c r="E2587" s="47"/>
    </row>
    <row r="2588" spans="1:5" ht="22.5" x14ac:dyDescent="0.2">
      <c r="A2588" s="65" t="s">
        <v>6732</v>
      </c>
      <c r="B2588" s="65" t="s">
        <v>6733</v>
      </c>
      <c r="C2588" s="74" t="s">
        <v>203</v>
      </c>
      <c r="D2588" s="69" t="s">
        <v>6734</v>
      </c>
      <c r="E2588" s="69" t="s">
        <v>6735</v>
      </c>
    </row>
    <row r="2589" spans="1:5" ht="90" x14ac:dyDescent="0.2">
      <c r="A2589" s="65" t="s">
        <v>6736</v>
      </c>
      <c r="B2589" s="66" t="s">
        <v>6737</v>
      </c>
      <c r="C2589" s="74" t="s">
        <v>203</v>
      </c>
      <c r="D2589" s="69" t="s">
        <v>6738</v>
      </c>
      <c r="E2589" s="69" t="s">
        <v>6739</v>
      </c>
    </row>
    <row r="2590" spans="1:5" x14ac:dyDescent="0.2">
      <c r="A2590" s="50">
        <v>40.14</v>
      </c>
      <c r="B2590" s="64" t="s">
        <v>6740</v>
      </c>
      <c r="C2590" s="47"/>
      <c r="D2590" s="47"/>
      <c r="E2590" s="47"/>
    </row>
    <row r="2591" spans="1:5" ht="22.5" x14ac:dyDescent="0.2">
      <c r="A2591" s="65" t="s">
        <v>6741</v>
      </c>
      <c r="B2591" s="65" t="s">
        <v>6742</v>
      </c>
      <c r="C2591" s="74" t="s">
        <v>203</v>
      </c>
      <c r="D2591" s="69" t="s">
        <v>6743</v>
      </c>
      <c r="E2591" s="69" t="s">
        <v>6744</v>
      </c>
    </row>
    <row r="2592" spans="1:5" ht="67.5" x14ac:dyDescent="0.2">
      <c r="A2592" s="65" t="s">
        <v>6745</v>
      </c>
      <c r="B2592" s="66" t="s">
        <v>6746</v>
      </c>
      <c r="C2592" s="74" t="s">
        <v>203</v>
      </c>
      <c r="D2592" s="69" t="s">
        <v>6747</v>
      </c>
      <c r="E2592" s="69" t="s">
        <v>6748</v>
      </c>
    </row>
    <row r="2593" spans="1:5" ht="45" x14ac:dyDescent="0.2">
      <c r="A2593" s="50">
        <v>40.200000000000003</v>
      </c>
      <c r="B2593" s="64" t="s">
        <v>6749</v>
      </c>
      <c r="C2593" s="47"/>
      <c r="D2593" s="47"/>
      <c r="E2593" s="47"/>
    </row>
    <row r="2594" spans="1:5" ht="22.5" x14ac:dyDescent="0.2">
      <c r="A2594" s="65" t="s">
        <v>6750</v>
      </c>
      <c r="B2594" s="65" t="s">
        <v>6751</v>
      </c>
      <c r="C2594" s="74" t="s">
        <v>203</v>
      </c>
      <c r="D2594" s="69" t="s">
        <v>6752</v>
      </c>
      <c r="E2594" s="69" t="s">
        <v>6753</v>
      </c>
    </row>
    <row r="2595" spans="1:5" ht="33.75" x14ac:dyDescent="0.2">
      <c r="A2595" s="65" t="s">
        <v>6754</v>
      </c>
      <c r="B2595" s="65" t="s">
        <v>6755</v>
      </c>
      <c r="C2595" s="74" t="s">
        <v>203</v>
      </c>
      <c r="D2595" s="69" t="s">
        <v>6756</v>
      </c>
      <c r="E2595" s="69" t="s">
        <v>6757</v>
      </c>
    </row>
    <row r="2596" spans="1:5" ht="33.75" x14ac:dyDescent="0.2">
      <c r="A2596" s="65" t="s">
        <v>6758</v>
      </c>
      <c r="B2596" s="65" t="s">
        <v>6759</v>
      </c>
      <c r="C2596" s="74" t="s">
        <v>203</v>
      </c>
      <c r="D2596" s="69" t="s">
        <v>6760</v>
      </c>
      <c r="E2596" s="69" t="s">
        <v>6761</v>
      </c>
    </row>
    <row r="2597" spans="1:5" ht="45" x14ac:dyDescent="0.2">
      <c r="A2597" s="65" t="s">
        <v>6762</v>
      </c>
      <c r="B2597" s="65" t="s">
        <v>6763</v>
      </c>
      <c r="C2597" s="74" t="s">
        <v>203</v>
      </c>
      <c r="D2597" s="69" t="s">
        <v>6764</v>
      </c>
      <c r="E2597" s="69" t="s">
        <v>6765</v>
      </c>
    </row>
    <row r="2598" spans="1:5" ht="33.75" x14ac:dyDescent="0.2">
      <c r="A2598" s="65" t="s">
        <v>6766</v>
      </c>
      <c r="B2598" s="65" t="s">
        <v>6767</v>
      </c>
      <c r="C2598" s="74" t="s">
        <v>203</v>
      </c>
      <c r="D2598" s="69" t="s">
        <v>3569</v>
      </c>
      <c r="E2598" s="69" t="s">
        <v>6768</v>
      </c>
    </row>
    <row r="2599" spans="1:5" x14ac:dyDescent="0.2">
      <c r="A2599" s="65" t="s">
        <v>6769</v>
      </c>
      <c r="B2599" s="65" t="s">
        <v>6770</v>
      </c>
      <c r="C2599" s="74" t="s">
        <v>203</v>
      </c>
      <c r="D2599" s="69" t="s">
        <v>5710</v>
      </c>
      <c r="E2599" s="69" t="s">
        <v>353</v>
      </c>
    </row>
    <row r="2600" spans="1:5" x14ac:dyDescent="0.2">
      <c r="A2600" s="65" t="s">
        <v>6771</v>
      </c>
      <c r="B2600" s="65" t="s">
        <v>6772</v>
      </c>
      <c r="C2600" s="74" t="s">
        <v>203</v>
      </c>
      <c r="D2600" s="69" t="s">
        <v>6773</v>
      </c>
      <c r="E2600" s="69" t="s">
        <v>6774</v>
      </c>
    </row>
    <row r="2601" spans="1:5" ht="33.75" x14ac:dyDescent="0.2">
      <c r="A2601" s="65" t="s">
        <v>6775</v>
      </c>
      <c r="B2601" s="65" t="s">
        <v>6776</v>
      </c>
      <c r="C2601" s="74" t="s">
        <v>203</v>
      </c>
      <c r="D2601" s="69" t="s">
        <v>6777</v>
      </c>
      <c r="E2601" s="69" t="s">
        <v>6778</v>
      </c>
    </row>
    <row r="2602" spans="1:5" ht="22.5" x14ac:dyDescent="0.2">
      <c r="A2602" s="65" t="s">
        <v>6779</v>
      </c>
      <c r="B2602" s="65" t="s">
        <v>6780</v>
      </c>
      <c r="C2602" s="74" t="s">
        <v>203</v>
      </c>
      <c r="D2602" s="69" t="s">
        <v>1172</v>
      </c>
      <c r="E2602" s="69" t="s">
        <v>5867</v>
      </c>
    </row>
    <row r="2603" spans="1:5" ht="33.75" x14ac:dyDescent="0.2">
      <c r="A2603" s="65" t="s">
        <v>6781</v>
      </c>
      <c r="B2603" s="65" t="s">
        <v>6782</v>
      </c>
      <c r="C2603" s="74" t="s">
        <v>203</v>
      </c>
      <c r="D2603" s="69" t="s">
        <v>3352</v>
      </c>
      <c r="E2603" s="69" t="s">
        <v>6783</v>
      </c>
    </row>
    <row r="2604" spans="1:5" ht="45" x14ac:dyDescent="0.2">
      <c r="A2604" s="65" t="s">
        <v>6784</v>
      </c>
      <c r="B2604" s="65" t="s">
        <v>6785</v>
      </c>
      <c r="C2604" s="74" t="s">
        <v>203</v>
      </c>
      <c r="D2604" s="69" t="s">
        <v>6786</v>
      </c>
      <c r="E2604" s="69" t="s">
        <v>6787</v>
      </c>
    </row>
    <row r="2605" spans="1:5" ht="45" x14ac:dyDescent="0.2">
      <c r="A2605" s="65" t="s">
        <v>6788</v>
      </c>
      <c r="B2605" s="65" t="s">
        <v>6789</v>
      </c>
      <c r="C2605" s="74" t="s">
        <v>203</v>
      </c>
      <c r="D2605" s="69" t="s">
        <v>522</v>
      </c>
      <c r="E2605" s="69" t="s">
        <v>6791</v>
      </c>
    </row>
    <row r="2606" spans="1:5" ht="45" x14ac:dyDescent="0.2">
      <c r="A2606" s="65" t="s">
        <v>6792</v>
      </c>
      <c r="B2606" s="65" t="s">
        <v>6793</v>
      </c>
      <c r="C2606" s="74" t="s">
        <v>203</v>
      </c>
      <c r="D2606" s="69" t="s">
        <v>6541</v>
      </c>
      <c r="E2606" s="69" t="s">
        <v>6794</v>
      </c>
    </row>
    <row r="2607" spans="1:5" x14ac:dyDescent="0.2">
      <c r="A2607" s="49">
        <v>41</v>
      </c>
      <c r="B2607" s="64" t="s">
        <v>6795</v>
      </c>
      <c r="C2607" s="47"/>
      <c r="D2607" s="47"/>
      <c r="E2607" s="47"/>
    </row>
    <row r="2608" spans="1:5" x14ac:dyDescent="0.2">
      <c r="A2608" s="50">
        <v>41.02</v>
      </c>
      <c r="B2608" s="64" t="s">
        <v>6796</v>
      </c>
      <c r="C2608" s="47"/>
      <c r="D2608" s="47"/>
      <c r="E2608" s="47"/>
    </row>
    <row r="2609" spans="1:5" ht="45" x14ac:dyDescent="0.2">
      <c r="A2609" s="65" t="s">
        <v>6797</v>
      </c>
      <c r="B2609" s="65" t="s">
        <v>6798</v>
      </c>
      <c r="C2609" s="67" t="s">
        <v>203</v>
      </c>
      <c r="D2609" s="69" t="s">
        <v>6799</v>
      </c>
      <c r="E2609" s="69" t="s">
        <v>6800</v>
      </c>
    </row>
    <row r="2610" spans="1:5" ht="45" x14ac:dyDescent="0.2">
      <c r="A2610" s="65" t="s">
        <v>6801</v>
      </c>
      <c r="B2610" s="65" t="s">
        <v>6802</v>
      </c>
      <c r="C2610" s="67" t="s">
        <v>203</v>
      </c>
      <c r="D2610" s="69" t="s">
        <v>6803</v>
      </c>
      <c r="E2610" s="69" t="s">
        <v>6804</v>
      </c>
    </row>
    <row r="2611" spans="1:5" ht="45" x14ac:dyDescent="0.2">
      <c r="A2611" s="65" t="s">
        <v>6805</v>
      </c>
      <c r="B2611" s="65" t="s">
        <v>6806</v>
      </c>
      <c r="C2611" s="67" t="s">
        <v>203</v>
      </c>
      <c r="D2611" s="69" t="s">
        <v>6807</v>
      </c>
      <c r="E2611" s="69" t="s">
        <v>6808</v>
      </c>
    </row>
    <row r="2612" spans="1:5" ht="33.75" x14ac:dyDescent="0.2">
      <c r="A2612" s="65" t="s">
        <v>6809</v>
      </c>
      <c r="B2612" s="65" t="s">
        <v>6810</v>
      </c>
      <c r="C2612" s="67" t="s">
        <v>203</v>
      </c>
      <c r="D2612" s="69" t="s">
        <v>6811</v>
      </c>
      <c r="E2612" s="69" t="s">
        <v>6812</v>
      </c>
    </row>
    <row r="2613" spans="1:5" ht="22.5" x14ac:dyDescent="0.2">
      <c r="A2613" s="50">
        <v>41.04</v>
      </c>
      <c r="B2613" s="64" t="s">
        <v>6813</v>
      </c>
      <c r="C2613" s="47"/>
      <c r="D2613" s="47"/>
      <c r="E2613" s="47"/>
    </row>
    <row r="2614" spans="1:5" ht="45" x14ac:dyDescent="0.2">
      <c r="A2614" s="65" t="s">
        <v>6814</v>
      </c>
      <c r="B2614" s="65" t="s">
        <v>6815</v>
      </c>
      <c r="C2614" s="67" t="s">
        <v>203</v>
      </c>
      <c r="D2614" s="69" t="s">
        <v>6816</v>
      </c>
      <c r="E2614" s="69" t="s">
        <v>993</v>
      </c>
    </row>
    <row r="2615" spans="1:5" ht="78.75" x14ac:dyDescent="0.2">
      <c r="A2615" s="65" t="s">
        <v>6818</v>
      </c>
      <c r="B2615" s="66" t="s">
        <v>6819</v>
      </c>
      <c r="C2615" s="67" t="s">
        <v>221</v>
      </c>
      <c r="D2615" s="69" t="s">
        <v>6820</v>
      </c>
      <c r="E2615" s="69" t="s">
        <v>6821</v>
      </c>
    </row>
    <row r="2616" spans="1:5" ht="33.75" x14ac:dyDescent="0.2">
      <c r="A2616" s="50">
        <v>41.05</v>
      </c>
      <c r="B2616" s="64" t="s">
        <v>6822</v>
      </c>
      <c r="C2616" s="47"/>
      <c r="D2616" s="47"/>
      <c r="E2616" s="47"/>
    </row>
    <row r="2617" spans="1:5" ht="33.75" x14ac:dyDescent="0.2">
      <c r="A2617" s="65" t="s">
        <v>6823</v>
      </c>
      <c r="B2617" s="65" t="s">
        <v>6824</v>
      </c>
      <c r="C2617" s="67" t="s">
        <v>203</v>
      </c>
      <c r="D2617" s="69" t="s">
        <v>6825</v>
      </c>
      <c r="E2617" s="69" t="s">
        <v>6826</v>
      </c>
    </row>
    <row r="2618" spans="1:5" ht="33.75" x14ac:dyDescent="0.2">
      <c r="A2618" s="65" t="s">
        <v>6827</v>
      </c>
      <c r="B2618" s="65" t="s">
        <v>6828</v>
      </c>
      <c r="C2618" s="67" t="s">
        <v>203</v>
      </c>
      <c r="D2618" s="69" t="s">
        <v>6829</v>
      </c>
      <c r="E2618" s="69" t="s">
        <v>6830</v>
      </c>
    </row>
    <row r="2619" spans="1:5" ht="45" x14ac:dyDescent="0.2">
      <c r="A2619" s="65" t="s">
        <v>6831</v>
      </c>
      <c r="B2619" s="65" t="s">
        <v>6832</v>
      </c>
      <c r="C2619" s="67" t="s">
        <v>203</v>
      </c>
      <c r="D2619" s="69" t="s">
        <v>6833</v>
      </c>
      <c r="E2619" s="69" t="s">
        <v>6834</v>
      </c>
    </row>
    <row r="2620" spans="1:5" x14ac:dyDescent="0.2">
      <c r="A2620" s="50">
        <v>41.06</v>
      </c>
      <c r="B2620" s="64" t="s">
        <v>6835</v>
      </c>
      <c r="C2620" s="47"/>
      <c r="D2620" s="47"/>
      <c r="E2620" s="47"/>
    </row>
    <row r="2621" spans="1:5" ht="45" x14ac:dyDescent="0.2">
      <c r="A2621" s="65" t="s">
        <v>6836</v>
      </c>
      <c r="B2621" s="65" t="s">
        <v>6837</v>
      </c>
      <c r="C2621" s="67" t="s">
        <v>203</v>
      </c>
      <c r="D2621" s="69" t="s">
        <v>6838</v>
      </c>
      <c r="E2621" s="69" t="s">
        <v>6839</v>
      </c>
    </row>
    <row r="2622" spans="1:5" ht="33.75" x14ac:dyDescent="0.2">
      <c r="A2622" s="65" t="s">
        <v>6840</v>
      </c>
      <c r="B2622" s="65" t="s">
        <v>6841</v>
      </c>
      <c r="C2622" s="67" t="s">
        <v>203</v>
      </c>
      <c r="D2622" s="69" t="s">
        <v>6842</v>
      </c>
      <c r="E2622" s="69" t="s">
        <v>6843</v>
      </c>
    </row>
    <row r="2623" spans="1:5" ht="45" x14ac:dyDescent="0.2">
      <c r="A2623" s="65" t="s">
        <v>6844</v>
      </c>
      <c r="B2623" s="65" t="s">
        <v>6845</v>
      </c>
      <c r="C2623" s="67" t="s">
        <v>203</v>
      </c>
      <c r="D2623" s="69" t="s">
        <v>6846</v>
      </c>
      <c r="E2623" s="69" t="s">
        <v>6847</v>
      </c>
    </row>
    <row r="2624" spans="1:5" ht="22.5" x14ac:dyDescent="0.2">
      <c r="A2624" s="50">
        <v>41.07</v>
      </c>
      <c r="B2624" s="64" t="s">
        <v>6848</v>
      </c>
      <c r="C2624" s="47"/>
      <c r="D2624" s="47"/>
      <c r="E2624" s="47"/>
    </row>
    <row r="2625" spans="1:5" ht="45" x14ac:dyDescent="0.2">
      <c r="A2625" s="65" t="s">
        <v>6849</v>
      </c>
      <c r="B2625" s="65" t="s">
        <v>6850</v>
      </c>
      <c r="C2625" s="67" t="s">
        <v>203</v>
      </c>
      <c r="D2625" s="69" t="s">
        <v>6508</v>
      </c>
      <c r="E2625" s="69" t="s">
        <v>6851</v>
      </c>
    </row>
    <row r="2626" spans="1:5" ht="45" x14ac:dyDescent="0.2">
      <c r="A2626" s="65" t="s">
        <v>6852</v>
      </c>
      <c r="B2626" s="65" t="s">
        <v>6853</v>
      </c>
      <c r="C2626" s="67" t="s">
        <v>203</v>
      </c>
      <c r="D2626" s="69" t="s">
        <v>6854</v>
      </c>
      <c r="E2626" s="69" t="s">
        <v>6390</v>
      </c>
    </row>
    <row r="2627" spans="1:5" ht="45" x14ac:dyDescent="0.2">
      <c r="A2627" s="65" t="s">
        <v>6855</v>
      </c>
      <c r="B2627" s="65" t="s">
        <v>6856</v>
      </c>
      <c r="C2627" s="67" t="s">
        <v>203</v>
      </c>
      <c r="D2627" s="69" t="s">
        <v>6857</v>
      </c>
      <c r="E2627" s="69" t="s">
        <v>6858</v>
      </c>
    </row>
    <row r="2628" spans="1:5" ht="45" x14ac:dyDescent="0.2">
      <c r="A2628" s="65" t="s">
        <v>6859</v>
      </c>
      <c r="B2628" s="65" t="s">
        <v>6860</v>
      </c>
      <c r="C2628" s="67" t="s">
        <v>203</v>
      </c>
      <c r="D2628" s="69" t="s">
        <v>301</v>
      </c>
      <c r="E2628" s="69" t="s">
        <v>303</v>
      </c>
    </row>
    <row r="2629" spans="1:5" ht="45" x14ac:dyDescent="0.2">
      <c r="A2629" s="65" t="s">
        <v>6861</v>
      </c>
      <c r="B2629" s="65" t="s">
        <v>6862</v>
      </c>
      <c r="C2629" s="67" t="s">
        <v>203</v>
      </c>
      <c r="D2629" s="69" t="s">
        <v>6863</v>
      </c>
      <c r="E2629" s="69" t="s">
        <v>6864</v>
      </c>
    </row>
    <row r="2630" spans="1:5" ht="56.25" x14ac:dyDescent="0.2">
      <c r="A2630" s="65" t="s">
        <v>6865</v>
      </c>
      <c r="B2630" s="66" t="s">
        <v>6866</v>
      </c>
      <c r="C2630" s="67" t="s">
        <v>203</v>
      </c>
      <c r="D2630" s="69" t="s">
        <v>6016</v>
      </c>
      <c r="E2630" s="69" t="s">
        <v>6867</v>
      </c>
    </row>
    <row r="2631" spans="1:5" ht="67.5" x14ac:dyDescent="0.2">
      <c r="A2631" s="65" t="s">
        <v>6868</v>
      </c>
      <c r="B2631" s="66" t="s">
        <v>6869</v>
      </c>
      <c r="C2631" s="67" t="s">
        <v>203</v>
      </c>
      <c r="D2631" s="69" t="s">
        <v>282</v>
      </c>
      <c r="E2631" s="69" t="s">
        <v>6870</v>
      </c>
    </row>
    <row r="2632" spans="1:5" ht="67.5" x14ac:dyDescent="0.2">
      <c r="A2632" s="65" t="s">
        <v>6871</v>
      </c>
      <c r="B2632" s="66" t="s">
        <v>6872</v>
      </c>
      <c r="C2632" s="67" t="s">
        <v>203</v>
      </c>
      <c r="D2632" s="69" t="s">
        <v>3458</v>
      </c>
      <c r="E2632" s="69" t="s">
        <v>6873</v>
      </c>
    </row>
    <row r="2633" spans="1:5" ht="67.5" x14ac:dyDescent="0.2">
      <c r="A2633" s="65" t="s">
        <v>6874</v>
      </c>
      <c r="B2633" s="66" t="s">
        <v>6875</v>
      </c>
      <c r="C2633" s="67" t="s">
        <v>203</v>
      </c>
      <c r="D2633" s="69" t="s">
        <v>6013</v>
      </c>
      <c r="E2633" s="69" t="s">
        <v>1107</v>
      </c>
    </row>
    <row r="2634" spans="1:5" ht="67.5" x14ac:dyDescent="0.2">
      <c r="A2634" s="65" t="s">
        <v>6876</v>
      </c>
      <c r="B2634" s="66" t="s">
        <v>6877</v>
      </c>
      <c r="C2634" s="67" t="s">
        <v>203</v>
      </c>
      <c r="D2634" s="69" t="s">
        <v>1668</v>
      </c>
      <c r="E2634" s="69" t="s">
        <v>6878</v>
      </c>
    </row>
    <row r="2635" spans="1:5" ht="67.5" x14ac:dyDescent="0.2">
      <c r="A2635" s="65" t="s">
        <v>6879</v>
      </c>
      <c r="B2635" s="66" t="s">
        <v>6880</v>
      </c>
      <c r="C2635" s="67" t="s">
        <v>203</v>
      </c>
      <c r="D2635" s="69" t="s">
        <v>6881</v>
      </c>
      <c r="E2635" s="69" t="s">
        <v>6882</v>
      </c>
    </row>
    <row r="2636" spans="1:5" ht="45" x14ac:dyDescent="0.2">
      <c r="A2636" s="65" t="s">
        <v>6883</v>
      </c>
      <c r="B2636" s="65" t="s">
        <v>6884</v>
      </c>
      <c r="C2636" s="67" t="s">
        <v>203</v>
      </c>
      <c r="D2636" s="69" t="s">
        <v>414</v>
      </c>
      <c r="E2636" s="69" t="s">
        <v>6885</v>
      </c>
    </row>
    <row r="2637" spans="1:5" ht="45" x14ac:dyDescent="0.2">
      <c r="A2637" s="65" t="s">
        <v>6886</v>
      </c>
      <c r="B2637" s="65" t="s">
        <v>6887</v>
      </c>
      <c r="C2637" s="67" t="s">
        <v>203</v>
      </c>
      <c r="D2637" s="69" t="s">
        <v>6888</v>
      </c>
      <c r="E2637" s="69" t="s">
        <v>6889</v>
      </c>
    </row>
    <row r="2638" spans="1:5" ht="45" x14ac:dyDescent="0.2">
      <c r="A2638" s="65" t="s">
        <v>6890</v>
      </c>
      <c r="B2638" s="65" t="s">
        <v>6891</v>
      </c>
      <c r="C2638" s="67" t="s">
        <v>203</v>
      </c>
      <c r="D2638" s="69" t="s">
        <v>3774</v>
      </c>
      <c r="E2638" s="69" t="s">
        <v>6892</v>
      </c>
    </row>
    <row r="2639" spans="1:5" ht="56.25" x14ac:dyDescent="0.2">
      <c r="A2639" s="65" t="s">
        <v>6893</v>
      </c>
      <c r="B2639" s="65" t="s">
        <v>6894</v>
      </c>
      <c r="C2639" s="67" t="s">
        <v>203</v>
      </c>
      <c r="D2639" s="69" t="s">
        <v>5433</v>
      </c>
      <c r="E2639" s="69" t="s">
        <v>6895</v>
      </c>
    </row>
    <row r="2640" spans="1:5" ht="45" x14ac:dyDescent="0.2">
      <c r="A2640" s="65" t="s">
        <v>6896</v>
      </c>
      <c r="B2640" s="65" t="s">
        <v>6897</v>
      </c>
      <c r="C2640" s="67" t="s">
        <v>203</v>
      </c>
      <c r="D2640" s="69" t="s">
        <v>6898</v>
      </c>
      <c r="E2640" s="69" t="s">
        <v>6899</v>
      </c>
    </row>
    <row r="2641" spans="1:5" ht="56.25" x14ac:dyDescent="0.2">
      <c r="A2641" s="50">
        <v>41.08</v>
      </c>
      <c r="B2641" s="64" t="s">
        <v>6900</v>
      </c>
      <c r="C2641" s="48"/>
      <c r="D2641" s="48"/>
      <c r="E2641" s="48"/>
    </row>
    <row r="2642" spans="1:5" ht="67.5" x14ac:dyDescent="0.2">
      <c r="A2642" s="65" t="s">
        <v>6901</v>
      </c>
      <c r="B2642" s="66" t="s">
        <v>6902</v>
      </c>
      <c r="C2642" s="67" t="s">
        <v>203</v>
      </c>
      <c r="D2642" s="69" t="s">
        <v>6903</v>
      </c>
      <c r="E2642" s="69" t="s">
        <v>361</v>
      </c>
    </row>
    <row r="2643" spans="1:5" ht="67.5" x14ac:dyDescent="0.2">
      <c r="A2643" s="65" t="s">
        <v>6904</v>
      </c>
      <c r="B2643" s="66" t="s">
        <v>6905</v>
      </c>
      <c r="C2643" s="67" t="s">
        <v>203</v>
      </c>
      <c r="D2643" s="69" t="s">
        <v>6906</v>
      </c>
      <c r="E2643" s="69" t="s">
        <v>6907</v>
      </c>
    </row>
    <row r="2644" spans="1:5" ht="67.5" x14ac:dyDescent="0.2">
      <c r="A2644" s="65" t="s">
        <v>6908</v>
      </c>
      <c r="B2644" s="66" t="s">
        <v>6909</v>
      </c>
      <c r="C2644" s="67" t="s">
        <v>203</v>
      </c>
      <c r="D2644" s="69" t="s">
        <v>6910</v>
      </c>
      <c r="E2644" s="69" t="s">
        <v>6911</v>
      </c>
    </row>
    <row r="2645" spans="1:5" ht="67.5" x14ac:dyDescent="0.2">
      <c r="A2645" s="65" t="s">
        <v>6912</v>
      </c>
      <c r="B2645" s="66" t="s">
        <v>6913</v>
      </c>
      <c r="C2645" s="67" t="s">
        <v>203</v>
      </c>
      <c r="D2645" s="69" t="s">
        <v>6914</v>
      </c>
      <c r="E2645" s="69" t="s">
        <v>6748</v>
      </c>
    </row>
    <row r="2646" spans="1:5" ht="67.5" x14ac:dyDescent="0.2">
      <c r="A2646" s="65" t="s">
        <v>6915</v>
      </c>
      <c r="B2646" s="66" t="s">
        <v>6916</v>
      </c>
      <c r="C2646" s="67" t="s">
        <v>203</v>
      </c>
      <c r="D2646" s="69" t="s">
        <v>6917</v>
      </c>
      <c r="E2646" s="69" t="s">
        <v>6918</v>
      </c>
    </row>
    <row r="2647" spans="1:5" ht="78.75" x14ac:dyDescent="0.2">
      <c r="A2647" s="65" t="s">
        <v>6919</v>
      </c>
      <c r="B2647" s="66" t="s">
        <v>6920</v>
      </c>
      <c r="C2647" s="74" t="s">
        <v>203</v>
      </c>
      <c r="D2647" s="69" t="s">
        <v>6921</v>
      </c>
      <c r="E2647" s="69" t="s">
        <v>6922</v>
      </c>
    </row>
    <row r="2648" spans="1:5" ht="78.75" x14ac:dyDescent="0.2">
      <c r="A2648" s="65" t="s">
        <v>6923</v>
      </c>
      <c r="B2648" s="66" t="s">
        <v>6924</v>
      </c>
      <c r="C2648" s="74" t="s">
        <v>203</v>
      </c>
      <c r="D2648" s="69" t="s">
        <v>6925</v>
      </c>
      <c r="E2648" s="69" t="s">
        <v>6926</v>
      </c>
    </row>
    <row r="2649" spans="1:5" ht="78.75" x14ac:dyDescent="0.2">
      <c r="A2649" s="65" t="s">
        <v>6927</v>
      </c>
      <c r="B2649" s="66" t="s">
        <v>6928</v>
      </c>
      <c r="C2649" s="74" t="s">
        <v>203</v>
      </c>
      <c r="D2649" s="69" t="s">
        <v>6929</v>
      </c>
      <c r="E2649" s="69" t="s">
        <v>6930</v>
      </c>
    </row>
    <row r="2650" spans="1:5" ht="78.75" x14ac:dyDescent="0.2">
      <c r="A2650" s="65" t="s">
        <v>6931</v>
      </c>
      <c r="B2650" s="66" t="s">
        <v>6932</v>
      </c>
      <c r="C2650" s="74" t="s">
        <v>203</v>
      </c>
      <c r="D2650" s="69" t="s">
        <v>6933</v>
      </c>
      <c r="E2650" s="69" t="s">
        <v>6934</v>
      </c>
    </row>
    <row r="2651" spans="1:5" ht="45" x14ac:dyDescent="0.2">
      <c r="A2651" s="50">
        <v>41.09</v>
      </c>
      <c r="B2651" s="64" t="s">
        <v>6935</v>
      </c>
      <c r="C2651" s="47"/>
      <c r="D2651" s="47"/>
      <c r="E2651" s="47"/>
    </row>
    <row r="2652" spans="1:5" ht="112.5" x14ac:dyDescent="0.2">
      <c r="A2652" s="70" t="s">
        <v>6936</v>
      </c>
      <c r="B2652" s="66" t="s">
        <v>6937</v>
      </c>
      <c r="C2652" s="75" t="s">
        <v>203</v>
      </c>
      <c r="D2652" s="72" t="s">
        <v>6938</v>
      </c>
      <c r="E2652" s="72" t="s">
        <v>6939</v>
      </c>
    </row>
    <row r="2653" spans="1:5" ht="112.5" x14ac:dyDescent="0.2">
      <c r="A2653" s="70" t="s">
        <v>6940</v>
      </c>
      <c r="B2653" s="66" t="s">
        <v>6941</v>
      </c>
      <c r="C2653" s="75" t="s">
        <v>203</v>
      </c>
      <c r="D2653" s="72" t="s">
        <v>6942</v>
      </c>
      <c r="E2653" s="72" t="s">
        <v>6943</v>
      </c>
    </row>
    <row r="2654" spans="1:5" ht="112.5" x14ac:dyDescent="0.2">
      <c r="A2654" s="70" t="s">
        <v>6944</v>
      </c>
      <c r="B2654" s="66" t="s">
        <v>6945</v>
      </c>
      <c r="C2654" s="75" t="s">
        <v>203</v>
      </c>
      <c r="D2654" s="72" t="s">
        <v>6946</v>
      </c>
      <c r="E2654" s="72" t="s">
        <v>6947</v>
      </c>
    </row>
    <row r="2655" spans="1:5" ht="101.25" x14ac:dyDescent="0.2">
      <c r="A2655" s="70" t="s">
        <v>6948</v>
      </c>
      <c r="B2655" s="66" t="s">
        <v>6949</v>
      </c>
      <c r="C2655" s="75" t="s">
        <v>203</v>
      </c>
      <c r="D2655" s="72" t="s">
        <v>6950</v>
      </c>
      <c r="E2655" s="72" t="s">
        <v>6951</v>
      </c>
    </row>
    <row r="2656" spans="1:5" ht="101.25" x14ac:dyDescent="0.2">
      <c r="A2656" s="70" t="s">
        <v>6952</v>
      </c>
      <c r="B2656" s="66" t="s">
        <v>6953</v>
      </c>
      <c r="C2656" s="75" t="s">
        <v>203</v>
      </c>
      <c r="D2656" s="72" t="s">
        <v>431</v>
      </c>
      <c r="E2656" s="72" t="s">
        <v>6954</v>
      </c>
    </row>
    <row r="2657" spans="1:5" ht="101.25" x14ac:dyDescent="0.2">
      <c r="A2657" s="70" t="s">
        <v>6955</v>
      </c>
      <c r="B2657" s="66" t="s">
        <v>6956</v>
      </c>
      <c r="C2657" s="75" t="s">
        <v>203</v>
      </c>
      <c r="D2657" s="72" t="s">
        <v>6957</v>
      </c>
      <c r="E2657" s="72" t="s">
        <v>6958</v>
      </c>
    </row>
    <row r="2658" spans="1:5" x14ac:dyDescent="0.2">
      <c r="A2658" s="50">
        <v>41.1</v>
      </c>
      <c r="B2658" s="64" t="s">
        <v>6959</v>
      </c>
      <c r="C2658" s="47"/>
      <c r="D2658" s="47"/>
      <c r="E2658" s="47"/>
    </row>
    <row r="2659" spans="1:5" ht="56.25" x14ac:dyDescent="0.2">
      <c r="A2659" s="65" t="s">
        <v>6960</v>
      </c>
      <c r="B2659" s="66" t="s">
        <v>6961</v>
      </c>
      <c r="C2659" s="74" t="s">
        <v>203</v>
      </c>
      <c r="D2659" s="69" t="s">
        <v>6962</v>
      </c>
      <c r="E2659" s="69" t="s">
        <v>6963</v>
      </c>
    </row>
    <row r="2660" spans="1:5" ht="45" x14ac:dyDescent="0.2">
      <c r="A2660" s="65" t="s">
        <v>6964</v>
      </c>
      <c r="B2660" s="65" t="s">
        <v>6965</v>
      </c>
      <c r="C2660" s="74" t="s">
        <v>203</v>
      </c>
      <c r="D2660" s="69" t="s">
        <v>6966</v>
      </c>
      <c r="E2660" s="69" t="s">
        <v>6967</v>
      </c>
    </row>
    <row r="2661" spans="1:5" ht="45" x14ac:dyDescent="0.2">
      <c r="A2661" s="65" t="s">
        <v>6968</v>
      </c>
      <c r="B2661" s="65" t="s">
        <v>6969</v>
      </c>
      <c r="C2661" s="74" t="s">
        <v>203</v>
      </c>
      <c r="D2661" s="69" t="s">
        <v>6970</v>
      </c>
      <c r="E2661" s="69" t="s">
        <v>6971</v>
      </c>
    </row>
    <row r="2662" spans="1:5" ht="67.5" x14ac:dyDescent="0.2">
      <c r="A2662" s="65" t="s">
        <v>6972</v>
      </c>
      <c r="B2662" s="66" t="s">
        <v>6973</v>
      </c>
      <c r="C2662" s="74" t="s">
        <v>203</v>
      </c>
      <c r="D2662" s="69" t="s">
        <v>6974</v>
      </c>
      <c r="E2662" s="69" t="s">
        <v>6976</v>
      </c>
    </row>
    <row r="2663" spans="1:5" ht="67.5" x14ac:dyDescent="0.2">
      <c r="A2663" s="65" t="s">
        <v>6977</v>
      </c>
      <c r="B2663" s="66" t="s">
        <v>6978</v>
      </c>
      <c r="C2663" s="74" t="s">
        <v>203</v>
      </c>
      <c r="D2663" s="69" t="s">
        <v>6979</v>
      </c>
      <c r="E2663" s="69" t="s">
        <v>6981</v>
      </c>
    </row>
    <row r="2664" spans="1:5" ht="67.5" x14ac:dyDescent="0.2">
      <c r="A2664" s="65" t="s">
        <v>6982</v>
      </c>
      <c r="B2664" s="66" t="s">
        <v>6983</v>
      </c>
      <c r="C2664" s="74" t="s">
        <v>203</v>
      </c>
      <c r="D2664" s="69" t="s">
        <v>6984</v>
      </c>
      <c r="E2664" s="69" t="s">
        <v>6985</v>
      </c>
    </row>
    <row r="2665" spans="1:5" ht="67.5" x14ac:dyDescent="0.2">
      <c r="A2665" s="65" t="s">
        <v>6986</v>
      </c>
      <c r="B2665" s="66" t="s">
        <v>6987</v>
      </c>
      <c r="C2665" s="74" t="s">
        <v>203</v>
      </c>
      <c r="D2665" s="69" t="s">
        <v>6988</v>
      </c>
      <c r="E2665" s="69" t="s">
        <v>6990</v>
      </c>
    </row>
    <row r="2666" spans="1:5" ht="78.75" x14ac:dyDescent="0.2">
      <c r="A2666" s="65" t="s">
        <v>6991</v>
      </c>
      <c r="B2666" s="66" t="s">
        <v>6992</v>
      </c>
      <c r="C2666" s="74" t="s">
        <v>203</v>
      </c>
      <c r="D2666" s="69" t="s">
        <v>6993</v>
      </c>
      <c r="E2666" s="69" t="s">
        <v>6994</v>
      </c>
    </row>
    <row r="2667" spans="1:5" ht="67.5" x14ac:dyDescent="0.2">
      <c r="A2667" s="65" t="s">
        <v>6995</v>
      </c>
      <c r="B2667" s="66" t="s">
        <v>6996</v>
      </c>
      <c r="C2667" s="74" t="s">
        <v>203</v>
      </c>
      <c r="D2667" s="69" t="s">
        <v>6997</v>
      </c>
      <c r="E2667" s="69" t="s">
        <v>6998</v>
      </c>
    </row>
    <row r="2668" spans="1:5" ht="78.75" x14ac:dyDescent="0.2">
      <c r="A2668" s="65" t="s">
        <v>6999</v>
      </c>
      <c r="B2668" s="66" t="s">
        <v>7000</v>
      </c>
      <c r="C2668" s="74" t="s">
        <v>203</v>
      </c>
      <c r="D2668" s="69" t="s">
        <v>7001</v>
      </c>
      <c r="E2668" s="69" t="s">
        <v>7003</v>
      </c>
    </row>
    <row r="2669" spans="1:5" ht="67.5" x14ac:dyDescent="0.2">
      <c r="A2669" s="65" t="s">
        <v>7004</v>
      </c>
      <c r="B2669" s="66" t="s">
        <v>7005</v>
      </c>
      <c r="C2669" s="74" t="s">
        <v>203</v>
      </c>
      <c r="D2669" s="69" t="s">
        <v>7006</v>
      </c>
      <c r="E2669" s="69" t="s">
        <v>7007</v>
      </c>
    </row>
    <row r="2670" spans="1:5" ht="33.75" x14ac:dyDescent="0.2">
      <c r="A2670" s="50">
        <v>41.11</v>
      </c>
      <c r="B2670" s="64" t="s">
        <v>7008</v>
      </c>
      <c r="C2670" s="47"/>
      <c r="D2670" s="47"/>
      <c r="E2670" s="47"/>
    </row>
    <row r="2671" spans="1:5" ht="45" x14ac:dyDescent="0.2">
      <c r="A2671" s="65" t="s">
        <v>7009</v>
      </c>
      <c r="B2671" s="65" t="s">
        <v>7010</v>
      </c>
      <c r="C2671" s="74" t="s">
        <v>203</v>
      </c>
      <c r="D2671" s="69" t="s">
        <v>7011</v>
      </c>
      <c r="E2671" s="69" t="s">
        <v>7012</v>
      </c>
    </row>
    <row r="2672" spans="1:5" ht="56.25" x14ac:dyDescent="0.2">
      <c r="A2672" s="65" t="s">
        <v>7013</v>
      </c>
      <c r="B2672" s="66" t="s">
        <v>7014</v>
      </c>
      <c r="C2672" s="74" t="s">
        <v>203</v>
      </c>
      <c r="D2672" s="69" t="s">
        <v>7015</v>
      </c>
      <c r="E2672" s="69" t="s">
        <v>7016</v>
      </c>
    </row>
    <row r="2673" spans="1:5" ht="56.25" x14ac:dyDescent="0.2">
      <c r="A2673" s="65" t="s">
        <v>7017</v>
      </c>
      <c r="B2673" s="66" t="s">
        <v>7018</v>
      </c>
      <c r="C2673" s="74" t="s">
        <v>203</v>
      </c>
      <c r="D2673" s="69" t="s">
        <v>7019</v>
      </c>
      <c r="E2673" s="69" t="s">
        <v>7020</v>
      </c>
    </row>
    <row r="2674" spans="1:5" ht="56.25" x14ac:dyDescent="0.2">
      <c r="A2674" s="65" t="s">
        <v>7021</v>
      </c>
      <c r="B2674" s="66" t="s">
        <v>7022</v>
      </c>
      <c r="C2674" s="74" t="s">
        <v>203</v>
      </c>
      <c r="D2674" s="69" t="s">
        <v>7023</v>
      </c>
      <c r="E2674" s="69" t="s">
        <v>7024</v>
      </c>
    </row>
    <row r="2675" spans="1:5" ht="45" x14ac:dyDescent="0.2">
      <c r="A2675" s="65" t="s">
        <v>7025</v>
      </c>
      <c r="B2675" s="65" t="s">
        <v>7026</v>
      </c>
      <c r="C2675" s="74" t="s">
        <v>203</v>
      </c>
      <c r="D2675" s="69" t="s">
        <v>7027</v>
      </c>
      <c r="E2675" s="69" t="s">
        <v>7028</v>
      </c>
    </row>
    <row r="2676" spans="1:5" ht="45" x14ac:dyDescent="0.2">
      <c r="A2676" s="65" t="s">
        <v>7029</v>
      </c>
      <c r="B2676" s="65" t="s">
        <v>7030</v>
      </c>
      <c r="C2676" s="74" t="s">
        <v>203</v>
      </c>
      <c r="D2676" s="69" t="s">
        <v>7031</v>
      </c>
      <c r="E2676" s="69" t="s">
        <v>7032</v>
      </c>
    </row>
    <row r="2677" spans="1:5" ht="56.25" x14ac:dyDescent="0.2">
      <c r="A2677" s="65" t="s">
        <v>7033</v>
      </c>
      <c r="B2677" s="66" t="s">
        <v>7034</v>
      </c>
      <c r="C2677" s="74" t="s">
        <v>203</v>
      </c>
      <c r="D2677" s="69" t="s">
        <v>7035</v>
      </c>
      <c r="E2677" s="69" t="s">
        <v>7037</v>
      </c>
    </row>
    <row r="2678" spans="1:5" ht="56.25" x14ac:dyDescent="0.2">
      <c r="A2678" s="65" t="s">
        <v>7038</v>
      </c>
      <c r="B2678" s="66" t="s">
        <v>7039</v>
      </c>
      <c r="C2678" s="74" t="s">
        <v>203</v>
      </c>
      <c r="D2678" s="69" t="s">
        <v>7040</v>
      </c>
      <c r="E2678" s="69" t="s">
        <v>7041</v>
      </c>
    </row>
    <row r="2679" spans="1:5" ht="78.75" x14ac:dyDescent="0.2">
      <c r="A2679" s="65" t="s">
        <v>7042</v>
      </c>
      <c r="B2679" s="66" t="s">
        <v>7043</v>
      </c>
      <c r="C2679" s="74" t="s">
        <v>203</v>
      </c>
      <c r="D2679" s="69" t="s">
        <v>7044</v>
      </c>
      <c r="E2679" s="69" t="s">
        <v>7045</v>
      </c>
    </row>
    <row r="2680" spans="1:5" ht="45" x14ac:dyDescent="0.2">
      <c r="A2680" s="65" t="s">
        <v>7046</v>
      </c>
      <c r="B2680" s="65" t="s">
        <v>7047</v>
      </c>
      <c r="C2680" s="74" t="s">
        <v>203</v>
      </c>
      <c r="D2680" s="69" t="s">
        <v>7048</v>
      </c>
      <c r="E2680" s="69" t="s">
        <v>7049</v>
      </c>
    </row>
    <row r="2681" spans="1:5" ht="56.25" x14ac:dyDescent="0.2">
      <c r="A2681" s="65" t="s">
        <v>7050</v>
      </c>
      <c r="B2681" s="66" t="s">
        <v>7051</v>
      </c>
      <c r="C2681" s="74" t="s">
        <v>203</v>
      </c>
      <c r="D2681" s="69" t="s">
        <v>7052</v>
      </c>
      <c r="E2681" s="69" t="s">
        <v>7053</v>
      </c>
    </row>
    <row r="2682" spans="1:5" ht="33.75" x14ac:dyDescent="0.2">
      <c r="A2682" s="50">
        <v>41.12</v>
      </c>
      <c r="B2682" s="64" t="s">
        <v>7054</v>
      </c>
      <c r="C2682" s="47"/>
      <c r="D2682" s="47"/>
      <c r="E2682" s="47"/>
    </row>
    <row r="2683" spans="1:5" ht="90" x14ac:dyDescent="0.2">
      <c r="A2683" s="65" t="s">
        <v>7055</v>
      </c>
      <c r="B2683" s="66" t="s">
        <v>7056</v>
      </c>
      <c r="C2683" s="74" t="s">
        <v>203</v>
      </c>
      <c r="D2683" s="69" t="s">
        <v>7057</v>
      </c>
      <c r="E2683" s="69" t="s">
        <v>7058</v>
      </c>
    </row>
    <row r="2684" spans="1:5" ht="67.5" x14ac:dyDescent="0.2">
      <c r="A2684" s="65" t="s">
        <v>7059</v>
      </c>
      <c r="B2684" s="66" t="s">
        <v>7060</v>
      </c>
      <c r="C2684" s="74" t="s">
        <v>203</v>
      </c>
      <c r="D2684" s="69" t="s">
        <v>7061</v>
      </c>
      <c r="E2684" s="69" t="s">
        <v>7062</v>
      </c>
    </row>
    <row r="2685" spans="1:5" ht="78.75" x14ac:dyDescent="0.2">
      <c r="A2685" s="65" t="s">
        <v>7063</v>
      </c>
      <c r="B2685" s="66" t="s">
        <v>7064</v>
      </c>
      <c r="C2685" s="74" t="s">
        <v>203</v>
      </c>
      <c r="D2685" s="69" t="s">
        <v>7065</v>
      </c>
      <c r="E2685" s="69" t="s">
        <v>7066</v>
      </c>
    </row>
    <row r="2686" spans="1:5" ht="67.5" x14ac:dyDescent="0.2">
      <c r="A2686" s="65" t="s">
        <v>7067</v>
      </c>
      <c r="B2686" s="66" t="s">
        <v>7068</v>
      </c>
      <c r="C2686" s="74" t="s">
        <v>203</v>
      </c>
      <c r="D2686" s="69" t="s">
        <v>7069</v>
      </c>
      <c r="E2686" s="69" t="s">
        <v>7070</v>
      </c>
    </row>
    <row r="2687" spans="1:5" ht="90" x14ac:dyDescent="0.2">
      <c r="A2687" s="65" t="s">
        <v>7071</v>
      </c>
      <c r="B2687" s="66" t="s">
        <v>7072</v>
      </c>
      <c r="C2687" s="74" t="s">
        <v>203</v>
      </c>
      <c r="D2687" s="69" t="s">
        <v>7073</v>
      </c>
      <c r="E2687" s="69" t="s">
        <v>7074</v>
      </c>
    </row>
    <row r="2688" spans="1:5" ht="56.25" x14ac:dyDescent="0.2">
      <c r="A2688" s="65" t="s">
        <v>7075</v>
      </c>
      <c r="B2688" s="66" t="s">
        <v>7076</v>
      </c>
      <c r="C2688" s="74" t="s">
        <v>203</v>
      </c>
      <c r="D2688" s="69" t="s">
        <v>7077</v>
      </c>
      <c r="E2688" s="69" t="s">
        <v>7078</v>
      </c>
    </row>
    <row r="2689" spans="1:5" ht="45" x14ac:dyDescent="0.2">
      <c r="A2689" s="50">
        <v>41.13</v>
      </c>
      <c r="B2689" s="64" t="s">
        <v>7079</v>
      </c>
      <c r="C2689" s="47"/>
      <c r="D2689" s="47"/>
      <c r="E2689" s="47"/>
    </row>
    <row r="2690" spans="1:5" ht="45" x14ac:dyDescent="0.2">
      <c r="A2690" s="65" t="s">
        <v>7080</v>
      </c>
      <c r="B2690" s="65" t="s">
        <v>7081</v>
      </c>
      <c r="C2690" s="74" t="s">
        <v>203</v>
      </c>
      <c r="D2690" s="69" t="s">
        <v>7082</v>
      </c>
      <c r="E2690" s="69" t="s">
        <v>7083</v>
      </c>
    </row>
    <row r="2691" spans="1:5" ht="78.75" x14ac:dyDescent="0.2">
      <c r="A2691" s="65" t="s">
        <v>7084</v>
      </c>
      <c r="B2691" s="66" t="s">
        <v>7085</v>
      </c>
      <c r="C2691" s="74" t="s">
        <v>203</v>
      </c>
      <c r="D2691" s="69" t="s">
        <v>7086</v>
      </c>
      <c r="E2691" s="69" t="s">
        <v>7087</v>
      </c>
    </row>
    <row r="2692" spans="1:5" ht="78.75" x14ac:dyDescent="0.2">
      <c r="A2692" s="65" t="s">
        <v>7088</v>
      </c>
      <c r="B2692" s="66" t="s">
        <v>7089</v>
      </c>
      <c r="C2692" s="74" t="s">
        <v>203</v>
      </c>
      <c r="D2692" s="69" t="s">
        <v>7090</v>
      </c>
      <c r="E2692" s="69" t="s">
        <v>7091</v>
      </c>
    </row>
    <row r="2693" spans="1:5" ht="45" x14ac:dyDescent="0.2">
      <c r="A2693" s="65" t="s">
        <v>7092</v>
      </c>
      <c r="B2693" s="65" t="s">
        <v>7093</v>
      </c>
      <c r="C2693" s="74" t="s">
        <v>203</v>
      </c>
      <c r="D2693" s="69" t="s">
        <v>7094</v>
      </c>
      <c r="E2693" s="69" t="s">
        <v>7095</v>
      </c>
    </row>
    <row r="2694" spans="1:5" ht="67.5" x14ac:dyDescent="0.2">
      <c r="A2694" s="65" t="s">
        <v>7096</v>
      </c>
      <c r="B2694" s="66" t="s">
        <v>7097</v>
      </c>
      <c r="C2694" s="74" t="s">
        <v>203</v>
      </c>
      <c r="D2694" s="69" t="s">
        <v>626</v>
      </c>
      <c r="E2694" s="69" t="s">
        <v>7098</v>
      </c>
    </row>
    <row r="2695" spans="1:5" ht="45" x14ac:dyDescent="0.2">
      <c r="A2695" s="50">
        <v>41.14</v>
      </c>
      <c r="B2695" s="64" t="s">
        <v>7099</v>
      </c>
      <c r="C2695" s="47"/>
      <c r="D2695" s="47"/>
      <c r="E2695" s="47"/>
    </row>
    <row r="2696" spans="1:5" ht="90" x14ac:dyDescent="0.2">
      <c r="A2696" s="70" t="s">
        <v>7100</v>
      </c>
      <c r="B2696" s="65" t="s">
        <v>7101</v>
      </c>
      <c r="C2696" s="75" t="s">
        <v>203</v>
      </c>
      <c r="D2696" s="72" t="s">
        <v>7102</v>
      </c>
      <c r="E2696" s="72" t="s">
        <v>7103</v>
      </c>
    </row>
    <row r="2697" spans="1:5" ht="67.5" x14ac:dyDescent="0.2">
      <c r="A2697" s="65" t="s">
        <v>7104</v>
      </c>
      <c r="B2697" s="66" t="s">
        <v>7105</v>
      </c>
      <c r="C2697" s="74" t="s">
        <v>203</v>
      </c>
      <c r="D2697" s="69" t="s">
        <v>7106</v>
      </c>
      <c r="E2697" s="69" t="s">
        <v>7107</v>
      </c>
    </row>
    <row r="2698" spans="1:5" ht="78.75" x14ac:dyDescent="0.2">
      <c r="A2698" s="70" t="s">
        <v>7108</v>
      </c>
      <c r="B2698" s="65" t="s">
        <v>7109</v>
      </c>
      <c r="C2698" s="75" t="s">
        <v>203</v>
      </c>
      <c r="D2698" s="72" t="s">
        <v>7110</v>
      </c>
      <c r="E2698" s="72" t="s">
        <v>7111</v>
      </c>
    </row>
    <row r="2699" spans="1:5" ht="78.75" x14ac:dyDescent="0.2">
      <c r="A2699" s="65" t="s">
        <v>7112</v>
      </c>
      <c r="B2699" s="66" t="s">
        <v>7113</v>
      </c>
      <c r="C2699" s="74" t="s">
        <v>203</v>
      </c>
      <c r="D2699" s="69" t="s">
        <v>7114</v>
      </c>
      <c r="E2699" s="69" t="s">
        <v>7115</v>
      </c>
    </row>
    <row r="2700" spans="1:5" ht="90" x14ac:dyDescent="0.2">
      <c r="A2700" s="65" t="s">
        <v>7116</v>
      </c>
      <c r="B2700" s="66" t="s">
        <v>7117</v>
      </c>
      <c r="C2700" s="74" t="s">
        <v>203</v>
      </c>
      <c r="D2700" s="69" t="s">
        <v>7118</v>
      </c>
      <c r="E2700" s="69" t="s">
        <v>7119</v>
      </c>
    </row>
    <row r="2701" spans="1:5" ht="101.25" x14ac:dyDescent="0.2">
      <c r="A2701" s="70" t="s">
        <v>7120</v>
      </c>
      <c r="B2701" s="65" t="s">
        <v>7121</v>
      </c>
      <c r="C2701" s="75" t="s">
        <v>203</v>
      </c>
      <c r="D2701" s="72" t="s">
        <v>7122</v>
      </c>
      <c r="E2701" s="72" t="s">
        <v>7123</v>
      </c>
    </row>
    <row r="2702" spans="1:5" ht="101.25" x14ac:dyDescent="0.2">
      <c r="A2702" s="70" t="s">
        <v>7124</v>
      </c>
      <c r="B2702" s="66" t="s">
        <v>7125</v>
      </c>
      <c r="C2702" s="75" t="s">
        <v>203</v>
      </c>
      <c r="D2702" s="72" t="s">
        <v>7126</v>
      </c>
      <c r="E2702" s="72" t="s">
        <v>7127</v>
      </c>
    </row>
    <row r="2703" spans="1:5" ht="112.5" x14ac:dyDescent="0.2">
      <c r="A2703" s="70" t="s">
        <v>7128</v>
      </c>
      <c r="B2703" s="66" t="s">
        <v>7129</v>
      </c>
      <c r="C2703" s="75" t="s">
        <v>203</v>
      </c>
      <c r="D2703" s="72" t="s">
        <v>7130</v>
      </c>
      <c r="E2703" s="72" t="s">
        <v>7131</v>
      </c>
    </row>
    <row r="2704" spans="1:5" ht="101.25" x14ac:dyDescent="0.2">
      <c r="A2704" s="70" t="s">
        <v>7132</v>
      </c>
      <c r="B2704" s="66" t="s">
        <v>7133</v>
      </c>
      <c r="C2704" s="75" t="s">
        <v>203</v>
      </c>
      <c r="D2704" s="72" t="s">
        <v>7134</v>
      </c>
      <c r="E2704" s="72" t="s">
        <v>7135</v>
      </c>
    </row>
    <row r="2705" spans="1:5" ht="101.25" x14ac:dyDescent="0.2">
      <c r="A2705" s="70" t="s">
        <v>7136</v>
      </c>
      <c r="B2705" s="65" t="s">
        <v>7137</v>
      </c>
      <c r="C2705" s="75" t="s">
        <v>203</v>
      </c>
      <c r="D2705" s="72" t="s">
        <v>7138</v>
      </c>
      <c r="E2705" s="72" t="s">
        <v>7139</v>
      </c>
    </row>
    <row r="2706" spans="1:5" ht="78.75" x14ac:dyDescent="0.2">
      <c r="A2706" s="65" t="s">
        <v>7140</v>
      </c>
      <c r="B2706" s="66" t="s">
        <v>7141</v>
      </c>
      <c r="C2706" s="74" t="s">
        <v>203</v>
      </c>
      <c r="D2706" s="69" t="s">
        <v>7142</v>
      </c>
      <c r="E2706" s="69" t="s">
        <v>7143</v>
      </c>
    </row>
    <row r="2707" spans="1:5" ht="90" x14ac:dyDescent="0.2">
      <c r="A2707" s="65" t="s">
        <v>7144</v>
      </c>
      <c r="B2707" s="66" t="s">
        <v>7145</v>
      </c>
      <c r="C2707" s="74" t="s">
        <v>203</v>
      </c>
      <c r="D2707" s="69" t="s">
        <v>7146</v>
      </c>
      <c r="E2707" s="69" t="s">
        <v>392</v>
      </c>
    </row>
    <row r="2708" spans="1:5" ht="90" x14ac:dyDescent="0.2">
      <c r="A2708" s="65" t="s">
        <v>7147</v>
      </c>
      <c r="B2708" s="66" t="s">
        <v>7148</v>
      </c>
      <c r="C2708" s="74" t="s">
        <v>203</v>
      </c>
      <c r="D2708" s="69" t="s">
        <v>7149</v>
      </c>
      <c r="E2708" s="69" t="s">
        <v>7150</v>
      </c>
    </row>
    <row r="2709" spans="1:5" ht="90" x14ac:dyDescent="0.2">
      <c r="A2709" s="70" t="s">
        <v>7151</v>
      </c>
      <c r="B2709" s="65" t="s">
        <v>7152</v>
      </c>
      <c r="C2709" s="75" t="s">
        <v>203</v>
      </c>
      <c r="D2709" s="72" t="s">
        <v>7153</v>
      </c>
      <c r="E2709" s="72" t="s">
        <v>7154</v>
      </c>
    </row>
    <row r="2710" spans="1:5" ht="101.25" x14ac:dyDescent="0.2">
      <c r="A2710" s="70" t="s">
        <v>7155</v>
      </c>
      <c r="B2710" s="66" t="s">
        <v>7156</v>
      </c>
      <c r="C2710" s="75" t="s">
        <v>203</v>
      </c>
      <c r="D2710" s="72" t="s">
        <v>7157</v>
      </c>
      <c r="E2710" s="72" t="s">
        <v>7158</v>
      </c>
    </row>
    <row r="2711" spans="1:5" ht="67.5" x14ac:dyDescent="0.2">
      <c r="A2711" s="65" t="s">
        <v>7159</v>
      </c>
      <c r="B2711" s="66" t="s">
        <v>7160</v>
      </c>
      <c r="C2711" s="74" t="s">
        <v>203</v>
      </c>
      <c r="D2711" s="69" t="s">
        <v>7161</v>
      </c>
      <c r="E2711" s="69" t="s">
        <v>7162</v>
      </c>
    </row>
    <row r="2712" spans="1:5" ht="78.75" x14ac:dyDescent="0.2">
      <c r="A2712" s="70" t="s">
        <v>7163</v>
      </c>
      <c r="B2712" s="65" t="s">
        <v>7164</v>
      </c>
      <c r="C2712" s="75" t="s">
        <v>203</v>
      </c>
      <c r="D2712" s="72" t="s">
        <v>7165</v>
      </c>
      <c r="E2712" s="72" t="s">
        <v>7166</v>
      </c>
    </row>
    <row r="2713" spans="1:5" ht="101.25" x14ac:dyDescent="0.2">
      <c r="A2713" s="70" t="s">
        <v>7167</v>
      </c>
      <c r="B2713" s="66" t="s">
        <v>7168</v>
      </c>
      <c r="C2713" s="75" t="s">
        <v>203</v>
      </c>
      <c r="D2713" s="72" t="s">
        <v>6427</v>
      </c>
      <c r="E2713" s="72" t="s">
        <v>6428</v>
      </c>
    </row>
    <row r="2714" spans="1:5" ht="67.5" x14ac:dyDescent="0.2">
      <c r="A2714" s="65" t="s">
        <v>7169</v>
      </c>
      <c r="B2714" s="66" t="s">
        <v>7170</v>
      </c>
      <c r="C2714" s="74" t="s">
        <v>203</v>
      </c>
      <c r="D2714" s="69" t="s">
        <v>7171</v>
      </c>
      <c r="E2714" s="69" t="s">
        <v>7172</v>
      </c>
    </row>
    <row r="2715" spans="1:5" ht="101.25" x14ac:dyDescent="0.2">
      <c r="A2715" s="70" t="s">
        <v>7173</v>
      </c>
      <c r="B2715" s="66" t="s">
        <v>7174</v>
      </c>
      <c r="C2715" s="75" t="s">
        <v>203</v>
      </c>
      <c r="D2715" s="72" t="s">
        <v>7175</v>
      </c>
      <c r="E2715" s="72" t="s">
        <v>7176</v>
      </c>
    </row>
    <row r="2716" spans="1:5" ht="90" x14ac:dyDescent="0.2">
      <c r="A2716" s="65" t="s">
        <v>7177</v>
      </c>
      <c r="B2716" s="66" t="s">
        <v>7178</v>
      </c>
      <c r="C2716" s="74" t="s">
        <v>203</v>
      </c>
      <c r="D2716" s="69" t="s">
        <v>7179</v>
      </c>
      <c r="E2716" s="69" t="s">
        <v>7180</v>
      </c>
    </row>
    <row r="2717" spans="1:5" ht="90" x14ac:dyDescent="0.2">
      <c r="A2717" s="70" t="s">
        <v>7181</v>
      </c>
      <c r="B2717" s="65" t="s">
        <v>7182</v>
      </c>
      <c r="C2717" s="75" t="s">
        <v>203</v>
      </c>
      <c r="D2717" s="72" t="s">
        <v>7183</v>
      </c>
      <c r="E2717" s="72" t="s">
        <v>7184</v>
      </c>
    </row>
    <row r="2718" spans="1:5" ht="101.25" x14ac:dyDescent="0.2">
      <c r="A2718" s="70" t="s">
        <v>7185</v>
      </c>
      <c r="B2718" s="66" t="s">
        <v>7186</v>
      </c>
      <c r="C2718" s="75" t="s">
        <v>203</v>
      </c>
      <c r="D2718" s="72" t="s">
        <v>7187</v>
      </c>
      <c r="E2718" s="72" t="s">
        <v>7188</v>
      </c>
    </row>
    <row r="2719" spans="1:5" ht="33.75" x14ac:dyDescent="0.2">
      <c r="A2719" s="50">
        <v>41.15</v>
      </c>
      <c r="B2719" s="64" t="s">
        <v>7189</v>
      </c>
      <c r="C2719" s="47"/>
      <c r="D2719" s="47"/>
      <c r="E2719" s="47"/>
    </row>
    <row r="2720" spans="1:5" ht="78.75" x14ac:dyDescent="0.2">
      <c r="A2720" s="65" t="s">
        <v>7190</v>
      </c>
      <c r="B2720" s="66" t="s">
        <v>7191</v>
      </c>
      <c r="C2720" s="74" t="s">
        <v>203</v>
      </c>
      <c r="D2720" s="69" t="s">
        <v>7192</v>
      </c>
      <c r="E2720" s="69" t="s">
        <v>7193</v>
      </c>
    </row>
    <row r="2721" spans="1:5" ht="45" x14ac:dyDescent="0.2">
      <c r="A2721" s="50">
        <v>41.2</v>
      </c>
      <c r="B2721" s="64" t="s">
        <v>7194</v>
      </c>
      <c r="C2721" s="47"/>
      <c r="D2721" s="47"/>
      <c r="E2721" s="47"/>
    </row>
    <row r="2722" spans="1:5" ht="67.5" x14ac:dyDescent="0.2">
      <c r="A2722" s="65" t="s">
        <v>7195</v>
      </c>
      <c r="B2722" s="66" t="s">
        <v>7196</v>
      </c>
      <c r="C2722" s="74" t="s">
        <v>203</v>
      </c>
      <c r="D2722" s="69" t="s">
        <v>207</v>
      </c>
      <c r="E2722" s="69" t="s">
        <v>234</v>
      </c>
    </row>
    <row r="2723" spans="1:5" ht="90" x14ac:dyDescent="0.2">
      <c r="A2723" s="65" t="s">
        <v>7197</v>
      </c>
      <c r="B2723" s="66" t="s">
        <v>7198</v>
      </c>
      <c r="C2723" s="74" t="s">
        <v>203</v>
      </c>
      <c r="D2723" s="69" t="s">
        <v>7199</v>
      </c>
      <c r="E2723" s="69" t="s">
        <v>370</v>
      </c>
    </row>
    <row r="2724" spans="1:5" ht="22.5" x14ac:dyDescent="0.2">
      <c r="A2724" s="65" t="s">
        <v>7200</v>
      </c>
      <c r="B2724" s="65" t="s">
        <v>7201</v>
      </c>
      <c r="C2724" s="74" t="s">
        <v>203</v>
      </c>
      <c r="D2724" s="73"/>
      <c r="E2724" s="69" t="s">
        <v>318</v>
      </c>
    </row>
    <row r="2725" spans="1:5" ht="22.5" x14ac:dyDescent="0.2">
      <c r="A2725" s="65" t="s">
        <v>7202</v>
      </c>
      <c r="B2725" s="65" t="s">
        <v>7203</v>
      </c>
      <c r="C2725" s="74" t="s">
        <v>203</v>
      </c>
      <c r="D2725" s="73"/>
      <c r="E2725" s="69" t="s">
        <v>249</v>
      </c>
    </row>
    <row r="2726" spans="1:5" x14ac:dyDescent="0.2">
      <c r="A2726" s="50">
        <v>41.31</v>
      </c>
      <c r="B2726" s="64" t="s">
        <v>7204</v>
      </c>
      <c r="C2726" s="47"/>
      <c r="D2726" s="47"/>
      <c r="E2726" s="47"/>
    </row>
    <row r="2727" spans="1:5" ht="90" x14ac:dyDescent="0.2">
      <c r="A2727" s="65" t="s">
        <v>7205</v>
      </c>
      <c r="B2727" s="66" t="s">
        <v>7206</v>
      </c>
      <c r="C2727" s="67" t="s">
        <v>203</v>
      </c>
      <c r="D2727" s="69" t="s">
        <v>7207</v>
      </c>
      <c r="E2727" s="69" t="s">
        <v>7208</v>
      </c>
    </row>
    <row r="2728" spans="1:5" ht="101.25" x14ac:dyDescent="0.2">
      <c r="A2728" s="70" t="s">
        <v>7209</v>
      </c>
      <c r="B2728" s="65" t="s">
        <v>7210</v>
      </c>
      <c r="C2728" s="71" t="s">
        <v>203</v>
      </c>
      <c r="D2728" s="72" t="s">
        <v>7211</v>
      </c>
      <c r="E2728" s="72" t="s">
        <v>7212</v>
      </c>
    </row>
    <row r="2729" spans="1:5" ht="90" x14ac:dyDescent="0.2">
      <c r="A2729" s="65" t="s">
        <v>7213</v>
      </c>
      <c r="B2729" s="66" t="s">
        <v>7214</v>
      </c>
      <c r="C2729" s="67" t="s">
        <v>203</v>
      </c>
      <c r="D2729" s="69" t="s">
        <v>7215</v>
      </c>
      <c r="E2729" s="69" t="s">
        <v>7216</v>
      </c>
    </row>
    <row r="2730" spans="1:5" ht="90" x14ac:dyDescent="0.2">
      <c r="A2730" s="70" t="s">
        <v>7217</v>
      </c>
      <c r="B2730" s="65" t="s">
        <v>7218</v>
      </c>
      <c r="C2730" s="71" t="s">
        <v>203</v>
      </c>
      <c r="D2730" s="72" t="s">
        <v>1560</v>
      </c>
      <c r="E2730" s="72" t="s">
        <v>7219</v>
      </c>
    </row>
    <row r="2731" spans="1:5" ht="67.5" x14ac:dyDescent="0.2">
      <c r="A2731" s="65" t="s">
        <v>7220</v>
      </c>
      <c r="B2731" s="66" t="s">
        <v>7221</v>
      </c>
      <c r="C2731" s="67" t="s">
        <v>203</v>
      </c>
      <c r="D2731" s="69" t="s">
        <v>7222</v>
      </c>
      <c r="E2731" s="69" t="s">
        <v>7223</v>
      </c>
    </row>
    <row r="2732" spans="1:5" ht="22.5" x14ac:dyDescent="0.2">
      <c r="A2732" s="49">
        <v>42</v>
      </c>
      <c r="B2732" s="64" t="s">
        <v>7224</v>
      </c>
      <c r="C2732" s="47"/>
      <c r="D2732" s="47"/>
      <c r="E2732" s="47"/>
    </row>
    <row r="2733" spans="1:5" ht="22.5" x14ac:dyDescent="0.2">
      <c r="A2733" s="50">
        <v>42.01</v>
      </c>
      <c r="B2733" s="64" t="s">
        <v>7225</v>
      </c>
      <c r="C2733" s="47"/>
      <c r="D2733" s="47"/>
      <c r="E2733" s="47"/>
    </row>
    <row r="2734" spans="1:5" ht="56.25" x14ac:dyDescent="0.2">
      <c r="A2734" s="65" t="s">
        <v>7226</v>
      </c>
      <c r="B2734" s="66" t="s">
        <v>7227</v>
      </c>
      <c r="C2734" s="67" t="s">
        <v>203</v>
      </c>
      <c r="D2734" s="69" t="s">
        <v>7228</v>
      </c>
      <c r="E2734" s="69" t="s">
        <v>7229</v>
      </c>
    </row>
    <row r="2735" spans="1:5" ht="56.25" x14ac:dyDescent="0.2">
      <c r="A2735" s="65" t="s">
        <v>7230</v>
      </c>
      <c r="B2735" s="66" t="s">
        <v>7231</v>
      </c>
      <c r="C2735" s="67" t="s">
        <v>203</v>
      </c>
      <c r="D2735" s="69" t="s">
        <v>7232</v>
      </c>
      <c r="E2735" s="69" t="s">
        <v>7233</v>
      </c>
    </row>
    <row r="2736" spans="1:5" ht="33.75" x14ac:dyDescent="0.2">
      <c r="A2736" s="65" t="s">
        <v>7234</v>
      </c>
      <c r="B2736" s="65" t="s">
        <v>7235</v>
      </c>
      <c r="C2736" s="67" t="s">
        <v>203</v>
      </c>
      <c r="D2736" s="69" t="s">
        <v>7236</v>
      </c>
      <c r="E2736" s="69" t="s">
        <v>7237</v>
      </c>
    </row>
    <row r="2737" spans="1:5" ht="22.5" x14ac:dyDescent="0.2">
      <c r="A2737" s="65" t="s">
        <v>7238</v>
      </c>
      <c r="B2737" s="65" t="s">
        <v>7239</v>
      </c>
      <c r="C2737" s="67" t="s">
        <v>203</v>
      </c>
      <c r="D2737" s="69" t="s">
        <v>385</v>
      </c>
      <c r="E2737" s="69" t="s">
        <v>7240</v>
      </c>
    </row>
    <row r="2738" spans="1:5" ht="33.75" x14ac:dyDescent="0.2">
      <c r="A2738" s="65" t="s">
        <v>7241</v>
      </c>
      <c r="B2738" s="65" t="s">
        <v>7242</v>
      </c>
      <c r="C2738" s="67" t="s">
        <v>203</v>
      </c>
      <c r="D2738" s="69" t="s">
        <v>7243</v>
      </c>
      <c r="E2738" s="69" t="s">
        <v>359</v>
      </c>
    </row>
    <row r="2739" spans="1:5" ht="45" x14ac:dyDescent="0.2">
      <c r="A2739" s="65" t="s">
        <v>7244</v>
      </c>
      <c r="B2739" s="65" t="s">
        <v>7245</v>
      </c>
      <c r="C2739" s="67" t="s">
        <v>203</v>
      </c>
      <c r="D2739" s="69" t="s">
        <v>7246</v>
      </c>
      <c r="E2739" s="69" t="s">
        <v>6290</v>
      </c>
    </row>
    <row r="2740" spans="1:5" ht="56.25" x14ac:dyDescent="0.2">
      <c r="A2740" s="65" t="s">
        <v>7247</v>
      </c>
      <c r="B2740" s="66" t="s">
        <v>7248</v>
      </c>
      <c r="C2740" s="67" t="s">
        <v>203</v>
      </c>
      <c r="D2740" s="69" t="s">
        <v>7249</v>
      </c>
      <c r="E2740" s="69" t="s">
        <v>7250</v>
      </c>
    </row>
    <row r="2741" spans="1:5" ht="56.25" x14ac:dyDescent="0.2">
      <c r="A2741" s="65" t="s">
        <v>7251</v>
      </c>
      <c r="B2741" s="66" t="s">
        <v>7252</v>
      </c>
      <c r="C2741" s="67" t="s">
        <v>203</v>
      </c>
      <c r="D2741" s="69" t="s">
        <v>7253</v>
      </c>
      <c r="E2741" s="69" t="s">
        <v>7254</v>
      </c>
    </row>
    <row r="2742" spans="1:5" ht="22.5" x14ac:dyDescent="0.2">
      <c r="A2742" s="50">
        <v>42.02</v>
      </c>
      <c r="B2742" s="64" t="s">
        <v>7255</v>
      </c>
      <c r="C2742" s="47"/>
      <c r="D2742" s="47"/>
      <c r="E2742" s="47"/>
    </row>
    <row r="2743" spans="1:5" ht="33.75" x14ac:dyDescent="0.2">
      <c r="A2743" s="65" t="s">
        <v>7256</v>
      </c>
      <c r="B2743" s="65" t="s">
        <v>7257</v>
      </c>
      <c r="C2743" s="67" t="s">
        <v>203</v>
      </c>
      <c r="D2743" s="69" t="s">
        <v>7258</v>
      </c>
      <c r="E2743" s="69" t="s">
        <v>7259</v>
      </c>
    </row>
    <row r="2744" spans="1:5" ht="33.75" x14ac:dyDescent="0.2">
      <c r="A2744" s="65" t="s">
        <v>7260</v>
      </c>
      <c r="B2744" s="65" t="s">
        <v>7261</v>
      </c>
      <c r="C2744" s="67" t="s">
        <v>203</v>
      </c>
      <c r="D2744" s="69" t="s">
        <v>7262</v>
      </c>
      <c r="E2744" s="69" t="s">
        <v>7263</v>
      </c>
    </row>
    <row r="2745" spans="1:5" ht="45" x14ac:dyDescent="0.2">
      <c r="A2745" s="65" t="s">
        <v>7264</v>
      </c>
      <c r="B2745" s="65" t="s">
        <v>7265</v>
      </c>
      <c r="C2745" s="67" t="s">
        <v>203</v>
      </c>
      <c r="D2745" s="69" t="s">
        <v>7266</v>
      </c>
      <c r="E2745" s="69" t="s">
        <v>7267</v>
      </c>
    </row>
    <row r="2746" spans="1:5" ht="45" x14ac:dyDescent="0.2">
      <c r="A2746" s="65" t="s">
        <v>7268</v>
      </c>
      <c r="B2746" s="65" t="s">
        <v>7269</v>
      </c>
      <c r="C2746" s="67" t="s">
        <v>203</v>
      </c>
      <c r="D2746" s="69" t="s">
        <v>7270</v>
      </c>
      <c r="E2746" s="69" t="s">
        <v>7271</v>
      </c>
    </row>
    <row r="2747" spans="1:5" ht="45" x14ac:dyDescent="0.2">
      <c r="A2747" s="65" t="s">
        <v>7272</v>
      </c>
      <c r="B2747" s="65" t="s">
        <v>7273</v>
      </c>
      <c r="C2747" s="67" t="s">
        <v>203</v>
      </c>
      <c r="D2747" s="69" t="s">
        <v>1422</v>
      </c>
      <c r="E2747" s="69" t="s">
        <v>1888</v>
      </c>
    </row>
    <row r="2748" spans="1:5" ht="45" x14ac:dyDescent="0.2">
      <c r="A2748" s="65" t="s">
        <v>7274</v>
      </c>
      <c r="B2748" s="65" t="s">
        <v>7275</v>
      </c>
      <c r="C2748" s="67" t="s">
        <v>203</v>
      </c>
      <c r="D2748" s="69" t="s">
        <v>3459</v>
      </c>
      <c r="E2748" s="69" t="s">
        <v>7276</v>
      </c>
    </row>
    <row r="2749" spans="1:5" ht="22.5" x14ac:dyDescent="0.2">
      <c r="A2749" s="50">
        <v>42.03</v>
      </c>
      <c r="B2749" s="64" t="s">
        <v>7277</v>
      </c>
      <c r="C2749" s="47"/>
      <c r="D2749" s="47"/>
      <c r="E2749" s="47"/>
    </row>
    <row r="2750" spans="1:5" ht="45" x14ac:dyDescent="0.2">
      <c r="A2750" s="65" t="s">
        <v>7278</v>
      </c>
      <c r="B2750" s="65" t="s">
        <v>7279</v>
      </c>
      <c r="C2750" s="67" t="s">
        <v>203</v>
      </c>
      <c r="D2750" s="69" t="s">
        <v>7280</v>
      </c>
      <c r="E2750" s="69" t="s">
        <v>3931</v>
      </c>
    </row>
    <row r="2751" spans="1:5" ht="45" x14ac:dyDescent="0.2">
      <c r="A2751" s="65" t="s">
        <v>7281</v>
      </c>
      <c r="B2751" s="65" t="s">
        <v>7282</v>
      </c>
      <c r="C2751" s="67" t="s">
        <v>203</v>
      </c>
      <c r="D2751" s="69" t="s">
        <v>1103</v>
      </c>
      <c r="E2751" s="69" t="s">
        <v>936</v>
      </c>
    </row>
    <row r="2752" spans="1:5" ht="56.25" x14ac:dyDescent="0.2">
      <c r="A2752" s="65" t="s">
        <v>7283</v>
      </c>
      <c r="B2752" s="66" t="s">
        <v>7284</v>
      </c>
      <c r="C2752" s="67" t="s">
        <v>203</v>
      </c>
      <c r="D2752" s="69" t="s">
        <v>7285</v>
      </c>
      <c r="E2752" s="69" t="s">
        <v>235</v>
      </c>
    </row>
    <row r="2753" spans="1:5" ht="56.25" x14ac:dyDescent="0.2">
      <c r="A2753" s="65" t="s">
        <v>7286</v>
      </c>
      <c r="B2753" s="66" t="s">
        <v>7287</v>
      </c>
      <c r="C2753" s="67" t="s">
        <v>203</v>
      </c>
      <c r="D2753" s="69" t="s">
        <v>847</v>
      </c>
      <c r="E2753" s="69" t="s">
        <v>5376</v>
      </c>
    </row>
    <row r="2754" spans="1:5" ht="33.75" x14ac:dyDescent="0.2">
      <c r="A2754" s="50">
        <v>42.04</v>
      </c>
      <c r="B2754" s="64" t="s">
        <v>7288</v>
      </c>
      <c r="C2754" s="47"/>
      <c r="D2754" s="47"/>
      <c r="E2754" s="47"/>
    </row>
    <row r="2755" spans="1:5" ht="45" x14ac:dyDescent="0.2">
      <c r="A2755" s="65" t="s">
        <v>7289</v>
      </c>
      <c r="B2755" s="65" t="s">
        <v>7290</v>
      </c>
      <c r="C2755" s="67" t="s">
        <v>203</v>
      </c>
      <c r="D2755" s="69" t="s">
        <v>7291</v>
      </c>
      <c r="E2755" s="69" t="s">
        <v>7292</v>
      </c>
    </row>
    <row r="2756" spans="1:5" ht="22.5" x14ac:dyDescent="0.2">
      <c r="A2756" s="65" t="s">
        <v>7293</v>
      </c>
      <c r="B2756" s="65" t="s">
        <v>7294</v>
      </c>
      <c r="C2756" s="67" t="s">
        <v>203</v>
      </c>
      <c r="D2756" s="69" t="s">
        <v>7295</v>
      </c>
      <c r="E2756" s="69" t="s">
        <v>7296</v>
      </c>
    </row>
    <row r="2757" spans="1:5" ht="22.5" x14ac:dyDescent="0.2">
      <c r="A2757" s="65" t="s">
        <v>7297</v>
      </c>
      <c r="B2757" s="65" t="s">
        <v>7298</v>
      </c>
      <c r="C2757" s="67" t="s">
        <v>203</v>
      </c>
      <c r="D2757" s="69" t="s">
        <v>7299</v>
      </c>
      <c r="E2757" s="69" t="s">
        <v>7300</v>
      </c>
    </row>
    <row r="2758" spans="1:5" ht="45" x14ac:dyDescent="0.2">
      <c r="A2758" s="65" t="s">
        <v>7301</v>
      </c>
      <c r="B2758" s="65" t="s">
        <v>7302</v>
      </c>
      <c r="C2758" s="67" t="s">
        <v>203</v>
      </c>
      <c r="D2758" s="69" t="s">
        <v>7303</v>
      </c>
      <c r="E2758" s="69" t="s">
        <v>7304</v>
      </c>
    </row>
    <row r="2759" spans="1:5" ht="33.75" x14ac:dyDescent="0.2">
      <c r="A2759" s="65" t="s">
        <v>7305</v>
      </c>
      <c r="B2759" s="65" t="s">
        <v>7306</v>
      </c>
      <c r="C2759" s="67" t="s">
        <v>221</v>
      </c>
      <c r="D2759" s="69" t="s">
        <v>7307</v>
      </c>
      <c r="E2759" s="69" t="s">
        <v>406</v>
      </c>
    </row>
    <row r="2760" spans="1:5" ht="45" x14ac:dyDescent="0.2">
      <c r="A2760" s="65" t="s">
        <v>7308</v>
      </c>
      <c r="B2760" s="65" t="s">
        <v>7309</v>
      </c>
      <c r="C2760" s="67" t="s">
        <v>203</v>
      </c>
      <c r="D2760" s="69" t="s">
        <v>7310</v>
      </c>
      <c r="E2760" s="69" t="s">
        <v>236</v>
      </c>
    </row>
    <row r="2761" spans="1:5" ht="45" x14ac:dyDescent="0.2">
      <c r="A2761" s="65" t="s">
        <v>7311</v>
      </c>
      <c r="B2761" s="65" t="s">
        <v>7312</v>
      </c>
      <c r="C2761" s="67" t="s">
        <v>203</v>
      </c>
      <c r="D2761" s="69" t="s">
        <v>7313</v>
      </c>
      <c r="E2761" s="69" t="s">
        <v>7314</v>
      </c>
    </row>
    <row r="2762" spans="1:5" ht="22.5" x14ac:dyDescent="0.2">
      <c r="A2762" s="50">
        <v>42.05</v>
      </c>
      <c r="B2762" s="64" t="s">
        <v>7315</v>
      </c>
      <c r="C2762" s="47"/>
      <c r="D2762" s="47"/>
      <c r="E2762" s="47"/>
    </row>
    <row r="2763" spans="1:5" ht="45" x14ac:dyDescent="0.2">
      <c r="A2763" s="65" t="s">
        <v>7316</v>
      </c>
      <c r="B2763" s="65" t="s">
        <v>7317</v>
      </c>
      <c r="C2763" s="67" t="s">
        <v>203</v>
      </c>
      <c r="D2763" s="69" t="s">
        <v>944</v>
      </c>
      <c r="E2763" s="69" t="s">
        <v>7318</v>
      </c>
    </row>
    <row r="2764" spans="1:5" ht="56.25" x14ac:dyDescent="0.2">
      <c r="A2764" s="65" t="s">
        <v>7319</v>
      </c>
      <c r="B2764" s="66" t="s">
        <v>7320</v>
      </c>
      <c r="C2764" s="67" t="s">
        <v>203</v>
      </c>
      <c r="D2764" s="69" t="s">
        <v>7321</v>
      </c>
      <c r="E2764" s="69" t="s">
        <v>5697</v>
      </c>
    </row>
    <row r="2765" spans="1:5" ht="45" x14ac:dyDescent="0.2">
      <c r="A2765" s="65" t="s">
        <v>7322</v>
      </c>
      <c r="B2765" s="65" t="s">
        <v>7323</v>
      </c>
      <c r="C2765" s="67" t="s">
        <v>203</v>
      </c>
      <c r="D2765" s="69" t="s">
        <v>7324</v>
      </c>
      <c r="E2765" s="69" t="s">
        <v>7325</v>
      </c>
    </row>
    <row r="2766" spans="1:5" ht="45" x14ac:dyDescent="0.2">
      <c r="A2766" s="65" t="s">
        <v>7326</v>
      </c>
      <c r="B2766" s="65" t="s">
        <v>7327</v>
      </c>
      <c r="C2766" s="67" t="s">
        <v>203</v>
      </c>
      <c r="D2766" s="69" t="s">
        <v>7328</v>
      </c>
      <c r="E2766" s="69" t="s">
        <v>7329</v>
      </c>
    </row>
    <row r="2767" spans="1:5" ht="45" x14ac:dyDescent="0.2">
      <c r="A2767" s="65" t="s">
        <v>7330</v>
      </c>
      <c r="B2767" s="65" t="s">
        <v>7331</v>
      </c>
      <c r="C2767" s="67" t="s">
        <v>203</v>
      </c>
      <c r="D2767" s="69" t="s">
        <v>7332</v>
      </c>
      <c r="E2767" s="69" t="s">
        <v>7333</v>
      </c>
    </row>
    <row r="2768" spans="1:5" ht="22.5" x14ac:dyDescent="0.2">
      <c r="A2768" s="65" t="s">
        <v>7334</v>
      </c>
      <c r="B2768" s="65" t="s">
        <v>7335</v>
      </c>
      <c r="C2768" s="67" t="s">
        <v>203</v>
      </c>
      <c r="D2768" s="69" t="s">
        <v>3536</v>
      </c>
      <c r="E2768" s="69" t="s">
        <v>7336</v>
      </c>
    </row>
    <row r="2769" spans="1:5" ht="22.5" x14ac:dyDescent="0.2">
      <c r="A2769" s="65" t="s">
        <v>7337</v>
      </c>
      <c r="B2769" s="65" t="s">
        <v>7338</v>
      </c>
      <c r="C2769" s="67" t="s">
        <v>203</v>
      </c>
      <c r="D2769" s="69" t="s">
        <v>7339</v>
      </c>
      <c r="E2769" s="69" t="s">
        <v>7340</v>
      </c>
    </row>
    <row r="2770" spans="1:5" ht="45" x14ac:dyDescent="0.2">
      <c r="A2770" s="65" t="s">
        <v>7341</v>
      </c>
      <c r="B2770" s="65" t="s">
        <v>7342</v>
      </c>
      <c r="C2770" s="67" t="s">
        <v>203</v>
      </c>
      <c r="D2770" s="69" t="s">
        <v>7343</v>
      </c>
      <c r="E2770" s="69" t="s">
        <v>5223</v>
      </c>
    </row>
    <row r="2771" spans="1:5" ht="22.5" x14ac:dyDescent="0.2">
      <c r="A2771" s="65" t="s">
        <v>7344</v>
      </c>
      <c r="B2771" s="65" t="s">
        <v>7345</v>
      </c>
      <c r="C2771" s="67" t="s">
        <v>203</v>
      </c>
      <c r="D2771" s="69" t="s">
        <v>7346</v>
      </c>
      <c r="E2771" s="69" t="s">
        <v>7347</v>
      </c>
    </row>
    <row r="2772" spans="1:5" ht="22.5" x14ac:dyDescent="0.2">
      <c r="A2772" s="65" t="s">
        <v>7348</v>
      </c>
      <c r="B2772" s="65" t="s">
        <v>7349</v>
      </c>
      <c r="C2772" s="67" t="s">
        <v>203</v>
      </c>
      <c r="D2772" s="69" t="s">
        <v>6394</v>
      </c>
      <c r="E2772" s="69" t="s">
        <v>498</v>
      </c>
    </row>
    <row r="2773" spans="1:5" ht="33.75" x14ac:dyDescent="0.2">
      <c r="A2773" s="65" t="s">
        <v>7350</v>
      </c>
      <c r="B2773" s="65" t="s">
        <v>7351</v>
      </c>
      <c r="C2773" s="67" t="s">
        <v>221</v>
      </c>
      <c r="D2773" s="69" t="s">
        <v>7352</v>
      </c>
      <c r="E2773" s="69" t="s">
        <v>7353</v>
      </c>
    </row>
    <row r="2774" spans="1:5" ht="22.5" x14ac:dyDescent="0.2">
      <c r="A2774" s="65" t="s">
        <v>7354</v>
      </c>
      <c r="B2774" s="65" t="s">
        <v>7355</v>
      </c>
      <c r="C2774" s="67" t="s">
        <v>203</v>
      </c>
      <c r="D2774" s="69" t="s">
        <v>7356</v>
      </c>
      <c r="E2774" s="69" t="s">
        <v>7357</v>
      </c>
    </row>
    <row r="2775" spans="1:5" ht="33.75" x14ac:dyDescent="0.2">
      <c r="A2775" s="65" t="s">
        <v>7358</v>
      </c>
      <c r="B2775" s="65" t="s">
        <v>7359</v>
      </c>
      <c r="C2775" s="67" t="s">
        <v>203</v>
      </c>
      <c r="D2775" s="69" t="s">
        <v>237</v>
      </c>
      <c r="E2775" s="69" t="s">
        <v>7360</v>
      </c>
    </row>
    <row r="2776" spans="1:5" ht="33.75" x14ac:dyDescent="0.2">
      <c r="A2776" s="65" t="s">
        <v>7361</v>
      </c>
      <c r="B2776" s="65" t="s">
        <v>7362</v>
      </c>
      <c r="C2776" s="67" t="s">
        <v>203</v>
      </c>
      <c r="D2776" s="69" t="s">
        <v>7363</v>
      </c>
      <c r="E2776" s="69" t="s">
        <v>7364</v>
      </c>
    </row>
    <row r="2777" spans="1:5" ht="33.75" x14ac:dyDescent="0.2">
      <c r="A2777" s="65" t="s">
        <v>7365</v>
      </c>
      <c r="B2777" s="65" t="s">
        <v>7366</v>
      </c>
      <c r="C2777" s="67" t="s">
        <v>203</v>
      </c>
      <c r="D2777" s="69" t="s">
        <v>7367</v>
      </c>
      <c r="E2777" s="69" t="s">
        <v>7368</v>
      </c>
    </row>
    <row r="2778" spans="1:5" ht="45" x14ac:dyDescent="0.2">
      <c r="A2778" s="65" t="s">
        <v>7369</v>
      </c>
      <c r="B2778" s="65" t="s">
        <v>7370</v>
      </c>
      <c r="C2778" s="67" t="s">
        <v>203</v>
      </c>
      <c r="D2778" s="69" t="s">
        <v>7371</v>
      </c>
      <c r="E2778" s="69" t="s">
        <v>7372</v>
      </c>
    </row>
    <row r="2779" spans="1:5" ht="33.75" x14ac:dyDescent="0.2">
      <c r="A2779" s="65" t="s">
        <v>7373</v>
      </c>
      <c r="B2779" s="65" t="s">
        <v>7374</v>
      </c>
      <c r="C2779" s="67" t="s">
        <v>203</v>
      </c>
      <c r="D2779" s="69" t="s">
        <v>7375</v>
      </c>
      <c r="E2779" s="69" t="s">
        <v>7376</v>
      </c>
    </row>
    <row r="2780" spans="1:5" ht="45" x14ac:dyDescent="0.2">
      <c r="A2780" s="65" t="s">
        <v>7377</v>
      </c>
      <c r="B2780" s="65" t="s">
        <v>7378</v>
      </c>
      <c r="C2780" s="67" t="s">
        <v>203</v>
      </c>
      <c r="D2780" s="69" t="s">
        <v>7379</v>
      </c>
      <c r="E2780" s="69" t="s">
        <v>3899</v>
      </c>
    </row>
    <row r="2781" spans="1:5" ht="56.25" x14ac:dyDescent="0.2">
      <c r="A2781" s="65" t="s">
        <v>7380</v>
      </c>
      <c r="B2781" s="66" t="s">
        <v>7381</v>
      </c>
      <c r="C2781" s="67" t="s">
        <v>221</v>
      </c>
      <c r="D2781" s="69" t="s">
        <v>7382</v>
      </c>
      <c r="E2781" s="69" t="s">
        <v>7383</v>
      </c>
    </row>
    <row r="2782" spans="1:5" ht="45" x14ac:dyDescent="0.2">
      <c r="A2782" s="65" t="s">
        <v>7384</v>
      </c>
      <c r="B2782" s="65" t="s">
        <v>7385</v>
      </c>
      <c r="C2782" s="67" t="s">
        <v>203</v>
      </c>
      <c r="D2782" s="69" t="s">
        <v>7386</v>
      </c>
      <c r="E2782" s="69" t="s">
        <v>7387</v>
      </c>
    </row>
    <row r="2783" spans="1:5" ht="56.25" x14ac:dyDescent="0.2">
      <c r="A2783" s="65" t="s">
        <v>7388</v>
      </c>
      <c r="B2783" s="66" t="s">
        <v>7389</v>
      </c>
      <c r="C2783" s="67" t="s">
        <v>203</v>
      </c>
      <c r="D2783" s="69" t="s">
        <v>7390</v>
      </c>
      <c r="E2783" s="69" t="s">
        <v>7391</v>
      </c>
    </row>
    <row r="2784" spans="1:5" ht="56.25" x14ac:dyDescent="0.2">
      <c r="A2784" s="65" t="s">
        <v>7392</v>
      </c>
      <c r="B2784" s="66" t="s">
        <v>7393</v>
      </c>
      <c r="C2784" s="67" t="s">
        <v>203</v>
      </c>
      <c r="D2784" s="69" t="s">
        <v>244</v>
      </c>
      <c r="E2784" s="69" t="s">
        <v>7394</v>
      </c>
    </row>
    <row r="2785" spans="1:5" ht="33.75" x14ac:dyDescent="0.2">
      <c r="A2785" s="65" t="s">
        <v>7395</v>
      </c>
      <c r="B2785" s="65" t="s">
        <v>7396</v>
      </c>
      <c r="C2785" s="67" t="s">
        <v>203</v>
      </c>
      <c r="D2785" s="69" t="s">
        <v>7397</v>
      </c>
      <c r="E2785" s="69" t="s">
        <v>7398</v>
      </c>
    </row>
    <row r="2786" spans="1:5" ht="56.25" x14ac:dyDescent="0.2">
      <c r="A2786" s="65" t="s">
        <v>7399</v>
      </c>
      <c r="B2786" s="66" t="s">
        <v>7400</v>
      </c>
      <c r="C2786" s="67" t="s">
        <v>203</v>
      </c>
      <c r="D2786" s="69" t="s">
        <v>7401</v>
      </c>
      <c r="E2786" s="69" t="s">
        <v>253</v>
      </c>
    </row>
    <row r="2787" spans="1:5" ht="56.25" x14ac:dyDescent="0.2">
      <c r="A2787" s="65" t="s">
        <v>7402</v>
      </c>
      <c r="B2787" s="66" t="s">
        <v>7403</v>
      </c>
      <c r="C2787" s="67" t="s">
        <v>203</v>
      </c>
      <c r="D2787" s="69" t="s">
        <v>4673</v>
      </c>
      <c r="E2787" s="69" t="s">
        <v>3466</v>
      </c>
    </row>
    <row r="2788" spans="1:5" ht="56.25" x14ac:dyDescent="0.2">
      <c r="A2788" s="65" t="s">
        <v>7404</v>
      </c>
      <c r="B2788" s="66" t="s">
        <v>7405</v>
      </c>
      <c r="C2788" s="67" t="s">
        <v>203</v>
      </c>
      <c r="D2788" s="69" t="s">
        <v>1460</v>
      </c>
      <c r="E2788" s="69" t="s">
        <v>7406</v>
      </c>
    </row>
    <row r="2789" spans="1:5" ht="56.25" x14ac:dyDescent="0.2">
      <c r="A2789" s="65" t="s">
        <v>7407</v>
      </c>
      <c r="B2789" s="66" t="s">
        <v>7408</v>
      </c>
      <c r="C2789" s="67" t="s">
        <v>221</v>
      </c>
      <c r="D2789" s="69" t="s">
        <v>7409</v>
      </c>
      <c r="E2789" s="69" t="s">
        <v>427</v>
      </c>
    </row>
    <row r="2790" spans="1:5" ht="67.5" x14ac:dyDescent="0.2">
      <c r="A2790" s="65" t="s">
        <v>7410</v>
      </c>
      <c r="B2790" s="66" t="s">
        <v>7411</v>
      </c>
      <c r="C2790" s="67" t="s">
        <v>203</v>
      </c>
      <c r="D2790" s="69" t="s">
        <v>7412</v>
      </c>
      <c r="E2790" s="69" t="s">
        <v>7413</v>
      </c>
    </row>
    <row r="2791" spans="1:5" ht="67.5" x14ac:dyDescent="0.2">
      <c r="A2791" s="65" t="s">
        <v>7414</v>
      </c>
      <c r="B2791" s="66" t="s">
        <v>7415</v>
      </c>
      <c r="C2791" s="67" t="s">
        <v>203</v>
      </c>
      <c r="D2791" s="69" t="s">
        <v>7416</v>
      </c>
      <c r="E2791" s="69" t="s">
        <v>7417</v>
      </c>
    </row>
    <row r="2792" spans="1:5" ht="33.75" x14ac:dyDescent="0.2">
      <c r="A2792" s="65" t="s">
        <v>7418</v>
      </c>
      <c r="B2792" s="65" t="s">
        <v>7419</v>
      </c>
      <c r="C2792" s="67" t="s">
        <v>203</v>
      </c>
      <c r="D2792" s="69" t="s">
        <v>7420</v>
      </c>
      <c r="E2792" s="69" t="s">
        <v>7421</v>
      </c>
    </row>
    <row r="2793" spans="1:5" ht="56.25" x14ac:dyDescent="0.2">
      <c r="A2793" s="65" t="s">
        <v>7422</v>
      </c>
      <c r="B2793" s="66" t="s">
        <v>7423</v>
      </c>
      <c r="C2793" s="67" t="s">
        <v>203</v>
      </c>
      <c r="D2793" s="69" t="s">
        <v>7424</v>
      </c>
      <c r="E2793" s="69" t="s">
        <v>371</v>
      </c>
    </row>
    <row r="2794" spans="1:5" ht="56.25" x14ac:dyDescent="0.2">
      <c r="A2794" s="65" t="s">
        <v>7425</v>
      </c>
      <c r="B2794" s="66" t="s">
        <v>7426</v>
      </c>
      <c r="C2794" s="67" t="s">
        <v>221</v>
      </c>
      <c r="D2794" s="69" t="s">
        <v>7427</v>
      </c>
      <c r="E2794" s="69" t="s">
        <v>6177</v>
      </c>
    </row>
    <row r="2795" spans="1:5" ht="45" x14ac:dyDescent="0.2">
      <c r="A2795" s="65" t="s">
        <v>7428</v>
      </c>
      <c r="B2795" s="65" t="s">
        <v>7429</v>
      </c>
      <c r="C2795" s="67" t="s">
        <v>203</v>
      </c>
      <c r="D2795" s="69" t="s">
        <v>7430</v>
      </c>
      <c r="E2795" s="69" t="s">
        <v>7339</v>
      </c>
    </row>
    <row r="2796" spans="1:5" ht="67.5" x14ac:dyDescent="0.2">
      <c r="A2796" s="65" t="s">
        <v>7431</v>
      </c>
      <c r="B2796" s="66" t="s">
        <v>7432</v>
      </c>
      <c r="C2796" s="67" t="s">
        <v>203</v>
      </c>
      <c r="D2796" s="69" t="s">
        <v>7424</v>
      </c>
      <c r="E2796" s="69" t="s">
        <v>371</v>
      </c>
    </row>
    <row r="2797" spans="1:5" ht="45" x14ac:dyDescent="0.2">
      <c r="A2797" s="65" t="s">
        <v>7433</v>
      </c>
      <c r="B2797" s="65" t="s">
        <v>7434</v>
      </c>
      <c r="C2797" s="67" t="s">
        <v>203</v>
      </c>
      <c r="D2797" s="69" t="s">
        <v>7435</v>
      </c>
      <c r="E2797" s="69" t="s">
        <v>7436</v>
      </c>
    </row>
    <row r="2798" spans="1:5" ht="56.25" x14ac:dyDescent="0.2">
      <c r="A2798" s="65" t="s">
        <v>7437</v>
      </c>
      <c r="B2798" s="66" t="s">
        <v>7438</v>
      </c>
      <c r="C2798" s="67" t="s">
        <v>221</v>
      </c>
      <c r="D2798" s="69" t="s">
        <v>7439</v>
      </c>
      <c r="E2798" s="69" t="s">
        <v>7440</v>
      </c>
    </row>
    <row r="2799" spans="1:5" ht="45" x14ac:dyDescent="0.2">
      <c r="A2799" s="65" t="s">
        <v>7441</v>
      </c>
      <c r="B2799" s="65" t="s">
        <v>7442</v>
      </c>
      <c r="C2799" s="67" t="s">
        <v>203</v>
      </c>
      <c r="D2799" s="69" t="s">
        <v>7443</v>
      </c>
      <c r="E2799" s="69" t="s">
        <v>7444</v>
      </c>
    </row>
    <row r="2800" spans="1:5" ht="45" x14ac:dyDescent="0.2">
      <c r="A2800" s="65" t="s">
        <v>7445</v>
      </c>
      <c r="B2800" s="65" t="s">
        <v>7446</v>
      </c>
      <c r="C2800" s="74" t="s">
        <v>203</v>
      </c>
      <c r="D2800" s="69" t="s">
        <v>7447</v>
      </c>
      <c r="E2800" s="69" t="s">
        <v>1953</v>
      </c>
    </row>
    <row r="2801" spans="1:5" ht="45" x14ac:dyDescent="0.2">
      <c r="A2801" s="65" t="s">
        <v>7448</v>
      </c>
      <c r="B2801" s="65" t="s">
        <v>7449</v>
      </c>
      <c r="C2801" s="74" t="s">
        <v>203</v>
      </c>
      <c r="D2801" s="69" t="s">
        <v>6360</v>
      </c>
      <c r="E2801" s="69" t="s">
        <v>7450</v>
      </c>
    </row>
    <row r="2802" spans="1:5" ht="45" x14ac:dyDescent="0.2">
      <c r="A2802" s="65" t="s">
        <v>7451</v>
      </c>
      <c r="B2802" s="65" t="s">
        <v>7452</v>
      </c>
      <c r="C2802" s="74" t="s">
        <v>203</v>
      </c>
      <c r="D2802" s="69" t="s">
        <v>369</v>
      </c>
      <c r="E2802" s="69" t="s">
        <v>6081</v>
      </c>
    </row>
    <row r="2803" spans="1:5" ht="45" x14ac:dyDescent="0.2">
      <c r="A2803" s="65" t="s">
        <v>7453</v>
      </c>
      <c r="B2803" s="65" t="s">
        <v>7454</v>
      </c>
      <c r="C2803" s="74" t="s">
        <v>203</v>
      </c>
      <c r="D2803" s="69" t="s">
        <v>7455</v>
      </c>
      <c r="E2803" s="69" t="s">
        <v>7456</v>
      </c>
    </row>
    <row r="2804" spans="1:5" ht="45" x14ac:dyDescent="0.2">
      <c r="A2804" s="65" t="s">
        <v>7457</v>
      </c>
      <c r="B2804" s="65" t="s">
        <v>7458</v>
      </c>
      <c r="C2804" s="74" t="s">
        <v>203</v>
      </c>
      <c r="D2804" s="69" t="s">
        <v>7459</v>
      </c>
      <c r="E2804" s="69" t="s">
        <v>6532</v>
      </c>
    </row>
    <row r="2805" spans="1:5" ht="67.5" x14ac:dyDescent="0.2">
      <c r="A2805" s="65" t="s">
        <v>7460</v>
      </c>
      <c r="B2805" s="66" t="s">
        <v>7461</v>
      </c>
      <c r="C2805" s="74" t="s">
        <v>203</v>
      </c>
      <c r="D2805" s="69" t="s">
        <v>7462</v>
      </c>
      <c r="E2805" s="69" t="s">
        <v>7463</v>
      </c>
    </row>
    <row r="2806" spans="1:5" ht="67.5" x14ac:dyDescent="0.2">
      <c r="A2806" s="65" t="s">
        <v>7464</v>
      </c>
      <c r="B2806" s="66" t="s">
        <v>7465</v>
      </c>
      <c r="C2806" s="74" t="s">
        <v>204</v>
      </c>
      <c r="D2806" s="69" t="s">
        <v>7466</v>
      </c>
      <c r="E2806" s="69" t="s">
        <v>7467</v>
      </c>
    </row>
    <row r="2807" spans="1:5" ht="45" x14ac:dyDescent="0.2">
      <c r="A2807" s="50">
        <v>42.2</v>
      </c>
      <c r="B2807" s="64" t="s">
        <v>7468</v>
      </c>
      <c r="C2807" s="47"/>
      <c r="D2807" s="47"/>
      <c r="E2807" s="47"/>
    </row>
    <row r="2808" spans="1:5" ht="67.5" x14ac:dyDescent="0.2">
      <c r="A2808" s="65" t="s">
        <v>7469</v>
      </c>
      <c r="B2808" s="66" t="s">
        <v>7470</v>
      </c>
      <c r="C2808" s="74" t="s">
        <v>203</v>
      </c>
      <c r="D2808" s="69" t="s">
        <v>7471</v>
      </c>
      <c r="E2808" s="69" t="s">
        <v>7472</v>
      </c>
    </row>
    <row r="2809" spans="1:5" ht="67.5" x14ac:dyDescent="0.2">
      <c r="A2809" s="65" t="s">
        <v>7473</v>
      </c>
      <c r="B2809" s="66" t="s">
        <v>7474</v>
      </c>
      <c r="C2809" s="74" t="s">
        <v>203</v>
      </c>
      <c r="D2809" s="69" t="s">
        <v>7475</v>
      </c>
      <c r="E2809" s="69" t="s">
        <v>7476</v>
      </c>
    </row>
    <row r="2810" spans="1:5" ht="67.5" x14ac:dyDescent="0.2">
      <c r="A2810" s="65" t="s">
        <v>7477</v>
      </c>
      <c r="B2810" s="66" t="s">
        <v>7478</v>
      </c>
      <c r="C2810" s="74" t="s">
        <v>203</v>
      </c>
      <c r="D2810" s="69" t="s">
        <v>7259</v>
      </c>
      <c r="E2810" s="69" t="s">
        <v>7479</v>
      </c>
    </row>
    <row r="2811" spans="1:5" ht="67.5" x14ac:dyDescent="0.2">
      <c r="A2811" s="65" t="s">
        <v>7480</v>
      </c>
      <c r="B2811" s="66" t="s">
        <v>7481</v>
      </c>
      <c r="C2811" s="74" t="s">
        <v>203</v>
      </c>
      <c r="D2811" s="69" t="s">
        <v>7482</v>
      </c>
      <c r="E2811" s="69" t="s">
        <v>7483</v>
      </c>
    </row>
    <row r="2812" spans="1:5" ht="78.75" x14ac:dyDescent="0.2">
      <c r="A2812" s="65" t="s">
        <v>7484</v>
      </c>
      <c r="B2812" s="66" t="s">
        <v>7485</v>
      </c>
      <c r="C2812" s="74" t="s">
        <v>203</v>
      </c>
      <c r="D2812" s="69" t="s">
        <v>6171</v>
      </c>
      <c r="E2812" s="69" t="s">
        <v>3255</v>
      </c>
    </row>
    <row r="2813" spans="1:5" ht="67.5" x14ac:dyDescent="0.2">
      <c r="A2813" s="65" t="s">
        <v>7486</v>
      </c>
      <c r="B2813" s="66" t="s">
        <v>7487</v>
      </c>
      <c r="C2813" s="74" t="s">
        <v>203</v>
      </c>
      <c r="D2813" s="69" t="s">
        <v>5867</v>
      </c>
      <c r="E2813" s="69" t="s">
        <v>7488</v>
      </c>
    </row>
    <row r="2814" spans="1:5" ht="56.25" x14ac:dyDescent="0.2">
      <c r="A2814" s="65" t="s">
        <v>7489</v>
      </c>
      <c r="B2814" s="66" t="s">
        <v>7490</v>
      </c>
      <c r="C2814" s="74" t="s">
        <v>203</v>
      </c>
      <c r="D2814" s="69" t="s">
        <v>7471</v>
      </c>
      <c r="E2814" s="69" t="s">
        <v>7472</v>
      </c>
    </row>
    <row r="2815" spans="1:5" ht="78.75" x14ac:dyDescent="0.2">
      <c r="A2815" s="65" t="s">
        <v>7491</v>
      </c>
      <c r="B2815" s="66" t="s">
        <v>7492</v>
      </c>
      <c r="C2815" s="74" t="s">
        <v>203</v>
      </c>
      <c r="D2815" s="69" t="s">
        <v>5888</v>
      </c>
      <c r="E2815" s="69" t="s">
        <v>7493</v>
      </c>
    </row>
    <row r="2816" spans="1:5" ht="67.5" x14ac:dyDescent="0.2">
      <c r="A2816" s="65" t="s">
        <v>7494</v>
      </c>
      <c r="B2816" s="66" t="s">
        <v>7495</v>
      </c>
      <c r="C2816" s="74" t="s">
        <v>203</v>
      </c>
      <c r="D2816" s="69" t="s">
        <v>7496</v>
      </c>
      <c r="E2816" s="69" t="s">
        <v>7497</v>
      </c>
    </row>
    <row r="2817" spans="1:5" ht="67.5" x14ac:dyDescent="0.2">
      <c r="A2817" s="65" t="s">
        <v>7498</v>
      </c>
      <c r="B2817" s="66" t="s">
        <v>7499</v>
      </c>
      <c r="C2817" s="74" t="s">
        <v>203</v>
      </c>
      <c r="D2817" s="69" t="s">
        <v>7500</v>
      </c>
      <c r="E2817" s="69" t="s">
        <v>7501</v>
      </c>
    </row>
    <row r="2818" spans="1:5" ht="78.75" x14ac:dyDescent="0.2">
      <c r="A2818" s="65" t="s">
        <v>7502</v>
      </c>
      <c r="B2818" s="66" t="s">
        <v>7503</v>
      </c>
      <c r="C2818" s="74" t="s">
        <v>203</v>
      </c>
      <c r="D2818" s="69" t="s">
        <v>348</v>
      </c>
      <c r="E2818" s="69" t="s">
        <v>7504</v>
      </c>
    </row>
    <row r="2819" spans="1:5" ht="67.5" x14ac:dyDescent="0.2">
      <c r="A2819" s="65" t="s">
        <v>7505</v>
      </c>
      <c r="B2819" s="66" t="s">
        <v>7506</v>
      </c>
      <c r="C2819" s="74" t="s">
        <v>203</v>
      </c>
      <c r="D2819" s="69" t="s">
        <v>7507</v>
      </c>
      <c r="E2819" s="69" t="s">
        <v>7508</v>
      </c>
    </row>
    <row r="2820" spans="1:5" ht="67.5" x14ac:dyDescent="0.2">
      <c r="A2820" s="65" t="s">
        <v>7509</v>
      </c>
      <c r="B2820" s="66" t="s">
        <v>7510</v>
      </c>
      <c r="C2820" s="74" t="s">
        <v>203</v>
      </c>
      <c r="D2820" s="69" t="s">
        <v>7511</v>
      </c>
      <c r="E2820" s="69" t="s">
        <v>7512</v>
      </c>
    </row>
    <row r="2821" spans="1:5" ht="78.75" x14ac:dyDescent="0.2">
      <c r="A2821" s="65" t="s">
        <v>7513</v>
      </c>
      <c r="B2821" s="66" t="s">
        <v>7514</v>
      </c>
      <c r="C2821" s="74" t="s">
        <v>203</v>
      </c>
      <c r="D2821" s="69" t="s">
        <v>7515</v>
      </c>
      <c r="E2821" s="69" t="s">
        <v>7516</v>
      </c>
    </row>
    <row r="2822" spans="1:5" ht="78.75" x14ac:dyDescent="0.2">
      <c r="A2822" s="70" t="s">
        <v>7517</v>
      </c>
      <c r="B2822" s="65" t="s">
        <v>7518</v>
      </c>
      <c r="C2822" s="75" t="s">
        <v>203</v>
      </c>
      <c r="D2822" s="72" t="s">
        <v>7519</v>
      </c>
      <c r="E2822" s="72" t="s">
        <v>7520</v>
      </c>
    </row>
    <row r="2823" spans="1:5" ht="90" x14ac:dyDescent="0.2">
      <c r="A2823" s="70" t="s">
        <v>7521</v>
      </c>
      <c r="B2823" s="65" t="s">
        <v>7522</v>
      </c>
      <c r="C2823" s="75" t="s">
        <v>203</v>
      </c>
      <c r="D2823" s="72" t="s">
        <v>5718</v>
      </c>
      <c r="E2823" s="72" t="s">
        <v>7523</v>
      </c>
    </row>
    <row r="2824" spans="1:5" ht="90" x14ac:dyDescent="0.2">
      <c r="A2824" s="70" t="s">
        <v>7524</v>
      </c>
      <c r="B2824" s="65" t="s">
        <v>7525</v>
      </c>
      <c r="C2824" s="75" t="s">
        <v>203</v>
      </c>
      <c r="D2824" s="72" t="s">
        <v>7526</v>
      </c>
      <c r="E2824" s="72" t="s">
        <v>7527</v>
      </c>
    </row>
    <row r="2825" spans="1:5" ht="78.75" x14ac:dyDescent="0.2">
      <c r="A2825" s="65" t="s">
        <v>7528</v>
      </c>
      <c r="B2825" s="66" t="s">
        <v>7529</v>
      </c>
      <c r="C2825" s="74" t="s">
        <v>203</v>
      </c>
      <c r="D2825" s="69" t="s">
        <v>6137</v>
      </c>
      <c r="E2825" s="69" t="s">
        <v>7530</v>
      </c>
    </row>
    <row r="2826" spans="1:5" ht="56.25" x14ac:dyDescent="0.2">
      <c r="A2826" s="65" t="s">
        <v>7531</v>
      </c>
      <c r="B2826" s="66" t="s">
        <v>7532</v>
      </c>
      <c r="C2826" s="74" t="s">
        <v>203</v>
      </c>
      <c r="D2826" s="69" t="s">
        <v>6607</v>
      </c>
      <c r="E2826" s="69" t="s">
        <v>7533</v>
      </c>
    </row>
    <row r="2827" spans="1:5" ht="56.25" x14ac:dyDescent="0.2">
      <c r="A2827" s="65" t="s">
        <v>7534</v>
      </c>
      <c r="B2827" s="66" t="s">
        <v>7535</v>
      </c>
      <c r="C2827" s="74" t="s">
        <v>203</v>
      </c>
      <c r="D2827" s="69" t="s">
        <v>7536</v>
      </c>
      <c r="E2827" s="69" t="s">
        <v>7537</v>
      </c>
    </row>
    <row r="2828" spans="1:5" ht="33.75" x14ac:dyDescent="0.2">
      <c r="A2828" s="49">
        <v>43</v>
      </c>
      <c r="B2828" s="64" t="s">
        <v>7538</v>
      </c>
      <c r="C2828" s="47"/>
      <c r="D2828" s="47"/>
      <c r="E2828" s="47"/>
    </row>
    <row r="2829" spans="1:5" x14ac:dyDescent="0.2">
      <c r="A2829" s="50">
        <v>43.01</v>
      </c>
      <c r="B2829" s="64" t="s">
        <v>7539</v>
      </c>
      <c r="C2829" s="47"/>
      <c r="D2829" s="47"/>
      <c r="E2829" s="47"/>
    </row>
    <row r="2830" spans="1:5" ht="101.25" x14ac:dyDescent="0.2">
      <c r="A2830" s="70" t="s">
        <v>7540</v>
      </c>
      <c r="B2830" s="66" t="s">
        <v>7541</v>
      </c>
      <c r="C2830" s="71" t="s">
        <v>203</v>
      </c>
      <c r="D2830" s="72" t="s">
        <v>7542</v>
      </c>
      <c r="E2830" s="72" t="s">
        <v>7543</v>
      </c>
    </row>
    <row r="2831" spans="1:5" ht="101.25" x14ac:dyDescent="0.2">
      <c r="A2831" s="70" t="s">
        <v>7544</v>
      </c>
      <c r="B2831" s="66" t="s">
        <v>7545</v>
      </c>
      <c r="C2831" s="71" t="s">
        <v>203</v>
      </c>
      <c r="D2831" s="72" t="s">
        <v>7546</v>
      </c>
      <c r="E2831" s="72" t="s">
        <v>7547</v>
      </c>
    </row>
    <row r="2832" spans="1:5" x14ac:dyDescent="0.2">
      <c r="A2832" s="50">
        <v>43.02</v>
      </c>
      <c r="B2832" s="64" t="s">
        <v>7548</v>
      </c>
      <c r="C2832" s="47"/>
      <c r="D2832" s="47"/>
      <c r="E2832" s="47"/>
    </row>
    <row r="2833" spans="1:5" ht="22.5" x14ac:dyDescent="0.2">
      <c r="A2833" s="65" t="s">
        <v>7549</v>
      </c>
      <c r="B2833" s="65" t="s">
        <v>7550</v>
      </c>
      <c r="C2833" s="67" t="s">
        <v>203</v>
      </c>
      <c r="D2833" s="69" t="s">
        <v>7551</v>
      </c>
      <c r="E2833" s="69" t="s">
        <v>7552</v>
      </c>
    </row>
    <row r="2834" spans="1:5" ht="45" x14ac:dyDescent="0.2">
      <c r="A2834" s="65" t="s">
        <v>7553</v>
      </c>
      <c r="B2834" s="65" t="s">
        <v>7554</v>
      </c>
      <c r="C2834" s="67" t="s">
        <v>203</v>
      </c>
      <c r="D2834" s="69" t="s">
        <v>7555</v>
      </c>
      <c r="E2834" s="69" t="s">
        <v>7557</v>
      </c>
    </row>
    <row r="2835" spans="1:5" ht="33.75" x14ac:dyDescent="0.2">
      <c r="A2835" s="65" t="s">
        <v>7558</v>
      </c>
      <c r="B2835" s="65" t="s">
        <v>7559</v>
      </c>
      <c r="C2835" s="67" t="s">
        <v>203</v>
      </c>
      <c r="D2835" s="69" t="s">
        <v>7560</v>
      </c>
      <c r="E2835" s="69" t="s">
        <v>4285</v>
      </c>
    </row>
    <row r="2836" spans="1:5" ht="45" x14ac:dyDescent="0.2">
      <c r="A2836" s="65" t="s">
        <v>7562</v>
      </c>
      <c r="B2836" s="65" t="s">
        <v>7563</v>
      </c>
      <c r="C2836" s="67" t="s">
        <v>203</v>
      </c>
      <c r="D2836" s="69" t="s">
        <v>7564</v>
      </c>
      <c r="E2836" s="69" t="s">
        <v>7565</v>
      </c>
    </row>
    <row r="2837" spans="1:5" ht="33.75" x14ac:dyDescent="0.2">
      <c r="A2837" s="65" t="s">
        <v>7566</v>
      </c>
      <c r="B2837" s="65" t="s">
        <v>7567</v>
      </c>
      <c r="C2837" s="67" t="s">
        <v>203</v>
      </c>
      <c r="D2837" s="69" t="s">
        <v>6187</v>
      </c>
      <c r="E2837" s="69" t="s">
        <v>6803</v>
      </c>
    </row>
    <row r="2838" spans="1:5" ht="33.75" x14ac:dyDescent="0.2">
      <c r="A2838" s="65" t="s">
        <v>7568</v>
      </c>
      <c r="B2838" s="65" t="s">
        <v>7569</v>
      </c>
      <c r="C2838" s="67" t="s">
        <v>203</v>
      </c>
      <c r="D2838" s="69" t="s">
        <v>7570</v>
      </c>
      <c r="E2838" s="69" t="s">
        <v>7571</v>
      </c>
    </row>
    <row r="2839" spans="1:5" ht="78.75" x14ac:dyDescent="0.2">
      <c r="A2839" s="65" t="s">
        <v>7572</v>
      </c>
      <c r="B2839" s="66" t="s">
        <v>7573</v>
      </c>
      <c r="C2839" s="67" t="s">
        <v>203</v>
      </c>
      <c r="D2839" s="69" t="s">
        <v>7574</v>
      </c>
      <c r="E2839" s="69" t="s">
        <v>7575</v>
      </c>
    </row>
    <row r="2840" spans="1:5" ht="33.75" x14ac:dyDescent="0.2">
      <c r="A2840" s="65" t="s">
        <v>7576</v>
      </c>
      <c r="B2840" s="65" t="s">
        <v>7577</v>
      </c>
      <c r="C2840" s="67" t="s">
        <v>203</v>
      </c>
      <c r="D2840" s="69" t="s">
        <v>7578</v>
      </c>
      <c r="E2840" s="69" t="s">
        <v>7579</v>
      </c>
    </row>
    <row r="2841" spans="1:5" ht="33.75" x14ac:dyDescent="0.2">
      <c r="A2841" s="65" t="s">
        <v>7580</v>
      </c>
      <c r="B2841" s="65" t="s">
        <v>7581</v>
      </c>
      <c r="C2841" s="67" t="s">
        <v>203</v>
      </c>
      <c r="D2841" s="69" t="s">
        <v>7582</v>
      </c>
      <c r="E2841" s="69" t="s">
        <v>7583</v>
      </c>
    </row>
    <row r="2842" spans="1:5" x14ac:dyDescent="0.2">
      <c r="A2842" s="50">
        <v>43.03</v>
      </c>
      <c r="B2842" s="64" t="s">
        <v>7584</v>
      </c>
      <c r="C2842" s="47"/>
      <c r="D2842" s="47"/>
      <c r="E2842" s="47"/>
    </row>
    <row r="2843" spans="1:5" ht="33.75" x14ac:dyDescent="0.2">
      <c r="A2843" s="65" t="s">
        <v>7585</v>
      </c>
      <c r="B2843" s="65" t="s">
        <v>7586</v>
      </c>
      <c r="C2843" s="67" t="s">
        <v>203</v>
      </c>
      <c r="D2843" s="69" t="s">
        <v>7587</v>
      </c>
      <c r="E2843" s="69" t="s">
        <v>7588</v>
      </c>
    </row>
    <row r="2844" spans="1:5" ht="33.75" x14ac:dyDescent="0.2">
      <c r="A2844" s="65" t="s">
        <v>7589</v>
      </c>
      <c r="B2844" s="65" t="s">
        <v>7590</v>
      </c>
      <c r="C2844" s="67" t="s">
        <v>203</v>
      </c>
      <c r="D2844" s="69" t="s">
        <v>7591</v>
      </c>
      <c r="E2844" s="69" t="s">
        <v>7593</v>
      </c>
    </row>
    <row r="2845" spans="1:5" ht="56.25" x14ac:dyDescent="0.2">
      <c r="A2845" s="65" t="s">
        <v>7594</v>
      </c>
      <c r="B2845" s="66" t="s">
        <v>7595</v>
      </c>
      <c r="C2845" s="67" t="s">
        <v>203</v>
      </c>
      <c r="D2845" s="69" t="s">
        <v>7596</v>
      </c>
      <c r="E2845" s="69" t="s">
        <v>7597</v>
      </c>
    </row>
    <row r="2846" spans="1:5" ht="67.5" x14ac:dyDescent="0.2">
      <c r="A2846" s="65" t="s">
        <v>7598</v>
      </c>
      <c r="B2846" s="66" t="s">
        <v>7599</v>
      </c>
      <c r="C2846" s="67" t="s">
        <v>240</v>
      </c>
      <c r="D2846" s="69" t="s">
        <v>7600</v>
      </c>
      <c r="E2846" s="69" t="s">
        <v>7602</v>
      </c>
    </row>
    <row r="2847" spans="1:5" ht="67.5" x14ac:dyDescent="0.2">
      <c r="A2847" s="65" t="s">
        <v>7603</v>
      </c>
      <c r="B2847" s="66" t="s">
        <v>7604</v>
      </c>
      <c r="C2847" s="67" t="s">
        <v>240</v>
      </c>
      <c r="D2847" s="69" t="s">
        <v>7605</v>
      </c>
      <c r="E2847" s="69" t="s">
        <v>7607</v>
      </c>
    </row>
    <row r="2848" spans="1:5" ht="67.5" x14ac:dyDescent="0.2">
      <c r="A2848" s="65" t="s">
        <v>7608</v>
      </c>
      <c r="B2848" s="66" t="s">
        <v>7609</v>
      </c>
      <c r="C2848" s="67" t="s">
        <v>240</v>
      </c>
      <c r="D2848" s="69" t="s">
        <v>7610</v>
      </c>
      <c r="E2848" s="69" t="s">
        <v>7612</v>
      </c>
    </row>
    <row r="2849" spans="1:5" ht="56.25" x14ac:dyDescent="0.2">
      <c r="A2849" s="65" t="s">
        <v>7613</v>
      </c>
      <c r="B2849" s="66" t="s">
        <v>7614</v>
      </c>
      <c r="C2849" s="67" t="s">
        <v>203</v>
      </c>
      <c r="D2849" s="69" t="s">
        <v>7615</v>
      </c>
      <c r="E2849" s="69" t="s">
        <v>7617</v>
      </c>
    </row>
    <row r="2850" spans="1:5" ht="56.25" x14ac:dyDescent="0.2">
      <c r="A2850" s="65" t="s">
        <v>7618</v>
      </c>
      <c r="B2850" s="66" t="s">
        <v>7619</v>
      </c>
      <c r="C2850" s="67" t="s">
        <v>203</v>
      </c>
      <c r="D2850" s="69" t="s">
        <v>7620</v>
      </c>
      <c r="E2850" s="69" t="s">
        <v>7622</v>
      </c>
    </row>
    <row r="2851" spans="1:5" ht="56.25" x14ac:dyDescent="0.2">
      <c r="A2851" s="65" t="s">
        <v>7623</v>
      </c>
      <c r="B2851" s="66" t="s">
        <v>7624</v>
      </c>
      <c r="C2851" s="67" t="s">
        <v>203</v>
      </c>
      <c r="D2851" s="69" t="s">
        <v>7625</v>
      </c>
      <c r="E2851" s="69" t="s">
        <v>7626</v>
      </c>
    </row>
    <row r="2852" spans="1:5" x14ac:dyDescent="0.2">
      <c r="A2852" s="50">
        <v>43.04</v>
      </c>
      <c r="B2852" s="64" t="s">
        <v>7627</v>
      </c>
      <c r="C2852" s="47"/>
      <c r="D2852" s="47"/>
      <c r="E2852" s="47"/>
    </row>
    <row r="2853" spans="1:5" x14ac:dyDescent="0.2">
      <c r="A2853" s="65" t="s">
        <v>7628</v>
      </c>
      <c r="B2853" s="65" t="s">
        <v>7629</v>
      </c>
      <c r="C2853" s="67" t="s">
        <v>203</v>
      </c>
      <c r="D2853" s="69" t="s">
        <v>7630</v>
      </c>
      <c r="E2853" s="69" t="s">
        <v>7631</v>
      </c>
    </row>
    <row r="2854" spans="1:5" ht="22.5" x14ac:dyDescent="0.2">
      <c r="A2854" s="50">
        <v>43.05</v>
      </c>
      <c r="B2854" s="64" t="s">
        <v>7632</v>
      </c>
      <c r="C2854" s="47"/>
      <c r="D2854" s="47"/>
      <c r="E2854" s="47"/>
    </row>
    <row r="2855" spans="1:5" ht="33.75" x14ac:dyDescent="0.2">
      <c r="A2855" s="65" t="s">
        <v>7633</v>
      </c>
      <c r="B2855" s="65" t="s">
        <v>7634</v>
      </c>
      <c r="C2855" s="67" t="s">
        <v>203</v>
      </c>
      <c r="D2855" s="69" t="s">
        <v>7635</v>
      </c>
      <c r="E2855" s="69" t="s">
        <v>7636</v>
      </c>
    </row>
    <row r="2856" spans="1:5" ht="56.25" x14ac:dyDescent="0.2">
      <c r="A2856" s="65" t="s">
        <v>7637</v>
      </c>
      <c r="B2856" s="66" t="s">
        <v>7638</v>
      </c>
      <c r="C2856" s="67" t="s">
        <v>203</v>
      </c>
      <c r="D2856" s="69" t="s">
        <v>7639</v>
      </c>
      <c r="E2856" s="69" t="s">
        <v>7640</v>
      </c>
    </row>
    <row r="2857" spans="1:5" x14ac:dyDescent="0.2">
      <c r="A2857" s="50">
        <v>43.06</v>
      </c>
      <c r="B2857" s="64" t="s">
        <v>7641</v>
      </c>
      <c r="C2857" s="47"/>
      <c r="D2857" s="47"/>
      <c r="E2857" s="47"/>
    </row>
    <row r="2858" spans="1:5" ht="33.75" x14ac:dyDescent="0.2">
      <c r="A2858" s="65" t="s">
        <v>7642</v>
      </c>
      <c r="B2858" s="65" t="s">
        <v>7643</v>
      </c>
      <c r="C2858" s="67" t="s">
        <v>203</v>
      </c>
      <c r="D2858" s="69" t="s">
        <v>7644</v>
      </c>
      <c r="E2858" s="69" t="s">
        <v>7645</v>
      </c>
    </row>
    <row r="2859" spans="1:5" ht="22.5" x14ac:dyDescent="0.2">
      <c r="A2859" s="50">
        <v>43.07</v>
      </c>
      <c r="B2859" s="64" t="s">
        <v>7646</v>
      </c>
      <c r="C2859" s="47"/>
      <c r="D2859" s="47"/>
      <c r="E2859" s="47"/>
    </row>
    <row r="2860" spans="1:5" ht="56.25" x14ac:dyDescent="0.2">
      <c r="A2860" s="65" t="s">
        <v>7647</v>
      </c>
      <c r="B2860" s="66" t="s">
        <v>7648</v>
      </c>
      <c r="C2860" s="67" t="s">
        <v>240</v>
      </c>
      <c r="D2860" s="69" t="s">
        <v>7649</v>
      </c>
      <c r="E2860" s="69" t="s">
        <v>7651</v>
      </c>
    </row>
    <row r="2861" spans="1:5" ht="67.5" x14ac:dyDescent="0.2">
      <c r="A2861" s="65" t="s">
        <v>7652</v>
      </c>
      <c r="B2861" s="66" t="s">
        <v>7653</v>
      </c>
      <c r="C2861" s="67" t="s">
        <v>240</v>
      </c>
      <c r="D2861" s="69" t="s">
        <v>7654</v>
      </c>
      <c r="E2861" s="69" t="s">
        <v>7656</v>
      </c>
    </row>
    <row r="2862" spans="1:5" ht="67.5" x14ac:dyDescent="0.2">
      <c r="A2862" s="65" t="s">
        <v>7657</v>
      </c>
      <c r="B2862" s="66" t="s">
        <v>7658</v>
      </c>
      <c r="C2862" s="67" t="s">
        <v>240</v>
      </c>
      <c r="D2862" s="69" t="s">
        <v>7659</v>
      </c>
      <c r="E2862" s="69" t="s">
        <v>7660</v>
      </c>
    </row>
    <row r="2863" spans="1:5" ht="67.5" x14ac:dyDescent="0.2">
      <c r="A2863" s="65" t="s">
        <v>7661</v>
      </c>
      <c r="B2863" s="66" t="s">
        <v>7662</v>
      </c>
      <c r="C2863" s="67" t="s">
        <v>240</v>
      </c>
      <c r="D2863" s="69" t="s">
        <v>7663</v>
      </c>
      <c r="E2863" s="69" t="s">
        <v>7664</v>
      </c>
    </row>
    <row r="2864" spans="1:5" ht="45" x14ac:dyDescent="0.2">
      <c r="A2864" s="65" t="s">
        <v>7665</v>
      </c>
      <c r="B2864" s="65" t="s">
        <v>7666</v>
      </c>
      <c r="C2864" s="67" t="s">
        <v>240</v>
      </c>
      <c r="D2864" s="69" t="s">
        <v>7667</v>
      </c>
      <c r="E2864" s="69" t="s">
        <v>7668</v>
      </c>
    </row>
    <row r="2865" spans="1:5" ht="45" x14ac:dyDescent="0.2">
      <c r="A2865" s="65" t="s">
        <v>7669</v>
      </c>
      <c r="B2865" s="65" t="s">
        <v>7670</v>
      </c>
      <c r="C2865" s="67" t="s">
        <v>240</v>
      </c>
      <c r="D2865" s="69" t="s">
        <v>7671</v>
      </c>
      <c r="E2865" s="69" t="s">
        <v>7672</v>
      </c>
    </row>
    <row r="2866" spans="1:5" ht="45" x14ac:dyDescent="0.2">
      <c r="A2866" s="65" t="s">
        <v>7673</v>
      </c>
      <c r="B2866" s="65" t="s">
        <v>7674</v>
      </c>
      <c r="C2866" s="67" t="s">
        <v>240</v>
      </c>
      <c r="D2866" s="69" t="s">
        <v>7675</v>
      </c>
      <c r="E2866" s="69" t="s">
        <v>7676</v>
      </c>
    </row>
    <row r="2867" spans="1:5" ht="45" x14ac:dyDescent="0.2">
      <c r="A2867" s="65" t="s">
        <v>7677</v>
      </c>
      <c r="B2867" s="65" t="s">
        <v>7678</v>
      </c>
      <c r="C2867" s="67" t="s">
        <v>240</v>
      </c>
      <c r="D2867" s="69" t="s">
        <v>7679</v>
      </c>
      <c r="E2867" s="69" t="s">
        <v>7680</v>
      </c>
    </row>
    <row r="2868" spans="1:5" ht="56.25" x14ac:dyDescent="0.2">
      <c r="A2868" s="65" t="s">
        <v>7681</v>
      </c>
      <c r="B2868" s="66" t="s">
        <v>7682</v>
      </c>
      <c r="C2868" s="67" t="s">
        <v>240</v>
      </c>
      <c r="D2868" s="69" t="s">
        <v>7683</v>
      </c>
      <c r="E2868" s="69" t="s">
        <v>7684</v>
      </c>
    </row>
    <row r="2869" spans="1:5" ht="56.25" x14ac:dyDescent="0.2">
      <c r="A2869" s="65" t="s">
        <v>7685</v>
      </c>
      <c r="B2869" s="66" t="s">
        <v>7686</v>
      </c>
      <c r="C2869" s="67" t="s">
        <v>240</v>
      </c>
      <c r="D2869" s="69" t="s">
        <v>7687</v>
      </c>
      <c r="E2869" s="69" t="s">
        <v>7688</v>
      </c>
    </row>
    <row r="2870" spans="1:5" ht="33.75" x14ac:dyDescent="0.2">
      <c r="A2870" s="50">
        <v>43.08</v>
      </c>
      <c r="B2870" s="64" t="s">
        <v>7689</v>
      </c>
      <c r="C2870" s="47"/>
      <c r="D2870" s="47"/>
      <c r="E2870" s="47"/>
    </row>
    <row r="2871" spans="1:5" ht="45" x14ac:dyDescent="0.2">
      <c r="A2871" s="65" t="s">
        <v>7690</v>
      </c>
      <c r="B2871" s="65" t="s">
        <v>7691</v>
      </c>
      <c r="C2871" s="67" t="s">
        <v>203</v>
      </c>
      <c r="D2871" s="69" t="s">
        <v>7692</v>
      </c>
      <c r="E2871" s="69" t="s">
        <v>7694</v>
      </c>
    </row>
    <row r="2872" spans="1:5" ht="56.25" x14ac:dyDescent="0.2">
      <c r="A2872" s="65" t="s">
        <v>7695</v>
      </c>
      <c r="B2872" s="66" t="s">
        <v>7696</v>
      </c>
      <c r="C2872" s="67" t="s">
        <v>203</v>
      </c>
      <c r="D2872" s="69" t="s">
        <v>7697</v>
      </c>
      <c r="E2872" s="69" t="s">
        <v>7698</v>
      </c>
    </row>
    <row r="2873" spans="1:5" ht="56.25" x14ac:dyDescent="0.2">
      <c r="A2873" s="65" t="s">
        <v>7699</v>
      </c>
      <c r="B2873" s="66" t="s">
        <v>7700</v>
      </c>
      <c r="C2873" s="67" t="s">
        <v>203</v>
      </c>
      <c r="D2873" s="69" t="s">
        <v>7701</v>
      </c>
      <c r="E2873" s="69" t="s">
        <v>7702</v>
      </c>
    </row>
    <row r="2874" spans="1:5" ht="56.25" x14ac:dyDescent="0.2">
      <c r="A2874" s="65" t="s">
        <v>7703</v>
      </c>
      <c r="B2874" s="66" t="s">
        <v>7704</v>
      </c>
      <c r="C2874" s="67" t="s">
        <v>203</v>
      </c>
      <c r="D2874" s="69" t="s">
        <v>7705</v>
      </c>
      <c r="E2874" s="69" t="s">
        <v>7706</v>
      </c>
    </row>
    <row r="2875" spans="1:5" ht="56.25" x14ac:dyDescent="0.2">
      <c r="A2875" s="65" t="s">
        <v>7707</v>
      </c>
      <c r="B2875" s="66" t="s">
        <v>7708</v>
      </c>
      <c r="C2875" s="67" t="s">
        <v>203</v>
      </c>
      <c r="D2875" s="69" t="s">
        <v>7709</v>
      </c>
      <c r="E2875" s="69" t="s">
        <v>7711</v>
      </c>
    </row>
    <row r="2876" spans="1:5" ht="56.25" x14ac:dyDescent="0.2">
      <c r="A2876" s="65" t="s">
        <v>7712</v>
      </c>
      <c r="B2876" s="66" t="s">
        <v>7713</v>
      </c>
      <c r="C2876" s="67" t="s">
        <v>203</v>
      </c>
      <c r="D2876" s="69" t="s">
        <v>7714</v>
      </c>
      <c r="E2876" s="69" t="s">
        <v>7715</v>
      </c>
    </row>
    <row r="2877" spans="1:5" ht="56.25" x14ac:dyDescent="0.2">
      <c r="A2877" s="65" t="s">
        <v>7716</v>
      </c>
      <c r="B2877" s="66" t="s">
        <v>7717</v>
      </c>
      <c r="C2877" s="67" t="s">
        <v>203</v>
      </c>
      <c r="D2877" s="69" t="s">
        <v>7718</v>
      </c>
      <c r="E2877" s="69" t="s">
        <v>7719</v>
      </c>
    </row>
    <row r="2878" spans="1:5" ht="56.25" x14ac:dyDescent="0.2">
      <c r="A2878" s="65" t="s">
        <v>7720</v>
      </c>
      <c r="B2878" s="66" t="s">
        <v>7721</v>
      </c>
      <c r="C2878" s="67" t="s">
        <v>203</v>
      </c>
      <c r="D2878" s="69" t="s">
        <v>7722</v>
      </c>
      <c r="E2878" s="69" t="s">
        <v>7723</v>
      </c>
    </row>
    <row r="2879" spans="1:5" ht="56.25" x14ac:dyDescent="0.2">
      <c r="A2879" s="65" t="s">
        <v>7724</v>
      </c>
      <c r="B2879" s="66" t="s">
        <v>7725</v>
      </c>
      <c r="C2879" s="67" t="s">
        <v>203</v>
      </c>
      <c r="D2879" s="69" t="s">
        <v>7726</v>
      </c>
      <c r="E2879" s="69" t="s">
        <v>7727</v>
      </c>
    </row>
    <row r="2880" spans="1:5" ht="56.25" x14ac:dyDescent="0.2">
      <c r="A2880" s="65" t="s">
        <v>7728</v>
      </c>
      <c r="B2880" s="66" t="s">
        <v>7729</v>
      </c>
      <c r="C2880" s="67" t="s">
        <v>203</v>
      </c>
      <c r="D2880" s="69" t="s">
        <v>7730</v>
      </c>
      <c r="E2880" s="69" t="s">
        <v>7731</v>
      </c>
    </row>
    <row r="2881" spans="1:5" ht="56.25" x14ac:dyDescent="0.2">
      <c r="A2881" s="65" t="s">
        <v>7732</v>
      </c>
      <c r="B2881" s="66" t="s">
        <v>7733</v>
      </c>
      <c r="C2881" s="67" t="s">
        <v>203</v>
      </c>
      <c r="D2881" s="69" t="s">
        <v>7734</v>
      </c>
      <c r="E2881" s="69" t="s">
        <v>7735</v>
      </c>
    </row>
    <row r="2882" spans="1:5" ht="56.25" x14ac:dyDescent="0.2">
      <c r="A2882" s="65" t="s">
        <v>7736</v>
      </c>
      <c r="B2882" s="66" t="s">
        <v>7737</v>
      </c>
      <c r="C2882" s="67" t="s">
        <v>203</v>
      </c>
      <c r="D2882" s="69" t="s">
        <v>7738</v>
      </c>
      <c r="E2882" s="69" t="s">
        <v>7739</v>
      </c>
    </row>
    <row r="2883" spans="1:5" ht="56.25" x14ac:dyDescent="0.2">
      <c r="A2883" s="65" t="s">
        <v>7740</v>
      </c>
      <c r="B2883" s="66" t="s">
        <v>7741</v>
      </c>
      <c r="C2883" s="67" t="s">
        <v>203</v>
      </c>
      <c r="D2883" s="69" t="s">
        <v>7742</v>
      </c>
      <c r="E2883" s="69" t="s">
        <v>7743</v>
      </c>
    </row>
    <row r="2884" spans="1:5" ht="56.25" x14ac:dyDescent="0.2">
      <c r="A2884" s="65" t="s">
        <v>7744</v>
      </c>
      <c r="B2884" s="66" t="s">
        <v>7745</v>
      </c>
      <c r="C2884" s="67" t="s">
        <v>203</v>
      </c>
      <c r="D2884" s="69" t="s">
        <v>7746</v>
      </c>
      <c r="E2884" s="69" t="s">
        <v>7747</v>
      </c>
    </row>
    <row r="2885" spans="1:5" ht="56.25" x14ac:dyDescent="0.2">
      <c r="A2885" s="65" t="s">
        <v>7748</v>
      </c>
      <c r="B2885" s="66" t="s">
        <v>7749</v>
      </c>
      <c r="C2885" s="67" t="s">
        <v>203</v>
      </c>
      <c r="D2885" s="69" t="s">
        <v>7750</v>
      </c>
      <c r="E2885" s="69" t="s">
        <v>7751</v>
      </c>
    </row>
    <row r="2886" spans="1:5" ht="22.5" x14ac:dyDescent="0.2">
      <c r="A2886" s="50">
        <v>43.1</v>
      </c>
      <c r="B2886" s="64" t="s">
        <v>7752</v>
      </c>
      <c r="C2886" s="47"/>
      <c r="D2886" s="47"/>
      <c r="E2886" s="47"/>
    </row>
    <row r="2887" spans="1:5" ht="56.25" x14ac:dyDescent="0.2">
      <c r="A2887" s="65" t="s">
        <v>7753</v>
      </c>
      <c r="B2887" s="66" t="s">
        <v>7754</v>
      </c>
      <c r="C2887" s="67" t="s">
        <v>203</v>
      </c>
      <c r="D2887" s="69" t="s">
        <v>7755</v>
      </c>
      <c r="E2887" s="69" t="s">
        <v>7756</v>
      </c>
    </row>
    <row r="2888" spans="1:5" ht="56.25" x14ac:dyDescent="0.2">
      <c r="A2888" s="65" t="s">
        <v>7757</v>
      </c>
      <c r="B2888" s="66" t="s">
        <v>7758</v>
      </c>
      <c r="C2888" s="67" t="s">
        <v>203</v>
      </c>
      <c r="D2888" s="69" t="s">
        <v>7759</v>
      </c>
      <c r="E2888" s="69" t="s">
        <v>7760</v>
      </c>
    </row>
    <row r="2889" spans="1:5" ht="56.25" x14ac:dyDescent="0.2">
      <c r="A2889" s="65" t="s">
        <v>7761</v>
      </c>
      <c r="B2889" s="66" t="s">
        <v>7762</v>
      </c>
      <c r="C2889" s="67" t="s">
        <v>203</v>
      </c>
      <c r="D2889" s="69" t="s">
        <v>7763</v>
      </c>
      <c r="E2889" s="69" t="s">
        <v>7764</v>
      </c>
    </row>
    <row r="2890" spans="1:5" ht="67.5" x14ac:dyDescent="0.2">
      <c r="A2890" s="65" t="s">
        <v>7765</v>
      </c>
      <c r="B2890" s="66" t="s">
        <v>7766</v>
      </c>
      <c r="C2890" s="67" t="s">
        <v>203</v>
      </c>
      <c r="D2890" s="69" t="s">
        <v>7767</v>
      </c>
      <c r="E2890" s="69" t="s">
        <v>7768</v>
      </c>
    </row>
    <row r="2891" spans="1:5" ht="67.5" x14ac:dyDescent="0.2">
      <c r="A2891" s="65" t="s">
        <v>7769</v>
      </c>
      <c r="B2891" s="66" t="s">
        <v>7770</v>
      </c>
      <c r="C2891" s="67" t="s">
        <v>203</v>
      </c>
      <c r="D2891" s="69" t="s">
        <v>7771</v>
      </c>
      <c r="E2891" s="69" t="s">
        <v>7772</v>
      </c>
    </row>
    <row r="2892" spans="1:5" ht="56.25" x14ac:dyDescent="0.2">
      <c r="A2892" s="65" t="s">
        <v>7773</v>
      </c>
      <c r="B2892" s="66" t="s">
        <v>7774</v>
      </c>
      <c r="C2892" s="67" t="s">
        <v>203</v>
      </c>
      <c r="D2892" s="69" t="s">
        <v>7775</v>
      </c>
      <c r="E2892" s="69" t="s">
        <v>7776</v>
      </c>
    </row>
    <row r="2893" spans="1:5" ht="56.25" x14ac:dyDescent="0.2">
      <c r="A2893" s="65" t="s">
        <v>7777</v>
      </c>
      <c r="B2893" s="66" t="s">
        <v>7778</v>
      </c>
      <c r="C2893" s="67" t="s">
        <v>203</v>
      </c>
      <c r="D2893" s="69" t="s">
        <v>7779</v>
      </c>
      <c r="E2893" s="69" t="s">
        <v>7780</v>
      </c>
    </row>
    <row r="2894" spans="1:5" ht="67.5" x14ac:dyDescent="0.2">
      <c r="A2894" s="65" t="s">
        <v>7781</v>
      </c>
      <c r="B2894" s="66" t="s">
        <v>7782</v>
      </c>
      <c r="C2894" s="67" t="s">
        <v>203</v>
      </c>
      <c r="D2894" s="69" t="s">
        <v>7783</v>
      </c>
      <c r="E2894" s="69" t="s">
        <v>7784</v>
      </c>
    </row>
    <row r="2895" spans="1:5" ht="67.5" x14ac:dyDescent="0.2">
      <c r="A2895" s="65" t="s">
        <v>7785</v>
      </c>
      <c r="B2895" s="66" t="s">
        <v>7786</v>
      </c>
      <c r="C2895" s="74" t="s">
        <v>203</v>
      </c>
      <c r="D2895" s="69" t="s">
        <v>7787</v>
      </c>
      <c r="E2895" s="69" t="s">
        <v>7788</v>
      </c>
    </row>
    <row r="2896" spans="1:5" ht="67.5" x14ac:dyDescent="0.2">
      <c r="A2896" s="65" t="s">
        <v>7789</v>
      </c>
      <c r="B2896" s="66" t="s">
        <v>7790</v>
      </c>
      <c r="C2896" s="74" t="s">
        <v>203</v>
      </c>
      <c r="D2896" s="69" t="s">
        <v>7791</v>
      </c>
      <c r="E2896" s="69" t="s">
        <v>7792</v>
      </c>
    </row>
    <row r="2897" spans="1:5" ht="67.5" x14ac:dyDescent="0.2">
      <c r="A2897" s="65" t="s">
        <v>7793</v>
      </c>
      <c r="B2897" s="66" t="s">
        <v>7794</v>
      </c>
      <c r="C2897" s="74" t="s">
        <v>203</v>
      </c>
      <c r="D2897" s="69" t="s">
        <v>7795</v>
      </c>
      <c r="E2897" s="69" t="s">
        <v>7796</v>
      </c>
    </row>
    <row r="2898" spans="1:5" ht="67.5" x14ac:dyDescent="0.2">
      <c r="A2898" s="65" t="s">
        <v>7797</v>
      </c>
      <c r="B2898" s="66" t="s">
        <v>7798</v>
      </c>
      <c r="C2898" s="74" t="s">
        <v>203</v>
      </c>
      <c r="D2898" s="69" t="s">
        <v>7799</v>
      </c>
      <c r="E2898" s="69" t="s">
        <v>7800</v>
      </c>
    </row>
    <row r="2899" spans="1:5" ht="67.5" x14ac:dyDescent="0.2">
      <c r="A2899" s="65" t="s">
        <v>7801</v>
      </c>
      <c r="B2899" s="66" t="s">
        <v>7802</v>
      </c>
      <c r="C2899" s="74" t="s">
        <v>203</v>
      </c>
      <c r="D2899" s="69" t="s">
        <v>7803</v>
      </c>
      <c r="E2899" s="69" t="s">
        <v>7804</v>
      </c>
    </row>
    <row r="2900" spans="1:5" ht="67.5" x14ac:dyDescent="0.2">
      <c r="A2900" s="65" t="s">
        <v>7805</v>
      </c>
      <c r="B2900" s="66" t="s">
        <v>7806</v>
      </c>
      <c r="C2900" s="74" t="s">
        <v>203</v>
      </c>
      <c r="D2900" s="69" t="s">
        <v>7807</v>
      </c>
      <c r="E2900" s="69" t="s">
        <v>7808</v>
      </c>
    </row>
    <row r="2901" spans="1:5" ht="67.5" x14ac:dyDescent="0.2">
      <c r="A2901" s="65" t="s">
        <v>7809</v>
      </c>
      <c r="B2901" s="66" t="s">
        <v>7810</v>
      </c>
      <c r="C2901" s="74" t="s">
        <v>203</v>
      </c>
      <c r="D2901" s="69" t="s">
        <v>7811</v>
      </c>
      <c r="E2901" s="69" t="s">
        <v>7812</v>
      </c>
    </row>
    <row r="2902" spans="1:5" ht="67.5" x14ac:dyDescent="0.2">
      <c r="A2902" s="65" t="s">
        <v>7813</v>
      </c>
      <c r="B2902" s="66" t="s">
        <v>7814</v>
      </c>
      <c r="C2902" s="74" t="s">
        <v>203</v>
      </c>
      <c r="D2902" s="69" t="s">
        <v>7815</v>
      </c>
      <c r="E2902" s="69" t="s">
        <v>7816</v>
      </c>
    </row>
    <row r="2903" spans="1:5" ht="67.5" x14ac:dyDescent="0.2">
      <c r="A2903" s="65" t="s">
        <v>7817</v>
      </c>
      <c r="B2903" s="66" t="s">
        <v>7818</v>
      </c>
      <c r="C2903" s="74" t="s">
        <v>203</v>
      </c>
      <c r="D2903" s="69" t="s">
        <v>7819</v>
      </c>
      <c r="E2903" s="69" t="s">
        <v>7820</v>
      </c>
    </row>
    <row r="2904" spans="1:5" ht="67.5" x14ac:dyDescent="0.2">
      <c r="A2904" s="65" t="s">
        <v>7821</v>
      </c>
      <c r="B2904" s="66" t="s">
        <v>7822</v>
      </c>
      <c r="C2904" s="74" t="s">
        <v>203</v>
      </c>
      <c r="D2904" s="69" t="s">
        <v>7823</v>
      </c>
      <c r="E2904" s="69" t="s">
        <v>7824</v>
      </c>
    </row>
    <row r="2905" spans="1:5" ht="67.5" x14ac:dyDescent="0.2">
      <c r="A2905" s="65" t="s">
        <v>7825</v>
      </c>
      <c r="B2905" s="66" t="s">
        <v>7826</v>
      </c>
      <c r="C2905" s="74" t="s">
        <v>203</v>
      </c>
      <c r="D2905" s="69" t="s">
        <v>7827</v>
      </c>
      <c r="E2905" s="69" t="s">
        <v>7828</v>
      </c>
    </row>
    <row r="2906" spans="1:5" ht="67.5" x14ac:dyDescent="0.2">
      <c r="A2906" s="65" t="s">
        <v>7829</v>
      </c>
      <c r="B2906" s="66" t="s">
        <v>7830</v>
      </c>
      <c r="C2906" s="74" t="s">
        <v>203</v>
      </c>
      <c r="D2906" s="69" t="s">
        <v>7831</v>
      </c>
      <c r="E2906" s="69" t="s">
        <v>7832</v>
      </c>
    </row>
    <row r="2907" spans="1:5" ht="67.5" x14ac:dyDescent="0.2">
      <c r="A2907" s="65" t="s">
        <v>7833</v>
      </c>
      <c r="B2907" s="66" t="s">
        <v>7834</v>
      </c>
      <c r="C2907" s="74" t="s">
        <v>203</v>
      </c>
      <c r="D2907" s="69" t="s">
        <v>7835</v>
      </c>
      <c r="E2907" s="69" t="s">
        <v>7836</v>
      </c>
    </row>
    <row r="2908" spans="1:5" ht="67.5" x14ac:dyDescent="0.2">
      <c r="A2908" s="65" t="s">
        <v>7837</v>
      </c>
      <c r="B2908" s="66" t="s">
        <v>7838</v>
      </c>
      <c r="C2908" s="74" t="s">
        <v>203</v>
      </c>
      <c r="D2908" s="69" t="s">
        <v>7839</v>
      </c>
      <c r="E2908" s="69" t="s">
        <v>7840</v>
      </c>
    </row>
    <row r="2909" spans="1:5" ht="67.5" x14ac:dyDescent="0.2">
      <c r="A2909" s="65" t="s">
        <v>7841</v>
      </c>
      <c r="B2909" s="66" t="s">
        <v>7842</v>
      </c>
      <c r="C2909" s="74" t="s">
        <v>203</v>
      </c>
      <c r="D2909" s="69" t="s">
        <v>7843</v>
      </c>
      <c r="E2909" s="69" t="s">
        <v>7844</v>
      </c>
    </row>
    <row r="2910" spans="1:5" ht="22.5" x14ac:dyDescent="0.2">
      <c r="A2910" s="50">
        <v>43.11</v>
      </c>
      <c r="B2910" s="64" t="s">
        <v>7845</v>
      </c>
      <c r="C2910" s="47"/>
      <c r="D2910" s="47"/>
      <c r="E2910" s="47"/>
    </row>
    <row r="2911" spans="1:5" ht="67.5" x14ac:dyDescent="0.2">
      <c r="A2911" s="65" t="s">
        <v>7846</v>
      </c>
      <c r="B2911" s="66" t="s">
        <v>7847</v>
      </c>
      <c r="C2911" s="74" t="s">
        <v>203</v>
      </c>
      <c r="D2911" s="69" t="s">
        <v>7848</v>
      </c>
      <c r="E2911" s="69" t="s">
        <v>7850</v>
      </c>
    </row>
    <row r="2912" spans="1:5" ht="67.5" x14ac:dyDescent="0.2">
      <c r="A2912" s="65" t="s">
        <v>7851</v>
      </c>
      <c r="B2912" s="66" t="s">
        <v>7852</v>
      </c>
      <c r="C2912" s="74" t="s">
        <v>203</v>
      </c>
      <c r="D2912" s="69" t="s">
        <v>7853</v>
      </c>
      <c r="E2912" s="69" t="s">
        <v>7854</v>
      </c>
    </row>
    <row r="2913" spans="1:5" ht="67.5" x14ac:dyDescent="0.2">
      <c r="A2913" s="65" t="s">
        <v>7855</v>
      </c>
      <c r="B2913" s="66" t="s">
        <v>7856</v>
      </c>
      <c r="C2913" s="74" t="s">
        <v>203</v>
      </c>
      <c r="D2913" s="69" t="s">
        <v>7857</v>
      </c>
      <c r="E2913" s="69" t="s">
        <v>7858</v>
      </c>
    </row>
    <row r="2914" spans="1:5" ht="67.5" x14ac:dyDescent="0.2">
      <c r="A2914" s="65" t="s">
        <v>7859</v>
      </c>
      <c r="B2914" s="66" t="s">
        <v>7860</v>
      </c>
      <c r="C2914" s="74" t="s">
        <v>203</v>
      </c>
      <c r="D2914" s="69" t="s">
        <v>7861</v>
      </c>
      <c r="E2914" s="69" t="s">
        <v>7862</v>
      </c>
    </row>
    <row r="2915" spans="1:5" ht="67.5" x14ac:dyDescent="0.2">
      <c r="A2915" s="65" t="s">
        <v>7863</v>
      </c>
      <c r="B2915" s="66" t="s">
        <v>7864</v>
      </c>
      <c r="C2915" s="74" t="s">
        <v>203</v>
      </c>
      <c r="D2915" s="69" t="s">
        <v>7865</v>
      </c>
      <c r="E2915" s="69" t="s">
        <v>7866</v>
      </c>
    </row>
    <row r="2916" spans="1:5" ht="67.5" x14ac:dyDescent="0.2">
      <c r="A2916" s="65" t="s">
        <v>7867</v>
      </c>
      <c r="B2916" s="66" t="s">
        <v>7868</v>
      </c>
      <c r="C2916" s="74" t="s">
        <v>203</v>
      </c>
      <c r="D2916" s="69" t="s">
        <v>7869</v>
      </c>
      <c r="E2916" s="69" t="s">
        <v>7870</v>
      </c>
    </row>
    <row r="2917" spans="1:5" ht="90" x14ac:dyDescent="0.2">
      <c r="A2917" s="70" t="s">
        <v>7871</v>
      </c>
      <c r="B2917" s="65" t="s">
        <v>7872</v>
      </c>
      <c r="C2917" s="75" t="s">
        <v>203</v>
      </c>
      <c r="D2917" s="72" t="s">
        <v>7873</v>
      </c>
      <c r="E2917" s="72" t="s">
        <v>7874</v>
      </c>
    </row>
    <row r="2918" spans="1:5" ht="90" x14ac:dyDescent="0.2">
      <c r="A2918" s="70" t="s">
        <v>7875</v>
      </c>
      <c r="B2918" s="66" t="s">
        <v>7876</v>
      </c>
      <c r="C2918" s="75" t="s">
        <v>203</v>
      </c>
      <c r="D2918" s="72" t="s">
        <v>7877</v>
      </c>
      <c r="E2918" s="72" t="s">
        <v>7878</v>
      </c>
    </row>
    <row r="2919" spans="1:5" ht="78.75" x14ac:dyDescent="0.2">
      <c r="A2919" s="65" t="s">
        <v>7879</v>
      </c>
      <c r="B2919" s="66" t="s">
        <v>7880</v>
      </c>
      <c r="C2919" s="74" t="s">
        <v>203</v>
      </c>
      <c r="D2919" s="69" t="s">
        <v>7881</v>
      </c>
      <c r="E2919" s="69" t="s">
        <v>7882</v>
      </c>
    </row>
    <row r="2920" spans="1:5" ht="78.75" x14ac:dyDescent="0.2">
      <c r="A2920" s="65" t="s">
        <v>7883</v>
      </c>
      <c r="B2920" s="66" t="s">
        <v>7884</v>
      </c>
      <c r="C2920" s="74" t="s">
        <v>203</v>
      </c>
      <c r="D2920" s="69" t="s">
        <v>7885</v>
      </c>
      <c r="E2920" s="69" t="s">
        <v>7886</v>
      </c>
    </row>
    <row r="2921" spans="1:5" ht="78.75" x14ac:dyDescent="0.2">
      <c r="A2921" s="65" t="s">
        <v>7887</v>
      </c>
      <c r="B2921" s="66" t="s">
        <v>7888</v>
      </c>
      <c r="C2921" s="74" t="s">
        <v>203</v>
      </c>
      <c r="D2921" s="69" t="s">
        <v>7889</v>
      </c>
      <c r="E2921" s="69" t="s">
        <v>7890</v>
      </c>
    </row>
    <row r="2922" spans="1:5" ht="78.75" x14ac:dyDescent="0.2">
      <c r="A2922" s="65" t="s">
        <v>7891</v>
      </c>
      <c r="B2922" s="66" t="s">
        <v>7892</v>
      </c>
      <c r="C2922" s="67" t="s">
        <v>203</v>
      </c>
      <c r="D2922" s="69" t="s">
        <v>7893</v>
      </c>
      <c r="E2922" s="69" t="s">
        <v>7894</v>
      </c>
    </row>
    <row r="2923" spans="1:5" ht="67.5" x14ac:dyDescent="0.2">
      <c r="A2923" s="65" t="s">
        <v>7895</v>
      </c>
      <c r="B2923" s="66" t="s">
        <v>7896</v>
      </c>
      <c r="C2923" s="67" t="s">
        <v>203</v>
      </c>
      <c r="D2923" s="69" t="s">
        <v>7897</v>
      </c>
      <c r="E2923" s="69" t="s">
        <v>7898</v>
      </c>
    </row>
    <row r="2924" spans="1:5" ht="78.75" x14ac:dyDescent="0.2">
      <c r="A2924" s="65" t="s">
        <v>7899</v>
      </c>
      <c r="B2924" s="66" t="s">
        <v>7900</v>
      </c>
      <c r="C2924" s="67" t="s">
        <v>203</v>
      </c>
      <c r="D2924" s="69" t="s">
        <v>7901</v>
      </c>
      <c r="E2924" s="69" t="s">
        <v>7902</v>
      </c>
    </row>
    <row r="2925" spans="1:5" ht="90" x14ac:dyDescent="0.2">
      <c r="A2925" s="70" t="s">
        <v>7903</v>
      </c>
      <c r="B2925" s="65" t="s">
        <v>7904</v>
      </c>
      <c r="C2925" s="71" t="s">
        <v>203</v>
      </c>
      <c r="D2925" s="72" t="s">
        <v>7905</v>
      </c>
      <c r="E2925" s="72" t="s">
        <v>7906</v>
      </c>
    </row>
    <row r="2926" spans="1:5" ht="78.75" x14ac:dyDescent="0.2">
      <c r="A2926" s="65" t="s">
        <v>7907</v>
      </c>
      <c r="B2926" s="66" t="s">
        <v>7908</v>
      </c>
      <c r="C2926" s="67" t="s">
        <v>203</v>
      </c>
      <c r="D2926" s="69" t="s">
        <v>7909</v>
      </c>
      <c r="E2926" s="69" t="s">
        <v>7910</v>
      </c>
    </row>
    <row r="2927" spans="1:5" ht="22.5" x14ac:dyDescent="0.2">
      <c r="A2927" s="50">
        <v>43.12</v>
      </c>
      <c r="B2927" s="64" t="s">
        <v>7911</v>
      </c>
      <c r="C2927" s="47"/>
      <c r="D2927" s="47"/>
      <c r="E2927" s="47"/>
    </row>
    <row r="2928" spans="1:5" ht="45" x14ac:dyDescent="0.2">
      <c r="A2928" s="65" t="s">
        <v>7912</v>
      </c>
      <c r="B2928" s="65" t="s">
        <v>7913</v>
      </c>
      <c r="C2928" s="67" t="s">
        <v>203</v>
      </c>
      <c r="D2928" s="69" t="s">
        <v>7914</v>
      </c>
      <c r="E2928" s="69" t="s">
        <v>7915</v>
      </c>
    </row>
    <row r="2929" spans="1:5" ht="45" x14ac:dyDescent="0.2">
      <c r="A2929" s="50">
        <v>43.2</v>
      </c>
      <c r="B2929" s="64" t="s">
        <v>7916</v>
      </c>
      <c r="C2929" s="47"/>
      <c r="D2929" s="47"/>
      <c r="E2929" s="47"/>
    </row>
    <row r="2930" spans="1:5" ht="90" x14ac:dyDescent="0.2">
      <c r="A2930" s="65" t="s">
        <v>7917</v>
      </c>
      <c r="B2930" s="66" t="s">
        <v>7918</v>
      </c>
      <c r="C2930" s="67" t="s">
        <v>203</v>
      </c>
      <c r="D2930" s="69" t="s">
        <v>4115</v>
      </c>
      <c r="E2930" s="69" t="s">
        <v>7919</v>
      </c>
    </row>
    <row r="2931" spans="1:5" ht="56.25" x14ac:dyDescent="0.2">
      <c r="A2931" s="65" t="s">
        <v>7920</v>
      </c>
      <c r="B2931" s="65" t="s">
        <v>7921</v>
      </c>
      <c r="C2931" s="67" t="s">
        <v>203</v>
      </c>
      <c r="D2931" s="69" t="s">
        <v>7922</v>
      </c>
      <c r="E2931" s="69" t="s">
        <v>7923</v>
      </c>
    </row>
    <row r="2932" spans="1:5" ht="33.75" x14ac:dyDescent="0.2">
      <c r="A2932" s="65" t="s">
        <v>7924</v>
      </c>
      <c r="B2932" s="65" t="s">
        <v>7925</v>
      </c>
      <c r="C2932" s="67" t="s">
        <v>203</v>
      </c>
      <c r="D2932" s="69" t="s">
        <v>7926</v>
      </c>
      <c r="E2932" s="69" t="s">
        <v>7927</v>
      </c>
    </row>
    <row r="2933" spans="1:5" ht="22.5" x14ac:dyDescent="0.2">
      <c r="A2933" s="65" t="s">
        <v>7928</v>
      </c>
      <c r="B2933" s="65" t="s">
        <v>7929</v>
      </c>
      <c r="C2933" s="67" t="s">
        <v>203</v>
      </c>
      <c r="D2933" s="69" t="s">
        <v>7930</v>
      </c>
      <c r="E2933" s="69" t="s">
        <v>7931</v>
      </c>
    </row>
    <row r="2934" spans="1:5" ht="45" x14ac:dyDescent="0.2">
      <c r="A2934" s="65" t="s">
        <v>7932</v>
      </c>
      <c r="B2934" s="65" t="s">
        <v>7933</v>
      </c>
      <c r="C2934" s="67" t="s">
        <v>203</v>
      </c>
      <c r="D2934" s="69" t="s">
        <v>7934</v>
      </c>
      <c r="E2934" s="69" t="s">
        <v>7935</v>
      </c>
    </row>
    <row r="2935" spans="1:5" ht="22.5" x14ac:dyDescent="0.2">
      <c r="A2935" s="49">
        <v>44</v>
      </c>
      <c r="B2935" s="64" t="s">
        <v>7936</v>
      </c>
      <c r="C2935" s="47"/>
      <c r="D2935" s="47"/>
      <c r="E2935" s="47"/>
    </row>
    <row r="2936" spans="1:5" x14ac:dyDescent="0.2">
      <c r="A2936" s="50">
        <v>44.01</v>
      </c>
      <c r="B2936" s="64" t="s">
        <v>7937</v>
      </c>
      <c r="C2936" s="47"/>
      <c r="D2936" s="47"/>
      <c r="E2936" s="47"/>
    </row>
    <row r="2937" spans="1:5" ht="22.5" x14ac:dyDescent="0.2">
      <c r="A2937" s="65" t="s">
        <v>7938</v>
      </c>
      <c r="B2937" s="65" t="s">
        <v>7939</v>
      </c>
      <c r="C2937" s="67" t="s">
        <v>203</v>
      </c>
      <c r="D2937" s="69" t="s">
        <v>7940</v>
      </c>
      <c r="E2937" s="69" t="s">
        <v>7941</v>
      </c>
    </row>
    <row r="2938" spans="1:5" ht="45" x14ac:dyDescent="0.2">
      <c r="A2938" s="65" t="s">
        <v>7942</v>
      </c>
      <c r="B2938" s="65" t="s">
        <v>7943</v>
      </c>
      <c r="C2938" s="67" t="s">
        <v>203</v>
      </c>
      <c r="D2938" s="69" t="s">
        <v>7944</v>
      </c>
      <c r="E2938" s="69" t="s">
        <v>7945</v>
      </c>
    </row>
    <row r="2939" spans="1:5" ht="33.75" x14ac:dyDescent="0.2">
      <c r="A2939" s="65" t="s">
        <v>7946</v>
      </c>
      <c r="B2939" s="65" t="s">
        <v>7947</v>
      </c>
      <c r="C2939" s="67" t="s">
        <v>203</v>
      </c>
      <c r="D2939" s="69" t="s">
        <v>7948</v>
      </c>
      <c r="E2939" s="69" t="s">
        <v>7949</v>
      </c>
    </row>
    <row r="2940" spans="1:5" ht="45" x14ac:dyDescent="0.2">
      <c r="A2940" s="65" t="s">
        <v>7950</v>
      </c>
      <c r="B2940" s="65" t="s">
        <v>7951</v>
      </c>
      <c r="C2940" s="67" t="s">
        <v>203</v>
      </c>
      <c r="D2940" s="69" t="s">
        <v>7952</v>
      </c>
      <c r="E2940" s="69" t="s">
        <v>7953</v>
      </c>
    </row>
    <row r="2941" spans="1:5" ht="22.5" x14ac:dyDescent="0.2">
      <c r="A2941" s="65" t="s">
        <v>7954</v>
      </c>
      <c r="B2941" s="65" t="s">
        <v>7955</v>
      </c>
      <c r="C2941" s="67" t="s">
        <v>203</v>
      </c>
      <c r="D2941" s="69" t="s">
        <v>4856</v>
      </c>
      <c r="E2941" s="69" t="s">
        <v>7956</v>
      </c>
    </row>
    <row r="2942" spans="1:5" ht="22.5" x14ac:dyDescent="0.2">
      <c r="A2942" s="65" t="s">
        <v>7957</v>
      </c>
      <c r="B2942" s="65" t="s">
        <v>7958</v>
      </c>
      <c r="C2942" s="67" t="s">
        <v>203</v>
      </c>
      <c r="D2942" s="69" t="s">
        <v>7959</v>
      </c>
      <c r="E2942" s="69" t="s">
        <v>7960</v>
      </c>
    </row>
    <row r="2943" spans="1:5" ht="45" x14ac:dyDescent="0.2">
      <c r="A2943" s="65" t="s">
        <v>7961</v>
      </c>
      <c r="B2943" s="65" t="s">
        <v>7962</v>
      </c>
      <c r="C2943" s="67" t="s">
        <v>203</v>
      </c>
      <c r="D2943" s="69" t="s">
        <v>7963</v>
      </c>
      <c r="E2943" s="69" t="s">
        <v>7964</v>
      </c>
    </row>
    <row r="2944" spans="1:5" ht="22.5" x14ac:dyDescent="0.2">
      <c r="A2944" s="65" t="s">
        <v>7965</v>
      </c>
      <c r="B2944" s="65" t="s">
        <v>7966</v>
      </c>
      <c r="C2944" s="67" t="s">
        <v>203</v>
      </c>
      <c r="D2944" s="69" t="s">
        <v>5896</v>
      </c>
      <c r="E2944" s="69" t="s">
        <v>7967</v>
      </c>
    </row>
    <row r="2945" spans="1:5" ht="33.75" x14ac:dyDescent="0.2">
      <c r="A2945" s="65" t="s">
        <v>7968</v>
      </c>
      <c r="B2945" s="65" t="s">
        <v>7969</v>
      </c>
      <c r="C2945" s="67" t="s">
        <v>203</v>
      </c>
      <c r="D2945" s="69" t="s">
        <v>7970</v>
      </c>
      <c r="E2945" s="69" t="s">
        <v>7971</v>
      </c>
    </row>
    <row r="2946" spans="1:5" ht="33.75" x14ac:dyDescent="0.2">
      <c r="A2946" s="65" t="s">
        <v>7972</v>
      </c>
      <c r="B2946" s="65" t="s">
        <v>7973</v>
      </c>
      <c r="C2946" s="67" t="s">
        <v>203</v>
      </c>
      <c r="D2946" s="69" t="s">
        <v>7974</v>
      </c>
      <c r="E2946" s="69" t="s">
        <v>7975</v>
      </c>
    </row>
    <row r="2947" spans="1:5" ht="22.5" x14ac:dyDescent="0.2">
      <c r="A2947" s="65" t="s">
        <v>7976</v>
      </c>
      <c r="B2947" s="65" t="s">
        <v>7977</v>
      </c>
      <c r="C2947" s="67" t="s">
        <v>203</v>
      </c>
      <c r="D2947" s="69" t="s">
        <v>7978</v>
      </c>
      <c r="E2947" s="69" t="s">
        <v>7979</v>
      </c>
    </row>
    <row r="2948" spans="1:5" ht="22.5" x14ac:dyDescent="0.2">
      <c r="A2948" s="65" t="s">
        <v>7980</v>
      </c>
      <c r="B2948" s="65" t="s">
        <v>7981</v>
      </c>
      <c r="C2948" s="67" t="s">
        <v>203</v>
      </c>
      <c r="D2948" s="69" t="s">
        <v>7982</v>
      </c>
      <c r="E2948" s="69" t="s">
        <v>7983</v>
      </c>
    </row>
    <row r="2949" spans="1:5" ht="33.75" x14ac:dyDescent="0.2">
      <c r="A2949" s="65" t="s">
        <v>7984</v>
      </c>
      <c r="B2949" s="65" t="s">
        <v>7985</v>
      </c>
      <c r="C2949" s="67" t="s">
        <v>203</v>
      </c>
      <c r="D2949" s="69" t="s">
        <v>7986</v>
      </c>
      <c r="E2949" s="69" t="s">
        <v>7987</v>
      </c>
    </row>
    <row r="2950" spans="1:5" ht="45" x14ac:dyDescent="0.2">
      <c r="A2950" s="65" t="s">
        <v>7988</v>
      </c>
      <c r="B2950" s="65" t="s">
        <v>7989</v>
      </c>
      <c r="C2950" s="67" t="s">
        <v>203</v>
      </c>
      <c r="D2950" s="69" t="s">
        <v>7990</v>
      </c>
      <c r="E2950" s="69" t="s">
        <v>7991</v>
      </c>
    </row>
    <row r="2951" spans="1:5" ht="45" x14ac:dyDescent="0.2">
      <c r="A2951" s="65" t="s">
        <v>7992</v>
      </c>
      <c r="B2951" s="65" t="s">
        <v>7993</v>
      </c>
      <c r="C2951" s="67" t="s">
        <v>203</v>
      </c>
      <c r="D2951" s="69" t="s">
        <v>7994</v>
      </c>
      <c r="E2951" s="69" t="s">
        <v>7995</v>
      </c>
    </row>
    <row r="2952" spans="1:5" ht="67.5" x14ac:dyDescent="0.2">
      <c r="A2952" s="65" t="s">
        <v>7996</v>
      </c>
      <c r="B2952" s="66" t="s">
        <v>7997</v>
      </c>
      <c r="C2952" s="67" t="s">
        <v>203</v>
      </c>
      <c r="D2952" s="69" t="s">
        <v>7998</v>
      </c>
      <c r="E2952" s="69" t="s">
        <v>8000</v>
      </c>
    </row>
    <row r="2953" spans="1:5" ht="22.5" x14ac:dyDescent="0.2">
      <c r="A2953" s="65" t="s">
        <v>8001</v>
      </c>
      <c r="B2953" s="65" t="s">
        <v>8002</v>
      </c>
      <c r="C2953" s="67" t="s">
        <v>203</v>
      </c>
      <c r="D2953" s="69" t="s">
        <v>8003</v>
      </c>
      <c r="E2953" s="69" t="s">
        <v>8004</v>
      </c>
    </row>
    <row r="2954" spans="1:5" ht="45" x14ac:dyDescent="0.2">
      <c r="A2954" s="65" t="s">
        <v>8005</v>
      </c>
      <c r="B2954" s="65" t="s">
        <v>8006</v>
      </c>
      <c r="C2954" s="67" t="s">
        <v>240</v>
      </c>
      <c r="D2954" s="69" t="s">
        <v>8007</v>
      </c>
      <c r="E2954" s="69" t="s">
        <v>8008</v>
      </c>
    </row>
    <row r="2955" spans="1:5" ht="22.5" x14ac:dyDescent="0.2">
      <c r="A2955" s="65" t="s">
        <v>8009</v>
      </c>
      <c r="B2955" s="65" t="s">
        <v>8010</v>
      </c>
      <c r="C2955" s="67" t="s">
        <v>203</v>
      </c>
      <c r="D2955" s="69" t="s">
        <v>8011</v>
      </c>
      <c r="E2955" s="69" t="s">
        <v>2151</v>
      </c>
    </row>
    <row r="2956" spans="1:5" x14ac:dyDescent="0.2">
      <c r="A2956" s="50">
        <v>44.02</v>
      </c>
      <c r="B2956" s="64" t="s">
        <v>8012</v>
      </c>
      <c r="C2956" s="47"/>
      <c r="D2956" s="47"/>
      <c r="E2956" s="47"/>
    </row>
    <row r="2957" spans="1:5" ht="45" x14ac:dyDescent="0.2">
      <c r="A2957" s="65" t="s">
        <v>8013</v>
      </c>
      <c r="B2957" s="66" t="s">
        <v>8014</v>
      </c>
      <c r="C2957" s="67" t="s">
        <v>204</v>
      </c>
      <c r="D2957" s="69" t="s">
        <v>8015</v>
      </c>
      <c r="E2957" s="69" t="s">
        <v>8016</v>
      </c>
    </row>
    <row r="2958" spans="1:5" ht="33.75" x14ac:dyDescent="0.2">
      <c r="A2958" s="65" t="s">
        <v>8017</v>
      </c>
      <c r="B2958" s="65" t="s">
        <v>8018</v>
      </c>
      <c r="C2958" s="67" t="s">
        <v>204</v>
      </c>
      <c r="D2958" s="69" t="s">
        <v>8019</v>
      </c>
      <c r="E2958" s="69" t="s">
        <v>8020</v>
      </c>
    </row>
    <row r="2959" spans="1:5" ht="56.25" x14ac:dyDescent="0.2">
      <c r="A2959" s="65" t="s">
        <v>8021</v>
      </c>
      <c r="B2959" s="66" t="s">
        <v>8022</v>
      </c>
      <c r="C2959" s="67" t="s">
        <v>204</v>
      </c>
      <c r="D2959" s="69" t="s">
        <v>8023</v>
      </c>
      <c r="E2959" s="69" t="s">
        <v>8024</v>
      </c>
    </row>
    <row r="2960" spans="1:5" ht="45" x14ac:dyDescent="0.2">
      <c r="A2960" s="65" t="s">
        <v>8025</v>
      </c>
      <c r="B2960" s="65" t="s">
        <v>8026</v>
      </c>
      <c r="C2960" s="67" t="s">
        <v>204</v>
      </c>
      <c r="D2960" s="69" t="s">
        <v>8027</v>
      </c>
      <c r="E2960" s="69" t="s">
        <v>8027</v>
      </c>
    </row>
    <row r="2961" spans="1:5" x14ac:dyDescent="0.2">
      <c r="A2961" s="50">
        <v>44.03</v>
      </c>
      <c r="B2961" s="64" t="s">
        <v>8028</v>
      </c>
      <c r="C2961" s="47"/>
      <c r="D2961" s="47"/>
      <c r="E2961" s="47"/>
    </row>
    <row r="2962" spans="1:5" ht="67.5" x14ac:dyDescent="0.2">
      <c r="A2962" s="65" t="s">
        <v>8029</v>
      </c>
      <c r="B2962" s="66" t="s">
        <v>8030</v>
      </c>
      <c r="C2962" s="67" t="s">
        <v>203</v>
      </c>
      <c r="D2962" s="69" t="s">
        <v>8031</v>
      </c>
      <c r="E2962" s="69" t="s">
        <v>8032</v>
      </c>
    </row>
    <row r="2963" spans="1:5" ht="22.5" x14ac:dyDescent="0.2">
      <c r="A2963" s="65" t="s">
        <v>8033</v>
      </c>
      <c r="B2963" s="65" t="s">
        <v>8034</v>
      </c>
      <c r="C2963" s="67" t="s">
        <v>203</v>
      </c>
      <c r="D2963" s="69" t="s">
        <v>5494</v>
      </c>
      <c r="E2963" s="69" t="s">
        <v>2507</v>
      </c>
    </row>
    <row r="2964" spans="1:5" ht="56.25" x14ac:dyDescent="0.2">
      <c r="A2964" s="65" t="s">
        <v>8035</v>
      </c>
      <c r="B2964" s="66" t="s">
        <v>8036</v>
      </c>
      <c r="C2964" s="67" t="s">
        <v>203</v>
      </c>
      <c r="D2964" s="69" t="s">
        <v>8037</v>
      </c>
      <c r="E2964" s="69" t="s">
        <v>8038</v>
      </c>
    </row>
    <row r="2965" spans="1:5" ht="22.5" x14ac:dyDescent="0.2">
      <c r="A2965" s="65" t="s">
        <v>8039</v>
      </c>
      <c r="B2965" s="65" t="s">
        <v>8040</v>
      </c>
      <c r="C2965" s="67" t="s">
        <v>203</v>
      </c>
      <c r="D2965" s="69" t="s">
        <v>8041</v>
      </c>
      <c r="E2965" s="69" t="s">
        <v>8042</v>
      </c>
    </row>
    <row r="2966" spans="1:5" ht="45" x14ac:dyDescent="0.2">
      <c r="A2966" s="65" t="s">
        <v>8043</v>
      </c>
      <c r="B2966" s="65" t="s">
        <v>8044</v>
      </c>
      <c r="C2966" s="67" t="s">
        <v>203</v>
      </c>
      <c r="D2966" s="69" t="s">
        <v>8045</v>
      </c>
      <c r="E2966" s="69" t="s">
        <v>8046</v>
      </c>
    </row>
    <row r="2967" spans="1:5" ht="22.5" x14ac:dyDescent="0.2">
      <c r="A2967" s="65" t="s">
        <v>8047</v>
      </c>
      <c r="B2967" s="65" t="s">
        <v>8048</v>
      </c>
      <c r="C2967" s="67" t="s">
        <v>203</v>
      </c>
      <c r="D2967" s="69" t="s">
        <v>8049</v>
      </c>
      <c r="E2967" s="69" t="s">
        <v>8050</v>
      </c>
    </row>
    <row r="2968" spans="1:5" ht="22.5" x14ac:dyDescent="0.2">
      <c r="A2968" s="65" t="s">
        <v>8051</v>
      </c>
      <c r="B2968" s="65" t="s">
        <v>8052</v>
      </c>
      <c r="C2968" s="67" t="s">
        <v>203</v>
      </c>
      <c r="D2968" s="69" t="s">
        <v>5538</v>
      </c>
      <c r="E2968" s="69" t="s">
        <v>8053</v>
      </c>
    </row>
    <row r="2969" spans="1:5" ht="33.75" x14ac:dyDescent="0.2">
      <c r="A2969" s="65" t="s">
        <v>8054</v>
      </c>
      <c r="B2969" s="65" t="s">
        <v>8055</v>
      </c>
      <c r="C2969" s="67" t="s">
        <v>203</v>
      </c>
      <c r="D2969" s="69" t="s">
        <v>8056</v>
      </c>
      <c r="E2969" s="69" t="s">
        <v>8057</v>
      </c>
    </row>
    <row r="2970" spans="1:5" ht="22.5" x14ac:dyDescent="0.2">
      <c r="A2970" s="65" t="s">
        <v>8058</v>
      </c>
      <c r="B2970" s="65" t="s">
        <v>8059</v>
      </c>
      <c r="C2970" s="67" t="s">
        <v>203</v>
      </c>
      <c r="D2970" s="69" t="s">
        <v>8060</v>
      </c>
      <c r="E2970" s="69" t="s">
        <v>8061</v>
      </c>
    </row>
    <row r="2971" spans="1:5" ht="22.5" x14ac:dyDescent="0.2">
      <c r="A2971" s="65" t="s">
        <v>8062</v>
      </c>
      <c r="B2971" s="65" t="s">
        <v>8063</v>
      </c>
      <c r="C2971" s="67" t="s">
        <v>203</v>
      </c>
      <c r="D2971" s="69" t="s">
        <v>8064</v>
      </c>
      <c r="E2971" s="69" t="s">
        <v>8065</v>
      </c>
    </row>
    <row r="2972" spans="1:5" ht="33.75" x14ac:dyDescent="0.2">
      <c r="A2972" s="65" t="s">
        <v>8066</v>
      </c>
      <c r="B2972" s="65" t="s">
        <v>8067</v>
      </c>
      <c r="C2972" s="67" t="s">
        <v>203</v>
      </c>
      <c r="D2972" s="69" t="s">
        <v>252</v>
      </c>
      <c r="E2972" s="69" t="s">
        <v>8068</v>
      </c>
    </row>
    <row r="2973" spans="1:5" ht="22.5" x14ac:dyDescent="0.2">
      <c r="A2973" s="65" t="s">
        <v>8069</v>
      </c>
      <c r="B2973" s="65" t="s">
        <v>8070</v>
      </c>
      <c r="C2973" s="67" t="s">
        <v>203</v>
      </c>
      <c r="D2973" s="69" t="s">
        <v>8071</v>
      </c>
      <c r="E2973" s="69" t="s">
        <v>8072</v>
      </c>
    </row>
    <row r="2974" spans="1:5" ht="90" x14ac:dyDescent="0.2">
      <c r="A2974" s="70" t="s">
        <v>8073</v>
      </c>
      <c r="B2974" s="65" t="s">
        <v>8074</v>
      </c>
      <c r="C2974" s="71" t="s">
        <v>203</v>
      </c>
      <c r="D2974" s="72" t="s">
        <v>8075</v>
      </c>
      <c r="E2974" s="72" t="s">
        <v>8076</v>
      </c>
    </row>
    <row r="2975" spans="1:5" ht="33.75" x14ac:dyDescent="0.2">
      <c r="A2975" s="65" t="s">
        <v>8077</v>
      </c>
      <c r="B2975" s="65" t="s">
        <v>8078</v>
      </c>
      <c r="C2975" s="67" t="s">
        <v>203</v>
      </c>
      <c r="D2975" s="69" t="s">
        <v>239</v>
      </c>
      <c r="E2975" s="69" t="s">
        <v>6585</v>
      </c>
    </row>
    <row r="2976" spans="1:5" ht="56.25" x14ac:dyDescent="0.2">
      <c r="A2976" s="65" t="s">
        <v>8079</v>
      </c>
      <c r="B2976" s="66" t="s">
        <v>8080</v>
      </c>
      <c r="C2976" s="67" t="s">
        <v>203</v>
      </c>
      <c r="D2976" s="69" t="s">
        <v>8081</v>
      </c>
      <c r="E2976" s="69" t="s">
        <v>8082</v>
      </c>
    </row>
    <row r="2977" spans="1:5" ht="22.5" x14ac:dyDescent="0.2">
      <c r="A2977" s="65" t="s">
        <v>8083</v>
      </c>
      <c r="B2977" s="65" t="s">
        <v>8084</v>
      </c>
      <c r="C2977" s="67" t="s">
        <v>203</v>
      </c>
      <c r="D2977" s="69" t="s">
        <v>8085</v>
      </c>
      <c r="E2977" s="69" t="s">
        <v>8086</v>
      </c>
    </row>
    <row r="2978" spans="1:5" ht="67.5" x14ac:dyDescent="0.2">
      <c r="A2978" s="65" t="s">
        <v>8087</v>
      </c>
      <c r="B2978" s="66" t="s">
        <v>8088</v>
      </c>
      <c r="C2978" s="67" t="s">
        <v>203</v>
      </c>
      <c r="D2978" s="69" t="s">
        <v>8089</v>
      </c>
      <c r="E2978" s="69" t="s">
        <v>8090</v>
      </c>
    </row>
    <row r="2979" spans="1:5" ht="67.5" x14ac:dyDescent="0.2">
      <c r="A2979" s="65" t="s">
        <v>8091</v>
      </c>
      <c r="B2979" s="66" t="s">
        <v>8092</v>
      </c>
      <c r="C2979" s="67" t="s">
        <v>203</v>
      </c>
      <c r="D2979" s="69" t="s">
        <v>349</v>
      </c>
      <c r="E2979" s="69" t="s">
        <v>8093</v>
      </c>
    </row>
    <row r="2980" spans="1:5" ht="56.25" x14ac:dyDescent="0.2">
      <c r="A2980" s="65" t="s">
        <v>8094</v>
      </c>
      <c r="B2980" s="66" t="s">
        <v>8095</v>
      </c>
      <c r="C2980" s="67" t="s">
        <v>203</v>
      </c>
      <c r="D2980" s="69" t="s">
        <v>8096</v>
      </c>
      <c r="E2980" s="69" t="s">
        <v>8097</v>
      </c>
    </row>
    <row r="2981" spans="1:5" ht="67.5" x14ac:dyDescent="0.2">
      <c r="A2981" s="65" t="s">
        <v>8098</v>
      </c>
      <c r="B2981" s="66" t="s">
        <v>8099</v>
      </c>
      <c r="C2981" s="67" t="s">
        <v>203</v>
      </c>
      <c r="D2981" s="69" t="s">
        <v>8100</v>
      </c>
      <c r="E2981" s="69" t="s">
        <v>7644</v>
      </c>
    </row>
    <row r="2982" spans="1:5" ht="56.25" x14ac:dyDescent="0.2">
      <c r="A2982" s="65" t="s">
        <v>8101</v>
      </c>
      <c r="B2982" s="66" t="s">
        <v>8102</v>
      </c>
      <c r="C2982" s="67" t="s">
        <v>203</v>
      </c>
      <c r="D2982" s="69" t="s">
        <v>8103</v>
      </c>
      <c r="E2982" s="69" t="s">
        <v>8104</v>
      </c>
    </row>
    <row r="2983" spans="1:5" ht="56.25" x14ac:dyDescent="0.2">
      <c r="A2983" s="65" t="s">
        <v>8105</v>
      </c>
      <c r="B2983" s="66" t="s">
        <v>8106</v>
      </c>
      <c r="C2983" s="67" t="s">
        <v>203</v>
      </c>
      <c r="D2983" s="69" t="s">
        <v>8107</v>
      </c>
      <c r="E2983" s="69" t="s">
        <v>8108</v>
      </c>
    </row>
    <row r="2984" spans="1:5" ht="45" x14ac:dyDescent="0.2">
      <c r="A2984" s="65" t="s">
        <v>8109</v>
      </c>
      <c r="B2984" s="65" t="s">
        <v>8110</v>
      </c>
      <c r="C2984" s="67" t="s">
        <v>203</v>
      </c>
      <c r="D2984" s="69" t="s">
        <v>8111</v>
      </c>
      <c r="E2984" s="69" t="s">
        <v>8112</v>
      </c>
    </row>
    <row r="2985" spans="1:5" ht="56.25" x14ac:dyDescent="0.2">
      <c r="A2985" s="65" t="s">
        <v>8113</v>
      </c>
      <c r="B2985" s="66" t="s">
        <v>8114</v>
      </c>
      <c r="C2985" s="67" t="s">
        <v>203</v>
      </c>
      <c r="D2985" s="69" t="s">
        <v>8115</v>
      </c>
      <c r="E2985" s="69" t="s">
        <v>8116</v>
      </c>
    </row>
    <row r="2986" spans="1:5" ht="78.75" x14ac:dyDescent="0.2">
      <c r="A2986" s="65" t="s">
        <v>8117</v>
      </c>
      <c r="B2986" s="66" t="s">
        <v>8118</v>
      </c>
      <c r="C2986" s="67" t="s">
        <v>203</v>
      </c>
      <c r="D2986" s="69" t="s">
        <v>8119</v>
      </c>
      <c r="E2986" s="69" t="s">
        <v>8120</v>
      </c>
    </row>
    <row r="2987" spans="1:5" ht="56.25" x14ac:dyDescent="0.2">
      <c r="A2987" s="65" t="s">
        <v>8121</v>
      </c>
      <c r="B2987" s="66" t="s">
        <v>8122</v>
      </c>
      <c r="C2987" s="67" t="s">
        <v>203</v>
      </c>
      <c r="D2987" s="69" t="s">
        <v>8123</v>
      </c>
      <c r="E2987" s="69" t="s">
        <v>8124</v>
      </c>
    </row>
    <row r="2988" spans="1:5" ht="33.75" x14ac:dyDescent="0.2">
      <c r="A2988" s="65" t="s">
        <v>8125</v>
      </c>
      <c r="B2988" s="65" t="s">
        <v>8126</v>
      </c>
      <c r="C2988" s="67" t="s">
        <v>203</v>
      </c>
      <c r="D2988" s="69" t="s">
        <v>8127</v>
      </c>
      <c r="E2988" s="69" t="s">
        <v>8129</v>
      </c>
    </row>
    <row r="2989" spans="1:5" ht="56.25" x14ac:dyDescent="0.2">
      <c r="A2989" s="65" t="s">
        <v>8130</v>
      </c>
      <c r="B2989" s="66" t="s">
        <v>8131</v>
      </c>
      <c r="C2989" s="67" t="s">
        <v>203</v>
      </c>
      <c r="D2989" s="69" t="s">
        <v>8132</v>
      </c>
      <c r="E2989" s="69" t="s">
        <v>8133</v>
      </c>
    </row>
    <row r="2990" spans="1:5" ht="67.5" x14ac:dyDescent="0.2">
      <c r="A2990" s="65" t="s">
        <v>8134</v>
      </c>
      <c r="B2990" s="66" t="s">
        <v>8135</v>
      </c>
      <c r="C2990" s="67" t="s">
        <v>203</v>
      </c>
      <c r="D2990" s="69" t="s">
        <v>8136</v>
      </c>
      <c r="E2990" s="69" t="s">
        <v>8137</v>
      </c>
    </row>
    <row r="2991" spans="1:5" ht="56.25" x14ac:dyDescent="0.2">
      <c r="A2991" s="65" t="s">
        <v>8138</v>
      </c>
      <c r="B2991" s="66" t="s">
        <v>8139</v>
      </c>
      <c r="C2991" s="67" t="s">
        <v>203</v>
      </c>
      <c r="D2991" s="69" t="s">
        <v>8140</v>
      </c>
      <c r="E2991" s="69" t="s">
        <v>8141</v>
      </c>
    </row>
    <row r="2992" spans="1:5" ht="45" x14ac:dyDescent="0.2">
      <c r="A2992" s="65" t="s">
        <v>8142</v>
      </c>
      <c r="B2992" s="65" t="s">
        <v>8143</v>
      </c>
      <c r="C2992" s="67" t="s">
        <v>240</v>
      </c>
      <c r="D2992" s="69" t="s">
        <v>8144</v>
      </c>
      <c r="E2992" s="69" t="s">
        <v>8146</v>
      </c>
    </row>
    <row r="2993" spans="1:5" ht="33.75" x14ac:dyDescent="0.2">
      <c r="A2993" s="65" t="s">
        <v>8147</v>
      </c>
      <c r="B2993" s="65" t="s">
        <v>8148</v>
      </c>
      <c r="C2993" s="67" t="s">
        <v>203</v>
      </c>
      <c r="D2993" s="69" t="s">
        <v>1875</v>
      </c>
      <c r="E2993" s="69" t="s">
        <v>8149</v>
      </c>
    </row>
    <row r="2994" spans="1:5" ht="33.75" x14ac:dyDescent="0.2">
      <c r="A2994" s="65" t="s">
        <v>8150</v>
      </c>
      <c r="B2994" s="65" t="s">
        <v>8151</v>
      </c>
      <c r="C2994" s="67" t="s">
        <v>203</v>
      </c>
      <c r="D2994" s="69" t="s">
        <v>8152</v>
      </c>
      <c r="E2994" s="69" t="s">
        <v>8153</v>
      </c>
    </row>
    <row r="2995" spans="1:5" ht="101.25" x14ac:dyDescent="0.2">
      <c r="A2995" s="70" t="s">
        <v>8154</v>
      </c>
      <c r="B2995" s="66" t="s">
        <v>8155</v>
      </c>
      <c r="C2995" s="71" t="s">
        <v>203</v>
      </c>
      <c r="D2995" s="72" t="s">
        <v>8156</v>
      </c>
      <c r="E2995" s="72" t="s">
        <v>8157</v>
      </c>
    </row>
    <row r="2996" spans="1:5" ht="56.25" x14ac:dyDescent="0.2">
      <c r="A2996" s="65" t="s">
        <v>8158</v>
      </c>
      <c r="B2996" s="66" t="s">
        <v>8159</v>
      </c>
      <c r="C2996" s="67" t="s">
        <v>203</v>
      </c>
      <c r="D2996" s="69" t="s">
        <v>8160</v>
      </c>
      <c r="E2996" s="69" t="s">
        <v>8161</v>
      </c>
    </row>
    <row r="2997" spans="1:5" ht="56.25" x14ac:dyDescent="0.2">
      <c r="A2997" s="65" t="s">
        <v>8162</v>
      </c>
      <c r="B2997" s="65" t="s">
        <v>8163</v>
      </c>
      <c r="C2997" s="67" t="s">
        <v>203</v>
      </c>
      <c r="D2997" s="69" t="s">
        <v>8164</v>
      </c>
      <c r="E2997" s="69" t="s">
        <v>8165</v>
      </c>
    </row>
    <row r="2998" spans="1:5" ht="22.5" x14ac:dyDescent="0.2">
      <c r="A2998" s="65" t="s">
        <v>8166</v>
      </c>
      <c r="B2998" s="65" t="s">
        <v>8167</v>
      </c>
      <c r="C2998" s="67" t="s">
        <v>203</v>
      </c>
      <c r="D2998" s="69" t="s">
        <v>8168</v>
      </c>
      <c r="E2998" s="69" t="s">
        <v>8169</v>
      </c>
    </row>
    <row r="2999" spans="1:5" ht="22.5" x14ac:dyDescent="0.2">
      <c r="A2999" s="65" t="s">
        <v>8170</v>
      </c>
      <c r="B2999" s="65" t="s">
        <v>8171</v>
      </c>
      <c r="C2999" s="67" t="s">
        <v>203</v>
      </c>
      <c r="D2999" s="69" t="s">
        <v>8172</v>
      </c>
      <c r="E2999" s="69" t="s">
        <v>8173</v>
      </c>
    </row>
    <row r="3000" spans="1:5" ht="22.5" x14ac:dyDescent="0.2">
      <c r="A3000" s="65" t="s">
        <v>8174</v>
      </c>
      <c r="B3000" s="65" t="s">
        <v>8175</v>
      </c>
      <c r="C3000" s="67" t="s">
        <v>203</v>
      </c>
      <c r="D3000" s="69" t="s">
        <v>7397</v>
      </c>
      <c r="E3000" s="69" t="s">
        <v>8176</v>
      </c>
    </row>
    <row r="3001" spans="1:5" ht="78.75" x14ac:dyDescent="0.2">
      <c r="A3001" s="65" t="s">
        <v>8177</v>
      </c>
      <c r="B3001" s="66" t="s">
        <v>8178</v>
      </c>
      <c r="C3001" s="67" t="s">
        <v>203</v>
      </c>
      <c r="D3001" s="69" t="s">
        <v>8179</v>
      </c>
      <c r="E3001" s="69" t="s">
        <v>8180</v>
      </c>
    </row>
    <row r="3002" spans="1:5" ht="56.25" x14ac:dyDescent="0.2">
      <c r="A3002" s="65" t="s">
        <v>8181</v>
      </c>
      <c r="B3002" s="66" t="s">
        <v>8182</v>
      </c>
      <c r="C3002" s="67" t="s">
        <v>203</v>
      </c>
      <c r="D3002" s="69" t="s">
        <v>8183</v>
      </c>
      <c r="E3002" s="69" t="s">
        <v>8184</v>
      </c>
    </row>
    <row r="3003" spans="1:5" x14ac:dyDescent="0.2">
      <c r="A3003" s="50">
        <v>44.04</v>
      </c>
      <c r="B3003" s="64" t="s">
        <v>8185</v>
      </c>
      <c r="C3003" s="47"/>
      <c r="D3003" s="47"/>
      <c r="E3003" s="47"/>
    </row>
    <row r="3004" spans="1:5" ht="33.75" x14ac:dyDescent="0.2">
      <c r="A3004" s="65" t="s">
        <v>8186</v>
      </c>
      <c r="B3004" s="65" t="s">
        <v>8187</v>
      </c>
      <c r="C3004" s="67" t="s">
        <v>204</v>
      </c>
      <c r="D3004" s="69" t="s">
        <v>8188</v>
      </c>
      <c r="E3004" s="69" t="s">
        <v>8189</v>
      </c>
    </row>
    <row r="3005" spans="1:5" ht="22.5" x14ac:dyDescent="0.2">
      <c r="A3005" s="65" t="s">
        <v>8190</v>
      </c>
      <c r="B3005" s="65" t="s">
        <v>8191</v>
      </c>
      <c r="C3005" s="67" t="s">
        <v>204</v>
      </c>
      <c r="D3005" s="69" t="s">
        <v>8192</v>
      </c>
      <c r="E3005" s="69" t="s">
        <v>8193</v>
      </c>
    </row>
    <row r="3006" spans="1:5" ht="33.75" x14ac:dyDescent="0.2">
      <c r="A3006" s="65" t="s">
        <v>8194</v>
      </c>
      <c r="B3006" s="65" t="s">
        <v>8195</v>
      </c>
      <c r="C3006" s="67" t="s">
        <v>204</v>
      </c>
      <c r="D3006" s="69" t="s">
        <v>8196</v>
      </c>
      <c r="E3006" s="69" t="s">
        <v>8197</v>
      </c>
    </row>
    <row r="3007" spans="1:5" ht="22.5" x14ac:dyDescent="0.2">
      <c r="A3007" s="50">
        <v>44.06</v>
      </c>
      <c r="B3007" s="64" t="s">
        <v>8198</v>
      </c>
      <c r="C3007" s="47"/>
      <c r="D3007" s="47"/>
      <c r="E3007" s="47"/>
    </row>
    <row r="3008" spans="1:5" ht="22.5" x14ac:dyDescent="0.2">
      <c r="A3008" s="65" t="s">
        <v>8199</v>
      </c>
      <c r="B3008" s="65" t="s">
        <v>8200</v>
      </c>
      <c r="C3008" s="67" t="s">
        <v>221</v>
      </c>
      <c r="D3008" s="69" t="s">
        <v>8201</v>
      </c>
      <c r="E3008" s="69" t="s">
        <v>8202</v>
      </c>
    </row>
    <row r="3009" spans="1:5" ht="22.5" x14ac:dyDescent="0.2">
      <c r="A3009" s="65" t="s">
        <v>8203</v>
      </c>
      <c r="B3009" s="65" t="s">
        <v>8204</v>
      </c>
      <c r="C3009" s="67" t="s">
        <v>221</v>
      </c>
      <c r="D3009" s="69" t="s">
        <v>8205</v>
      </c>
      <c r="E3009" s="69" t="s">
        <v>8206</v>
      </c>
    </row>
    <row r="3010" spans="1:5" ht="22.5" x14ac:dyDescent="0.2">
      <c r="A3010" s="65" t="s">
        <v>8207</v>
      </c>
      <c r="B3010" s="65" t="s">
        <v>8208</v>
      </c>
      <c r="C3010" s="67" t="s">
        <v>203</v>
      </c>
      <c r="D3010" s="69" t="s">
        <v>8209</v>
      </c>
      <c r="E3010" s="69" t="s">
        <v>8210</v>
      </c>
    </row>
    <row r="3011" spans="1:5" ht="33.75" x14ac:dyDescent="0.2">
      <c r="A3011" s="65" t="s">
        <v>8211</v>
      </c>
      <c r="B3011" s="65" t="s">
        <v>8212</v>
      </c>
      <c r="C3011" s="67" t="s">
        <v>203</v>
      </c>
      <c r="D3011" s="69" t="s">
        <v>8213</v>
      </c>
      <c r="E3011" s="69" t="s">
        <v>8214</v>
      </c>
    </row>
    <row r="3012" spans="1:5" ht="33.75" x14ac:dyDescent="0.2">
      <c r="A3012" s="65" t="s">
        <v>8215</v>
      </c>
      <c r="B3012" s="65" t="s">
        <v>8216</v>
      </c>
      <c r="C3012" s="67" t="s">
        <v>203</v>
      </c>
      <c r="D3012" s="69" t="s">
        <v>8217</v>
      </c>
      <c r="E3012" s="69" t="s">
        <v>8218</v>
      </c>
    </row>
    <row r="3013" spans="1:5" ht="33.75" x14ac:dyDescent="0.2">
      <c r="A3013" s="65" t="s">
        <v>8219</v>
      </c>
      <c r="B3013" s="65" t="s">
        <v>8220</v>
      </c>
      <c r="C3013" s="67" t="s">
        <v>203</v>
      </c>
      <c r="D3013" s="69" t="s">
        <v>8221</v>
      </c>
      <c r="E3013" s="69" t="s">
        <v>8222</v>
      </c>
    </row>
    <row r="3014" spans="1:5" ht="33.75" x14ac:dyDescent="0.2">
      <c r="A3014" s="65" t="s">
        <v>8223</v>
      </c>
      <c r="B3014" s="65" t="s">
        <v>8224</v>
      </c>
      <c r="C3014" s="67" t="s">
        <v>203</v>
      </c>
      <c r="D3014" s="69" t="s">
        <v>8225</v>
      </c>
      <c r="E3014" s="69" t="s">
        <v>8226</v>
      </c>
    </row>
    <row r="3015" spans="1:5" ht="33.75" x14ac:dyDescent="0.2">
      <c r="A3015" s="65" t="s">
        <v>8227</v>
      </c>
      <c r="B3015" s="65" t="s">
        <v>8228</v>
      </c>
      <c r="C3015" s="67" t="s">
        <v>203</v>
      </c>
      <c r="D3015" s="69" t="s">
        <v>8229</v>
      </c>
      <c r="E3015" s="69" t="s">
        <v>8230</v>
      </c>
    </row>
    <row r="3016" spans="1:5" ht="33.75" x14ac:dyDescent="0.2">
      <c r="A3016" s="65" t="s">
        <v>8231</v>
      </c>
      <c r="B3016" s="65" t="s">
        <v>8232</v>
      </c>
      <c r="C3016" s="67" t="s">
        <v>203</v>
      </c>
      <c r="D3016" s="69" t="s">
        <v>8233</v>
      </c>
      <c r="E3016" s="69" t="s">
        <v>8234</v>
      </c>
    </row>
    <row r="3017" spans="1:5" ht="33.75" x14ac:dyDescent="0.2">
      <c r="A3017" s="65" t="s">
        <v>8235</v>
      </c>
      <c r="B3017" s="65" t="s">
        <v>8236</v>
      </c>
      <c r="C3017" s="67" t="s">
        <v>203</v>
      </c>
      <c r="D3017" s="69" t="s">
        <v>8237</v>
      </c>
      <c r="E3017" s="69" t="s">
        <v>8238</v>
      </c>
    </row>
    <row r="3018" spans="1:5" ht="33.75" x14ac:dyDescent="0.2">
      <c r="A3018" s="65" t="s">
        <v>8239</v>
      </c>
      <c r="B3018" s="65" t="s">
        <v>8240</v>
      </c>
      <c r="C3018" s="67" t="s">
        <v>203</v>
      </c>
      <c r="D3018" s="69" t="s">
        <v>8241</v>
      </c>
      <c r="E3018" s="69" t="s">
        <v>8242</v>
      </c>
    </row>
    <row r="3019" spans="1:5" ht="33.75" x14ac:dyDescent="0.2">
      <c r="A3019" s="65" t="s">
        <v>8243</v>
      </c>
      <c r="B3019" s="65" t="s">
        <v>8244</v>
      </c>
      <c r="C3019" s="67" t="s">
        <v>203</v>
      </c>
      <c r="D3019" s="69" t="s">
        <v>8245</v>
      </c>
      <c r="E3019" s="69" t="s">
        <v>8246</v>
      </c>
    </row>
    <row r="3020" spans="1:5" ht="33.75" x14ac:dyDescent="0.2">
      <c r="A3020" s="65" t="s">
        <v>8247</v>
      </c>
      <c r="B3020" s="65" t="s">
        <v>8248</v>
      </c>
      <c r="C3020" s="67" t="s">
        <v>203</v>
      </c>
      <c r="D3020" s="69" t="s">
        <v>8249</v>
      </c>
      <c r="E3020" s="69" t="s">
        <v>8250</v>
      </c>
    </row>
    <row r="3021" spans="1:5" ht="33.75" x14ac:dyDescent="0.2">
      <c r="A3021" s="65" t="s">
        <v>8251</v>
      </c>
      <c r="B3021" s="65" t="s">
        <v>8252</v>
      </c>
      <c r="C3021" s="67" t="s">
        <v>203</v>
      </c>
      <c r="D3021" s="69" t="s">
        <v>8253</v>
      </c>
      <c r="E3021" s="69" t="s">
        <v>8254</v>
      </c>
    </row>
    <row r="3022" spans="1:5" ht="33.75" x14ac:dyDescent="0.2">
      <c r="A3022" s="65" t="s">
        <v>8255</v>
      </c>
      <c r="B3022" s="65" t="s">
        <v>8256</v>
      </c>
      <c r="C3022" s="67" t="s">
        <v>203</v>
      </c>
      <c r="D3022" s="69" t="s">
        <v>8257</v>
      </c>
      <c r="E3022" s="69" t="s">
        <v>8258</v>
      </c>
    </row>
    <row r="3023" spans="1:5" ht="45" x14ac:dyDescent="0.2">
      <c r="A3023" s="65" t="s">
        <v>8259</v>
      </c>
      <c r="B3023" s="65" t="s">
        <v>8260</v>
      </c>
      <c r="C3023" s="67" t="s">
        <v>203</v>
      </c>
      <c r="D3023" s="69" t="s">
        <v>8261</v>
      </c>
      <c r="E3023" s="69" t="s">
        <v>8262</v>
      </c>
    </row>
    <row r="3024" spans="1:5" ht="45" x14ac:dyDescent="0.2">
      <c r="A3024" s="65" t="s">
        <v>8263</v>
      </c>
      <c r="B3024" s="65" t="s">
        <v>8264</v>
      </c>
      <c r="C3024" s="67" t="s">
        <v>203</v>
      </c>
      <c r="D3024" s="69" t="s">
        <v>8265</v>
      </c>
      <c r="E3024" s="69" t="s">
        <v>8266</v>
      </c>
    </row>
    <row r="3025" spans="1:5" ht="33.75" x14ac:dyDescent="0.2">
      <c r="A3025" s="65" t="s">
        <v>8267</v>
      </c>
      <c r="B3025" s="65" t="s">
        <v>8268</v>
      </c>
      <c r="C3025" s="67" t="s">
        <v>203</v>
      </c>
      <c r="D3025" s="69" t="s">
        <v>8269</v>
      </c>
      <c r="E3025" s="69" t="s">
        <v>8270</v>
      </c>
    </row>
    <row r="3026" spans="1:5" ht="33.75" x14ac:dyDescent="0.2">
      <c r="A3026" s="65" t="s">
        <v>8271</v>
      </c>
      <c r="B3026" s="65" t="s">
        <v>8272</v>
      </c>
      <c r="C3026" s="67" t="s">
        <v>203</v>
      </c>
      <c r="D3026" s="69" t="s">
        <v>8273</v>
      </c>
      <c r="E3026" s="69" t="s">
        <v>8274</v>
      </c>
    </row>
    <row r="3027" spans="1:5" ht="33.75" x14ac:dyDescent="0.2">
      <c r="A3027" s="65" t="s">
        <v>8275</v>
      </c>
      <c r="B3027" s="65" t="s">
        <v>8276</v>
      </c>
      <c r="C3027" s="67" t="s">
        <v>203</v>
      </c>
      <c r="D3027" s="69" t="s">
        <v>8277</v>
      </c>
      <c r="E3027" s="69" t="s">
        <v>8278</v>
      </c>
    </row>
    <row r="3028" spans="1:5" ht="45" x14ac:dyDescent="0.2">
      <c r="A3028" s="50">
        <v>44.2</v>
      </c>
      <c r="B3028" s="64" t="s">
        <v>8279</v>
      </c>
      <c r="C3028" s="47"/>
      <c r="D3028" s="47"/>
      <c r="E3028" s="47"/>
    </row>
    <row r="3029" spans="1:5" ht="33.75" x14ac:dyDescent="0.2">
      <c r="A3029" s="65" t="s">
        <v>8280</v>
      </c>
      <c r="B3029" s="65" t="s">
        <v>8281</v>
      </c>
      <c r="C3029" s="67" t="s">
        <v>203</v>
      </c>
      <c r="D3029" s="69" t="s">
        <v>8282</v>
      </c>
      <c r="E3029" s="69" t="s">
        <v>8283</v>
      </c>
    </row>
    <row r="3030" spans="1:5" ht="22.5" x14ac:dyDescent="0.2">
      <c r="A3030" s="65" t="s">
        <v>8284</v>
      </c>
      <c r="B3030" s="65" t="s">
        <v>8285</v>
      </c>
      <c r="C3030" s="67" t="s">
        <v>203</v>
      </c>
      <c r="D3030" s="69" t="s">
        <v>8286</v>
      </c>
      <c r="E3030" s="69" t="s">
        <v>8287</v>
      </c>
    </row>
    <row r="3031" spans="1:5" ht="22.5" x14ac:dyDescent="0.2">
      <c r="A3031" s="65" t="s">
        <v>8288</v>
      </c>
      <c r="B3031" s="65" t="s">
        <v>8289</v>
      </c>
      <c r="C3031" s="67" t="s">
        <v>203</v>
      </c>
      <c r="D3031" s="69" t="s">
        <v>8290</v>
      </c>
      <c r="E3031" s="69" t="s">
        <v>8291</v>
      </c>
    </row>
    <row r="3032" spans="1:5" ht="45" x14ac:dyDescent="0.2">
      <c r="A3032" s="65" t="s">
        <v>8292</v>
      </c>
      <c r="B3032" s="65" t="s">
        <v>8293</v>
      </c>
      <c r="C3032" s="67" t="s">
        <v>203</v>
      </c>
      <c r="D3032" s="69" t="s">
        <v>8294</v>
      </c>
      <c r="E3032" s="69" t="s">
        <v>8295</v>
      </c>
    </row>
    <row r="3033" spans="1:5" ht="33.75" x14ac:dyDescent="0.2">
      <c r="A3033" s="65" t="s">
        <v>8296</v>
      </c>
      <c r="B3033" s="65" t="s">
        <v>8297</v>
      </c>
      <c r="C3033" s="67" t="s">
        <v>203</v>
      </c>
      <c r="D3033" s="73"/>
      <c r="E3033" s="69" t="s">
        <v>4745</v>
      </c>
    </row>
    <row r="3034" spans="1:5" ht="22.5" x14ac:dyDescent="0.2">
      <c r="A3034" s="65" t="s">
        <v>8298</v>
      </c>
      <c r="B3034" s="65" t="s">
        <v>8299</v>
      </c>
      <c r="C3034" s="67" t="s">
        <v>203</v>
      </c>
      <c r="D3034" s="69" t="s">
        <v>8300</v>
      </c>
      <c r="E3034" s="69" t="s">
        <v>8301</v>
      </c>
    </row>
    <row r="3035" spans="1:5" ht="22.5" x14ac:dyDescent="0.2">
      <c r="A3035" s="65" t="s">
        <v>8302</v>
      </c>
      <c r="B3035" s="65" t="s">
        <v>8303</v>
      </c>
      <c r="C3035" s="67" t="s">
        <v>203</v>
      </c>
      <c r="D3035" s="69" t="s">
        <v>3939</v>
      </c>
      <c r="E3035" s="69" t="s">
        <v>8304</v>
      </c>
    </row>
    <row r="3036" spans="1:5" ht="22.5" x14ac:dyDescent="0.2">
      <c r="A3036" s="65" t="s">
        <v>8305</v>
      </c>
      <c r="B3036" s="65" t="s">
        <v>8306</v>
      </c>
      <c r="C3036" s="67" t="s">
        <v>203</v>
      </c>
      <c r="D3036" s="69" t="s">
        <v>8307</v>
      </c>
      <c r="E3036" s="69" t="s">
        <v>8309</v>
      </c>
    </row>
    <row r="3037" spans="1:5" ht="56.25" x14ac:dyDescent="0.2">
      <c r="A3037" s="65" t="s">
        <v>8310</v>
      </c>
      <c r="B3037" s="66" t="s">
        <v>8311</v>
      </c>
      <c r="C3037" s="67" t="s">
        <v>203</v>
      </c>
      <c r="D3037" s="69" t="s">
        <v>7527</v>
      </c>
      <c r="E3037" s="69" t="s">
        <v>8312</v>
      </c>
    </row>
    <row r="3038" spans="1:5" ht="22.5" x14ac:dyDescent="0.2">
      <c r="A3038" s="65" t="s">
        <v>8313</v>
      </c>
      <c r="B3038" s="65" t="s">
        <v>8314</v>
      </c>
      <c r="C3038" s="67" t="s">
        <v>203</v>
      </c>
      <c r="D3038" s="69" t="s">
        <v>8315</v>
      </c>
      <c r="E3038" s="69" t="s">
        <v>8316</v>
      </c>
    </row>
    <row r="3039" spans="1:5" ht="33.75" x14ac:dyDescent="0.2">
      <c r="A3039" s="65" t="s">
        <v>8317</v>
      </c>
      <c r="B3039" s="65" t="s">
        <v>8318</v>
      </c>
      <c r="C3039" s="67" t="s">
        <v>203</v>
      </c>
      <c r="D3039" s="69" t="s">
        <v>8319</v>
      </c>
      <c r="E3039" s="69" t="s">
        <v>8320</v>
      </c>
    </row>
    <row r="3040" spans="1:5" ht="22.5" x14ac:dyDescent="0.2">
      <c r="A3040" s="65" t="s">
        <v>8321</v>
      </c>
      <c r="B3040" s="65" t="s">
        <v>8322</v>
      </c>
      <c r="C3040" s="67" t="s">
        <v>203</v>
      </c>
      <c r="D3040" s="69" t="s">
        <v>8323</v>
      </c>
      <c r="E3040" s="69" t="s">
        <v>8324</v>
      </c>
    </row>
    <row r="3041" spans="1:5" ht="22.5" x14ac:dyDescent="0.2">
      <c r="A3041" s="65" t="s">
        <v>8325</v>
      </c>
      <c r="B3041" s="65" t="s">
        <v>8326</v>
      </c>
      <c r="C3041" s="67" t="s">
        <v>203</v>
      </c>
      <c r="D3041" s="69" t="s">
        <v>8327</v>
      </c>
      <c r="E3041" s="69" t="s">
        <v>8328</v>
      </c>
    </row>
    <row r="3042" spans="1:5" ht="33.75" x14ac:dyDescent="0.2">
      <c r="A3042" s="65" t="s">
        <v>8329</v>
      </c>
      <c r="B3042" s="65" t="s">
        <v>8330</v>
      </c>
      <c r="C3042" s="67" t="s">
        <v>203</v>
      </c>
      <c r="D3042" s="69" t="s">
        <v>8331</v>
      </c>
      <c r="E3042" s="69" t="s">
        <v>8332</v>
      </c>
    </row>
    <row r="3043" spans="1:5" ht="33.75" x14ac:dyDescent="0.2">
      <c r="A3043" s="65" t="s">
        <v>8333</v>
      </c>
      <c r="B3043" s="65" t="s">
        <v>8334</v>
      </c>
      <c r="C3043" s="67" t="s">
        <v>203</v>
      </c>
      <c r="D3043" s="69" t="s">
        <v>8335</v>
      </c>
      <c r="E3043" s="69" t="s">
        <v>8336</v>
      </c>
    </row>
    <row r="3044" spans="1:5" ht="22.5" x14ac:dyDescent="0.2">
      <c r="A3044" s="65" t="s">
        <v>8337</v>
      </c>
      <c r="B3044" s="65" t="s">
        <v>8338</v>
      </c>
      <c r="C3044" s="67" t="s">
        <v>203</v>
      </c>
      <c r="D3044" s="69" t="s">
        <v>8339</v>
      </c>
      <c r="E3044" s="69" t="s">
        <v>8340</v>
      </c>
    </row>
    <row r="3045" spans="1:5" ht="33.75" x14ac:dyDescent="0.2">
      <c r="A3045" s="65" t="s">
        <v>8341</v>
      </c>
      <c r="B3045" s="65" t="s">
        <v>8342</v>
      </c>
      <c r="C3045" s="67" t="s">
        <v>203</v>
      </c>
      <c r="D3045" s="69" t="s">
        <v>8343</v>
      </c>
      <c r="E3045" s="69" t="s">
        <v>8344</v>
      </c>
    </row>
    <row r="3046" spans="1:5" ht="33.75" x14ac:dyDescent="0.2">
      <c r="A3046" s="65" t="s">
        <v>8345</v>
      </c>
      <c r="B3046" s="65" t="s">
        <v>8346</v>
      </c>
      <c r="C3046" s="67" t="s">
        <v>203</v>
      </c>
      <c r="D3046" s="69" t="s">
        <v>8347</v>
      </c>
      <c r="E3046" s="69" t="s">
        <v>8348</v>
      </c>
    </row>
    <row r="3047" spans="1:5" ht="22.5" x14ac:dyDescent="0.2">
      <c r="A3047" s="65" t="s">
        <v>8349</v>
      </c>
      <c r="B3047" s="65" t="s">
        <v>8350</v>
      </c>
      <c r="C3047" s="67" t="s">
        <v>203</v>
      </c>
      <c r="D3047" s="69" t="s">
        <v>1221</v>
      </c>
      <c r="E3047" s="69" t="s">
        <v>4051</v>
      </c>
    </row>
    <row r="3048" spans="1:5" ht="22.5" x14ac:dyDescent="0.2">
      <c r="A3048" s="65" t="s">
        <v>8351</v>
      </c>
      <c r="B3048" s="65" t="s">
        <v>8352</v>
      </c>
      <c r="C3048" s="67" t="s">
        <v>203</v>
      </c>
      <c r="D3048" s="69" t="s">
        <v>3243</v>
      </c>
      <c r="E3048" s="69" t="s">
        <v>8354</v>
      </c>
    </row>
    <row r="3049" spans="1:5" ht="22.5" x14ac:dyDescent="0.2">
      <c r="A3049" s="65" t="s">
        <v>8355</v>
      </c>
      <c r="B3049" s="65" t="s">
        <v>8356</v>
      </c>
      <c r="C3049" s="67" t="s">
        <v>203</v>
      </c>
      <c r="D3049" s="69" t="s">
        <v>8357</v>
      </c>
      <c r="E3049" s="69" t="s">
        <v>8358</v>
      </c>
    </row>
    <row r="3050" spans="1:5" ht="22.5" x14ac:dyDescent="0.2">
      <c r="A3050" s="65" t="s">
        <v>8359</v>
      </c>
      <c r="B3050" s="65" t="s">
        <v>8360</v>
      </c>
      <c r="C3050" s="67" t="s">
        <v>203</v>
      </c>
      <c r="D3050" s="69" t="s">
        <v>786</v>
      </c>
      <c r="E3050" s="69" t="s">
        <v>8361</v>
      </c>
    </row>
    <row r="3051" spans="1:5" x14ac:dyDescent="0.2">
      <c r="A3051" s="65" t="s">
        <v>8362</v>
      </c>
      <c r="B3051" s="65" t="s">
        <v>8363</v>
      </c>
      <c r="C3051" s="67" t="s">
        <v>203</v>
      </c>
      <c r="D3051" s="69" t="s">
        <v>8364</v>
      </c>
      <c r="E3051" s="69" t="s">
        <v>8365</v>
      </c>
    </row>
    <row r="3052" spans="1:5" ht="22.5" x14ac:dyDescent="0.2">
      <c r="A3052" s="65" t="s">
        <v>8366</v>
      </c>
      <c r="B3052" s="65" t="s">
        <v>8367</v>
      </c>
      <c r="C3052" s="67" t="s">
        <v>203</v>
      </c>
      <c r="D3052" s="69" t="s">
        <v>8368</v>
      </c>
      <c r="E3052" s="69" t="s">
        <v>8369</v>
      </c>
    </row>
    <row r="3053" spans="1:5" ht="22.5" x14ac:dyDescent="0.2">
      <c r="A3053" s="65" t="s">
        <v>8370</v>
      </c>
      <c r="B3053" s="65" t="s">
        <v>8371</v>
      </c>
      <c r="C3053" s="67" t="s">
        <v>203</v>
      </c>
      <c r="D3053" s="69" t="s">
        <v>8372</v>
      </c>
      <c r="E3053" s="69" t="s">
        <v>5531</v>
      </c>
    </row>
    <row r="3054" spans="1:5" ht="22.5" x14ac:dyDescent="0.2">
      <c r="A3054" s="49">
        <v>45</v>
      </c>
      <c r="B3054" s="64" t="s">
        <v>8373</v>
      </c>
      <c r="C3054" s="47"/>
      <c r="D3054" s="47"/>
      <c r="E3054" s="47"/>
    </row>
    <row r="3055" spans="1:5" x14ac:dyDescent="0.2">
      <c r="A3055" s="50">
        <v>45.01</v>
      </c>
      <c r="B3055" s="64" t="s">
        <v>8374</v>
      </c>
      <c r="C3055" s="47"/>
      <c r="D3055" s="47"/>
      <c r="E3055" s="47"/>
    </row>
    <row r="3056" spans="1:5" ht="45" x14ac:dyDescent="0.2">
      <c r="A3056" s="65" t="s">
        <v>8375</v>
      </c>
      <c r="B3056" s="65" t="s">
        <v>8376</v>
      </c>
      <c r="C3056" s="67" t="s">
        <v>203</v>
      </c>
      <c r="D3056" s="69" t="s">
        <v>8377</v>
      </c>
      <c r="E3056" s="69" t="s">
        <v>8379</v>
      </c>
    </row>
    <row r="3057" spans="1:5" ht="45" x14ac:dyDescent="0.2">
      <c r="A3057" s="65" t="s">
        <v>8380</v>
      </c>
      <c r="B3057" s="65" t="s">
        <v>8381</v>
      </c>
      <c r="C3057" s="67" t="s">
        <v>203</v>
      </c>
      <c r="D3057" s="69" t="s">
        <v>8382</v>
      </c>
      <c r="E3057" s="69" t="s">
        <v>8383</v>
      </c>
    </row>
    <row r="3058" spans="1:5" ht="45" x14ac:dyDescent="0.2">
      <c r="A3058" s="65" t="s">
        <v>8384</v>
      </c>
      <c r="B3058" s="65" t="s">
        <v>8385</v>
      </c>
      <c r="C3058" s="67" t="s">
        <v>203</v>
      </c>
      <c r="D3058" s="69" t="s">
        <v>8386</v>
      </c>
      <c r="E3058" s="69" t="s">
        <v>8388</v>
      </c>
    </row>
    <row r="3059" spans="1:5" ht="45" x14ac:dyDescent="0.2">
      <c r="A3059" s="65" t="s">
        <v>8389</v>
      </c>
      <c r="B3059" s="65" t="s">
        <v>8390</v>
      </c>
      <c r="C3059" s="67" t="s">
        <v>203</v>
      </c>
      <c r="D3059" s="69" t="s">
        <v>8391</v>
      </c>
      <c r="E3059" s="69" t="s">
        <v>8392</v>
      </c>
    </row>
    <row r="3060" spans="1:5" ht="45" x14ac:dyDescent="0.2">
      <c r="A3060" s="65" t="s">
        <v>8393</v>
      </c>
      <c r="B3060" s="65" t="s">
        <v>8394</v>
      </c>
      <c r="C3060" s="67" t="s">
        <v>203</v>
      </c>
      <c r="D3060" s="69" t="s">
        <v>8395</v>
      </c>
      <c r="E3060" s="69" t="s">
        <v>8396</v>
      </c>
    </row>
    <row r="3061" spans="1:5" ht="45" x14ac:dyDescent="0.2">
      <c r="A3061" s="65" t="s">
        <v>8397</v>
      </c>
      <c r="B3061" s="65" t="s">
        <v>8398</v>
      </c>
      <c r="C3061" s="67" t="s">
        <v>203</v>
      </c>
      <c r="D3061" s="69" t="s">
        <v>8399</v>
      </c>
      <c r="E3061" s="69" t="s">
        <v>8400</v>
      </c>
    </row>
    <row r="3062" spans="1:5" x14ac:dyDescent="0.2">
      <c r="A3062" s="50">
        <v>45.02</v>
      </c>
      <c r="B3062" s="64" t="s">
        <v>8401</v>
      </c>
      <c r="C3062" s="47"/>
      <c r="D3062" s="47"/>
      <c r="E3062" s="47"/>
    </row>
    <row r="3063" spans="1:5" ht="45" x14ac:dyDescent="0.2">
      <c r="A3063" s="65" t="s">
        <v>8402</v>
      </c>
      <c r="B3063" s="65" t="s">
        <v>8403</v>
      </c>
      <c r="C3063" s="67" t="s">
        <v>203</v>
      </c>
      <c r="D3063" s="69" t="s">
        <v>8404</v>
      </c>
      <c r="E3063" s="69" t="s">
        <v>8406</v>
      </c>
    </row>
    <row r="3064" spans="1:5" ht="33.75" x14ac:dyDescent="0.2">
      <c r="A3064" s="65" t="s">
        <v>8407</v>
      </c>
      <c r="B3064" s="65" t="s">
        <v>8408</v>
      </c>
      <c r="C3064" s="67" t="s">
        <v>203</v>
      </c>
      <c r="D3064" s="69" t="s">
        <v>8409</v>
      </c>
      <c r="E3064" s="69" t="s">
        <v>8411</v>
      </c>
    </row>
    <row r="3065" spans="1:5" ht="33.75" x14ac:dyDescent="0.2">
      <c r="A3065" s="65" t="s">
        <v>8412</v>
      </c>
      <c r="B3065" s="65" t="s">
        <v>8413</v>
      </c>
      <c r="C3065" s="67" t="s">
        <v>203</v>
      </c>
      <c r="D3065" s="69" t="s">
        <v>8414</v>
      </c>
      <c r="E3065" s="69" t="s">
        <v>8416</v>
      </c>
    </row>
    <row r="3066" spans="1:5" ht="33.75" x14ac:dyDescent="0.2">
      <c r="A3066" s="65" t="s">
        <v>8417</v>
      </c>
      <c r="B3066" s="65" t="s">
        <v>8418</v>
      </c>
      <c r="C3066" s="67" t="s">
        <v>203</v>
      </c>
      <c r="D3066" s="69" t="s">
        <v>8419</v>
      </c>
      <c r="E3066" s="69" t="s">
        <v>8421</v>
      </c>
    </row>
    <row r="3067" spans="1:5" ht="22.5" x14ac:dyDescent="0.2">
      <c r="A3067" s="65" t="s">
        <v>8422</v>
      </c>
      <c r="B3067" s="65" t="s">
        <v>8423</v>
      </c>
      <c r="C3067" s="67" t="s">
        <v>203</v>
      </c>
      <c r="D3067" s="69" t="s">
        <v>8424</v>
      </c>
      <c r="E3067" s="69" t="s">
        <v>8426</v>
      </c>
    </row>
    <row r="3068" spans="1:5" x14ac:dyDescent="0.2">
      <c r="A3068" s="50">
        <v>45.03</v>
      </c>
      <c r="B3068" s="64" t="s">
        <v>8427</v>
      </c>
      <c r="C3068" s="47"/>
      <c r="D3068" s="47"/>
      <c r="E3068" s="47"/>
    </row>
    <row r="3069" spans="1:5" ht="33.75" x14ac:dyDescent="0.2">
      <c r="A3069" s="65" t="s">
        <v>8428</v>
      </c>
      <c r="B3069" s="65" t="s">
        <v>8429</v>
      </c>
      <c r="C3069" s="67" t="s">
        <v>203</v>
      </c>
      <c r="D3069" s="69" t="s">
        <v>8430</v>
      </c>
      <c r="E3069" s="69" t="s">
        <v>8431</v>
      </c>
    </row>
    <row r="3070" spans="1:5" ht="33.75" x14ac:dyDescent="0.2">
      <c r="A3070" s="65" t="s">
        <v>8432</v>
      </c>
      <c r="B3070" s="65" t="s">
        <v>8433</v>
      </c>
      <c r="C3070" s="67" t="s">
        <v>203</v>
      </c>
      <c r="D3070" s="69" t="s">
        <v>8434</v>
      </c>
      <c r="E3070" s="69" t="s">
        <v>8435</v>
      </c>
    </row>
    <row r="3071" spans="1:5" ht="33.75" x14ac:dyDescent="0.2">
      <c r="A3071" s="65" t="s">
        <v>8436</v>
      </c>
      <c r="B3071" s="65" t="s">
        <v>8437</v>
      </c>
      <c r="C3071" s="67" t="s">
        <v>203</v>
      </c>
      <c r="D3071" s="69" t="s">
        <v>8438</v>
      </c>
      <c r="E3071" s="69" t="s">
        <v>8439</v>
      </c>
    </row>
    <row r="3072" spans="1:5" ht="33.75" x14ac:dyDescent="0.2">
      <c r="A3072" s="65" t="s">
        <v>8440</v>
      </c>
      <c r="B3072" s="65" t="s">
        <v>8441</v>
      </c>
      <c r="C3072" s="67" t="s">
        <v>203</v>
      </c>
      <c r="D3072" s="69" t="s">
        <v>8442</v>
      </c>
      <c r="E3072" s="69" t="s">
        <v>8443</v>
      </c>
    </row>
    <row r="3073" spans="1:5" ht="33.75" x14ac:dyDescent="0.2">
      <c r="A3073" s="65" t="s">
        <v>8444</v>
      </c>
      <c r="B3073" s="65" t="s">
        <v>8445</v>
      </c>
      <c r="C3073" s="67" t="s">
        <v>203</v>
      </c>
      <c r="D3073" s="69" t="s">
        <v>8446</v>
      </c>
      <c r="E3073" s="69" t="s">
        <v>8447</v>
      </c>
    </row>
    <row r="3074" spans="1:5" ht="45" x14ac:dyDescent="0.2">
      <c r="A3074" s="50">
        <v>45.2</v>
      </c>
      <c r="B3074" s="64" t="s">
        <v>8448</v>
      </c>
      <c r="C3074" s="47"/>
      <c r="D3074" s="47"/>
      <c r="E3074" s="47"/>
    </row>
    <row r="3075" spans="1:5" ht="22.5" x14ac:dyDescent="0.2">
      <c r="A3075" s="65" t="s">
        <v>8449</v>
      </c>
      <c r="B3075" s="65" t="s">
        <v>8450</v>
      </c>
      <c r="C3075" s="67" t="s">
        <v>203</v>
      </c>
      <c r="D3075" s="69" t="s">
        <v>8451</v>
      </c>
      <c r="E3075" s="69" t="s">
        <v>8451</v>
      </c>
    </row>
    <row r="3076" spans="1:5" ht="33.75" x14ac:dyDescent="0.2">
      <c r="A3076" s="49">
        <v>46</v>
      </c>
      <c r="B3076" s="64" t="s">
        <v>8452</v>
      </c>
      <c r="C3076" s="47"/>
      <c r="D3076" s="47"/>
      <c r="E3076" s="47"/>
    </row>
    <row r="3077" spans="1:5" ht="45" x14ac:dyDescent="0.2">
      <c r="A3077" s="50">
        <v>46.01</v>
      </c>
      <c r="B3077" s="64" t="s">
        <v>8453</v>
      </c>
      <c r="C3077" s="48"/>
      <c r="D3077" s="48"/>
      <c r="E3077" s="48"/>
    </row>
    <row r="3078" spans="1:5" ht="56.25" x14ac:dyDescent="0.2">
      <c r="A3078" s="65" t="s">
        <v>8454</v>
      </c>
      <c r="B3078" s="66" t="s">
        <v>8455</v>
      </c>
      <c r="C3078" s="67" t="s">
        <v>221</v>
      </c>
      <c r="D3078" s="69" t="s">
        <v>384</v>
      </c>
      <c r="E3078" s="69" t="s">
        <v>8456</v>
      </c>
    </row>
    <row r="3079" spans="1:5" ht="56.25" x14ac:dyDescent="0.2">
      <c r="A3079" s="65" t="s">
        <v>8457</v>
      </c>
      <c r="B3079" s="66" t="s">
        <v>8458</v>
      </c>
      <c r="C3079" s="67" t="s">
        <v>221</v>
      </c>
      <c r="D3079" s="69" t="s">
        <v>7471</v>
      </c>
      <c r="E3079" s="69" t="s">
        <v>7472</v>
      </c>
    </row>
    <row r="3080" spans="1:5" ht="56.25" x14ac:dyDescent="0.2">
      <c r="A3080" s="65" t="s">
        <v>8459</v>
      </c>
      <c r="B3080" s="66" t="s">
        <v>8460</v>
      </c>
      <c r="C3080" s="67" t="s">
        <v>221</v>
      </c>
      <c r="D3080" s="69" t="s">
        <v>8461</v>
      </c>
      <c r="E3080" s="69" t="s">
        <v>8462</v>
      </c>
    </row>
    <row r="3081" spans="1:5" ht="56.25" x14ac:dyDescent="0.2">
      <c r="A3081" s="65" t="s">
        <v>8463</v>
      </c>
      <c r="B3081" s="66" t="s">
        <v>8464</v>
      </c>
      <c r="C3081" s="67" t="s">
        <v>221</v>
      </c>
      <c r="D3081" s="69" t="s">
        <v>8465</v>
      </c>
      <c r="E3081" s="69" t="s">
        <v>8466</v>
      </c>
    </row>
    <row r="3082" spans="1:5" ht="56.25" x14ac:dyDescent="0.2">
      <c r="A3082" s="65" t="s">
        <v>8467</v>
      </c>
      <c r="B3082" s="66" t="s">
        <v>8468</v>
      </c>
      <c r="C3082" s="67" t="s">
        <v>221</v>
      </c>
      <c r="D3082" s="69" t="s">
        <v>1356</v>
      </c>
      <c r="E3082" s="69" t="s">
        <v>8469</v>
      </c>
    </row>
    <row r="3083" spans="1:5" ht="56.25" x14ac:dyDescent="0.2">
      <c r="A3083" s="65" t="s">
        <v>8470</v>
      </c>
      <c r="B3083" s="66" t="s">
        <v>8471</v>
      </c>
      <c r="C3083" s="67" t="s">
        <v>221</v>
      </c>
      <c r="D3083" s="69" t="s">
        <v>8472</v>
      </c>
      <c r="E3083" s="69" t="s">
        <v>8473</v>
      </c>
    </row>
    <row r="3084" spans="1:5" ht="56.25" x14ac:dyDescent="0.2">
      <c r="A3084" s="65" t="s">
        <v>8474</v>
      </c>
      <c r="B3084" s="66" t="s">
        <v>8475</v>
      </c>
      <c r="C3084" s="67" t="s">
        <v>221</v>
      </c>
      <c r="D3084" s="69" t="s">
        <v>8476</v>
      </c>
      <c r="E3084" s="69" t="s">
        <v>8477</v>
      </c>
    </row>
    <row r="3085" spans="1:5" ht="56.25" x14ac:dyDescent="0.2">
      <c r="A3085" s="65" t="s">
        <v>8478</v>
      </c>
      <c r="B3085" s="66" t="s">
        <v>8479</v>
      </c>
      <c r="C3085" s="67" t="s">
        <v>221</v>
      </c>
      <c r="D3085" s="69" t="s">
        <v>8480</v>
      </c>
      <c r="E3085" s="69" t="s">
        <v>8481</v>
      </c>
    </row>
    <row r="3086" spans="1:5" ht="56.25" x14ac:dyDescent="0.2">
      <c r="A3086" s="65" t="s">
        <v>8482</v>
      </c>
      <c r="B3086" s="66" t="s">
        <v>8483</v>
      </c>
      <c r="C3086" s="67" t="s">
        <v>221</v>
      </c>
      <c r="D3086" s="69" t="s">
        <v>8484</v>
      </c>
      <c r="E3086" s="69" t="s">
        <v>8485</v>
      </c>
    </row>
    <row r="3087" spans="1:5" ht="33.75" x14ac:dyDescent="0.2">
      <c r="A3087" s="50">
        <v>46.02</v>
      </c>
      <c r="B3087" s="64" t="s">
        <v>8486</v>
      </c>
      <c r="C3087" s="47"/>
      <c r="D3087" s="47"/>
      <c r="E3087" s="47"/>
    </row>
    <row r="3088" spans="1:5" ht="67.5" x14ac:dyDescent="0.2">
      <c r="A3088" s="65" t="s">
        <v>8487</v>
      </c>
      <c r="B3088" s="66" t="s">
        <v>8488</v>
      </c>
      <c r="C3088" s="67" t="s">
        <v>221</v>
      </c>
      <c r="D3088" s="69" t="s">
        <v>3447</v>
      </c>
      <c r="E3088" s="69" t="s">
        <v>8489</v>
      </c>
    </row>
    <row r="3089" spans="1:5" ht="78.75" x14ac:dyDescent="0.2">
      <c r="A3089" s="65" t="s">
        <v>8490</v>
      </c>
      <c r="B3089" s="66" t="s">
        <v>8491</v>
      </c>
      <c r="C3089" s="67" t="s">
        <v>221</v>
      </c>
      <c r="D3089" s="69" t="s">
        <v>242</v>
      </c>
      <c r="E3089" s="69" t="s">
        <v>8492</v>
      </c>
    </row>
    <row r="3090" spans="1:5" ht="78.75" x14ac:dyDescent="0.2">
      <c r="A3090" s="65" t="s">
        <v>8493</v>
      </c>
      <c r="B3090" s="66" t="s">
        <v>8494</v>
      </c>
      <c r="C3090" s="67" t="s">
        <v>221</v>
      </c>
      <c r="D3090" s="69" t="s">
        <v>8495</v>
      </c>
      <c r="E3090" s="69" t="s">
        <v>8496</v>
      </c>
    </row>
    <row r="3091" spans="1:5" ht="78.75" x14ac:dyDescent="0.2">
      <c r="A3091" s="65" t="s">
        <v>8497</v>
      </c>
      <c r="B3091" s="66" t="s">
        <v>8498</v>
      </c>
      <c r="C3091" s="67" t="s">
        <v>221</v>
      </c>
      <c r="D3091" s="69" t="s">
        <v>8499</v>
      </c>
      <c r="E3091" s="69" t="s">
        <v>8500</v>
      </c>
    </row>
    <row r="3092" spans="1:5" ht="45" x14ac:dyDescent="0.2">
      <c r="A3092" s="50">
        <v>46.03</v>
      </c>
      <c r="B3092" s="64" t="s">
        <v>8501</v>
      </c>
      <c r="C3092" s="48"/>
      <c r="D3092" s="48"/>
      <c r="E3092" s="48"/>
    </row>
    <row r="3093" spans="1:5" ht="78.75" x14ac:dyDescent="0.2">
      <c r="A3093" s="65" t="s">
        <v>8502</v>
      </c>
      <c r="B3093" s="66" t="s">
        <v>8503</v>
      </c>
      <c r="C3093" s="67" t="s">
        <v>221</v>
      </c>
      <c r="D3093" s="69" t="s">
        <v>6800</v>
      </c>
      <c r="E3093" s="69" t="s">
        <v>8504</v>
      </c>
    </row>
    <row r="3094" spans="1:5" ht="78.75" x14ac:dyDescent="0.2">
      <c r="A3094" s="65" t="s">
        <v>8505</v>
      </c>
      <c r="B3094" s="66" t="s">
        <v>8506</v>
      </c>
      <c r="C3094" s="67" t="s">
        <v>221</v>
      </c>
      <c r="D3094" s="69" t="s">
        <v>8507</v>
      </c>
      <c r="E3094" s="69" t="s">
        <v>8508</v>
      </c>
    </row>
    <row r="3095" spans="1:5" ht="78.75" x14ac:dyDescent="0.2">
      <c r="A3095" s="65" t="s">
        <v>8509</v>
      </c>
      <c r="B3095" s="66" t="s">
        <v>8510</v>
      </c>
      <c r="C3095" s="67" t="s">
        <v>221</v>
      </c>
      <c r="D3095" s="69" t="s">
        <v>6958</v>
      </c>
      <c r="E3095" s="69" t="s">
        <v>8511</v>
      </c>
    </row>
    <row r="3096" spans="1:5" ht="78.75" x14ac:dyDescent="0.2">
      <c r="A3096" s="65" t="s">
        <v>8512</v>
      </c>
      <c r="B3096" s="66" t="s">
        <v>8513</v>
      </c>
      <c r="C3096" s="67" t="s">
        <v>221</v>
      </c>
      <c r="D3096" s="69" t="s">
        <v>8514</v>
      </c>
      <c r="E3096" s="69" t="s">
        <v>8515</v>
      </c>
    </row>
    <row r="3097" spans="1:5" ht="78.75" x14ac:dyDescent="0.2">
      <c r="A3097" s="65" t="s">
        <v>8516</v>
      </c>
      <c r="B3097" s="66" t="s">
        <v>8517</v>
      </c>
      <c r="C3097" s="67" t="s">
        <v>221</v>
      </c>
      <c r="D3097" s="69" t="s">
        <v>8518</v>
      </c>
      <c r="E3097" s="69" t="s">
        <v>8519</v>
      </c>
    </row>
    <row r="3098" spans="1:5" ht="56.25" x14ac:dyDescent="0.2">
      <c r="A3098" s="50">
        <v>46.04</v>
      </c>
      <c r="B3098" s="51" t="s">
        <v>8520</v>
      </c>
      <c r="C3098" s="48"/>
      <c r="D3098" s="48"/>
      <c r="E3098" s="48"/>
    </row>
    <row r="3099" spans="1:5" ht="56.25" x14ac:dyDescent="0.2">
      <c r="A3099" s="65" t="s">
        <v>8521</v>
      </c>
      <c r="B3099" s="66" t="s">
        <v>8522</v>
      </c>
      <c r="C3099" s="67" t="s">
        <v>221</v>
      </c>
      <c r="D3099" s="69" t="s">
        <v>8523</v>
      </c>
      <c r="E3099" s="69" t="s">
        <v>8524</v>
      </c>
    </row>
    <row r="3100" spans="1:5" ht="56.25" x14ac:dyDescent="0.2">
      <c r="A3100" s="65" t="s">
        <v>8525</v>
      </c>
      <c r="B3100" s="66" t="s">
        <v>8526</v>
      </c>
      <c r="C3100" s="67" t="s">
        <v>221</v>
      </c>
      <c r="D3100" s="69" t="s">
        <v>8527</v>
      </c>
      <c r="E3100" s="69" t="s">
        <v>8528</v>
      </c>
    </row>
    <row r="3101" spans="1:5" ht="56.25" x14ac:dyDescent="0.2">
      <c r="A3101" s="65" t="s">
        <v>8529</v>
      </c>
      <c r="B3101" s="66" t="s">
        <v>8530</v>
      </c>
      <c r="C3101" s="67" t="s">
        <v>221</v>
      </c>
      <c r="D3101" s="69" t="s">
        <v>8531</v>
      </c>
      <c r="E3101" s="69" t="s">
        <v>8532</v>
      </c>
    </row>
    <row r="3102" spans="1:5" ht="56.25" x14ac:dyDescent="0.2">
      <c r="A3102" s="65" t="s">
        <v>8533</v>
      </c>
      <c r="B3102" s="66" t="s">
        <v>8534</v>
      </c>
      <c r="C3102" s="67" t="s">
        <v>221</v>
      </c>
      <c r="D3102" s="69" t="s">
        <v>8535</v>
      </c>
      <c r="E3102" s="69" t="s">
        <v>680</v>
      </c>
    </row>
    <row r="3103" spans="1:5" ht="56.25" x14ac:dyDescent="0.2">
      <c r="A3103" s="65" t="s">
        <v>8536</v>
      </c>
      <c r="B3103" s="66" t="s">
        <v>8537</v>
      </c>
      <c r="C3103" s="67" t="s">
        <v>221</v>
      </c>
      <c r="D3103" s="69" t="s">
        <v>8538</v>
      </c>
      <c r="E3103" s="69" t="s">
        <v>8539</v>
      </c>
    </row>
    <row r="3104" spans="1:5" ht="56.25" x14ac:dyDescent="0.2">
      <c r="A3104" s="65" t="s">
        <v>8540</v>
      </c>
      <c r="B3104" s="66" t="s">
        <v>8541</v>
      </c>
      <c r="C3104" s="67" t="s">
        <v>221</v>
      </c>
      <c r="D3104" s="69" t="s">
        <v>8542</v>
      </c>
      <c r="E3104" s="69" t="s">
        <v>8543</v>
      </c>
    </row>
    <row r="3105" spans="1:5" ht="56.25" x14ac:dyDescent="0.2">
      <c r="A3105" s="65" t="s">
        <v>8544</v>
      </c>
      <c r="B3105" s="66" t="s">
        <v>8545</v>
      </c>
      <c r="C3105" s="67" t="s">
        <v>221</v>
      </c>
      <c r="D3105" s="69" t="s">
        <v>8546</v>
      </c>
      <c r="E3105" s="69" t="s">
        <v>8547</v>
      </c>
    </row>
    <row r="3106" spans="1:5" ht="56.25" x14ac:dyDescent="0.2">
      <c r="A3106" s="65" t="s">
        <v>8548</v>
      </c>
      <c r="B3106" s="66" t="s">
        <v>8549</v>
      </c>
      <c r="C3106" s="67" t="s">
        <v>221</v>
      </c>
      <c r="D3106" s="69" t="s">
        <v>1632</v>
      </c>
      <c r="E3106" s="69" t="s">
        <v>8550</v>
      </c>
    </row>
    <row r="3107" spans="1:5" ht="45" x14ac:dyDescent="0.2">
      <c r="A3107" s="50">
        <v>46.05</v>
      </c>
      <c r="B3107" s="64" t="s">
        <v>8551</v>
      </c>
      <c r="C3107" s="47"/>
      <c r="D3107" s="47"/>
      <c r="E3107" s="47"/>
    </row>
    <row r="3108" spans="1:5" ht="56.25" x14ac:dyDescent="0.2">
      <c r="A3108" s="65" t="s">
        <v>8552</v>
      </c>
      <c r="B3108" s="66" t="s">
        <v>8553</v>
      </c>
      <c r="C3108" s="67" t="s">
        <v>221</v>
      </c>
      <c r="D3108" s="69" t="s">
        <v>6538</v>
      </c>
      <c r="E3108" s="69" t="s">
        <v>4839</v>
      </c>
    </row>
    <row r="3109" spans="1:5" ht="56.25" x14ac:dyDescent="0.2">
      <c r="A3109" s="65" t="s">
        <v>8554</v>
      </c>
      <c r="B3109" s="66" t="s">
        <v>8555</v>
      </c>
      <c r="C3109" s="67" t="s">
        <v>221</v>
      </c>
      <c r="D3109" s="69" t="s">
        <v>8556</v>
      </c>
      <c r="E3109" s="69" t="s">
        <v>8557</v>
      </c>
    </row>
    <row r="3110" spans="1:5" ht="56.25" x14ac:dyDescent="0.2">
      <c r="A3110" s="65" t="s">
        <v>8558</v>
      </c>
      <c r="B3110" s="66" t="s">
        <v>8559</v>
      </c>
      <c r="C3110" s="67" t="s">
        <v>221</v>
      </c>
      <c r="D3110" s="69" t="s">
        <v>8560</v>
      </c>
      <c r="E3110" s="69" t="s">
        <v>8561</v>
      </c>
    </row>
    <row r="3111" spans="1:5" ht="56.25" x14ac:dyDescent="0.2">
      <c r="A3111" s="65" t="s">
        <v>8562</v>
      </c>
      <c r="B3111" s="66" t="s">
        <v>8563</v>
      </c>
      <c r="C3111" s="67" t="s">
        <v>221</v>
      </c>
      <c r="D3111" s="69" t="s">
        <v>8564</v>
      </c>
      <c r="E3111" s="69" t="s">
        <v>8565</v>
      </c>
    </row>
    <row r="3112" spans="1:5" ht="56.25" x14ac:dyDescent="0.2">
      <c r="A3112" s="65" t="s">
        <v>8566</v>
      </c>
      <c r="B3112" s="66" t="s">
        <v>8567</v>
      </c>
      <c r="C3112" s="67" t="s">
        <v>221</v>
      </c>
      <c r="D3112" s="69" t="s">
        <v>8568</v>
      </c>
      <c r="E3112" s="69" t="s">
        <v>8569</v>
      </c>
    </row>
    <row r="3113" spans="1:5" ht="56.25" x14ac:dyDescent="0.2">
      <c r="A3113" s="65" t="s">
        <v>8570</v>
      </c>
      <c r="B3113" s="66" t="s">
        <v>8571</v>
      </c>
      <c r="C3113" s="67" t="s">
        <v>221</v>
      </c>
      <c r="D3113" s="69" t="s">
        <v>8572</v>
      </c>
      <c r="E3113" s="69" t="s">
        <v>8573</v>
      </c>
    </row>
    <row r="3114" spans="1:5" ht="22.5" x14ac:dyDescent="0.2">
      <c r="A3114" s="50">
        <v>46.07</v>
      </c>
      <c r="B3114" s="64" t="s">
        <v>8574</v>
      </c>
      <c r="C3114" s="47"/>
      <c r="D3114" s="47"/>
      <c r="E3114" s="47"/>
    </row>
    <row r="3115" spans="1:5" ht="33.75" x14ac:dyDescent="0.2">
      <c r="A3115" s="65" t="s">
        <v>8575</v>
      </c>
      <c r="B3115" s="65" t="s">
        <v>8576</v>
      </c>
      <c r="C3115" s="67" t="s">
        <v>221</v>
      </c>
      <c r="D3115" s="69" t="s">
        <v>8577</v>
      </c>
      <c r="E3115" s="69" t="s">
        <v>7107</v>
      </c>
    </row>
    <row r="3116" spans="1:5" ht="33.75" x14ac:dyDescent="0.2">
      <c r="A3116" s="65" t="s">
        <v>8578</v>
      </c>
      <c r="B3116" s="65" t="s">
        <v>8579</v>
      </c>
      <c r="C3116" s="67" t="s">
        <v>221</v>
      </c>
      <c r="D3116" s="69" t="s">
        <v>8580</v>
      </c>
      <c r="E3116" s="69" t="s">
        <v>8581</v>
      </c>
    </row>
    <row r="3117" spans="1:5" ht="33.75" x14ac:dyDescent="0.2">
      <c r="A3117" s="65" t="s">
        <v>8582</v>
      </c>
      <c r="B3117" s="65" t="s">
        <v>8583</v>
      </c>
      <c r="C3117" s="67" t="s">
        <v>221</v>
      </c>
      <c r="D3117" s="69" t="s">
        <v>8584</v>
      </c>
      <c r="E3117" s="69" t="s">
        <v>8515</v>
      </c>
    </row>
    <row r="3118" spans="1:5" ht="33.75" x14ac:dyDescent="0.2">
      <c r="A3118" s="65" t="s">
        <v>8585</v>
      </c>
      <c r="B3118" s="65" t="s">
        <v>8586</v>
      </c>
      <c r="C3118" s="67" t="s">
        <v>221</v>
      </c>
      <c r="D3118" s="69" t="s">
        <v>8587</v>
      </c>
      <c r="E3118" s="69" t="s">
        <v>8588</v>
      </c>
    </row>
    <row r="3119" spans="1:5" ht="33.75" x14ac:dyDescent="0.2">
      <c r="A3119" s="65" t="s">
        <v>8589</v>
      </c>
      <c r="B3119" s="65" t="s">
        <v>8590</v>
      </c>
      <c r="C3119" s="67" t="s">
        <v>221</v>
      </c>
      <c r="D3119" s="69" t="s">
        <v>8591</v>
      </c>
      <c r="E3119" s="69" t="s">
        <v>8593</v>
      </c>
    </row>
    <row r="3120" spans="1:5" ht="33.75" x14ac:dyDescent="0.2">
      <c r="A3120" s="65" t="s">
        <v>8594</v>
      </c>
      <c r="B3120" s="65" t="s">
        <v>8595</v>
      </c>
      <c r="C3120" s="67" t="s">
        <v>221</v>
      </c>
      <c r="D3120" s="69" t="s">
        <v>8596</v>
      </c>
      <c r="E3120" s="69" t="s">
        <v>8597</v>
      </c>
    </row>
    <row r="3121" spans="1:5" ht="33.75" x14ac:dyDescent="0.2">
      <c r="A3121" s="65" t="s">
        <v>8598</v>
      </c>
      <c r="B3121" s="65" t="s">
        <v>8599</v>
      </c>
      <c r="C3121" s="67" t="s">
        <v>221</v>
      </c>
      <c r="D3121" s="69" t="s">
        <v>8600</v>
      </c>
      <c r="E3121" s="69" t="s">
        <v>8601</v>
      </c>
    </row>
    <row r="3122" spans="1:5" ht="33.75" x14ac:dyDescent="0.2">
      <c r="A3122" s="65" t="s">
        <v>8602</v>
      </c>
      <c r="B3122" s="65" t="s">
        <v>8603</v>
      </c>
      <c r="C3122" s="67" t="s">
        <v>221</v>
      </c>
      <c r="D3122" s="69" t="s">
        <v>8604</v>
      </c>
      <c r="E3122" s="69" t="s">
        <v>8605</v>
      </c>
    </row>
    <row r="3123" spans="1:5" ht="33.75" x14ac:dyDescent="0.2">
      <c r="A3123" s="65" t="s">
        <v>8606</v>
      </c>
      <c r="B3123" s="65" t="s">
        <v>8607</v>
      </c>
      <c r="C3123" s="67" t="s">
        <v>221</v>
      </c>
      <c r="D3123" s="69" t="s">
        <v>8608</v>
      </c>
      <c r="E3123" s="69" t="s">
        <v>8609</v>
      </c>
    </row>
    <row r="3124" spans="1:5" ht="33.75" x14ac:dyDescent="0.2">
      <c r="A3124" s="65" t="s">
        <v>8610</v>
      </c>
      <c r="B3124" s="65" t="s">
        <v>8611</v>
      </c>
      <c r="C3124" s="67" t="s">
        <v>221</v>
      </c>
      <c r="D3124" s="69" t="s">
        <v>8612</v>
      </c>
      <c r="E3124" s="69" t="s">
        <v>8614</v>
      </c>
    </row>
    <row r="3125" spans="1:5" ht="33.75" x14ac:dyDescent="0.2">
      <c r="A3125" s="50">
        <v>46.08</v>
      </c>
      <c r="B3125" s="64" t="s">
        <v>8615</v>
      </c>
      <c r="C3125" s="47"/>
      <c r="D3125" s="47"/>
      <c r="E3125" s="47"/>
    </row>
    <row r="3126" spans="1:5" ht="56.25" x14ac:dyDescent="0.2">
      <c r="A3126" s="65" t="s">
        <v>8616</v>
      </c>
      <c r="B3126" s="65" t="s">
        <v>8617</v>
      </c>
      <c r="C3126" s="67" t="s">
        <v>221</v>
      </c>
      <c r="D3126" s="69" t="s">
        <v>1751</v>
      </c>
      <c r="E3126" s="69" t="s">
        <v>8618</v>
      </c>
    </row>
    <row r="3127" spans="1:5" ht="56.25" x14ac:dyDescent="0.2">
      <c r="A3127" s="65" t="s">
        <v>8619</v>
      </c>
      <c r="B3127" s="65" t="s">
        <v>8620</v>
      </c>
      <c r="C3127" s="67" t="s">
        <v>221</v>
      </c>
      <c r="D3127" s="69" t="s">
        <v>8621</v>
      </c>
      <c r="E3127" s="69" t="s">
        <v>8622</v>
      </c>
    </row>
    <row r="3128" spans="1:5" ht="45" x14ac:dyDescent="0.2">
      <c r="A3128" s="65" t="s">
        <v>8623</v>
      </c>
      <c r="B3128" s="65" t="s">
        <v>8624</v>
      </c>
      <c r="C3128" s="67" t="s">
        <v>221</v>
      </c>
      <c r="D3128" s="69" t="s">
        <v>8625</v>
      </c>
      <c r="E3128" s="69" t="s">
        <v>8626</v>
      </c>
    </row>
    <row r="3129" spans="1:5" ht="56.25" x14ac:dyDescent="0.2">
      <c r="A3129" s="65" t="s">
        <v>8627</v>
      </c>
      <c r="B3129" s="66" t="s">
        <v>8628</v>
      </c>
      <c r="C3129" s="67" t="s">
        <v>221</v>
      </c>
      <c r="D3129" s="69" t="s">
        <v>8629</v>
      </c>
      <c r="E3129" s="69" t="s">
        <v>8630</v>
      </c>
    </row>
    <row r="3130" spans="1:5" ht="56.25" x14ac:dyDescent="0.2">
      <c r="A3130" s="65" t="s">
        <v>8631</v>
      </c>
      <c r="B3130" s="66" t="s">
        <v>8632</v>
      </c>
      <c r="C3130" s="67" t="s">
        <v>221</v>
      </c>
      <c r="D3130" s="69" t="s">
        <v>8633</v>
      </c>
      <c r="E3130" s="69" t="s">
        <v>8634</v>
      </c>
    </row>
    <row r="3131" spans="1:5" ht="45" x14ac:dyDescent="0.2">
      <c r="A3131" s="65" t="s">
        <v>8635</v>
      </c>
      <c r="B3131" s="65" t="s">
        <v>8636</v>
      </c>
      <c r="C3131" s="67" t="s">
        <v>221</v>
      </c>
      <c r="D3131" s="69" t="s">
        <v>8637</v>
      </c>
      <c r="E3131" s="69" t="s">
        <v>8638</v>
      </c>
    </row>
    <row r="3132" spans="1:5" ht="56.25" x14ac:dyDescent="0.2">
      <c r="A3132" s="65" t="s">
        <v>8639</v>
      </c>
      <c r="B3132" s="66" t="s">
        <v>8640</v>
      </c>
      <c r="C3132" s="67" t="s">
        <v>221</v>
      </c>
      <c r="D3132" s="69" t="s">
        <v>8641</v>
      </c>
      <c r="E3132" s="69" t="s">
        <v>8642</v>
      </c>
    </row>
    <row r="3133" spans="1:5" ht="45" x14ac:dyDescent="0.2">
      <c r="A3133" s="65" t="s">
        <v>8643</v>
      </c>
      <c r="B3133" s="65" t="s">
        <v>8644</v>
      </c>
      <c r="C3133" s="67" t="s">
        <v>221</v>
      </c>
      <c r="D3133" s="69" t="s">
        <v>8645</v>
      </c>
      <c r="E3133" s="69" t="s">
        <v>8646</v>
      </c>
    </row>
    <row r="3134" spans="1:5" ht="45" x14ac:dyDescent="0.2">
      <c r="A3134" s="65" t="s">
        <v>8647</v>
      </c>
      <c r="B3134" s="65" t="s">
        <v>8648</v>
      </c>
      <c r="C3134" s="67" t="s">
        <v>221</v>
      </c>
      <c r="D3134" s="69" t="s">
        <v>8649</v>
      </c>
      <c r="E3134" s="69" t="s">
        <v>8650</v>
      </c>
    </row>
    <row r="3135" spans="1:5" ht="45" x14ac:dyDescent="0.2">
      <c r="A3135" s="65" t="s">
        <v>8651</v>
      </c>
      <c r="B3135" s="65" t="s">
        <v>8652</v>
      </c>
      <c r="C3135" s="67" t="s">
        <v>221</v>
      </c>
      <c r="D3135" s="69" t="s">
        <v>8653</v>
      </c>
      <c r="E3135" s="69" t="s">
        <v>8654</v>
      </c>
    </row>
    <row r="3136" spans="1:5" ht="56.25" x14ac:dyDescent="0.2">
      <c r="A3136" s="50">
        <v>46.09</v>
      </c>
      <c r="B3136" s="51" t="s">
        <v>8655</v>
      </c>
      <c r="C3136" s="48"/>
      <c r="D3136" s="48"/>
      <c r="E3136" s="48"/>
    </row>
    <row r="3137" spans="1:5" ht="45" x14ac:dyDescent="0.2">
      <c r="A3137" s="65" t="s">
        <v>8656</v>
      </c>
      <c r="B3137" s="65" t="s">
        <v>8657</v>
      </c>
      <c r="C3137" s="67" t="s">
        <v>203</v>
      </c>
      <c r="D3137" s="69" t="s">
        <v>8658</v>
      </c>
      <c r="E3137" s="69" t="s">
        <v>8659</v>
      </c>
    </row>
    <row r="3138" spans="1:5" ht="45" x14ac:dyDescent="0.2">
      <c r="A3138" s="65" t="s">
        <v>8660</v>
      </c>
      <c r="B3138" s="65" t="s">
        <v>8661</v>
      </c>
      <c r="C3138" s="67" t="s">
        <v>203</v>
      </c>
      <c r="D3138" s="69" t="s">
        <v>8662</v>
      </c>
      <c r="E3138" s="69" t="s">
        <v>8663</v>
      </c>
    </row>
    <row r="3139" spans="1:5" ht="45" x14ac:dyDescent="0.2">
      <c r="A3139" s="65" t="s">
        <v>8664</v>
      </c>
      <c r="B3139" s="65" t="s">
        <v>8665</v>
      </c>
      <c r="C3139" s="67" t="s">
        <v>203</v>
      </c>
      <c r="D3139" s="69" t="s">
        <v>8666</v>
      </c>
      <c r="E3139" s="69" t="s">
        <v>8667</v>
      </c>
    </row>
    <row r="3140" spans="1:5" ht="45" x14ac:dyDescent="0.2">
      <c r="A3140" s="65" t="s">
        <v>8668</v>
      </c>
      <c r="B3140" s="65" t="s">
        <v>8669</v>
      </c>
      <c r="C3140" s="67" t="s">
        <v>203</v>
      </c>
      <c r="D3140" s="69" t="s">
        <v>8670</v>
      </c>
      <c r="E3140" s="69" t="s">
        <v>8671</v>
      </c>
    </row>
    <row r="3141" spans="1:5" ht="45" x14ac:dyDescent="0.2">
      <c r="A3141" s="65" t="s">
        <v>8672</v>
      </c>
      <c r="B3141" s="65" t="s">
        <v>8673</v>
      </c>
      <c r="C3141" s="67" t="s">
        <v>203</v>
      </c>
      <c r="D3141" s="69" t="s">
        <v>8674</v>
      </c>
      <c r="E3141" s="69" t="s">
        <v>8675</v>
      </c>
    </row>
    <row r="3142" spans="1:5" ht="45" x14ac:dyDescent="0.2">
      <c r="A3142" s="65" t="s">
        <v>8676</v>
      </c>
      <c r="B3142" s="65" t="s">
        <v>8677</v>
      </c>
      <c r="C3142" s="67" t="s">
        <v>203</v>
      </c>
      <c r="D3142" s="69" t="s">
        <v>8678</v>
      </c>
      <c r="E3142" s="69" t="s">
        <v>3607</v>
      </c>
    </row>
    <row r="3143" spans="1:5" ht="45" x14ac:dyDescent="0.2">
      <c r="A3143" s="65" t="s">
        <v>8679</v>
      </c>
      <c r="B3143" s="65" t="s">
        <v>8680</v>
      </c>
      <c r="C3143" s="67" t="s">
        <v>203</v>
      </c>
      <c r="D3143" s="69" t="s">
        <v>5242</v>
      </c>
      <c r="E3143" s="69" t="s">
        <v>8681</v>
      </c>
    </row>
    <row r="3144" spans="1:5" ht="45" x14ac:dyDescent="0.2">
      <c r="A3144" s="65" t="s">
        <v>8682</v>
      </c>
      <c r="B3144" s="65" t="s">
        <v>8683</v>
      </c>
      <c r="C3144" s="67" t="s">
        <v>203</v>
      </c>
      <c r="D3144" s="69" t="s">
        <v>8684</v>
      </c>
      <c r="E3144" s="69" t="s">
        <v>8685</v>
      </c>
    </row>
    <row r="3145" spans="1:5" ht="56.25" x14ac:dyDescent="0.2">
      <c r="A3145" s="65" t="s">
        <v>8686</v>
      </c>
      <c r="B3145" s="65" t="s">
        <v>8687</v>
      </c>
      <c r="C3145" s="67" t="s">
        <v>203</v>
      </c>
      <c r="D3145" s="69" t="s">
        <v>8688</v>
      </c>
      <c r="E3145" s="69" t="s">
        <v>8689</v>
      </c>
    </row>
    <row r="3146" spans="1:5" ht="56.25" x14ac:dyDescent="0.2">
      <c r="A3146" s="65" t="s">
        <v>8690</v>
      </c>
      <c r="B3146" s="65" t="s">
        <v>8691</v>
      </c>
      <c r="C3146" s="67" t="s">
        <v>203</v>
      </c>
      <c r="D3146" s="69" t="s">
        <v>8692</v>
      </c>
      <c r="E3146" s="69" t="s">
        <v>8693</v>
      </c>
    </row>
    <row r="3147" spans="1:5" ht="56.25" x14ac:dyDescent="0.2">
      <c r="A3147" s="65" t="s">
        <v>8694</v>
      </c>
      <c r="B3147" s="66" t="s">
        <v>8695</v>
      </c>
      <c r="C3147" s="67" t="s">
        <v>203</v>
      </c>
      <c r="D3147" s="69" t="s">
        <v>8696</v>
      </c>
      <c r="E3147" s="69" t="s">
        <v>8697</v>
      </c>
    </row>
    <row r="3148" spans="1:5" ht="56.25" x14ac:dyDescent="0.2">
      <c r="A3148" s="65" t="s">
        <v>8698</v>
      </c>
      <c r="B3148" s="66" t="s">
        <v>8699</v>
      </c>
      <c r="C3148" s="67" t="s">
        <v>203</v>
      </c>
      <c r="D3148" s="69" t="s">
        <v>8700</v>
      </c>
      <c r="E3148" s="69" t="s">
        <v>8701</v>
      </c>
    </row>
    <row r="3149" spans="1:5" ht="45" x14ac:dyDescent="0.2">
      <c r="A3149" s="65" t="s">
        <v>8702</v>
      </c>
      <c r="B3149" s="65" t="s">
        <v>8703</v>
      </c>
      <c r="C3149" s="67" t="s">
        <v>203</v>
      </c>
      <c r="D3149" s="69" t="s">
        <v>8704</v>
      </c>
      <c r="E3149" s="69" t="s">
        <v>8705</v>
      </c>
    </row>
    <row r="3150" spans="1:5" ht="45" x14ac:dyDescent="0.2">
      <c r="A3150" s="65" t="s">
        <v>8706</v>
      </c>
      <c r="B3150" s="65" t="s">
        <v>8707</v>
      </c>
      <c r="C3150" s="67" t="s">
        <v>203</v>
      </c>
      <c r="D3150" s="69" t="s">
        <v>8708</v>
      </c>
      <c r="E3150" s="69" t="s">
        <v>8709</v>
      </c>
    </row>
    <row r="3151" spans="1:5" ht="45" x14ac:dyDescent="0.2">
      <c r="A3151" s="65" t="s">
        <v>8710</v>
      </c>
      <c r="B3151" s="65" t="s">
        <v>8711</v>
      </c>
      <c r="C3151" s="67" t="s">
        <v>203</v>
      </c>
      <c r="D3151" s="69" t="s">
        <v>339</v>
      </c>
      <c r="E3151" s="69" t="s">
        <v>8712</v>
      </c>
    </row>
    <row r="3152" spans="1:5" ht="45" x14ac:dyDescent="0.2">
      <c r="A3152" s="65" t="s">
        <v>8713</v>
      </c>
      <c r="B3152" s="65" t="s">
        <v>8714</v>
      </c>
      <c r="C3152" s="67" t="s">
        <v>203</v>
      </c>
      <c r="D3152" s="69" t="s">
        <v>8715</v>
      </c>
      <c r="E3152" s="69" t="s">
        <v>8716</v>
      </c>
    </row>
    <row r="3153" spans="1:5" ht="45" x14ac:dyDescent="0.2">
      <c r="A3153" s="65" t="s">
        <v>8717</v>
      </c>
      <c r="B3153" s="65" t="s">
        <v>8718</v>
      </c>
      <c r="C3153" s="67" t="s">
        <v>203</v>
      </c>
      <c r="D3153" s="69" t="s">
        <v>8719</v>
      </c>
      <c r="E3153" s="69" t="s">
        <v>8720</v>
      </c>
    </row>
    <row r="3154" spans="1:5" ht="45" x14ac:dyDescent="0.2">
      <c r="A3154" s="65" t="s">
        <v>8721</v>
      </c>
      <c r="B3154" s="65" t="s">
        <v>8722</v>
      </c>
      <c r="C3154" s="67" t="s">
        <v>203</v>
      </c>
      <c r="D3154" s="69" t="s">
        <v>8723</v>
      </c>
      <c r="E3154" s="69" t="s">
        <v>8724</v>
      </c>
    </row>
    <row r="3155" spans="1:5" ht="45" x14ac:dyDescent="0.2">
      <c r="A3155" s="65" t="s">
        <v>8725</v>
      </c>
      <c r="B3155" s="65" t="s">
        <v>8726</v>
      </c>
      <c r="C3155" s="67" t="s">
        <v>203</v>
      </c>
      <c r="D3155" s="69" t="s">
        <v>8727</v>
      </c>
      <c r="E3155" s="69" t="s">
        <v>8728</v>
      </c>
    </row>
    <row r="3156" spans="1:5" ht="45" x14ac:dyDescent="0.2">
      <c r="A3156" s="65" t="s">
        <v>8729</v>
      </c>
      <c r="B3156" s="65" t="s">
        <v>8730</v>
      </c>
      <c r="C3156" s="67" t="s">
        <v>203</v>
      </c>
      <c r="D3156" s="69" t="s">
        <v>8731</v>
      </c>
      <c r="E3156" s="69" t="s">
        <v>8732</v>
      </c>
    </row>
    <row r="3157" spans="1:5" ht="45" x14ac:dyDescent="0.2">
      <c r="A3157" s="65" t="s">
        <v>8733</v>
      </c>
      <c r="B3157" s="65" t="s">
        <v>8734</v>
      </c>
      <c r="C3157" s="67" t="s">
        <v>203</v>
      </c>
      <c r="D3157" s="69" t="s">
        <v>8735</v>
      </c>
      <c r="E3157" s="69" t="s">
        <v>8736</v>
      </c>
    </row>
    <row r="3158" spans="1:5" ht="45" x14ac:dyDescent="0.2">
      <c r="A3158" s="65" t="s">
        <v>8737</v>
      </c>
      <c r="B3158" s="65" t="s">
        <v>8738</v>
      </c>
      <c r="C3158" s="67" t="s">
        <v>203</v>
      </c>
      <c r="D3158" s="69" t="s">
        <v>8739</v>
      </c>
      <c r="E3158" s="69" t="s">
        <v>8740</v>
      </c>
    </row>
    <row r="3159" spans="1:5" ht="56.25" x14ac:dyDescent="0.2">
      <c r="A3159" s="65" t="s">
        <v>8741</v>
      </c>
      <c r="B3159" s="66" t="s">
        <v>8742</v>
      </c>
      <c r="C3159" s="67" t="s">
        <v>203</v>
      </c>
      <c r="D3159" s="69" t="s">
        <v>8743</v>
      </c>
      <c r="E3159" s="69" t="s">
        <v>8744</v>
      </c>
    </row>
    <row r="3160" spans="1:5" ht="56.25" x14ac:dyDescent="0.2">
      <c r="A3160" s="65" t="s">
        <v>8745</v>
      </c>
      <c r="B3160" s="66" t="s">
        <v>8746</v>
      </c>
      <c r="C3160" s="67" t="s">
        <v>203</v>
      </c>
      <c r="D3160" s="69" t="s">
        <v>8747</v>
      </c>
      <c r="E3160" s="69" t="s">
        <v>8748</v>
      </c>
    </row>
    <row r="3161" spans="1:5" ht="56.25" x14ac:dyDescent="0.2">
      <c r="A3161" s="65" t="s">
        <v>8749</v>
      </c>
      <c r="B3161" s="66" t="s">
        <v>8750</v>
      </c>
      <c r="C3161" s="67" t="s">
        <v>203</v>
      </c>
      <c r="D3161" s="69" t="s">
        <v>8751</v>
      </c>
      <c r="E3161" s="69" t="s">
        <v>8752</v>
      </c>
    </row>
    <row r="3162" spans="1:5" ht="67.5" x14ac:dyDescent="0.2">
      <c r="A3162" s="65" t="s">
        <v>8753</v>
      </c>
      <c r="B3162" s="66" t="s">
        <v>8754</v>
      </c>
      <c r="C3162" s="67" t="s">
        <v>203</v>
      </c>
      <c r="D3162" s="69" t="s">
        <v>8755</v>
      </c>
      <c r="E3162" s="69" t="s">
        <v>8756</v>
      </c>
    </row>
    <row r="3163" spans="1:5" ht="67.5" x14ac:dyDescent="0.2">
      <c r="A3163" s="65" t="s">
        <v>8757</v>
      </c>
      <c r="B3163" s="66" t="s">
        <v>8758</v>
      </c>
      <c r="C3163" s="67" t="s">
        <v>203</v>
      </c>
      <c r="D3163" s="69" t="s">
        <v>8331</v>
      </c>
      <c r="E3163" s="69" t="s">
        <v>8759</v>
      </c>
    </row>
    <row r="3164" spans="1:5" ht="67.5" x14ac:dyDescent="0.2">
      <c r="A3164" s="65" t="s">
        <v>8760</v>
      </c>
      <c r="B3164" s="66" t="s">
        <v>8761</v>
      </c>
      <c r="C3164" s="67" t="s">
        <v>203</v>
      </c>
      <c r="D3164" s="69" t="s">
        <v>8762</v>
      </c>
      <c r="E3164" s="69" t="s">
        <v>8763</v>
      </c>
    </row>
    <row r="3165" spans="1:5" ht="56.25" x14ac:dyDescent="0.2">
      <c r="A3165" s="65" t="s">
        <v>8764</v>
      </c>
      <c r="B3165" s="66" t="s">
        <v>8765</v>
      </c>
      <c r="C3165" s="67" t="s">
        <v>203</v>
      </c>
      <c r="D3165" s="69" t="s">
        <v>8766</v>
      </c>
      <c r="E3165" s="69" t="s">
        <v>5904</v>
      </c>
    </row>
    <row r="3166" spans="1:5" ht="67.5" x14ac:dyDescent="0.2">
      <c r="A3166" s="65" t="s">
        <v>8767</v>
      </c>
      <c r="B3166" s="66" t="s">
        <v>8768</v>
      </c>
      <c r="C3166" s="67" t="s">
        <v>203</v>
      </c>
      <c r="D3166" s="69" t="s">
        <v>8769</v>
      </c>
      <c r="E3166" s="69" t="s">
        <v>8770</v>
      </c>
    </row>
    <row r="3167" spans="1:5" ht="67.5" x14ac:dyDescent="0.2">
      <c r="A3167" s="65" t="s">
        <v>8771</v>
      </c>
      <c r="B3167" s="66" t="s">
        <v>8772</v>
      </c>
      <c r="C3167" s="67" t="s">
        <v>203</v>
      </c>
      <c r="D3167" s="69" t="s">
        <v>8773</v>
      </c>
      <c r="E3167" s="69" t="s">
        <v>8774</v>
      </c>
    </row>
    <row r="3168" spans="1:5" ht="33.75" x14ac:dyDescent="0.2">
      <c r="A3168" s="50">
        <v>46.1</v>
      </c>
      <c r="B3168" s="64" t="s">
        <v>8775</v>
      </c>
      <c r="C3168" s="47"/>
      <c r="D3168" s="47"/>
      <c r="E3168" s="47"/>
    </row>
    <row r="3169" spans="1:5" ht="33.75" x14ac:dyDescent="0.2">
      <c r="A3169" s="65" t="s">
        <v>8776</v>
      </c>
      <c r="B3169" s="65" t="s">
        <v>8777</v>
      </c>
      <c r="C3169" s="67" t="s">
        <v>221</v>
      </c>
      <c r="D3169" s="69" t="s">
        <v>8778</v>
      </c>
      <c r="E3169" s="69" t="s">
        <v>5507</v>
      </c>
    </row>
    <row r="3170" spans="1:5" ht="33.75" x14ac:dyDescent="0.2">
      <c r="A3170" s="65" t="s">
        <v>8779</v>
      </c>
      <c r="B3170" s="65" t="s">
        <v>8780</v>
      </c>
      <c r="C3170" s="67" t="s">
        <v>221</v>
      </c>
      <c r="D3170" s="69" t="s">
        <v>8781</v>
      </c>
      <c r="E3170" s="69" t="s">
        <v>8782</v>
      </c>
    </row>
    <row r="3171" spans="1:5" ht="33.75" x14ac:dyDescent="0.2">
      <c r="A3171" s="65" t="s">
        <v>8783</v>
      </c>
      <c r="B3171" s="65" t="s">
        <v>8784</v>
      </c>
      <c r="C3171" s="67" t="s">
        <v>221</v>
      </c>
      <c r="D3171" s="69" t="s">
        <v>8785</v>
      </c>
      <c r="E3171" s="69" t="s">
        <v>8786</v>
      </c>
    </row>
    <row r="3172" spans="1:5" ht="33.75" x14ac:dyDescent="0.2">
      <c r="A3172" s="65" t="s">
        <v>8787</v>
      </c>
      <c r="B3172" s="65" t="s">
        <v>8788</v>
      </c>
      <c r="C3172" s="67" t="s">
        <v>221</v>
      </c>
      <c r="D3172" s="69" t="s">
        <v>8789</v>
      </c>
      <c r="E3172" s="69" t="s">
        <v>8790</v>
      </c>
    </row>
    <row r="3173" spans="1:5" ht="33.75" x14ac:dyDescent="0.2">
      <c r="A3173" s="65" t="s">
        <v>8791</v>
      </c>
      <c r="B3173" s="65" t="s">
        <v>8792</v>
      </c>
      <c r="C3173" s="67" t="s">
        <v>221</v>
      </c>
      <c r="D3173" s="69" t="s">
        <v>8793</v>
      </c>
      <c r="E3173" s="69" t="s">
        <v>8794</v>
      </c>
    </row>
    <row r="3174" spans="1:5" ht="33.75" x14ac:dyDescent="0.2">
      <c r="A3174" s="65" t="s">
        <v>8795</v>
      </c>
      <c r="B3174" s="65" t="s">
        <v>8796</v>
      </c>
      <c r="C3174" s="67" t="s">
        <v>221</v>
      </c>
      <c r="D3174" s="69" t="s">
        <v>8797</v>
      </c>
      <c r="E3174" s="69" t="s">
        <v>8799</v>
      </c>
    </row>
    <row r="3175" spans="1:5" ht="33.75" x14ac:dyDescent="0.2">
      <c r="A3175" s="65" t="s">
        <v>8800</v>
      </c>
      <c r="B3175" s="65" t="s">
        <v>8801</v>
      </c>
      <c r="C3175" s="67" t="s">
        <v>221</v>
      </c>
      <c r="D3175" s="69" t="s">
        <v>8802</v>
      </c>
      <c r="E3175" s="69" t="s">
        <v>8804</v>
      </c>
    </row>
    <row r="3176" spans="1:5" ht="33.75" x14ac:dyDescent="0.2">
      <c r="A3176" s="65" t="s">
        <v>8805</v>
      </c>
      <c r="B3176" s="65" t="s">
        <v>8806</v>
      </c>
      <c r="C3176" s="67" t="s">
        <v>221</v>
      </c>
      <c r="D3176" s="69" t="s">
        <v>8807</v>
      </c>
      <c r="E3176" s="69" t="s">
        <v>8809</v>
      </c>
    </row>
    <row r="3177" spans="1:5" ht="33.75" x14ac:dyDescent="0.2">
      <c r="A3177" s="65" t="s">
        <v>8810</v>
      </c>
      <c r="B3177" s="65" t="s">
        <v>8811</v>
      </c>
      <c r="C3177" s="67" t="s">
        <v>221</v>
      </c>
      <c r="D3177" s="69" t="s">
        <v>8812</v>
      </c>
      <c r="E3177" s="69" t="s">
        <v>8814</v>
      </c>
    </row>
    <row r="3178" spans="1:5" ht="33.75" x14ac:dyDescent="0.2">
      <c r="A3178" s="65" t="s">
        <v>8815</v>
      </c>
      <c r="B3178" s="65" t="s">
        <v>8816</v>
      </c>
      <c r="C3178" s="67" t="s">
        <v>221</v>
      </c>
      <c r="D3178" s="69" t="s">
        <v>8817</v>
      </c>
      <c r="E3178" s="69" t="s">
        <v>8818</v>
      </c>
    </row>
    <row r="3179" spans="1:5" ht="33.75" x14ac:dyDescent="0.2">
      <c r="A3179" s="65" t="s">
        <v>8819</v>
      </c>
      <c r="B3179" s="65" t="s">
        <v>8820</v>
      </c>
      <c r="C3179" s="67" t="s">
        <v>221</v>
      </c>
      <c r="D3179" s="69" t="s">
        <v>8821</v>
      </c>
      <c r="E3179" s="69" t="s">
        <v>5782</v>
      </c>
    </row>
    <row r="3180" spans="1:5" ht="33.75" x14ac:dyDescent="0.2">
      <c r="A3180" s="65" t="s">
        <v>8822</v>
      </c>
      <c r="B3180" s="65" t="s">
        <v>8823</v>
      </c>
      <c r="C3180" s="67" t="s">
        <v>221</v>
      </c>
      <c r="D3180" s="69" t="s">
        <v>8824</v>
      </c>
      <c r="E3180" s="69" t="s">
        <v>8825</v>
      </c>
    </row>
    <row r="3181" spans="1:5" ht="33.75" x14ac:dyDescent="0.2">
      <c r="A3181" s="65" t="s">
        <v>8826</v>
      </c>
      <c r="B3181" s="65" t="s">
        <v>8827</v>
      </c>
      <c r="C3181" s="67" t="s">
        <v>221</v>
      </c>
      <c r="D3181" s="69" t="s">
        <v>8828</v>
      </c>
      <c r="E3181" s="69" t="s">
        <v>8829</v>
      </c>
    </row>
    <row r="3182" spans="1:5" ht="33.75" x14ac:dyDescent="0.2">
      <c r="A3182" s="65" t="s">
        <v>8830</v>
      </c>
      <c r="B3182" s="65" t="s">
        <v>8831</v>
      </c>
      <c r="C3182" s="67" t="s">
        <v>221</v>
      </c>
      <c r="D3182" s="69" t="s">
        <v>8832</v>
      </c>
      <c r="E3182" s="69" t="s">
        <v>8833</v>
      </c>
    </row>
    <row r="3183" spans="1:5" ht="33.75" x14ac:dyDescent="0.2">
      <c r="A3183" s="65" t="s">
        <v>8834</v>
      </c>
      <c r="B3183" s="65" t="s">
        <v>8835</v>
      </c>
      <c r="C3183" s="67" t="s">
        <v>221</v>
      </c>
      <c r="D3183" s="69" t="s">
        <v>8836</v>
      </c>
      <c r="E3183" s="69" t="s">
        <v>8837</v>
      </c>
    </row>
    <row r="3184" spans="1:5" ht="33.75" x14ac:dyDescent="0.2">
      <c r="A3184" s="50">
        <v>46.12</v>
      </c>
      <c r="B3184" s="64" t="s">
        <v>8838</v>
      </c>
      <c r="C3184" s="47"/>
      <c r="D3184" s="47"/>
      <c r="E3184" s="47"/>
    </row>
    <row r="3185" spans="1:5" ht="22.5" x14ac:dyDescent="0.2">
      <c r="A3185" s="65" t="s">
        <v>8839</v>
      </c>
      <c r="B3185" s="65" t="s">
        <v>8840</v>
      </c>
      <c r="C3185" s="67" t="s">
        <v>221</v>
      </c>
      <c r="D3185" s="69" t="s">
        <v>8841</v>
      </c>
      <c r="E3185" s="69" t="s">
        <v>8843</v>
      </c>
    </row>
    <row r="3186" spans="1:5" ht="22.5" x14ac:dyDescent="0.2">
      <c r="A3186" s="65" t="s">
        <v>8844</v>
      </c>
      <c r="B3186" s="65" t="s">
        <v>8845</v>
      </c>
      <c r="C3186" s="67" t="s">
        <v>221</v>
      </c>
      <c r="D3186" s="69" t="s">
        <v>8846</v>
      </c>
      <c r="E3186" s="69" t="s">
        <v>8848</v>
      </c>
    </row>
    <row r="3187" spans="1:5" ht="22.5" x14ac:dyDescent="0.2">
      <c r="A3187" s="65" t="s">
        <v>8849</v>
      </c>
      <c r="B3187" s="65" t="s">
        <v>8850</v>
      </c>
      <c r="C3187" s="67" t="s">
        <v>221</v>
      </c>
      <c r="D3187" s="69" t="s">
        <v>8851</v>
      </c>
      <c r="E3187" s="69" t="s">
        <v>8852</v>
      </c>
    </row>
    <row r="3188" spans="1:5" ht="22.5" x14ac:dyDescent="0.2">
      <c r="A3188" s="65" t="s">
        <v>8853</v>
      </c>
      <c r="B3188" s="65" t="s">
        <v>8854</v>
      </c>
      <c r="C3188" s="67" t="s">
        <v>221</v>
      </c>
      <c r="D3188" s="69" t="s">
        <v>8855</v>
      </c>
      <c r="E3188" s="69" t="s">
        <v>8856</v>
      </c>
    </row>
    <row r="3189" spans="1:5" ht="22.5" x14ac:dyDescent="0.2">
      <c r="A3189" s="65" t="s">
        <v>8857</v>
      </c>
      <c r="B3189" s="65" t="s">
        <v>8858</v>
      </c>
      <c r="C3189" s="67" t="s">
        <v>221</v>
      </c>
      <c r="D3189" s="69" t="s">
        <v>8859</v>
      </c>
      <c r="E3189" s="69" t="s">
        <v>8861</v>
      </c>
    </row>
    <row r="3190" spans="1:5" ht="22.5" x14ac:dyDescent="0.2">
      <c r="A3190" s="65" t="s">
        <v>8862</v>
      </c>
      <c r="B3190" s="65" t="s">
        <v>8863</v>
      </c>
      <c r="C3190" s="67" t="s">
        <v>221</v>
      </c>
      <c r="D3190" s="69" t="s">
        <v>8864</v>
      </c>
      <c r="E3190" s="69" t="s">
        <v>8866</v>
      </c>
    </row>
    <row r="3191" spans="1:5" ht="22.5" x14ac:dyDescent="0.2">
      <c r="A3191" s="65" t="s">
        <v>8867</v>
      </c>
      <c r="B3191" s="65" t="s">
        <v>8868</v>
      </c>
      <c r="C3191" s="67" t="s">
        <v>221</v>
      </c>
      <c r="D3191" s="69" t="s">
        <v>8869</v>
      </c>
      <c r="E3191" s="69" t="s">
        <v>8870</v>
      </c>
    </row>
    <row r="3192" spans="1:5" ht="22.5" x14ac:dyDescent="0.2">
      <c r="A3192" s="65" t="s">
        <v>8871</v>
      </c>
      <c r="B3192" s="65" t="s">
        <v>8872</v>
      </c>
      <c r="C3192" s="67" t="s">
        <v>221</v>
      </c>
      <c r="D3192" s="69" t="s">
        <v>8873</v>
      </c>
      <c r="E3192" s="69" t="s">
        <v>8875</v>
      </c>
    </row>
    <row r="3193" spans="1:5" ht="22.5" x14ac:dyDescent="0.2">
      <c r="A3193" s="65" t="s">
        <v>8876</v>
      </c>
      <c r="B3193" s="65" t="s">
        <v>8877</v>
      </c>
      <c r="C3193" s="67" t="s">
        <v>221</v>
      </c>
      <c r="D3193" s="69" t="s">
        <v>8878</v>
      </c>
      <c r="E3193" s="69" t="s">
        <v>8879</v>
      </c>
    </row>
    <row r="3194" spans="1:5" ht="22.5" x14ac:dyDescent="0.2">
      <c r="A3194" s="65" t="s">
        <v>8880</v>
      </c>
      <c r="B3194" s="65" t="s">
        <v>8881</v>
      </c>
      <c r="C3194" s="67" t="s">
        <v>221</v>
      </c>
      <c r="D3194" s="69" t="s">
        <v>8882</v>
      </c>
      <c r="E3194" s="69" t="s">
        <v>8883</v>
      </c>
    </row>
    <row r="3195" spans="1:5" ht="22.5" x14ac:dyDescent="0.2">
      <c r="A3195" s="65" t="s">
        <v>8884</v>
      </c>
      <c r="B3195" s="65" t="s">
        <v>8885</v>
      </c>
      <c r="C3195" s="67" t="s">
        <v>221</v>
      </c>
      <c r="D3195" s="69" t="s">
        <v>5198</v>
      </c>
      <c r="E3195" s="69" t="s">
        <v>8886</v>
      </c>
    </row>
    <row r="3196" spans="1:5" ht="22.5" x14ac:dyDescent="0.2">
      <c r="A3196" s="65" t="s">
        <v>8887</v>
      </c>
      <c r="B3196" s="65" t="s">
        <v>8888</v>
      </c>
      <c r="C3196" s="67" t="s">
        <v>221</v>
      </c>
      <c r="D3196" s="69" t="s">
        <v>8889</v>
      </c>
      <c r="E3196" s="69" t="s">
        <v>8890</v>
      </c>
    </row>
    <row r="3197" spans="1:5" ht="22.5" x14ac:dyDescent="0.2">
      <c r="A3197" s="65" t="s">
        <v>8891</v>
      </c>
      <c r="B3197" s="65" t="s">
        <v>8892</v>
      </c>
      <c r="C3197" s="67" t="s">
        <v>221</v>
      </c>
      <c r="D3197" s="69" t="s">
        <v>8893</v>
      </c>
      <c r="E3197" s="69" t="s">
        <v>8894</v>
      </c>
    </row>
    <row r="3198" spans="1:5" ht="22.5" x14ac:dyDescent="0.2">
      <c r="A3198" s="65" t="s">
        <v>8895</v>
      </c>
      <c r="B3198" s="65" t="s">
        <v>8896</v>
      </c>
      <c r="C3198" s="67" t="s">
        <v>221</v>
      </c>
      <c r="D3198" s="69" t="s">
        <v>8897</v>
      </c>
      <c r="E3198" s="69" t="s">
        <v>8898</v>
      </c>
    </row>
    <row r="3199" spans="1:5" ht="22.5" x14ac:dyDescent="0.2">
      <c r="A3199" s="65" t="s">
        <v>8899</v>
      </c>
      <c r="B3199" s="65" t="s">
        <v>8900</v>
      </c>
      <c r="C3199" s="67" t="s">
        <v>221</v>
      </c>
      <c r="D3199" s="69" t="s">
        <v>8901</v>
      </c>
      <c r="E3199" s="69" t="s">
        <v>8902</v>
      </c>
    </row>
    <row r="3200" spans="1:5" ht="33.75" x14ac:dyDescent="0.2">
      <c r="A3200" s="65" t="s">
        <v>8903</v>
      </c>
      <c r="B3200" s="65" t="s">
        <v>8904</v>
      </c>
      <c r="C3200" s="67" t="s">
        <v>221</v>
      </c>
      <c r="D3200" s="69" t="s">
        <v>7561</v>
      </c>
      <c r="E3200" s="69" t="s">
        <v>8906</v>
      </c>
    </row>
    <row r="3201" spans="1:5" ht="33.75" x14ac:dyDescent="0.2">
      <c r="A3201" s="65" t="s">
        <v>8907</v>
      </c>
      <c r="B3201" s="65" t="s">
        <v>8908</v>
      </c>
      <c r="C3201" s="67" t="s">
        <v>221</v>
      </c>
      <c r="D3201" s="69" t="s">
        <v>433</v>
      </c>
      <c r="E3201" s="69" t="s">
        <v>8910</v>
      </c>
    </row>
    <row r="3202" spans="1:5" ht="33.75" x14ac:dyDescent="0.2">
      <c r="A3202" s="65" t="s">
        <v>8911</v>
      </c>
      <c r="B3202" s="65" t="s">
        <v>8912</v>
      </c>
      <c r="C3202" s="67" t="s">
        <v>221</v>
      </c>
      <c r="D3202" s="69" t="s">
        <v>8913</v>
      </c>
      <c r="E3202" s="69" t="s">
        <v>8915</v>
      </c>
    </row>
    <row r="3203" spans="1:5" ht="22.5" x14ac:dyDescent="0.2">
      <c r="A3203" s="65" t="s">
        <v>8916</v>
      </c>
      <c r="B3203" s="65" t="s">
        <v>8917</v>
      </c>
      <c r="C3203" s="67" t="s">
        <v>221</v>
      </c>
      <c r="D3203" s="69" t="s">
        <v>8918</v>
      </c>
      <c r="E3203" s="69" t="s">
        <v>8920</v>
      </c>
    </row>
    <row r="3204" spans="1:5" ht="22.5" x14ac:dyDescent="0.2">
      <c r="A3204" s="65" t="s">
        <v>8921</v>
      </c>
      <c r="B3204" s="65" t="s">
        <v>8922</v>
      </c>
      <c r="C3204" s="67" t="s">
        <v>221</v>
      </c>
      <c r="D3204" s="69" t="s">
        <v>8923</v>
      </c>
      <c r="E3204" s="69" t="s">
        <v>8924</v>
      </c>
    </row>
    <row r="3205" spans="1:5" ht="22.5" x14ac:dyDescent="0.2">
      <c r="A3205" s="65" t="s">
        <v>8925</v>
      </c>
      <c r="B3205" s="65" t="s">
        <v>8926</v>
      </c>
      <c r="C3205" s="67" t="s">
        <v>221</v>
      </c>
      <c r="D3205" s="69" t="s">
        <v>8927</v>
      </c>
      <c r="E3205" s="69" t="s">
        <v>8928</v>
      </c>
    </row>
    <row r="3206" spans="1:5" ht="22.5" x14ac:dyDescent="0.2">
      <c r="A3206" s="65" t="s">
        <v>8929</v>
      </c>
      <c r="B3206" s="65" t="s">
        <v>8930</v>
      </c>
      <c r="C3206" s="67" t="s">
        <v>221</v>
      </c>
      <c r="D3206" s="69" t="s">
        <v>8931</v>
      </c>
      <c r="E3206" s="69" t="s">
        <v>8932</v>
      </c>
    </row>
    <row r="3207" spans="1:5" ht="22.5" x14ac:dyDescent="0.2">
      <c r="A3207" s="65" t="s">
        <v>8933</v>
      </c>
      <c r="B3207" s="65" t="s">
        <v>8934</v>
      </c>
      <c r="C3207" s="67" t="s">
        <v>221</v>
      </c>
      <c r="D3207" s="69" t="s">
        <v>8935</v>
      </c>
      <c r="E3207" s="69" t="s">
        <v>8937</v>
      </c>
    </row>
    <row r="3208" spans="1:5" ht="22.5" x14ac:dyDescent="0.2">
      <c r="A3208" s="65" t="s">
        <v>8938</v>
      </c>
      <c r="B3208" s="65" t="s">
        <v>8939</v>
      </c>
      <c r="C3208" s="67" t="s">
        <v>221</v>
      </c>
      <c r="D3208" s="69" t="s">
        <v>8940</v>
      </c>
      <c r="E3208" s="69" t="s">
        <v>8941</v>
      </c>
    </row>
    <row r="3209" spans="1:5" ht="22.5" x14ac:dyDescent="0.2">
      <c r="A3209" s="65" t="s">
        <v>8942</v>
      </c>
      <c r="B3209" s="65" t="s">
        <v>8943</v>
      </c>
      <c r="C3209" s="67" t="s">
        <v>221</v>
      </c>
      <c r="D3209" s="69" t="s">
        <v>8944</v>
      </c>
      <c r="E3209" s="69" t="s">
        <v>8945</v>
      </c>
    </row>
    <row r="3210" spans="1:5" ht="22.5" x14ac:dyDescent="0.2">
      <c r="A3210" s="65" t="s">
        <v>8946</v>
      </c>
      <c r="B3210" s="65" t="s">
        <v>8947</v>
      </c>
      <c r="C3210" s="67" t="s">
        <v>221</v>
      </c>
      <c r="D3210" s="69" t="s">
        <v>8948</v>
      </c>
      <c r="E3210" s="69" t="s">
        <v>8949</v>
      </c>
    </row>
    <row r="3211" spans="1:5" ht="22.5" x14ac:dyDescent="0.2">
      <c r="A3211" s="65" t="s">
        <v>8950</v>
      </c>
      <c r="B3211" s="65" t="s">
        <v>8951</v>
      </c>
      <c r="C3211" s="67" t="s">
        <v>221</v>
      </c>
      <c r="D3211" s="69" t="s">
        <v>8952</v>
      </c>
      <c r="E3211" s="69" t="s">
        <v>8953</v>
      </c>
    </row>
    <row r="3212" spans="1:5" ht="33.75" x14ac:dyDescent="0.2">
      <c r="A3212" s="65" t="s">
        <v>8954</v>
      </c>
      <c r="B3212" s="65" t="s">
        <v>8955</v>
      </c>
      <c r="C3212" s="67" t="s">
        <v>221</v>
      </c>
      <c r="D3212" s="69" t="s">
        <v>3795</v>
      </c>
      <c r="E3212" s="69" t="s">
        <v>8957</v>
      </c>
    </row>
    <row r="3213" spans="1:5" ht="33.75" x14ac:dyDescent="0.2">
      <c r="A3213" s="50">
        <v>46.13</v>
      </c>
      <c r="B3213" s="64" t="s">
        <v>8958</v>
      </c>
      <c r="C3213" s="47"/>
      <c r="D3213" s="47"/>
      <c r="E3213" s="47"/>
    </row>
    <row r="3214" spans="1:5" ht="56.25" x14ac:dyDescent="0.2">
      <c r="A3214" s="65" t="s">
        <v>8959</v>
      </c>
      <c r="B3214" s="66" t="s">
        <v>8960</v>
      </c>
      <c r="C3214" s="67" t="s">
        <v>221</v>
      </c>
      <c r="D3214" s="69" t="s">
        <v>301</v>
      </c>
      <c r="E3214" s="69" t="s">
        <v>8961</v>
      </c>
    </row>
    <row r="3215" spans="1:5" ht="56.25" x14ac:dyDescent="0.2">
      <c r="A3215" s="65" t="s">
        <v>8962</v>
      </c>
      <c r="B3215" s="66" t="s">
        <v>8963</v>
      </c>
      <c r="C3215" s="67" t="s">
        <v>221</v>
      </c>
      <c r="D3215" s="69" t="s">
        <v>6486</v>
      </c>
      <c r="E3215" s="69" t="s">
        <v>8964</v>
      </c>
    </row>
    <row r="3216" spans="1:5" ht="56.25" x14ac:dyDescent="0.2">
      <c r="A3216" s="65" t="s">
        <v>8965</v>
      </c>
      <c r="B3216" s="66" t="s">
        <v>8966</v>
      </c>
      <c r="C3216" s="67" t="s">
        <v>221</v>
      </c>
      <c r="D3216" s="69" t="s">
        <v>8967</v>
      </c>
      <c r="E3216" s="69" t="s">
        <v>4972</v>
      </c>
    </row>
    <row r="3217" spans="1:5" ht="56.25" x14ac:dyDescent="0.2">
      <c r="A3217" s="65" t="s">
        <v>8968</v>
      </c>
      <c r="B3217" s="66" t="s">
        <v>8969</v>
      </c>
      <c r="C3217" s="67" t="s">
        <v>221</v>
      </c>
      <c r="D3217" s="69" t="s">
        <v>4418</v>
      </c>
      <c r="E3217" s="69" t="s">
        <v>8970</v>
      </c>
    </row>
    <row r="3218" spans="1:5" ht="56.25" x14ac:dyDescent="0.2">
      <c r="A3218" s="65" t="s">
        <v>8971</v>
      </c>
      <c r="B3218" s="66" t="s">
        <v>8972</v>
      </c>
      <c r="C3218" s="67" t="s">
        <v>221</v>
      </c>
      <c r="D3218" s="69" t="s">
        <v>8973</v>
      </c>
      <c r="E3218" s="69" t="s">
        <v>8974</v>
      </c>
    </row>
    <row r="3219" spans="1:5" ht="45" x14ac:dyDescent="0.2">
      <c r="A3219" s="65" t="s">
        <v>8975</v>
      </c>
      <c r="B3219" s="65" t="s">
        <v>8976</v>
      </c>
      <c r="C3219" s="67" t="s">
        <v>221</v>
      </c>
      <c r="D3219" s="69" t="s">
        <v>8977</v>
      </c>
      <c r="E3219" s="69" t="s">
        <v>8978</v>
      </c>
    </row>
    <row r="3220" spans="1:5" ht="45" x14ac:dyDescent="0.2">
      <c r="A3220" s="65" t="s">
        <v>8979</v>
      </c>
      <c r="B3220" s="65" t="s">
        <v>8980</v>
      </c>
      <c r="C3220" s="67" t="s">
        <v>221</v>
      </c>
      <c r="D3220" s="69" t="s">
        <v>8981</v>
      </c>
      <c r="E3220" s="69" t="s">
        <v>8982</v>
      </c>
    </row>
    <row r="3221" spans="1:5" ht="45" x14ac:dyDescent="0.2">
      <c r="A3221" s="65" t="s">
        <v>8983</v>
      </c>
      <c r="B3221" s="65" t="s">
        <v>8984</v>
      </c>
      <c r="C3221" s="67" t="s">
        <v>221</v>
      </c>
      <c r="D3221" s="69" t="s">
        <v>8985</v>
      </c>
      <c r="E3221" s="69" t="s">
        <v>8986</v>
      </c>
    </row>
    <row r="3222" spans="1:5" ht="45" x14ac:dyDescent="0.2">
      <c r="A3222" s="65" t="s">
        <v>8987</v>
      </c>
      <c r="B3222" s="65" t="s">
        <v>8988</v>
      </c>
      <c r="C3222" s="67" t="s">
        <v>221</v>
      </c>
      <c r="D3222" s="69" t="s">
        <v>8989</v>
      </c>
      <c r="E3222" s="69" t="s">
        <v>8990</v>
      </c>
    </row>
    <row r="3223" spans="1:5" ht="45" x14ac:dyDescent="0.2">
      <c r="A3223" s="65" t="s">
        <v>8991</v>
      </c>
      <c r="B3223" s="65" t="s">
        <v>8992</v>
      </c>
      <c r="C3223" s="67" t="s">
        <v>221</v>
      </c>
      <c r="D3223" s="69" t="s">
        <v>8993</v>
      </c>
      <c r="E3223" s="69" t="s">
        <v>8994</v>
      </c>
    </row>
    <row r="3224" spans="1:5" ht="45" x14ac:dyDescent="0.2">
      <c r="A3224" s="65" t="s">
        <v>8995</v>
      </c>
      <c r="B3224" s="65" t="s">
        <v>8996</v>
      </c>
      <c r="C3224" s="67" t="s">
        <v>221</v>
      </c>
      <c r="D3224" s="69" t="s">
        <v>8997</v>
      </c>
      <c r="E3224" s="69" t="s">
        <v>8998</v>
      </c>
    </row>
    <row r="3225" spans="1:5" ht="45" x14ac:dyDescent="0.2">
      <c r="A3225" s="65" t="s">
        <v>8999</v>
      </c>
      <c r="B3225" s="65" t="s">
        <v>9000</v>
      </c>
      <c r="C3225" s="67" t="s">
        <v>221</v>
      </c>
      <c r="D3225" s="69" t="s">
        <v>9001</v>
      </c>
      <c r="E3225" s="69" t="s">
        <v>9002</v>
      </c>
    </row>
    <row r="3226" spans="1:5" ht="45" x14ac:dyDescent="0.2">
      <c r="A3226" s="65" t="s">
        <v>9003</v>
      </c>
      <c r="B3226" s="65" t="s">
        <v>9004</v>
      </c>
      <c r="C3226" s="67" t="s">
        <v>221</v>
      </c>
      <c r="D3226" s="69" t="s">
        <v>9005</v>
      </c>
      <c r="E3226" s="69" t="s">
        <v>9006</v>
      </c>
    </row>
    <row r="3227" spans="1:5" ht="33.75" x14ac:dyDescent="0.2">
      <c r="A3227" s="50">
        <v>46.14</v>
      </c>
      <c r="B3227" s="64" t="s">
        <v>9007</v>
      </c>
      <c r="C3227" s="47"/>
      <c r="D3227" s="47"/>
      <c r="E3227" s="47"/>
    </row>
    <row r="3228" spans="1:5" ht="56.25" x14ac:dyDescent="0.2">
      <c r="A3228" s="65" t="s">
        <v>9008</v>
      </c>
      <c r="B3228" s="66" t="s">
        <v>9009</v>
      </c>
      <c r="C3228" s="67" t="s">
        <v>221</v>
      </c>
      <c r="D3228" s="69" t="s">
        <v>9010</v>
      </c>
      <c r="E3228" s="69" t="s">
        <v>9011</v>
      </c>
    </row>
    <row r="3229" spans="1:5" ht="56.25" x14ac:dyDescent="0.2">
      <c r="A3229" s="65" t="s">
        <v>9012</v>
      </c>
      <c r="B3229" s="66" t="s">
        <v>9013</v>
      </c>
      <c r="C3229" s="67" t="s">
        <v>221</v>
      </c>
      <c r="D3229" s="69" t="s">
        <v>9014</v>
      </c>
      <c r="E3229" s="69" t="s">
        <v>9015</v>
      </c>
    </row>
    <row r="3230" spans="1:5" ht="56.25" x14ac:dyDescent="0.2">
      <c r="A3230" s="65" t="s">
        <v>9016</v>
      </c>
      <c r="B3230" s="66" t="s">
        <v>9017</v>
      </c>
      <c r="C3230" s="67" t="s">
        <v>221</v>
      </c>
      <c r="D3230" s="69" t="s">
        <v>9018</v>
      </c>
      <c r="E3230" s="69" t="s">
        <v>9019</v>
      </c>
    </row>
    <row r="3231" spans="1:5" ht="56.25" x14ac:dyDescent="0.2">
      <c r="A3231" s="65" t="s">
        <v>9020</v>
      </c>
      <c r="B3231" s="66" t="s">
        <v>9021</v>
      </c>
      <c r="C3231" s="67" t="s">
        <v>221</v>
      </c>
      <c r="D3231" s="69" t="s">
        <v>9022</v>
      </c>
      <c r="E3231" s="69" t="s">
        <v>9023</v>
      </c>
    </row>
    <row r="3232" spans="1:5" ht="56.25" x14ac:dyDescent="0.2">
      <c r="A3232" s="65" t="s">
        <v>9024</v>
      </c>
      <c r="B3232" s="66" t="s">
        <v>9025</v>
      </c>
      <c r="C3232" s="67" t="s">
        <v>221</v>
      </c>
      <c r="D3232" s="69" t="s">
        <v>9026</v>
      </c>
      <c r="E3232" s="69" t="s">
        <v>9027</v>
      </c>
    </row>
    <row r="3233" spans="1:5" ht="56.25" x14ac:dyDescent="0.2">
      <c r="A3233" s="65" t="s">
        <v>9028</v>
      </c>
      <c r="B3233" s="66" t="s">
        <v>9029</v>
      </c>
      <c r="C3233" s="67" t="s">
        <v>221</v>
      </c>
      <c r="D3233" s="69" t="s">
        <v>9030</v>
      </c>
      <c r="E3233" s="69" t="s">
        <v>9031</v>
      </c>
    </row>
    <row r="3234" spans="1:5" ht="56.25" x14ac:dyDescent="0.2">
      <c r="A3234" s="65" t="s">
        <v>9032</v>
      </c>
      <c r="B3234" s="66" t="s">
        <v>9033</v>
      </c>
      <c r="C3234" s="67" t="s">
        <v>221</v>
      </c>
      <c r="D3234" s="69" t="s">
        <v>9034</v>
      </c>
      <c r="E3234" s="69" t="s">
        <v>9035</v>
      </c>
    </row>
    <row r="3235" spans="1:5" ht="56.25" x14ac:dyDescent="0.2">
      <c r="A3235" s="65" t="s">
        <v>9036</v>
      </c>
      <c r="B3235" s="66" t="s">
        <v>9037</v>
      </c>
      <c r="C3235" s="67" t="s">
        <v>221</v>
      </c>
      <c r="D3235" s="69" t="s">
        <v>9038</v>
      </c>
      <c r="E3235" s="69" t="s">
        <v>9039</v>
      </c>
    </row>
    <row r="3236" spans="1:5" ht="56.25" x14ac:dyDescent="0.2">
      <c r="A3236" s="65" t="s">
        <v>9040</v>
      </c>
      <c r="B3236" s="66" t="s">
        <v>9041</v>
      </c>
      <c r="C3236" s="67" t="s">
        <v>221</v>
      </c>
      <c r="D3236" s="69" t="s">
        <v>9042</v>
      </c>
      <c r="E3236" s="69" t="s">
        <v>9043</v>
      </c>
    </row>
    <row r="3237" spans="1:5" ht="56.25" x14ac:dyDescent="0.2">
      <c r="A3237" s="65" t="s">
        <v>9044</v>
      </c>
      <c r="B3237" s="66" t="s">
        <v>9045</v>
      </c>
      <c r="C3237" s="67" t="s">
        <v>221</v>
      </c>
      <c r="D3237" s="69" t="s">
        <v>9046</v>
      </c>
      <c r="E3237" s="69" t="s">
        <v>9047</v>
      </c>
    </row>
    <row r="3238" spans="1:5" ht="56.25" x14ac:dyDescent="0.2">
      <c r="A3238" s="65" t="s">
        <v>9048</v>
      </c>
      <c r="B3238" s="66" t="s">
        <v>9049</v>
      </c>
      <c r="C3238" s="67" t="s">
        <v>221</v>
      </c>
      <c r="D3238" s="69" t="s">
        <v>9050</v>
      </c>
      <c r="E3238" s="69" t="s">
        <v>9051</v>
      </c>
    </row>
    <row r="3239" spans="1:5" ht="56.25" x14ac:dyDescent="0.2">
      <c r="A3239" s="65" t="s">
        <v>9052</v>
      </c>
      <c r="B3239" s="66" t="s">
        <v>9053</v>
      </c>
      <c r="C3239" s="67" t="s">
        <v>221</v>
      </c>
      <c r="D3239" s="69" t="s">
        <v>9054</v>
      </c>
      <c r="E3239" s="69" t="s">
        <v>9055</v>
      </c>
    </row>
    <row r="3240" spans="1:5" ht="45" x14ac:dyDescent="0.2">
      <c r="A3240" s="50">
        <v>46.15</v>
      </c>
      <c r="B3240" s="64" t="s">
        <v>9056</v>
      </c>
      <c r="C3240" s="47"/>
      <c r="D3240" s="47"/>
      <c r="E3240" s="47"/>
    </row>
    <row r="3241" spans="1:5" ht="56.25" x14ac:dyDescent="0.2">
      <c r="A3241" s="65" t="s">
        <v>9057</v>
      </c>
      <c r="B3241" s="66" t="s">
        <v>9058</v>
      </c>
      <c r="C3241" s="67" t="s">
        <v>221</v>
      </c>
      <c r="D3241" s="69" t="s">
        <v>6462</v>
      </c>
      <c r="E3241" s="69" t="s">
        <v>9059</v>
      </c>
    </row>
    <row r="3242" spans="1:5" ht="56.25" x14ac:dyDescent="0.2">
      <c r="A3242" s="65" t="s">
        <v>9060</v>
      </c>
      <c r="B3242" s="66" t="s">
        <v>9061</v>
      </c>
      <c r="C3242" s="67" t="s">
        <v>221</v>
      </c>
      <c r="D3242" s="69" t="s">
        <v>9062</v>
      </c>
      <c r="E3242" s="69" t="s">
        <v>9064</v>
      </c>
    </row>
    <row r="3243" spans="1:5" ht="56.25" x14ac:dyDescent="0.2">
      <c r="A3243" s="65" t="s">
        <v>9065</v>
      </c>
      <c r="B3243" s="66" t="s">
        <v>9066</v>
      </c>
      <c r="C3243" s="67" t="s">
        <v>221</v>
      </c>
      <c r="D3243" s="69" t="s">
        <v>9067</v>
      </c>
      <c r="E3243" s="69" t="s">
        <v>9068</v>
      </c>
    </row>
    <row r="3244" spans="1:5" ht="45" x14ac:dyDescent="0.2">
      <c r="A3244" s="50">
        <v>46.18</v>
      </c>
      <c r="B3244" s="64" t="s">
        <v>9069</v>
      </c>
      <c r="C3244" s="47"/>
      <c r="D3244" s="47"/>
      <c r="E3244" s="47"/>
    </row>
    <row r="3245" spans="1:5" ht="56.25" x14ac:dyDescent="0.2">
      <c r="A3245" s="65" t="s">
        <v>9070</v>
      </c>
      <c r="B3245" s="66" t="s">
        <v>9071</v>
      </c>
      <c r="C3245" s="67" t="s">
        <v>221</v>
      </c>
      <c r="D3245" s="69" t="s">
        <v>9072</v>
      </c>
      <c r="E3245" s="69" t="s">
        <v>9074</v>
      </c>
    </row>
    <row r="3246" spans="1:5" ht="56.25" x14ac:dyDescent="0.2">
      <c r="A3246" s="65" t="s">
        <v>9075</v>
      </c>
      <c r="B3246" s="66" t="s">
        <v>9076</v>
      </c>
      <c r="C3246" s="67" t="s">
        <v>221</v>
      </c>
      <c r="D3246" s="69" t="s">
        <v>9077</v>
      </c>
      <c r="E3246" s="69" t="s">
        <v>9078</v>
      </c>
    </row>
    <row r="3247" spans="1:5" ht="56.25" x14ac:dyDescent="0.2">
      <c r="A3247" s="65" t="s">
        <v>9079</v>
      </c>
      <c r="B3247" s="66" t="s">
        <v>9080</v>
      </c>
      <c r="C3247" s="67" t="s">
        <v>221</v>
      </c>
      <c r="D3247" s="69" t="s">
        <v>9081</v>
      </c>
      <c r="E3247" s="69" t="s">
        <v>9082</v>
      </c>
    </row>
    <row r="3248" spans="1:5" ht="56.25" x14ac:dyDescent="0.2">
      <c r="A3248" s="65" t="s">
        <v>9083</v>
      </c>
      <c r="B3248" s="66" t="s">
        <v>9084</v>
      </c>
      <c r="C3248" s="67" t="s">
        <v>221</v>
      </c>
      <c r="D3248" s="69" t="s">
        <v>9085</v>
      </c>
      <c r="E3248" s="69" t="s">
        <v>9086</v>
      </c>
    </row>
    <row r="3249" spans="1:5" ht="56.25" x14ac:dyDescent="0.2">
      <c r="A3249" s="65" t="s">
        <v>9087</v>
      </c>
      <c r="B3249" s="66" t="s">
        <v>9088</v>
      </c>
      <c r="C3249" s="67" t="s">
        <v>221</v>
      </c>
      <c r="D3249" s="69" t="s">
        <v>9089</v>
      </c>
      <c r="E3249" s="69" t="s">
        <v>9091</v>
      </c>
    </row>
    <row r="3250" spans="1:5" ht="56.25" x14ac:dyDescent="0.2">
      <c r="A3250" s="65" t="s">
        <v>9092</v>
      </c>
      <c r="B3250" s="66" t="s">
        <v>9093</v>
      </c>
      <c r="C3250" s="67" t="s">
        <v>221</v>
      </c>
      <c r="D3250" s="69" t="s">
        <v>9094</v>
      </c>
      <c r="E3250" s="69" t="s">
        <v>9095</v>
      </c>
    </row>
    <row r="3251" spans="1:5" ht="33.75" x14ac:dyDescent="0.2">
      <c r="A3251" s="65" t="s">
        <v>9096</v>
      </c>
      <c r="B3251" s="65" t="s">
        <v>9097</v>
      </c>
      <c r="C3251" s="67" t="s">
        <v>203</v>
      </c>
      <c r="D3251" s="69" t="s">
        <v>9098</v>
      </c>
      <c r="E3251" s="69" t="s">
        <v>9100</v>
      </c>
    </row>
    <row r="3252" spans="1:5" ht="33.75" x14ac:dyDescent="0.2">
      <c r="A3252" s="65" t="s">
        <v>9101</v>
      </c>
      <c r="B3252" s="65" t="s">
        <v>9102</v>
      </c>
      <c r="C3252" s="67" t="s">
        <v>203</v>
      </c>
      <c r="D3252" s="69" t="s">
        <v>9103</v>
      </c>
      <c r="E3252" s="69" t="s">
        <v>9104</v>
      </c>
    </row>
    <row r="3253" spans="1:5" ht="33.75" x14ac:dyDescent="0.2">
      <c r="A3253" s="65" t="s">
        <v>9105</v>
      </c>
      <c r="B3253" s="65" t="s">
        <v>9106</v>
      </c>
      <c r="C3253" s="67" t="s">
        <v>203</v>
      </c>
      <c r="D3253" s="69" t="s">
        <v>9107</v>
      </c>
      <c r="E3253" s="69" t="s">
        <v>9109</v>
      </c>
    </row>
    <row r="3254" spans="1:5" ht="33.75" x14ac:dyDescent="0.2">
      <c r="A3254" s="65" t="s">
        <v>9110</v>
      </c>
      <c r="B3254" s="65" t="s">
        <v>9111</v>
      </c>
      <c r="C3254" s="67" t="s">
        <v>203</v>
      </c>
      <c r="D3254" s="69" t="s">
        <v>9112</v>
      </c>
      <c r="E3254" s="69" t="s">
        <v>9113</v>
      </c>
    </row>
    <row r="3255" spans="1:5" ht="33.75" x14ac:dyDescent="0.2">
      <c r="A3255" s="65" t="s">
        <v>9114</v>
      </c>
      <c r="B3255" s="65" t="s">
        <v>9115</v>
      </c>
      <c r="C3255" s="67" t="s">
        <v>203</v>
      </c>
      <c r="D3255" s="69" t="s">
        <v>9116</v>
      </c>
      <c r="E3255" s="69" t="s">
        <v>9118</v>
      </c>
    </row>
    <row r="3256" spans="1:5" ht="33.75" x14ac:dyDescent="0.2">
      <c r="A3256" s="65" t="s">
        <v>9119</v>
      </c>
      <c r="B3256" s="65" t="s">
        <v>9120</v>
      </c>
      <c r="C3256" s="67" t="s">
        <v>203</v>
      </c>
      <c r="D3256" s="69" t="s">
        <v>7020</v>
      </c>
      <c r="E3256" s="69" t="s">
        <v>9121</v>
      </c>
    </row>
    <row r="3257" spans="1:5" ht="33.75" x14ac:dyDescent="0.2">
      <c r="A3257" s="65" t="s">
        <v>9122</v>
      </c>
      <c r="B3257" s="65" t="s">
        <v>9123</v>
      </c>
      <c r="C3257" s="67" t="s">
        <v>203</v>
      </c>
      <c r="D3257" s="69" t="s">
        <v>9124</v>
      </c>
      <c r="E3257" s="69" t="s">
        <v>9126</v>
      </c>
    </row>
    <row r="3258" spans="1:5" ht="45" x14ac:dyDescent="0.2">
      <c r="A3258" s="65" t="s">
        <v>9127</v>
      </c>
      <c r="B3258" s="65" t="s">
        <v>9128</v>
      </c>
      <c r="C3258" s="67" t="s">
        <v>203</v>
      </c>
      <c r="D3258" s="69" t="s">
        <v>9129</v>
      </c>
      <c r="E3258" s="69" t="s">
        <v>9130</v>
      </c>
    </row>
    <row r="3259" spans="1:5" ht="45" x14ac:dyDescent="0.2">
      <c r="A3259" s="65" t="s">
        <v>9131</v>
      </c>
      <c r="B3259" s="65" t="s">
        <v>9132</v>
      </c>
      <c r="C3259" s="67" t="s">
        <v>203</v>
      </c>
      <c r="D3259" s="69" t="s">
        <v>9133</v>
      </c>
      <c r="E3259" s="69" t="s">
        <v>9134</v>
      </c>
    </row>
    <row r="3260" spans="1:5" ht="45" x14ac:dyDescent="0.2">
      <c r="A3260" s="65" t="s">
        <v>9135</v>
      </c>
      <c r="B3260" s="65" t="s">
        <v>9136</v>
      </c>
      <c r="C3260" s="67" t="s">
        <v>203</v>
      </c>
      <c r="D3260" s="69" t="s">
        <v>9137</v>
      </c>
      <c r="E3260" s="69" t="s">
        <v>9138</v>
      </c>
    </row>
    <row r="3261" spans="1:5" ht="45" x14ac:dyDescent="0.2">
      <c r="A3261" s="65" t="s">
        <v>9139</v>
      </c>
      <c r="B3261" s="65" t="s">
        <v>9140</v>
      </c>
      <c r="C3261" s="67" t="s">
        <v>203</v>
      </c>
      <c r="D3261" s="69" t="s">
        <v>9141</v>
      </c>
      <c r="E3261" s="69" t="s">
        <v>9142</v>
      </c>
    </row>
    <row r="3262" spans="1:5" ht="56.25" x14ac:dyDescent="0.2">
      <c r="A3262" s="65" t="s">
        <v>9143</v>
      </c>
      <c r="B3262" s="66" t="s">
        <v>9144</v>
      </c>
      <c r="C3262" s="67" t="s">
        <v>203</v>
      </c>
      <c r="D3262" s="69" t="s">
        <v>9145</v>
      </c>
      <c r="E3262" s="69" t="s">
        <v>9146</v>
      </c>
    </row>
    <row r="3263" spans="1:5" ht="67.5" x14ac:dyDescent="0.2">
      <c r="A3263" s="65" t="s">
        <v>9147</v>
      </c>
      <c r="B3263" s="66" t="s">
        <v>9148</v>
      </c>
      <c r="C3263" s="67" t="s">
        <v>203</v>
      </c>
      <c r="D3263" s="69" t="s">
        <v>9149</v>
      </c>
      <c r="E3263" s="69" t="s">
        <v>9150</v>
      </c>
    </row>
    <row r="3264" spans="1:5" ht="67.5" x14ac:dyDescent="0.2">
      <c r="A3264" s="65" t="s">
        <v>9151</v>
      </c>
      <c r="B3264" s="66" t="s">
        <v>9152</v>
      </c>
      <c r="C3264" s="67" t="s">
        <v>203</v>
      </c>
      <c r="D3264" s="69" t="s">
        <v>9153</v>
      </c>
      <c r="E3264" s="69" t="s">
        <v>9154</v>
      </c>
    </row>
    <row r="3265" spans="1:5" ht="33.75" x14ac:dyDescent="0.2">
      <c r="A3265" s="65" t="s">
        <v>9155</v>
      </c>
      <c r="B3265" s="65" t="s">
        <v>9156</v>
      </c>
      <c r="C3265" s="67" t="s">
        <v>203</v>
      </c>
      <c r="D3265" s="69" t="s">
        <v>9157</v>
      </c>
      <c r="E3265" s="69" t="s">
        <v>9158</v>
      </c>
    </row>
    <row r="3266" spans="1:5" ht="33.75" x14ac:dyDescent="0.2">
      <c r="A3266" s="65" t="s">
        <v>9159</v>
      </c>
      <c r="B3266" s="65" t="s">
        <v>9160</v>
      </c>
      <c r="C3266" s="67" t="s">
        <v>203</v>
      </c>
      <c r="D3266" s="69" t="s">
        <v>9161</v>
      </c>
      <c r="E3266" s="69" t="s">
        <v>9162</v>
      </c>
    </row>
    <row r="3267" spans="1:5" ht="45" x14ac:dyDescent="0.2">
      <c r="A3267" s="50">
        <v>46.19</v>
      </c>
      <c r="B3267" s="64" t="s">
        <v>9163</v>
      </c>
      <c r="C3267" s="47"/>
      <c r="D3267" s="47"/>
      <c r="E3267" s="47"/>
    </row>
    <row r="3268" spans="1:5" ht="56.25" x14ac:dyDescent="0.2">
      <c r="A3268" s="65" t="s">
        <v>9164</v>
      </c>
      <c r="B3268" s="66" t="s">
        <v>9165</v>
      </c>
      <c r="C3268" s="67" t="s">
        <v>203</v>
      </c>
      <c r="D3268" s="69" t="s">
        <v>9166</v>
      </c>
      <c r="E3268" s="69" t="s">
        <v>9167</v>
      </c>
    </row>
    <row r="3269" spans="1:5" ht="56.25" x14ac:dyDescent="0.2">
      <c r="A3269" s="65" t="s">
        <v>9168</v>
      </c>
      <c r="B3269" s="66" t="s">
        <v>9169</v>
      </c>
      <c r="C3269" s="67" t="s">
        <v>203</v>
      </c>
      <c r="D3269" s="69" t="s">
        <v>9170</v>
      </c>
      <c r="E3269" s="69" t="s">
        <v>9171</v>
      </c>
    </row>
    <row r="3270" spans="1:5" ht="67.5" x14ac:dyDescent="0.2">
      <c r="A3270" s="65" t="s">
        <v>9172</v>
      </c>
      <c r="B3270" s="66" t="s">
        <v>9173</v>
      </c>
      <c r="C3270" s="67" t="s">
        <v>203</v>
      </c>
      <c r="D3270" s="69" t="s">
        <v>9174</v>
      </c>
      <c r="E3270" s="69" t="s">
        <v>9176</v>
      </c>
    </row>
    <row r="3271" spans="1:5" ht="67.5" x14ac:dyDescent="0.2">
      <c r="A3271" s="65" t="s">
        <v>9177</v>
      </c>
      <c r="B3271" s="66" t="s">
        <v>9178</v>
      </c>
      <c r="C3271" s="67" t="s">
        <v>203</v>
      </c>
      <c r="D3271" s="69" t="s">
        <v>9179</v>
      </c>
      <c r="E3271" s="69" t="s">
        <v>9180</v>
      </c>
    </row>
    <row r="3272" spans="1:5" ht="56.25" x14ac:dyDescent="0.2">
      <c r="A3272" s="65" t="s">
        <v>9181</v>
      </c>
      <c r="B3272" s="66" t="s">
        <v>9182</v>
      </c>
      <c r="C3272" s="67" t="s">
        <v>203</v>
      </c>
      <c r="D3272" s="69" t="s">
        <v>9183</v>
      </c>
      <c r="E3272" s="69" t="s">
        <v>9184</v>
      </c>
    </row>
    <row r="3273" spans="1:5" ht="56.25" x14ac:dyDescent="0.2">
      <c r="A3273" s="65" t="s">
        <v>9185</v>
      </c>
      <c r="B3273" s="66" t="s">
        <v>9186</v>
      </c>
      <c r="C3273" s="67" t="s">
        <v>203</v>
      </c>
      <c r="D3273" s="69" t="s">
        <v>9187</v>
      </c>
      <c r="E3273" s="69" t="s">
        <v>9188</v>
      </c>
    </row>
    <row r="3274" spans="1:5" ht="56.25" x14ac:dyDescent="0.2">
      <c r="A3274" s="65" t="s">
        <v>9189</v>
      </c>
      <c r="B3274" s="66" t="s">
        <v>9190</v>
      </c>
      <c r="C3274" s="67" t="s">
        <v>203</v>
      </c>
      <c r="D3274" s="69" t="s">
        <v>9191</v>
      </c>
      <c r="E3274" s="69" t="s">
        <v>9192</v>
      </c>
    </row>
    <row r="3275" spans="1:5" ht="67.5" x14ac:dyDescent="0.2">
      <c r="A3275" s="65" t="s">
        <v>9193</v>
      </c>
      <c r="B3275" s="66" t="s">
        <v>9194</v>
      </c>
      <c r="C3275" s="67" t="s">
        <v>203</v>
      </c>
      <c r="D3275" s="69" t="s">
        <v>9195</v>
      </c>
      <c r="E3275" s="69" t="s">
        <v>9196</v>
      </c>
    </row>
    <row r="3276" spans="1:5" ht="67.5" x14ac:dyDescent="0.2">
      <c r="A3276" s="65" t="s">
        <v>9197</v>
      </c>
      <c r="B3276" s="66" t="s">
        <v>9198</v>
      </c>
      <c r="C3276" s="67" t="s">
        <v>203</v>
      </c>
      <c r="D3276" s="69" t="s">
        <v>9199</v>
      </c>
      <c r="E3276" s="69" t="s">
        <v>9200</v>
      </c>
    </row>
    <row r="3277" spans="1:5" ht="45" x14ac:dyDescent="0.2">
      <c r="A3277" s="50">
        <v>46.2</v>
      </c>
      <c r="B3277" s="64" t="s">
        <v>9201</v>
      </c>
      <c r="C3277" s="47"/>
      <c r="D3277" s="47"/>
      <c r="E3277" s="47"/>
    </row>
    <row r="3278" spans="1:5" ht="45" x14ac:dyDescent="0.2">
      <c r="A3278" s="65" t="s">
        <v>9202</v>
      </c>
      <c r="B3278" s="65" t="s">
        <v>9203</v>
      </c>
      <c r="C3278" s="67" t="s">
        <v>221</v>
      </c>
      <c r="D3278" s="69" t="s">
        <v>1230</v>
      </c>
      <c r="E3278" s="69" t="s">
        <v>1616</v>
      </c>
    </row>
    <row r="3279" spans="1:5" ht="45" x14ac:dyDescent="0.2">
      <c r="A3279" s="65" t="s">
        <v>9204</v>
      </c>
      <c r="B3279" s="65" t="s">
        <v>9205</v>
      </c>
      <c r="C3279" s="67" t="s">
        <v>221</v>
      </c>
      <c r="D3279" s="69" t="s">
        <v>9206</v>
      </c>
      <c r="E3279" s="69" t="s">
        <v>9207</v>
      </c>
    </row>
    <row r="3280" spans="1:5" ht="22.5" x14ac:dyDescent="0.2">
      <c r="A3280" s="50">
        <v>46.21</v>
      </c>
      <c r="B3280" s="64" t="s">
        <v>9208</v>
      </c>
      <c r="C3280" s="47"/>
      <c r="D3280" s="47"/>
      <c r="E3280" s="47"/>
    </row>
    <row r="3281" spans="1:5" ht="56.25" x14ac:dyDescent="0.2">
      <c r="A3281" s="65" t="s">
        <v>9209</v>
      </c>
      <c r="B3281" s="66" t="s">
        <v>9210</v>
      </c>
      <c r="C3281" s="67" t="s">
        <v>221</v>
      </c>
      <c r="D3281" s="69" t="s">
        <v>9211</v>
      </c>
      <c r="E3281" s="69" t="s">
        <v>9212</v>
      </c>
    </row>
    <row r="3282" spans="1:5" ht="56.25" x14ac:dyDescent="0.2">
      <c r="A3282" s="65" t="s">
        <v>9213</v>
      </c>
      <c r="B3282" s="66" t="s">
        <v>9214</v>
      </c>
      <c r="C3282" s="67" t="s">
        <v>221</v>
      </c>
      <c r="D3282" s="69" t="s">
        <v>9215</v>
      </c>
      <c r="E3282" s="69" t="s">
        <v>9216</v>
      </c>
    </row>
    <row r="3283" spans="1:5" ht="56.25" x14ac:dyDescent="0.2">
      <c r="A3283" s="65" t="s">
        <v>9217</v>
      </c>
      <c r="B3283" s="66" t="s">
        <v>9218</v>
      </c>
      <c r="C3283" s="67" t="s">
        <v>221</v>
      </c>
      <c r="D3283" s="69" t="s">
        <v>9219</v>
      </c>
      <c r="E3283" s="69" t="s">
        <v>9220</v>
      </c>
    </row>
    <row r="3284" spans="1:5" ht="56.25" x14ac:dyDescent="0.2">
      <c r="A3284" s="65" t="s">
        <v>9221</v>
      </c>
      <c r="B3284" s="66" t="s">
        <v>9222</v>
      </c>
      <c r="C3284" s="67" t="s">
        <v>221</v>
      </c>
      <c r="D3284" s="69" t="s">
        <v>9223</v>
      </c>
      <c r="E3284" s="69" t="s">
        <v>9224</v>
      </c>
    </row>
    <row r="3285" spans="1:5" ht="56.25" x14ac:dyDescent="0.2">
      <c r="A3285" s="65" t="s">
        <v>9225</v>
      </c>
      <c r="B3285" s="66" t="s">
        <v>9226</v>
      </c>
      <c r="C3285" s="67" t="s">
        <v>221</v>
      </c>
      <c r="D3285" s="69" t="s">
        <v>9227</v>
      </c>
      <c r="E3285" s="69" t="s">
        <v>9228</v>
      </c>
    </row>
    <row r="3286" spans="1:5" ht="56.25" x14ac:dyDescent="0.2">
      <c r="A3286" s="65" t="s">
        <v>9229</v>
      </c>
      <c r="B3286" s="66" t="s">
        <v>9230</v>
      </c>
      <c r="C3286" s="67" t="s">
        <v>221</v>
      </c>
      <c r="D3286" s="69" t="s">
        <v>9231</v>
      </c>
      <c r="E3286" s="69" t="s">
        <v>9232</v>
      </c>
    </row>
    <row r="3287" spans="1:5" ht="56.25" x14ac:dyDescent="0.2">
      <c r="A3287" s="65" t="s">
        <v>9233</v>
      </c>
      <c r="B3287" s="66" t="s">
        <v>9234</v>
      </c>
      <c r="C3287" s="67" t="s">
        <v>221</v>
      </c>
      <c r="D3287" s="69" t="s">
        <v>9235</v>
      </c>
      <c r="E3287" s="69" t="s">
        <v>9237</v>
      </c>
    </row>
    <row r="3288" spans="1:5" ht="56.25" x14ac:dyDescent="0.2">
      <c r="A3288" s="65" t="s">
        <v>9238</v>
      </c>
      <c r="B3288" s="66" t="s">
        <v>9239</v>
      </c>
      <c r="C3288" s="67" t="s">
        <v>221</v>
      </c>
      <c r="D3288" s="69" t="s">
        <v>9240</v>
      </c>
      <c r="E3288" s="69" t="s">
        <v>9241</v>
      </c>
    </row>
    <row r="3289" spans="1:5" ht="56.25" x14ac:dyDescent="0.2">
      <c r="A3289" s="65" t="s">
        <v>9242</v>
      </c>
      <c r="B3289" s="66" t="s">
        <v>9243</v>
      </c>
      <c r="C3289" s="67" t="s">
        <v>221</v>
      </c>
      <c r="D3289" s="69" t="s">
        <v>9244</v>
      </c>
      <c r="E3289" s="69" t="s">
        <v>9246</v>
      </c>
    </row>
    <row r="3290" spans="1:5" ht="56.25" x14ac:dyDescent="0.2">
      <c r="A3290" s="65" t="s">
        <v>9247</v>
      </c>
      <c r="B3290" s="66" t="s">
        <v>9248</v>
      </c>
      <c r="C3290" s="67" t="s">
        <v>221</v>
      </c>
      <c r="D3290" s="69" t="s">
        <v>9249</v>
      </c>
      <c r="E3290" s="69" t="s">
        <v>9250</v>
      </c>
    </row>
    <row r="3291" spans="1:5" ht="56.25" x14ac:dyDescent="0.2">
      <c r="A3291" s="65" t="s">
        <v>9251</v>
      </c>
      <c r="B3291" s="66" t="s">
        <v>9252</v>
      </c>
      <c r="C3291" s="67" t="s">
        <v>221</v>
      </c>
      <c r="D3291" s="69" t="s">
        <v>9253</v>
      </c>
      <c r="E3291" s="69" t="s">
        <v>9254</v>
      </c>
    </row>
    <row r="3292" spans="1:5" ht="56.25" x14ac:dyDescent="0.2">
      <c r="A3292" s="65" t="s">
        <v>9255</v>
      </c>
      <c r="B3292" s="66" t="s">
        <v>9256</v>
      </c>
      <c r="C3292" s="67" t="s">
        <v>221</v>
      </c>
      <c r="D3292" s="69" t="s">
        <v>9257</v>
      </c>
      <c r="E3292" s="69" t="s">
        <v>9259</v>
      </c>
    </row>
    <row r="3293" spans="1:5" ht="56.25" x14ac:dyDescent="0.2">
      <c r="A3293" s="65" t="s">
        <v>9260</v>
      </c>
      <c r="B3293" s="66" t="s">
        <v>9261</v>
      </c>
      <c r="C3293" s="67" t="s">
        <v>221</v>
      </c>
      <c r="D3293" s="69" t="s">
        <v>9262</v>
      </c>
      <c r="E3293" s="69" t="s">
        <v>9264</v>
      </c>
    </row>
    <row r="3294" spans="1:5" ht="33.75" x14ac:dyDescent="0.2">
      <c r="A3294" s="50">
        <v>46.23</v>
      </c>
      <c r="B3294" s="64" t="s">
        <v>9265</v>
      </c>
      <c r="C3294" s="47"/>
      <c r="D3294" s="47"/>
      <c r="E3294" s="47"/>
    </row>
    <row r="3295" spans="1:5" ht="33.75" x14ac:dyDescent="0.2">
      <c r="A3295" s="65" t="s">
        <v>9266</v>
      </c>
      <c r="B3295" s="65" t="s">
        <v>9267</v>
      </c>
      <c r="C3295" s="67" t="s">
        <v>221</v>
      </c>
      <c r="D3295" s="69" t="s">
        <v>9268</v>
      </c>
      <c r="E3295" s="69" t="s">
        <v>9269</v>
      </c>
    </row>
    <row r="3296" spans="1:5" ht="33.75" x14ac:dyDescent="0.2">
      <c r="A3296" s="65" t="s">
        <v>9270</v>
      </c>
      <c r="B3296" s="65" t="s">
        <v>9271</v>
      </c>
      <c r="C3296" s="67" t="s">
        <v>221</v>
      </c>
      <c r="D3296" s="69" t="s">
        <v>9272</v>
      </c>
      <c r="E3296" s="69" t="s">
        <v>9274</v>
      </c>
    </row>
    <row r="3297" spans="1:5" ht="33.75" x14ac:dyDescent="0.2">
      <c r="A3297" s="65" t="s">
        <v>9275</v>
      </c>
      <c r="B3297" s="65" t="s">
        <v>9276</v>
      </c>
      <c r="C3297" s="67" t="s">
        <v>221</v>
      </c>
      <c r="D3297" s="69" t="s">
        <v>9277</v>
      </c>
      <c r="E3297" s="69" t="s">
        <v>9279</v>
      </c>
    </row>
    <row r="3298" spans="1:5" ht="33.75" x14ac:dyDescent="0.2">
      <c r="A3298" s="65" t="s">
        <v>9280</v>
      </c>
      <c r="B3298" s="65" t="s">
        <v>9281</v>
      </c>
      <c r="C3298" s="67" t="s">
        <v>221</v>
      </c>
      <c r="D3298" s="69" t="s">
        <v>9282</v>
      </c>
      <c r="E3298" s="69" t="s">
        <v>9283</v>
      </c>
    </row>
    <row r="3299" spans="1:5" ht="33.75" x14ac:dyDescent="0.2">
      <c r="A3299" s="65" t="s">
        <v>9284</v>
      </c>
      <c r="B3299" s="65" t="s">
        <v>9285</v>
      </c>
      <c r="C3299" s="67" t="s">
        <v>221</v>
      </c>
      <c r="D3299" s="69" t="s">
        <v>9286</v>
      </c>
      <c r="E3299" s="69" t="s">
        <v>9287</v>
      </c>
    </row>
    <row r="3300" spans="1:5" ht="33.75" x14ac:dyDescent="0.2">
      <c r="A3300" s="65" t="s">
        <v>9288</v>
      </c>
      <c r="B3300" s="65" t="s">
        <v>9289</v>
      </c>
      <c r="C3300" s="67" t="s">
        <v>221</v>
      </c>
      <c r="D3300" s="69" t="s">
        <v>9290</v>
      </c>
      <c r="E3300" s="69" t="s">
        <v>9292</v>
      </c>
    </row>
    <row r="3301" spans="1:5" ht="33.75" x14ac:dyDescent="0.2">
      <c r="A3301" s="65" t="s">
        <v>9293</v>
      </c>
      <c r="B3301" s="65" t="s">
        <v>9294</v>
      </c>
      <c r="C3301" s="67" t="s">
        <v>221</v>
      </c>
      <c r="D3301" s="69" t="s">
        <v>9295</v>
      </c>
      <c r="E3301" s="69" t="s">
        <v>9296</v>
      </c>
    </row>
    <row r="3302" spans="1:5" ht="33.75" x14ac:dyDescent="0.2">
      <c r="A3302" s="65" t="s">
        <v>9297</v>
      </c>
      <c r="B3302" s="65" t="s">
        <v>9298</v>
      </c>
      <c r="C3302" s="67" t="s">
        <v>221</v>
      </c>
      <c r="D3302" s="69" t="s">
        <v>9299</v>
      </c>
      <c r="E3302" s="69" t="s">
        <v>9300</v>
      </c>
    </row>
    <row r="3303" spans="1:5" ht="33.75" x14ac:dyDescent="0.2">
      <c r="A3303" s="50">
        <v>46.26</v>
      </c>
      <c r="B3303" s="64" t="s">
        <v>9301</v>
      </c>
      <c r="C3303" s="47"/>
      <c r="D3303" s="47"/>
      <c r="E3303" s="47"/>
    </row>
    <row r="3304" spans="1:5" ht="45" x14ac:dyDescent="0.2">
      <c r="A3304" s="65" t="s">
        <v>9302</v>
      </c>
      <c r="B3304" s="65" t="s">
        <v>9303</v>
      </c>
      <c r="C3304" s="67" t="s">
        <v>221</v>
      </c>
      <c r="D3304" s="69" t="s">
        <v>9304</v>
      </c>
      <c r="E3304" s="69" t="s">
        <v>9305</v>
      </c>
    </row>
    <row r="3305" spans="1:5" ht="45" x14ac:dyDescent="0.2">
      <c r="A3305" s="65" t="s">
        <v>9306</v>
      </c>
      <c r="B3305" s="65" t="s">
        <v>9307</v>
      </c>
      <c r="C3305" s="67" t="s">
        <v>221</v>
      </c>
      <c r="D3305" s="69" t="s">
        <v>9308</v>
      </c>
      <c r="E3305" s="69" t="s">
        <v>9309</v>
      </c>
    </row>
    <row r="3306" spans="1:5" ht="45" x14ac:dyDescent="0.2">
      <c r="A3306" s="65" t="s">
        <v>9310</v>
      </c>
      <c r="B3306" s="65" t="s">
        <v>9311</v>
      </c>
      <c r="C3306" s="67" t="s">
        <v>221</v>
      </c>
      <c r="D3306" s="69" t="s">
        <v>9312</v>
      </c>
      <c r="E3306" s="69" t="s">
        <v>5770</v>
      </c>
    </row>
    <row r="3307" spans="1:5" ht="45" x14ac:dyDescent="0.2">
      <c r="A3307" s="65" t="s">
        <v>9313</v>
      </c>
      <c r="B3307" s="65" t="s">
        <v>9314</v>
      </c>
      <c r="C3307" s="67" t="s">
        <v>221</v>
      </c>
      <c r="D3307" s="69" t="s">
        <v>9315</v>
      </c>
      <c r="E3307" s="69" t="s">
        <v>9316</v>
      </c>
    </row>
    <row r="3308" spans="1:5" ht="45" x14ac:dyDescent="0.2">
      <c r="A3308" s="65" t="s">
        <v>9317</v>
      </c>
      <c r="B3308" s="65" t="s">
        <v>9318</v>
      </c>
      <c r="C3308" s="67" t="s">
        <v>221</v>
      </c>
      <c r="D3308" s="69" t="s">
        <v>9319</v>
      </c>
      <c r="E3308" s="69" t="s">
        <v>9320</v>
      </c>
    </row>
    <row r="3309" spans="1:5" ht="56.25" x14ac:dyDescent="0.2">
      <c r="A3309" s="65" t="s">
        <v>9321</v>
      </c>
      <c r="B3309" s="66" t="s">
        <v>9322</v>
      </c>
      <c r="C3309" s="67" t="s">
        <v>203</v>
      </c>
      <c r="D3309" s="69" t="s">
        <v>9323</v>
      </c>
      <c r="E3309" s="69" t="s">
        <v>9324</v>
      </c>
    </row>
    <row r="3310" spans="1:5" ht="56.25" x14ac:dyDescent="0.2">
      <c r="A3310" s="65" t="s">
        <v>9325</v>
      </c>
      <c r="B3310" s="66" t="s">
        <v>9326</v>
      </c>
      <c r="C3310" s="67" t="s">
        <v>203</v>
      </c>
      <c r="D3310" s="69" t="s">
        <v>5457</v>
      </c>
      <c r="E3310" s="69" t="s">
        <v>9327</v>
      </c>
    </row>
    <row r="3311" spans="1:5" ht="56.25" x14ac:dyDescent="0.2">
      <c r="A3311" s="65" t="s">
        <v>9328</v>
      </c>
      <c r="B3311" s="66" t="s">
        <v>9329</v>
      </c>
      <c r="C3311" s="67" t="s">
        <v>203</v>
      </c>
      <c r="D3311" s="69" t="s">
        <v>9330</v>
      </c>
      <c r="E3311" s="69" t="s">
        <v>9331</v>
      </c>
    </row>
    <row r="3312" spans="1:5" ht="56.25" x14ac:dyDescent="0.2">
      <c r="A3312" s="65" t="s">
        <v>9332</v>
      </c>
      <c r="B3312" s="66" t="s">
        <v>9333</v>
      </c>
      <c r="C3312" s="67" t="s">
        <v>203</v>
      </c>
      <c r="D3312" s="69" t="s">
        <v>9334</v>
      </c>
      <c r="E3312" s="69" t="s">
        <v>9335</v>
      </c>
    </row>
    <row r="3313" spans="1:5" ht="56.25" x14ac:dyDescent="0.2">
      <c r="A3313" s="65" t="s">
        <v>9336</v>
      </c>
      <c r="B3313" s="66" t="s">
        <v>9337</v>
      </c>
      <c r="C3313" s="67" t="s">
        <v>203</v>
      </c>
      <c r="D3313" s="69" t="s">
        <v>9338</v>
      </c>
      <c r="E3313" s="69" t="s">
        <v>9339</v>
      </c>
    </row>
    <row r="3314" spans="1:5" ht="67.5" x14ac:dyDescent="0.2">
      <c r="A3314" s="65" t="s">
        <v>9340</v>
      </c>
      <c r="B3314" s="66" t="s">
        <v>9341</v>
      </c>
      <c r="C3314" s="67" t="s">
        <v>240</v>
      </c>
      <c r="D3314" s="69" t="s">
        <v>9342</v>
      </c>
      <c r="E3314" s="69" t="s">
        <v>9343</v>
      </c>
    </row>
    <row r="3315" spans="1:5" ht="67.5" x14ac:dyDescent="0.2">
      <c r="A3315" s="65" t="s">
        <v>9344</v>
      </c>
      <c r="B3315" s="66" t="s">
        <v>9345</v>
      </c>
      <c r="C3315" s="67" t="s">
        <v>240</v>
      </c>
      <c r="D3315" s="69" t="s">
        <v>9346</v>
      </c>
      <c r="E3315" s="69" t="s">
        <v>9347</v>
      </c>
    </row>
    <row r="3316" spans="1:5" ht="67.5" x14ac:dyDescent="0.2">
      <c r="A3316" s="65" t="s">
        <v>9348</v>
      </c>
      <c r="B3316" s="66" t="s">
        <v>9349</v>
      </c>
      <c r="C3316" s="67" t="s">
        <v>240</v>
      </c>
      <c r="D3316" s="69" t="s">
        <v>9350</v>
      </c>
      <c r="E3316" s="69" t="s">
        <v>9351</v>
      </c>
    </row>
    <row r="3317" spans="1:5" ht="67.5" x14ac:dyDescent="0.2">
      <c r="A3317" s="65" t="s">
        <v>9352</v>
      </c>
      <c r="B3317" s="66" t="s">
        <v>9353</v>
      </c>
      <c r="C3317" s="67" t="s">
        <v>240</v>
      </c>
      <c r="D3317" s="69" t="s">
        <v>9354</v>
      </c>
      <c r="E3317" s="69" t="s">
        <v>9355</v>
      </c>
    </row>
    <row r="3318" spans="1:5" ht="67.5" x14ac:dyDescent="0.2">
      <c r="A3318" s="65" t="s">
        <v>9356</v>
      </c>
      <c r="B3318" s="66" t="s">
        <v>9357</v>
      </c>
      <c r="C3318" s="67" t="s">
        <v>240</v>
      </c>
      <c r="D3318" s="69" t="s">
        <v>9358</v>
      </c>
      <c r="E3318" s="69" t="s">
        <v>4156</v>
      </c>
    </row>
    <row r="3319" spans="1:5" ht="67.5" x14ac:dyDescent="0.2">
      <c r="A3319" s="65" t="s">
        <v>9359</v>
      </c>
      <c r="B3319" s="66" t="s">
        <v>9360</v>
      </c>
      <c r="C3319" s="67" t="s">
        <v>240</v>
      </c>
      <c r="D3319" s="69" t="s">
        <v>9361</v>
      </c>
      <c r="E3319" s="69" t="s">
        <v>9362</v>
      </c>
    </row>
    <row r="3320" spans="1:5" ht="45" x14ac:dyDescent="0.2">
      <c r="A3320" s="65" t="s">
        <v>9363</v>
      </c>
      <c r="B3320" s="65" t="s">
        <v>9364</v>
      </c>
      <c r="C3320" s="67" t="s">
        <v>221</v>
      </c>
      <c r="D3320" s="69" t="s">
        <v>9365</v>
      </c>
      <c r="E3320" s="69" t="s">
        <v>9366</v>
      </c>
    </row>
    <row r="3321" spans="1:5" ht="45" x14ac:dyDescent="0.2">
      <c r="A3321" s="65" t="s">
        <v>9367</v>
      </c>
      <c r="B3321" s="65" t="s">
        <v>9368</v>
      </c>
      <c r="C3321" s="67" t="s">
        <v>221</v>
      </c>
      <c r="D3321" s="69" t="s">
        <v>9369</v>
      </c>
      <c r="E3321" s="69" t="s">
        <v>9370</v>
      </c>
    </row>
    <row r="3322" spans="1:5" ht="33.75" x14ac:dyDescent="0.2">
      <c r="A3322" s="65" t="s">
        <v>9371</v>
      </c>
      <c r="B3322" s="65" t="s">
        <v>9372</v>
      </c>
      <c r="C3322" s="67" t="s">
        <v>203</v>
      </c>
      <c r="D3322" s="69" t="s">
        <v>9373</v>
      </c>
      <c r="E3322" s="69" t="s">
        <v>9374</v>
      </c>
    </row>
    <row r="3323" spans="1:5" ht="33.75" x14ac:dyDescent="0.2">
      <c r="A3323" s="65" t="s">
        <v>9375</v>
      </c>
      <c r="B3323" s="65" t="s">
        <v>9376</v>
      </c>
      <c r="C3323" s="67" t="s">
        <v>203</v>
      </c>
      <c r="D3323" s="69" t="s">
        <v>9377</v>
      </c>
      <c r="E3323" s="69" t="s">
        <v>9378</v>
      </c>
    </row>
    <row r="3324" spans="1:5" ht="33.75" x14ac:dyDescent="0.2">
      <c r="A3324" s="65" t="s">
        <v>9379</v>
      </c>
      <c r="B3324" s="65" t="s">
        <v>9380</v>
      </c>
      <c r="C3324" s="67" t="s">
        <v>203</v>
      </c>
      <c r="D3324" s="69" t="s">
        <v>9381</v>
      </c>
      <c r="E3324" s="69" t="s">
        <v>9382</v>
      </c>
    </row>
    <row r="3325" spans="1:5" ht="33.75" x14ac:dyDescent="0.2">
      <c r="A3325" s="65" t="s">
        <v>9383</v>
      </c>
      <c r="B3325" s="65" t="s">
        <v>9384</v>
      </c>
      <c r="C3325" s="67" t="s">
        <v>203</v>
      </c>
      <c r="D3325" s="69" t="s">
        <v>8234</v>
      </c>
      <c r="E3325" s="69" t="s">
        <v>9385</v>
      </c>
    </row>
    <row r="3326" spans="1:5" ht="33.75" x14ac:dyDescent="0.2">
      <c r="A3326" s="65" t="s">
        <v>9386</v>
      </c>
      <c r="B3326" s="65" t="s">
        <v>9387</v>
      </c>
      <c r="C3326" s="67" t="s">
        <v>203</v>
      </c>
      <c r="D3326" s="69" t="s">
        <v>258</v>
      </c>
      <c r="E3326" s="69" t="s">
        <v>9388</v>
      </c>
    </row>
    <row r="3327" spans="1:5" ht="33.75" x14ac:dyDescent="0.2">
      <c r="A3327" s="65" t="s">
        <v>9389</v>
      </c>
      <c r="B3327" s="65" t="s">
        <v>9390</v>
      </c>
      <c r="C3327" s="67" t="s">
        <v>203</v>
      </c>
      <c r="D3327" s="69" t="s">
        <v>9391</v>
      </c>
      <c r="E3327" s="69" t="s">
        <v>9392</v>
      </c>
    </row>
    <row r="3328" spans="1:5" ht="33.75" x14ac:dyDescent="0.2">
      <c r="A3328" s="65" t="s">
        <v>9393</v>
      </c>
      <c r="B3328" s="65" t="s">
        <v>9394</v>
      </c>
      <c r="C3328" s="74" t="s">
        <v>203</v>
      </c>
      <c r="D3328" s="69" t="s">
        <v>9395</v>
      </c>
      <c r="E3328" s="69" t="s">
        <v>9396</v>
      </c>
    </row>
    <row r="3329" spans="1:5" ht="33.75" x14ac:dyDescent="0.2">
      <c r="A3329" s="65" t="s">
        <v>9397</v>
      </c>
      <c r="B3329" s="65" t="s">
        <v>9398</v>
      </c>
      <c r="C3329" s="74" t="s">
        <v>203</v>
      </c>
      <c r="D3329" s="69" t="s">
        <v>8630</v>
      </c>
      <c r="E3329" s="69" t="s">
        <v>9399</v>
      </c>
    </row>
    <row r="3330" spans="1:5" ht="33.75" x14ac:dyDescent="0.2">
      <c r="A3330" s="65" t="s">
        <v>9400</v>
      </c>
      <c r="B3330" s="65" t="s">
        <v>9401</v>
      </c>
      <c r="C3330" s="74" t="s">
        <v>203</v>
      </c>
      <c r="D3330" s="69" t="s">
        <v>9402</v>
      </c>
      <c r="E3330" s="69" t="s">
        <v>9403</v>
      </c>
    </row>
    <row r="3331" spans="1:5" ht="33.75" x14ac:dyDescent="0.2">
      <c r="A3331" s="65" t="s">
        <v>9404</v>
      </c>
      <c r="B3331" s="65" t="s">
        <v>9405</v>
      </c>
      <c r="C3331" s="74" t="s">
        <v>203</v>
      </c>
      <c r="D3331" s="69" t="s">
        <v>9406</v>
      </c>
      <c r="E3331" s="69" t="s">
        <v>9407</v>
      </c>
    </row>
    <row r="3332" spans="1:5" ht="33.75" x14ac:dyDescent="0.2">
      <c r="A3332" s="65" t="s">
        <v>9408</v>
      </c>
      <c r="B3332" s="65" t="s">
        <v>9409</v>
      </c>
      <c r="C3332" s="74" t="s">
        <v>203</v>
      </c>
      <c r="D3332" s="69" t="s">
        <v>9410</v>
      </c>
      <c r="E3332" s="69" t="s">
        <v>9411</v>
      </c>
    </row>
    <row r="3333" spans="1:5" ht="33.75" x14ac:dyDescent="0.2">
      <c r="A3333" s="65" t="s">
        <v>9412</v>
      </c>
      <c r="B3333" s="65" t="s">
        <v>9413</v>
      </c>
      <c r="C3333" s="74" t="s">
        <v>203</v>
      </c>
      <c r="D3333" s="69" t="s">
        <v>9414</v>
      </c>
      <c r="E3333" s="69" t="s">
        <v>9415</v>
      </c>
    </row>
    <row r="3334" spans="1:5" ht="33.75" x14ac:dyDescent="0.2">
      <c r="A3334" s="65" t="s">
        <v>9416</v>
      </c>
      <c r="B3334" s="65" t="s">
        <v>9417</v>
      </c>
      <c r="C3334" s="74" t="s">
        <v>203</v>
      </c>
      <c r="D3334" s="69" t="s">
        <v>9418</v>
      </c>
      <c r="E3334" s="69" t="s">
        <v>9419</v>
      </c>
    </row>
    <row r="3335" spans="1:5" ht="33.75" x14ac:dyDescent="0.2">
      <c r="A3335" s="65" t="s">
        <v>9420</v>
      </c>
      <c r="B3335" s="65" t="s">
        <v>9421</v>
      </c>
      <c r="C3335" s="74" t="s">
        <v>203</v>
      </c>
      <c r="D3335" s="69" t="s">
        <v>9422</v>
      </c>
      <c r="E3335" s="69" t="s">
        <v>9423</v>
      </c>
    </row>
    <row r="3336" spans="1:5" ht="45" x14ac:dyDescent="0.2">
      <c r="A3336" s="65" t="s">
        <v>9424</v>
      </c>
      <c r="B3336" s="65" t="s">
        <v>9425</v>
      </c>
      <c r="C3336" s="74" t="s">
        <v>203</v>
      </c>
      <c r="D3336" s="69" t="s">
        <v>9184</v>
      </c>
      <c r="E3336" s="69" t="s">
        <v>9426</v>
      </c>
    </row>
    <row r="3337" spans="1:5" ht="45" x14ac:dyDescent="0.2">
      <c r="A3337" s="65" t="s">
        <v>9427</v>
      </c>
      <c r="B3337" s="65" t="s">
        <v>9428</v>
      </c>
      <c r="C3337" s="74" t="s">
        <v>203</v>
      </c>
      <c r="D3337" s="69" t="s">
        <v>9429</v>
      </c>
      <c r="E3337" s="69" t="s">
        <v>9430</v>
      </c>
    </row>
    <row r="3338" spans="1:5" ht="45" x14ac:dyDescent="0.2">
      <c r="A3338" s="65" t="s">
        <v>9431</v>
      </c>
      <c r="B3338" s="65" t="s">
        <v>9432</v>
      </c>
      <c r="C3338" s="74" t="s">
        <v>203</v>
      </c>
      <c r="D3338" s="69" t="s">
        <v>9433</v>
      </c>
      <c r="E3338" s="69" t="s">
        <v>9434</v>
      </c>
    </row>
    <row r="3339" spans="1:5" ht="56.25" x14ac:dyDescent="0.2">
      <c r="A3339" s="65" t="s">
        <v>9435</v>
      </c>
      <c r="B3339" s="66" t="s">
        <v>9436</v>
      </c>
      <c r="C3339" s="74" t="s">
        <v>203</v>
      </c>
      <c r="D3339" s="69" t="s">
        <v>9437</v>
      </c>
      <c r="E3339" s="69" t="s">
        <v>9438</v>
      </c>
    </row>
    <row r="3340" spans="1:5" ht="56.25" x14ac:dyDescent="0.2">
      <c r="A3340" s="65" t="s">
        <v>9439</v>
      </c>
      <c r="B3340" s="66" t="s">
        <v>9440</v>
      </c>
      <c r="C3340" s="74" t="s">
        <v>203</v>
      </c>
      <c r="D3340" s="69" t="s">
        <v>9441</v>
      </c>
      <c r="E3340" s="69" t="s">
        <v>9442</v>
      </c>
    </row>
    <row r="3341" spans="1:5" ht="45" x14ac:dyDescent="0.2">
      <c r="A3341" s="65" t="s">
        <v>9443</v>
      </c>
      <c r="B3341" s="65" t="s">
        <v>9444</v>
      </c>
      <c r="C3341" s="74" t="s">
        <v>203</v>
      </c>
      <c r="D3341" s="69" t="s">
        <v>9445</v>
      </c>
      <c r="E3341" s="69" t="s">
        <v>9446</v>
      </c>
    </row>
    <row r="3342" spans="1:5" ht="45" x14ac:dyDescent="0.2">
      <c r="A3342" s="65" t="s">
        <v>9447</v>
      </c>
      <c r="B3342" s="65" t="s">
        <v>9448</v>
      </c>
      <c r="C3342" s="74" t="s">
        <v>203</v>
      </c>
      <c r="D3342" s="69" t="s">
        <v>9449</v>
      </c>
      <c r="E3342" s="69" t="s">
        <v>9450</v>
      </c>
    </row>
    <row r="3343" spans="1:5" ht="45" x14ac:dyDescent="0.2">
      <c r="A3343" s="65" t="s">
        <v>9451</v>
      </c>
      <c r="B3343" s="65" t="s">
        <v>9452</v>
      </c>
      <c r="C3343" s="74" t="s">
        <v>203</v>
      </c>
      <c r="D3343" s="69" t="s">
        <v>9453</v>
      </c>
      <c r="E3343" s="69" t="s">
        <v>9454</v>
      </c>
    </row>
    <row r="3344" spans="1:5" ht="45" x14ac:dyDescent="0.2">
      <c r="A3344" s="65" t="s">
        <v>9455</v>
      </c>
      <c r="B3344" s="65" t="s">
        <v>9456</v>
      </c>
      <c r="C3344" s="74" t="s">
        <v>203</v>
      </c>
      <c r="D3344" s="69" t="s">
        <v>9457</v>
      </c>
      <c r="E3344" s="69" t="s">
        <v>9458</v>
      </c>
    </row>
    <row r="3345" spans="1:5" ht="45" x14ac:dyDescent="0.2">
      <c r="A3345" s="65" t="s">
        <v>9459</v>
      </c>
      <c r="B3345" s="65" t="s">
        <v>9460</v>
      </c>
      <c r="C3345" s="74" t="s">
        <v>203</v>
      </c>
      <c r="D3345" s="69" t="s">
        <v>9461</v>
      </c>
      <c r="E3345" s="69" t="s">
        <v>9462</v>
      </c>
    </row>
    <row r="3346" spans="1:5" ht="45" x14ac:dyDescent="0.2">
      <c r="A3346" s="65" t="s">
        <v>9463</v>
      </c>
      <c r="B3346" s="65" t="s">
        <v>9464</v>
      </c>
      <c r="C3346" s="74" t="s">
        <v>203</v>
      </c>
      <c r="D3346" s="69" t="s">
        <v>9465</v>
      </c>
      <c r="E3346" s="69" t="s">
        <v>9466</v>
      </c>
    </row>
    <row r="3347" spans="1:5" ht="45" x14ac:dyDescent="0.2">
      <c r="A3347" s="65" t="s">
        <v>9467</v>
      </c>
      <c r="B3347" s="65" t="s">
        <v>9468</v>
      </c>
      <c r="C3347" s="74" t="s">
        <v>203</v>
      </c>
      <c r="D3347" s="69" t="s">
        <v>9469</v>
      </c>
      <c r="E3347" s="69" t="s">
        <v>9470</v>
      </c>
    </row>
    <row r="3348" spans="1:5" ht="45" x14ac:dyDescent="0.2">
      <c r="A3348" s="65" t="s">
        <v>9471</v>
      </c>
      <c r="B3348" s="65" t="s">
        <v>9472</v>
      </c>
      <c r="C3348" s="74" t="s">
        <v>203</v>
      </c>
      <c r="D3348" s="69" t="s">
        <v>9473</v>
      </c>
      <c r="E3348" s="69" t="s">
        <v>9474</v>
      </c>
    </row>
    <row r="3349" spans="1:5" ht="45" x14ac:dyDescent="0.2">
      <c r="A3349" s="65" t="s">
        <v>9475</v>
      </c>
      <c r="B3349" s="65" t="s">
        <v>9476</v>
      </c>
      <c r="C3349" s="74" t="s">
        <v>203</v>
      </c>
      <c r="D3349" s="69" t="s">
        <v>9477</v>
      </c>
      <c r="E3349" s="69" t="s">
        <v>9478</v>
      </c>
    </row>
    <row r="3350" spans="1:5" ht="33.75" x14ac:dyDescent="0.2">
      <c r="A3350" s="65" t="s">
        <v>9479</v>
      </c>
      <c r="B3350" s="65" t="s">
        <v>9480</v>
      </c>
      <c r="C3350" s="74" t="s">
        <v>203</v>
      </c>
      <c r="D3350" s="69" t="s">
        <v>9481</v>
      </c>
      <c r="E3350" s="69" t="s">
        <v>9482</v>
      </c>
    </row>
    <row r="3351" spans="1:5" ht="33.75" x14ac:dyDescent="0.2">
      <c r="A3351" s="65" t="s">
        <v>9483</v>
      </c>
      <c r="B3351" s="65" t="s">
        <v>9484</v>
      </c>
      <c r="C3351" s="74" t="s">
        <v>203</v>
      </c>
      <c r="D3351" s="69" t="s">
        <v>9485</v>
      </c>
      <c r="E3351" s="69" t="s">
        <v>9486</v>
      </c>
    </row>
    <row r="3352" spans="1:5" ht="33.75" x14ac:dyDescent="0.2">
      <c r="A3352" s="65" t="s">
        <v>9487</v>
      </c>
      <c r="B3352" s="65" t="s">
        <v>9488</v>
      </c>
      <c r="C3352" s="74" t="s">
        <v>203</v>
      </c>
      <c r="D3352" s="69" t="s">
        <v>9489</v>
      </c>
      <c r="E3352" s="69" t="s">
        <v>9490</v>
      </c>
    </row>
    <row r="3353" spans="1:5" ht="33.75" x14ac:dyDescent="0.2">
      <c r="A3353" s="65" t="s">
        <v>9491</v>
      </c>
      <c r="B3353" s="65" t="s">
        <v>9492</v>
      </c>
      <c r="C3353" s="74" t="s">
        <v>203</v>
      </c>
      <c r="D3353" s="69" t="s">
        <v>9493</v>
      </c>
      <c r="E3353" s="69" t="s">
        <v>9494</v>
      </c>
    </row>
    <row r="3354" spans="1:5" ht="33.75" x14ac:dyDescent="0.2">
      <c r="A3354" s="65" t="s">
        <v>9495</v>
      </c>
      <c r="B3354" s="65" t="s">
        <v>9496</v>
      </c>
      <c r="C3354" s="74" t="s">
        <v>203</v>
      </c>
      <c r="D3354" s="69" t="s">
        <v>9497</v>
      </c>
      <c r="E3354" s="69" t="s">
        <v>9498</v>
      </c>
    </row>
    <row r="3355" spans="1:5" ht="90" x14ac:dyDescent="0.2">
      <c r="A3355" s="70" t="s">
        <v>9499</v>
      </c>
      <c r="B3355" s="65" t="s">
        <v>9500</v>
      </c>
      <c r="C3355" s="75" t="s">
        <v>203</v>
      </c>
      <c r="D3355" s="72" t="s">
        <v>9501</v>
      </c>
      <c r="E3355" s="72" t="s">
        <v>9502</v>
      </c>
    </row>
    <row r="3356" spans="1:5" ht="90" x14ac:dyDescent="0.2">
      <c r="A3356" s="70" t="s">
        <v>9503</v>
      </c>
      <c r="B3356" s="65" t="s">
        <v>9504</v>
      </c>
      <c r="C3356" s="75" t="s">
        <v>203</v>
      </c>
      <c r="D3356" s="72" t="s">
        <v>9505</v>
      </c>
      <c r="E3356" s="72" t="s">
        <v>9506</v>
      </c>
    </row>
    <row r="3357" spans="1:5" ht="90" x14ac:dyDescent="0.2">
      <c r="A3357" s="70" t="s">
        <v>9507</v>
      </c>
      <c r="B3357" s="65" t="s">
        <v>9508</v>
      </c>
      <c r="C3357" s="75" t="s">
        <v>203</v>
      </c>
      <c r="D3357" s="72" t="s">
        <v>9509</v>
      </c>
      <c r="E3357" s="72" t="s">
        <v>9510</v>
      </c>
    </row>
    <row r="3358" spans="1:5" ht="90" x14ac:dyDescent="0.2">
      <c r="A3358" s="70" t="s">
        <v>9511</v>
      </c>
      <c r="B3358" s="65" t="s">
        <v>9512</v>
      </c>
      <c r="C3358" s="75" t="s">
        <v>203</v>
      </c>
      <c r="D3358" s="72" t="s">
        <v>9513</v>
      </c>
      <c r="E3358" s="72" t="s">
        <v>9514</v>
      </c>
    </row>
    <row r="3359" spans="1:5" ht="33.75" x14ac:dyDescent="0.2">
      <c r="A3359" s="65" t="s">
        <v>9515</v>
      </c>
      <c r="B3359" s="65" t="s">
        <v>9516</v>
      </c>
      <c r="C3359" s="74" t="s">
        <v>203</v>
      </c>
      <c r="D3359" s="69" t="s">
        <v>9517</v>
      </c>
      <c r="E3359" s="69" t="s">
        <v>9518</v>
      </c>
    </row>
    <row r="3360" spans="1:5" ht="33.75" x14ac:dyDescent="0.2">
      <c r="A3360" s="65" t="s">
        <v>9519</v>
      </c>
      <c r="B3360" s="65" t="s">
        <v>9520</v>
      </c>
      <c r="C3360" s="74" t="s">
        <v>203</v>
      </c>
      <c r="D3360" s="69" t="s">
        <v>9521</v>
      </c>
      <c r="E3360" s="69" t="s">
        <v>9522</v>
      </c>
    </row>
    <row r="3361" spans="1:5" ht="45" x14ac:dyDescent="0.2">
      <c r="A3361" s="65" t="s">
        <v>9523</v>
      </c>
      <c r="B3361" s="65" t="s">
        <v>9524</v>
      </c>
      <c r="C3361" s="74" t="s">
        <v>203</v>
      </c>
      <c r="D3361" s="69" t="s">
        <v>9525</v>
      </c>
      <c r="E3361" s="69" t="s">
        <v>9526</v>
      </c>
    </row>
    <row r="3362" spans="1:5" ht="45" x14ac:dyDescent="0.2">
      <c r="A3362" s="65" t="s">
        <v>9527</v>
      </c>
      <c r="B3362" s="65" t="s">
        <v>9528</v>
      </c>
      <c r="C3362" s="74" t="s">
        <v>203</v>
      </c>
      <c r="D3362" s="69" t="s">
        <v>9529</v>
      </c>
      <c r="E3362" s="69" t="s">
        <v>9530</v>
      </c>
    </row>
    <row r="3363" spans="1:5" ht="45" x14ac:dyDescent="0.2">
      <c r="A3363" s="65" t="s">
        <v>9531</v>
      </c>
      <c r="B3363" s="65" t="s">
        <v>9532</v>
      </c>
      <c r="C3363" s="74" t="s">
        <v>203</v>
      </c>
      <c r="D3363" s="69" t="s">
        <v>9533</v>
      </c>
      <c r="E3363" s="69" t="s">
        <v>9534</v>
      </c>
    </row>
    <row r="3364" spans="1:5" ht="45" x14ac:dyDescent="0.2">
      <c r="A3364" s="65" t="s">
        <v>9535</v>
      </c>
      <c r="B3364" s="65" t="s">
        <v>9536</v>
      </c>
      <c r="C3364" s="74" t="s">
        <v>203</v>
      </c>
      <c r="D3364" s="69" t="s">
        <v>9537</v>
      </c>
      <c r="E3364" s="69" t="s">
        <v>9538</v>
      </c>
    </row>
    <row r="3365" spans="1:5" ht="33.75" x14ac:dyDescent="0.2">
      <c r="A3365" s="50">
        <v>46.27</v>
      </c>
      <c r="B3365" s="64" t="s">
        <v>9539</v>
      </c>
      <c r="C3365" s="47"/>
      <c r="D3365" s="47"/>
      <c r="E3365" s="47"/>
    </row>
    <row r="3366" spans="1:5" ht="56.25" x14ac:dyDescent="0.2">
      <c r="A3366" s="65" t="s">
        <v>9540</v>
      </c>
      <c r="B3366" s="66" t="s">
        <v>9541</v>
      </c>
      <c r="C3366" s="67" t="s">
        <v>221</v>
      </c>
      <c r="D3366" s="69" t="s">
        <v>9542</v>
      </c>
      <c r="E3366" s="69" t="s">
        <v>9544</v>
      </c>
    </row>
    <row r="3367" spans="1:5" ht="56.25" x14ac:dyDescent="0.2">
      <c r="A3367" s="65" t="s">
        <v>9545</v>
      </c>
      <c r="B3367" s="66" t="s">
        <v>9546</v>
      </c>
      <c r="C3367" s="67" t="s">
        <v>221</v>
      </c>
      <c r="D3367" s="69" t="s">
        <v>9547</v>
      </c>
      <c r="E3367" s="69" t="s">
        <v>9548</v>
      </c>
    </row>
    <row r="3368" spans="1:5" ht="56.25" x14ac:dyDescent="0.2">
      <c r="A3368" s="65" t="s">
        <v>9549</v>
      </c>
      <c r="B3368" s="66" t="s">
        <v>9550</v>
      </c>
      <c r="C3368" s="67" t="s">
        <v>221</v>
      </c>
      <c r="D3368" s="69" t="s">
        <v>9551</v>
      </c>
      <c r="E3368" s="69" t="s">
        <v>9552</v>
      </c>
    </row>
    <row r="3369" spans="1:5" ht="56.25" x14ac:dyDescent="0.2">
      <c r="A3369" s="65" t="s">
        <v>9553</v>
      </c>
      <c r="B3369" s="66" t="s">
        <v>9554</v>
      </c>
      <c r="C3369" s="67" t="s">
        <v>221</v>
      </c>
      <c r="D3369" s="69" t="s">
        <v>9555</v>
      </c>
      <c r="E3369" s="69" t="s">
        <v>9556</v>
      </c>
    </row>
    <row r="3370" spans="1:5" ht="56.25" x14ac:dyDescent="0.2">
      <c r="A3370" s="65" t="s">
        <v>9557</v>
      </c>
      <c r="B3370" s="66" t="s">
        <v>9558</v>
      </c>
      <c r="C3370" s="67" t="s">
        <v>221</v>
      </c>
      <c r="D3370" s="69" t="s">
        <v>1349</v>
      </c>
      <c r="E3370" s="69" t="s">
        <v>9559</v>
      </c>
    </row>
    <row r="3371" spans="1:5" ht="56.25" x14ac:dyDescent="0.2">
      <c r="A3371" s="65" t="s">
        <v>9560</v>
      </c>
      <c r="B3371" s="66" t="s">
        <v>9561</v>
      </c>
      <c r="C3371" s="67" t="s">
        <v>221</v>
      </c>
      <c r="D3371" s="69" t="s">
        <v>9562</v>
      </c>
      <c r="E3371" s="69" t="s">
        <v>6330</v>
      </c>
    </row>
    <row r="3372" spans="1:5" ht="56.25" x14ac:dyDescent="0.2">
      <c r="A3372" s="65" t="s">
        <v>9563</v>
      </c>
      <c r="B3372" s="66" t="s">
        <v>9564</v>
      </c>
      <c r="C3372" s="67" t="s">
        <v>221</v>
      </c>
      <c r="D3372" s="69" t="s">
        <v>9565</v>
      </c>
      <c r="E3372" s="69" t="s">
        <v>9566</v>
      </c>
    </row>
    <row r="3373" spans="1:5" ht="45" x14ac:dyDescent="0.2">
      <c r="A3373" s="50">
        <v>46.32</v>
      </c>
      <c r="B3373" s="64" t="s">
        <v>9567</v>
      </c>
      <c r="C3373" s="48"/>
      <c r="D3373" s="48"/>
      <c r="E3373" s="48"/>
    </row>
    <row r="3374" spans="1:5" ht="56.25" x14ac:dyDescent="0.2">
      <c r="A3374" s="65" t="s">
        <v>9568</v>
      </c>
      <c r="B3374" s="66" t="s">
        <v>9569</v>
      </c>
      <c r="C3374" s="67" t="s">
        <v>221</v>
      </c>
      <c r="D3374" s="69" t="s">
        <v>9570</v>
      </c>
      <c r="E3374" s="69" t="s">
        <v>9571</v>
      </c>
    </row>
    <row r="3375" spans="1:5" ht="56.25" x14ac:dyDescent="0.2">
      <c r="A3375" s="65" t="s">
        <v>9572</v>
      </c>
      <c r="B3375" s="66" t="s">
        <v>9573</v>
      </c>
      <c r="C3375" s="67" t="s">
        <v>221</v>
      </c>
      <c r="D3375" s="69" t="s">
        <v>9574</v>
      </c>
      <c r="E3375" s="69" t="s">
        <v>9219</v>
      </c>
    </row>
    <row r="3376" spans="1:5" ht="56.25" x14ac:dyDescent="0.2">
      <c r="A3376" s="65" t="s">
        <v>9575</v>
      </c>
      <c r="B3376" s="66" t="s">
        <v>9576</v>
      </c>
      <c r="C3376" s="67" t="s">
        <v>221</v>
      </c>
      <c r="D3376" s="69" t="s">
        <v>1299</v>
      </c>
      <c r="E3376" s="69" t="s">
        <v>9577</v>
      </c>
    </row>
    <row r="3377" spans="1:5" ht="56.25" x14ac:dyDescent="0.2">
      <c r="A3377" s="65" t="s">
        <v>9578</v>
      </c>
      <c r="B3377" s="66" t="s">
        <v>9579</v>
      </c>
      <c r="C3377" s="67" t="s">
        <v>221</v>
      </c>
      <c r="D3377" s="69" t="s">
        <v>9580</v>
      </c>
      <c r="E3377" s="69" t="s">
        <v>9581</v>
      </c>
    </row>
    <row r="3378" spans="1:5" ht="56.25" x14ac:dyDescent="0.2">
      <c r="A3378" s="65" t="s">
        <v>9582</v>
      </c>
      <c r="B3378" s="66" t="s">
        <v>9583</v>
      </c>
      <c r="C3378" s="67" t="s">
        <v>221</v>
      </c>
      <c r="D3378" s="69" t="s">
        <v>715</v>
      </c>
      <c r="E3378" s="69" t="s">
        <v>9584</v>
      </c>
    </row>
    <row r="3379" spans="1:5" ht="56.25" x14ac:dyDescent="0.2">
      <c r="A3379" s="65" t="s">
        <v>9585</v>
      </c>
      <c r="B3379" s="66" t="s">
        <v>9586</v>
      </c>
      <c r="C3379" s="67" t="s">
        <v>221</v>
      </c>
      <c r="D3379" s="69" t="s">
        <v>9587</v>
      </c>
      <c r="E3379" s="69" t="s">
        <v>9588</v>
      </c>
    </row>
    <row r="3380" spans="1:5" ht="56.25" x14ac:dyDescent="0.2">
      <c r="A3380" s="65" t="s">
        <v>9589</v>
      </c>
      <c r="B3380" s="66" t="s">
        <v>9590</v>
      </c>
      <c r="C3380" s="67" t="s">
        <v>221</v>
      </c>
      <c r="D3380" s="69" t="s">
        <v>9591</v>
      </c>
      <c r="E3380" s="69" t="s">
        <v>9592</v>
      </c>
    </row>
    <row r="3381" spans="1:5" ht="56.25" x14ac:dyDescent="0.2">
      <c r="A3381" s="65" t="s">
        <v>9593</v>
      </c>
      <c r="B3381" s="66" t="s">
        <v>9594</v>
      </c>
      <c r="C3381" s="67" t="s">
        <v>221</v>
      </c>
      <c r="D3381" s="69" t="s">
        <v>9595</v>
      </c>
      <c r="E3381" s="69" t="s">
        <v>9596</v>
      </c>
    </row>
    <row r="3382" spans="1:5" ht="56.25" x14ac:dyDescent="0.2">
      <c r="A3382" s="65" t="s">
        <v>9597</v>
      </c>
      <c r="B3382" s="66" t="s">
        <v>9598</v>
      </c>
      <c r="C3382" s="67" t="s">
        <v>221</v>
      </c>
      <c r="D3382" s="69" t="s">
        <v>9599</v>
      </c>
      <c r="E3382" s="69" t="s">
        <v>9600</v>
      </c>
    </row>
    <row r="3383" spans="1:5" ht="56.25" x14ac:dyDescent="0.2">
      <c r="A3383" s="65" t="s">
        <v>9601</v>
      </c>
      <c r="B3383" s="66" t="s">
        <v>9602</v>
      </c>
      <c r="C3383" s="67" t="s">
        <v>221</v>
      </c>
      <c r="D3383" s="69" t="s">
        <v>9603</v>
      </c>
      <c r="E3383" s="69" t="s">
        <v>9604</v>
      </c>
    </row>
    <row r="3384" spans="1:5" ht="56.25" x14ac:dyDescent="0.2">
      <c r="A3384" s="65" t="s">
        <v>9605</v>
      </c>
      <c r="B3384" s="66" t="s">
        <v>9606</v>
      </c>
      <c r="C3384" s="67" t="s">
        <v>221</v>
      </c>
      <c r="D3384" s="69" t="s">
        <v>9607</v>
      </c>
      <c r="E3384" s="69" t="s">
        <v>9608</v>
      </c>
    </row>
    <row r="3385" spans="1:5" ht="33.75" x14ac:dyDescent="0.2">
      <c r="A3385" s="50">
        <v>46.33</v>
      </c>
      <c r="B3385" s="64" t="s">
        <v>9609</v>
      </c>
      <c r="C3385" s="47"/>
      <c r="D3385" s="47"/>
      <c r="E3385" s="47"/>
    </row>
    <row r="3386" spans="1:5" ht="90" x14ac:dyDescent="0.2">
      <c r="A3386" s="70" t="s">
        <v>9610</v>
      </c>
      <c r="B3386" s="65" t="s">
        <v>9611</v>
      </c>
      <c r="C3386" s="71" t="s">
        <v>221</v>
      </c>
      <c r="D3386" s="72" t="s">
        <v>9612</v>
      </c>
      <c r="E3386" s="72" t="s">
        <v>9613</v>
      </c>
    </row>
    <row r="3387" spans="1:5" ht="90" x14ac:dyDescent="0.2">
      <c r="A3387" s="70" t="s">
        <v>9614</v>
      </c>
      <c r="B3387" s="65" t="s">
        <v>9615</v>
      </c>
      <c r="C3387" s="71" t="s">
        <v>221</v>
      </c>
      <c r="D3387" s="72" t="s">
        <v>6778</v>
      </c>
      <c r="E3387" s="72" t="s">
        <v>9616</v>
      </c>
    </row>
    <row r="3388" spans="1:5" ht="90" x14ac:dyDescent="0.2">
      <c r="A3388" s="70" t="s">
        <v>9617</v>
      </c>
      <c r="B3388" s="65" t="s">
        <v>9618</v>
      </c>
      <c r="C3388" s="71" t="s">
        <v>221</v>
      </c>
      <c r="D3388" s="72" t="s">
        <v>9619</v>
      </c>
      <c r="E3388" s="72" t="s">
        <v>3093</v>
      </c>
    </row>
    <row r="3389" spans="1:5" ht="90" x14ac:dyDescent="0.2">
      <c r="A3389" s="70" t="s">
        <v>9620</v>
      </c>
      <c r="B3389" s="65" t="s">
        <v>9621</v>
      </c>
      <c r="C3389" s="71" t="s">
        <v>221</v>
      </c>
      <c r="D3389" s="72" t="s">
        <v>9622</v>
      </c>
      <c r="E3389" s="72" t="s">
        <v>9624</v>
      </c>
    </row>
    <row r="3390" spans="1:5" ht="56.25" x14ac:dyDescent="0.2">
      <c r="A3390" s="65" t="s">
        <v>9625</v>
      </c>
      <c r="B3390" s="66" t="s">
        <v>9626</v>
      </c>
      <c r="C3390" s="67" t="s">
        <v>203</v>
      </c>
      <c r="D3390" s="69" t="s">
        <v>9627</v>
      </c>
      <c r="E3390" s="69" t="s">
        <v>9628</v>
      </c>
    </row>
    <row r="3391" spans="1:5" ht="56.25" x14ac:dyDescent="0.2">
      <c r="A3391" s="65" t="s">
        <v>9629</v>
      </c>
      <c r="B3391" s="66" t="s">
        <v>9630</v>
      </c>
      <c r="C3391" s="67" t="s">
        <v>203</v>
      </c>
      <c r="D3391" s="69" t="s">
        <v>9063</v>
      </c>
      <c r="E3391" s="69" t="s">
        <v>3742</v>
      </c>
    </row>
    <row r="3392" spans="1:5" ht="56.25" x14ac:dyDescent="0.2">
      <c r="A3392" s="65" t="s">
        <v>9631</v>
      </c>
      <c r="B3392" s="66" t="s">
        <v>9632</v>
      </c>
      <c r="C3392" s="74" t="s">
        <v>203</v>
      </c>
      <c r="D3392" s="69" t="s">
        <v>9633</v>
      </c>
      <c r="E3392" s="69" t="s">
        <v>9634</v>
      </c>
    </row>
    <row r="3393" spans="1:5" ht="56.25" x14ac:dyDescent="0.2">
      <c r="A3393" s="65" t="s">
        <v>9635</v>
      </c>
      <c r="B3393" s="66" t="s">
        <v>9636</v>
      </c>
      <c r="C3393" s="74" t="s">
        <v>203</v>
      </c>
      <c r="D3393" s="69" t="s">
        <v>8813</v>
      </c>
      <c r="E3393" s="69" t="s">
        <v>9637</v>
      </c>
    </row>
    <row r="3394" spans="1:5" ht="56.25" x14ac:dyDescent="0.2">
      <c r="A3394" s="65" t="s">
        <v>9638</v>
      </c>
      <c r="B3394" s="66" t="s">
        <v>9639</v>
      </c>
      <c r="C3394" s="74" t="s">
        <v>203</v>
      </c>
      <c r="D3394" s="69" t="s">
        <v>1359</v>
      </c>
      <c r="E3394" s="69" t="s">
        <v>9640</v>
      </c>
    </row>
    <row r="3395" spans="1:5" ht="56.25" x14ac:dyDescent="0.2">
      <c r="A3395" s="65" t="s">
        <v>9641</v>
      </c>
      <c r="B3395" s="66" t="s">
        <v>9642</v>
      </c>
      <c r="C3395" s="74" t="s">
        <v>203</v>
      </c>
      <c r="D3395" s="69" t="s">
        <v>8291</v>
      </c>
      <c r="E3395" s="69" t="s">
        <v>9643</v>
      </c>
    </row>
    <row r="3396" spans="1:5" ht="56.25" x14ac:dyDescent="0.2">
      <c r="A3396" s="65" t="s">
        <v>9644</v>
      </c>
      <c r="B3396" s="66" t="s">
        <v>9645</v>
      </c>
      <c r="C3396" s="74" t="s">
        <v>203</v>
      </c>
      <c r="D3396" s="69" t="s">
        <v>9640</v>
      </c>
      <c r="E3396" s="69" t="s">
        <v>9646</v>
      </c>
    </row>
    <row r="3397" spans="1:5" ht="67.5" x14ac:dyDescent="0.2">
      <c r="A3397" s="65" t="s">
        <v>9647</v>
      </c>
      <c r="B3397" s="66" t="s">
        <v>9648</v>
      </c>
      <c r="C3397" s="74" t="s">
        <v>203</v>
      </c>
      <c r="D3397" s="69" t="s">
        <v>9649</v>
      </c>
      <c r="E3397" s="69" t="s">
        <v>9650</v>
      </c>
    </row>
    <row r="3398" spans="1:5" ht="45" x14ac:dyDescent="0.2">
      <c r="A3398" s="65" t="s">
        <v>9651</v>
      </c>
      <c r="B3398" s="65" t="s">
        <v>9652</v>
      </c>
      <c r="C3398" s="74" t="s">
        <v>203</v>
      </c>
      <c r="D3398" s="69" t="s">
        <v>9653</v>
      </c>
      <c r="E3398" s="69" t="s">
        <v>9654</v>
      </c>
    </row>
    <row r="3399" spans="1:5" ht="45" x14ac:dyDescent="0.2">
      <c r="A3399" s="65" t="s">
        <v>9655</v>
      </c>
      <c r="B3399" s="65" t="s">
        <v>9656</v>
      </c>
      <c r="C3399" s="74" t="s">
        <v>203</v>
      </c>
      <c r="D3399" s="69" t="s">
        <v>9657</v>
      </c>
      <c r="E3399" s="69" t="s">
        <v>9658</v>
      </c>
    </row>
    <row r="3400" spans="1:5" ht="45" x14ac:dyDescent="0.2">
      <c r="A3400" s="65" t="s">
        <v>9659</v>
      </c>
      <c r="B3400" s="65" t="s">
        <v>9660</v>
      </c>
      <c r="C3400" s="74" t="s">
        <v>203</v>
      </c>
      <c r="D3400" s="69" t="s">
        <v>9661</v>
      </c>
      <c r="E3400" s="69" t="s">
        <v>9662</v>
      </c>
    </row>
    <row r="3401" spans="1:5" ht="45" x14ac:dyDescent="0.2">
      <c r="A3401" s="65" t="s">
        <v>9663</v>
      </c>
      <c r="B3401" s="65" t="s">
        <v>9664</v>
      </c>
      <c r="C3401" s="74" t="s">
        <v>203</v>
      </c>
      <c r="D3401" s="69" t="s">
        <v>9665</v>
      </c>
      <c r="E3401" s="69" t="s">
        <v>9666</v>
      </c>
    </row>
    <row r="3402" spans="1:5" ht="56.25" x14ac:dyDescent="0.2">
      <c r="A3402" s="65" t="s">
        <v>9667</v>
      </c>
      <c r="B3402" s="66" t="s">
        <v>9668</v>
      </c>
      <c r="C3402" s="74" t="s">
        <v>203</v>
      </c>
      <c r="D3402" s="69" t="s">
        <v>9669</v>
      </c>
      <c r="E3402" s="69" t="s">
        <v>9670</v>
      </c>
    </row>
    <row r="3403" spans="1:5" ht="56.25" x14ac:dyDescent="0.2">
      <c r="A3403" s="65" t="s">
        <v>9671</v>
      </c>
      <c r="B3403" s="66" t="s">
        <v>9672</v>
      </c>
      <c r="C3403" s="74" t="s">
        <v>203</v>
      </c>
      <c r="D3403" s="69" t="s">
        <v>9673</v>
      </c>
      <c r="E3403" s="69" t="s">
        <v>9674</v>
      </c>
    </row>
    <row r="3404" spans="1:5" ht="56.25" x14ac:dyDescent="0.2">
      <c r="A3404" s="65" t="s">
        <v>9675</v>
      </c>
      <c r="B3404" s="66" t="s">
        <v>9676</v>
      </c>
      <c r="C3404" s="74" t="s">
        <v>203</v>
      </c>
      <c r="D3404" s="69" t="s">
        <v>9677</v>
      </c>
      <c r="E3404" s="69" t="s">
        <v>9678</v>
      </c>
    </row>
    <row r="3405" spans="1:5" ht="56.25" x14ac:dyDescent="0.2">
      <c r="A3405" s="65" t="s">
        <v>9679</v>
      </c>
      <c r="B3405" s="66" t="s">
        <v>9680</v>
      </c>
      <c r="C3405" s="74" t="s">
        <v>203</v>
      </c>
      <c r="D3405" s="69" t="s">
        <v>9681</v>
      </c>
      <c r="E3405" s="69" t="s">
        <v>9682</v>
      </c>
    </row>
    <row r="3406" spans="1:5" ht="56.25" x14ac:dyDescent="0.2">
      <c r="A3406" s="65" t="s">
        <v>9683</v>
      </c>
      <c r="B3406" s="66" t="s">
        <v>9684</v>
      </c>
      <c r="C3406" s="74" t="s">
        <v>203</v>
      </c>
      <c r="D3406" s="69" t="s">
        <v>9685</v>
      </c>
      <c r="E3406" s="69" t="s">
        <v>9686</v>
      </c>
    </row>
    <row r="3407" spans="1:5" ht="56.25" x14ac:dyDescent="0.2">
      <c r="A3407" s="65" t="s">
        <v>9687</v>
      </c>
      <c r="B3407" s="66" t="s">
        <v>9688</v>
      </c>
      <c r="C3407" s="74" t="s">
        <v>203</v>
      </c>
      <c r="D3407" s="69" t="s">
        <v>9689</v>
      </c>
      <c r="E3407" s="69" t="s">
        <v>9690</v>
      </c>
    </row>
    <row r="3408" spans="1:5" ht="67.5" x14ac:dyDescent="0.2">
      <c r="A3408" s="65" t="s">
        <v>9691</v>
      </c>
      <c r="B3408" s="66" t="s">
        <v>9692</v>
      </c>
      <c r="C3408" s="74" t="s">
        <v>203</v>
      </c>
      <c r="D3408" s="69" t="s">
        <v>9693</v>
      </c>
      <c r="E3408" s="69" t="s">
        <v>9694</v>
      </c>
    </row>
    <row r="3409" spans="1:5" ht="67.5" x14ac:dyDescent="0.2">
      <c r="A3409" s="65" t="s">
        <v>9695</v>
      </c>
      <c r="B3409" s="66" t="s">
        <v>9696</v>
      </c>
      <c r="C3409" s="74" t="s">
        <v>203</v>
      </c>
      <c r="D3409" s="69" t="s">
        <v>9697</v>
      </c>
      <c r="E3409" s="69" t="s">
        <v>9698</v>
      </c>
    </row>
    <row r="3410" spans="1:5" ht="56.25" x14ac:dyDescent="0.2">
      <c r="A3410" s="65" t="s">
        <v>9699</v>
      </c>
      <c r="B3410" s="66" t="s">
        <v>9700</v>
      </c>
      <c r="C3410" s="74" t="s">
        <v>203</v>
      </c>
      <c r="D3410" s="69" t="s">
        <v>9701</v>
      </c>
      <c r="E3410" s="69" t="s">
        <v>8936</v>
      </c>
    </row>
    <row r="3411" spans="1:5" ht="56.25" x14ac:dyDescent="0.2">
      <c r="A3411" s="65" t="s">
        <v>9702</v>
      </c>
      <c r="B3411" s="66" t="s">
        <v>9703</v>
      </c>
      <c r="C3411" s="74" t="s">
        <v>203</v>
      </c>
      <c r="D3411" s="69" t="s">
        <v>9704</v>
      </c>
      <c r="E3411" s="69" t="s">
        <v>7223</v>
      </c>
    </row>
    <row r="3412" spans="1:5" ht="56.25" x14ac:dyDescent="0.2">
      <c r="A3412" s="65" t="s">
        <v>9705</v>
      </c>
      <c r="B3412" s="66" t="s">
        <v>9706</v>
      </c>
      <c r="C3412" s="74" t="s">
        <v>203</v>
      </c>
      <c r="D3412" s="69" t="s">
        <v>9707</v>
      </c>
      <c r="E3412" s="69" t="s">
        <v>9708</v>
      </c>
    </row>
    <row r="3413" spans="1:5" ht="67.5" x14ac:dyDescent="0.2">
      <c r="A3413" s="65" t="s">
        <v>9709</v>
      </c>
      <c r="B3413" s="66" t="s">
        <v>9710</v>
      </c>
      <c r="C3413" s="74" t="s">
        <v>203</v>
      </c>
      <c r="D3413" s="69" t="s">
        <v>9711</v>
      </c>
      <c r="E3413" s="69" t="s">
        <v>9712</v>
      </c>
    </row>
    <row r="3414" spans="1:5" ht="67.5" x14ac:dyDescent="0.2">
      <c r="A3414" s="65" t="s">
        <v>9713</v>
      </c>
      <c r="B3414" s="66" t="s">
        <v>9714</v>
      </c>
      <c r="C3414" s="74" t="s">
        <v>203</v>
      </c>
      <c r="D3414" s="69" t="s">
        <v>9715</v>
      </c>
      <c r="E3414" s="69" t="s">
        <v>6263</v>
      </c>
    </row>
    <row r="3415" spans="1:5" ht="67.5" x14ac:dyDescent="0.2">
      <c r="A3415" s="65" t="s">
        <v>9716</v>
      </c>
      <c r="B3415" s="66" t="s">
        <v>9717</v>
      </c>
      <c r="C3415" s="74" t="s">
        <v>203</v>
      </c>
      <c r="D3415" s="69" t="s">
        <v>9718</v>
      </c>
      <c r="E3415" s="69" t="s">
        <v>9719</v>
      </c>
    </row>
    <row r="3416" spans="1:5" ht="56.25" x14ac:dyDescent="0.2">
      <c r="A3416" s="65" t="s">
        <v>9720</v>
      </c>
      <c r="B3416" s="66" t="s">
        <v>9721</v>
      </c>
      <c r="C3416" s="74" t="s">
        <v>203</v>
      </c>
      <c r="D3416" s="69" t="s">
        <v>9722</v>
      </c>
      <c r="E3416" s="69" t="s">
        <v>9723</v>
      </c>
    </row>
    <row r="3417" spans="1:5" ht="78.75" x14ac:dyDescent="0.2">
      <c r="A3417" s="65" t="s">
        <v>9724</v>
      </c>
      <c r="B3417" s="66" t="s">
        <v>9725</v>
      </c>
      <c r="C3417" s="74" t="s">
        <v>203</v>
      </c>
      <c r="D3417" s="69" t="s">
        <v>9726</v>
      </c>
      <c r="E3417" s="69" t="s">
        <v>9727</v>
      </c>
    </row>
    <row r="3418" spans="1:5" ht="67.5" x14ac:dyDescent="0.2">
      <c r="A3418" s="65" t="s">
        <v>9728</v>
      </c>
      <c r="B3418" s="66" t="s">
        <v>9729</v>
      </c>
      <c r="C3418" s="74" t="s">
        <v>203</v>
      </c>
      <c r="D3418" s="69" t="s">
        <v>815</v>
      </c>
      <c r="E3418" s="69" t="s">
        <v>9730</v>
      </c>
    </row>
    <row r="3419" spans="1:5" ht="56.25" x14ac:dyDescent="0.2">
      <c r="A3419" s="65" t="s">
        <v>9731</v>
      </c>
      <c r="B3419" s="66" t="s">
        <v>9732</v>
      </c>
      <c r="C3419" s="74" t="s">
        <v>203</v>
      </c>
      <c r="D3419" s="69" t="s">
        <v>9733</v>
      </c>
      <c r="E3419" s="69" t="s">
        <v>9734</v>
      </c>
    </row>
    <row r="3420" spans="1:5" ht="45" x14ac:dyDescent="0.2">
      <c r="A3420" s="65" t="s">
        <v>9735</v>
      </c>
      <c r="B3420" s="65" t="s">
        <v>9736</v>
      </c>
      <c r="C3420" s="67" t="s">
        <v>203</v>
      </c>
      <c r="D3420" s="69" t="s">
        <v>9737</v>
      </c>
      <c r="E3420" s="69" t="s">
        <v>9738</v>
      </c>
    </row>
    <row r="3421" spans="1:5" ht="45" x14ac:dyDescent="0.2">
      <c r="A3421" s="65" t="s">
        <v>9739</v>
      </c>
      <c r="B3421" s="65" t="s">
        <v>9740</v>
      </c>
      <c r="C3421" s="67" t="s">
        <v>203</v>
      </c>
      <c r="D3421" s="69" t="s">
        <v>9741</v>
      </c>
      <c r="E3421" s="69" t="s">
        <v>9742</v>
      </c>
    </row>
    <row r="3422" spans="1:5" ht="56.25" x14ac:dyDescent="0.2">
      <c r="A3422" s="65" t="s">
        <v>9743</v>
      </c>
      <c r="B3422" s="66" t="s">
        <v>9744</v>
      </c>
      <c r="C3422" s="67" t="s">
        <v>203</v>
      </c>
      <c r="D3422" s="69" t="s">
        <v>9745</v>
      </c>
      <c r="E3422" s="69" t="s">
        <v>9746</v>
      </c>
    </row>
    <row r="3423" spans="1:5" ht="45" x14ac:dyDescent="0.2">
      <c r="A3423" s="65" t="s">
        <v>9747</v>
      </c>
      <c r="B3423" s="65" t="s">
        <v>9748</v>
      </c>
      <c r="C3423" s="67" t="s">
        <v>240</v>
      </c>
      <c r="D3423" s="69" t="s">
        <v>9749</v>
      </c>
      <c r="E3423" s="69" t="s">
        <v>9750</v>
      </c>
    </row>
    <row r="3424" spans="1:5" ht="56.25" x14ac:dyDescent="0.2">
      <c r="A3424" s="49">
        <v>47</v>
      </c>
      <c r="B3424" s="51" t="s">
        <v>9751</v>
      </c>
      <c r="C3424" s="48"/>
      <c r="D3424" s="48"/>
      <c r="E3424" s="48"/>
    </row>
    <row r="3425" spans="1:5" ht="45" x14ac:dyDescent="0.2">
      <c r="A3425" s="50">
        <v>47.01</v>
      </c>
      <c r="B3425" s="64" t="s">
        <v>9752</v>
      </c>
      <c r="C3425" s="47"/>
      <c r="D3425" s="47"/>
      <c r="E3425" s="47"/>
    </row>
    <row r="3426" spans="1:5" ht="45" x14ac:dyDescent="0.2">
      <c r="A3426" s="65" t="s">
        <v>9753</v>
      </c>
      <c r="B3426" s="65" t="s">
        <v>9754</v>
      </c>
      <c r="C3426" s="67" t="s">
        <v>203</v>
      </c>
      <c r="D3426" s="69" t="s">
        <v>9755</v>
      </c>
      <c r="E3426" s="69" t="s">
        <v>9756</v>
      </c>
    </row>
    <row r="3427" spans="1:5" ht="45" x14ac:dyDescent="0.2">
      <c r="A3427" s="65" t="s">
        <v>9757</v>
      </c>
      <c r="B3427" s="65" t="s">
        <v>9758</v>
      </c>
      <c r="C3427" s="67" t="s">
        <v>203</v>
      </c>
      <c r="D3427" s="69" t="s">
        <v>9759</v>
      </c>
      <c r="E3427" s="69" t="s">
        <v>9760</v>
      </c>
    </row>
    <row r="3428" spans="1:5" ht="45" x14ac:dyDescent="0.2">
      <c r="A3428" s="65" t="s">
        <v>9761</v>
      </c>
      <c r="B3428" s="65" t="s">
        <v>9762</v>
      </c>
      <c r="C3428" s="67" t="s">
        <v>203</v>
      </c>
      <c r="D3428" s="69" t="s">
        <v>9763</v>
      </c>
      <c r="E3428" s="69" t="s">
        <v>9764</v>
      </c>
    </row>
    <row r="3429" spans="1:5" ht="45" x14ac:dyDescent="0.2">
      <c r="A3429" s="65" t="s">
        <v>9765</v>
      </c>
      <c r="B3429" s="65" t="s">
        <v>9766</v>
      </c>
      <c r="C3429" s="67" t="s">
        <v>203</v>
      </c>
      <c r="D3429" s="69" t="s">
        <v>7324</v>
      </c>
      <c r="E3429" s="69" t="s">
        <v>9767</v>
      </c>
    </row>
    <row r="3430" spans="1:5" ht="45" x14ac:dyDescent="0.2">
      <c r="A3430" s="65" t="s">
        <v>9768</v>
      </c>
      <c r="B3430" s="65" t="s">
        <v>9769</v>
      </c>
      <c r="C3430" s="67" t="s">
        <v>203</v>
      </c>
      <c r="D3430" s="69" t="s">
        <v>9770</v>
      </c>
      <c r="E3430" s="69" t="s">
        <v>9771</v>
      </c>
    </row>
    <row r="3431" spans="1:5" ht="45" x14ac:dyDescent="0.2">
      <c r="A3431" s="65" t="s">
        <v>9772</v>
      </c>
      <c r="B3431" s="65" t="s">
        <v>9773</v>
      </c>
      <c r="C3431" s="67" t="s">
        <v>203</v>
      </c>
      <c r="D3431" s="69" t="s">
        <v>9774</v>
      </c>
      <c r="E3431" s="69" t="s">
        <v>9776</v>
      </c>
    </row>
    <row r="3432" spans="1:5" ht="45" x14ac:dyDescent="0.2">
      <c r="A3432" s="65" t="s">
        <v>9777</v>
      </c>
      <c r="B3432" s="65" t="s">
        <v>9778</v>
      </c>
      <c r="C3432" s="67" t="s">
        <v>203</v>
      </c>
      <c r="D3432" s="69" t="s">
        <v>9779</v>
      </c>
      <c r="E3432" s="69" t="s">
        <v>9780</v>
      </c>
    </row>
    <row r="3433" spans="1:5" ht="45" x14ac:dyDescent="0.2">
      <c r="A3433" s="65" t="s">
        <v>9781</v>
      </c>
      <c r="B3433" s="65" t="s">
        <v>9782</v>
      </c>
      <c r="C3433" s="67" t="s">
        <v>203</v>
      </c>
      <c r="D3433" s="69" t="s">
        <v>9783</v>
      </c>
      <c r="E3433" s="69" t="s">
        <v>9784</v>
      </c>
    </row>
    <row r="3434" spans="1:5" ht="45" x14ac:dyDescent="0.2">
      <c r="A3434" s="65" t="s">
        <v>9785</v>
      </c>
      <c r="B3434" s="65" t="s">
        <v>9786</v>
      </c>
      <c r="C3434" s="67" t="s">
        <v>203</v>
      </c>
      <c r="D3434" s="69" t="s">
        <v>9787</v>
      </c>
      <c r="E3434" s="69" t="s">
        <v>9788</v>
      </c>
    </row>
    <row r="3435" spans="1:5" ht="45" x14ac:dyDescent="0.2">
      <c r="A3435" s="65" t="s">
        <v>9789</v>
      </c>
      <c r="B3435" s="65" t="s">
        <v>9790</v>
      </c>
      <c r="C3435" s="67" t="s">
        <v>203</v>
      </c>
      <c r="D3435" s="69" t="s">
        <v>9791</v>
      </c>
      <c r="E3435" s="69" t="s">
        <v>9792</v>
      </c>
    </row>
    <row r="3436" spans="1:5" ht="67.5" x14ac:dyDescent="0.2">
      <c r="A3436" s="65" t="s">
        <v>9793</v>
      </c>
      <c r="B3436" s="66" t="s">
        <v>9794</v>
      </c>
      <c r="C3436" s="67" t="s">
        <v>203</v>
      </c>
      <c r="D3436" s="69" t="s">
        <v>9795</v>
      </c>
      <c r="E3436" s="69" t="s">
        <v>350</v>
      </c>
    </row>
    <row r="3437" spans="1:5" ht="67.5" x14ac:dyDescent="0.2">
      <c r="A3437" s="65" t="s">
        <v>9796</v>
      </c>
      <c r="B3437" s="66" t="s">
        <v>9797</v>
      </c>
      <c r="C3437" s="67" t="s">
        <v>203</v>
      </c>
      <c r="D3437" s="69" t="s">
        <v>9798</v>
      </c>
      <c r="E3437" s="69" t="s">
        <v>9799</v>
      </c>
    </row>
    <row r="3438" spans="1:5" ht="56.25" x14ac:dyDescent="0.2">
      <c r="A3438" s="65" t="s">
        <v>9800</v>
      </c>
      <c r="B3438" s="66" t="s">
        <v>9801</v>
      </c>
      <c r="C3438" s="67" t="s">
        <v>203</v>
      </c>
      <c r="D3438" s="69" t="s">
        <v>9802</v>
      </c>
      <c r="E3438" s="69" t="s">
        <v>9803</v>
      </c>
    </row>
    <row r="3439" spans="1:5" ht="67.5" x14ac:dyDescent="0.2">
      <c r="A3439" s="65" t="s">
        <v>9804</v>
      </c>
      <c r="B3439" s="66" t="s">
        <v>9805</v>
      </c>
      <c r="C3439" s="67" t="s">
        <v>203</v>
      </c>
      <c r="D3439" s="69" t="s">
        <v>5097</v>
      </c>
      <c r="E3439" s="69" t="s">
        <v>9806</v>
      </c>
    </row>
    <row r="3440" spans="1:5" ht="56.25" x14ac:dyDescent="0.2">
      <c r="A3440" s="65" t="s">
        <v>9807</v>
      </c>
      <c r="B3440" s="66" t="s">
        <v>9808</v>
      </c>
      <c r="C3440" s="67" t="s">
        <v>203</v>
      </c>
      <c r="D3440" s="69" t="s">
        <v>9809</v>
      </c>
      <c r="E3440" s="69" t="s">
        <v>9810</v>
      </c>
    </row>
    <row r="3441" spans="1:5" ht="56.25" x14ac:dyDescent="0.2">
      <c r="A3441" s="65" t="s">
        <v>9811</v>
      </c>
      <c r="B3441" s="66" t="s">
        <v>9812</v>
      </c>
      <c r="C3441" s="67" t="s">
        <v>203</v>
      </c>
      <c r="D3441" s="69" t="s">
        <v>9813</v>
      </c>
      <c r="E3441" s="69" t="s">
        <v>9814</v>
      </c>
    </row>
    <row r="3442" spans="1:5" ht="56.25" x14ac:dyDescent="0.2">
      <c r="A3442" s="50">
        <v>47.02</v>
      </c>
      <c r="B3442" s="64" t="s">
        <v>9815</v>
      </c>
      <c r="C3442" s="48"/>
      <c r="D3442" s="48"/>
      <c r="E3442" s="48"/>
    </row>
    <row r="3443" spans="1:5" ht="56.25" x14ac:dyDescent="0.2">
      <c r="A3443" s="65" t="s">
        <v>9816</v>
      </c>
      <c r="B3443" s="66" t="s">
        <v>9817</v>
      </c>
      <c r="C3443" s="67" t="s">
        <v>203</v>
      </c>
      <c r="D3443" s="69" t="s">
        <v>9818</v>
      </c>
      <c r="E3443" s="69" t="s">
        <v>9819</v>
      </c>
    </row>
    <row r="3444" spans="1:5" ht="56.25" x14ac:dyDescent="0.2">
      <c r="A3444" s="65" t="s">
        <v>9820</v>
      </c>
      <c r="B3444" s="66" t="s">
        <v>9821</v>
      </c>
      <c r="C3444" s="67" t="s">
        <v>203</v>
      </c>
      <c r="D3444" s="69" t="s">
        <v>9822</v>
      </c>
      <c r="E3444" s="69" t="s">
        <v>9823</v>
      </c>
    </row>
    <row r="3445" spans="1:5" ht="56.25" x14ac:dyDescent="0.2">
      <c r="A3445" s="65" t="s">
        <v>9824</v>
      </c>
      <c r="B3445" s="66" t="s">
        <v>9825</v>
      </c>
      <c r="C3445" s="67" t="s">
        <v>203</v>
      </c>
      <c r="D3445" s="69" t="s">
        <v>9826</v>
      </c>
      <c r="E3445" s="69" t="s">
        <v>9827</v>
      </c>
    </row>
    <row r="3446" spans="1:5" ht="56.25" x14ac:dyDescent="0.2">
      <c r="A3446" s="65" t="s">
        <v>9828</v>
      </c>
      <c r="B3446" s="66" t="s">
        <v>9829</v>
      </c>
      <c r="C3446" s="67" t="s">
        <v>203</v>
      </c>
      <c r="D3446" s="69" t="s">
        <v>9830</v>
      </c>
      <c r="E3446" s="69" t="s">
        <v>9831</v>
      </c>
    </row>
    <row r="3447" spans="1:5" ht="56.25" x14ac:dyDescent="0.2">
      <c r="A3447" s="65" t="s">
        <v>9832</v>
      </c>
      <c r="B3447" s="66" t="s">
        <v>9833</v>
      </c>
      <c r="C3447" s="67" t="s">
        <v>203</v>
      </c>
      <c r="D3447" s="69" t="s">
        <v>9834</v>
      </c>
      <c r="E3447" s="69" t="s">
        <v>9835</v>
      </c>
    </row>
    <row r="3448" spans="1:5" ht="56.25" x14ac:dyDescent="0.2">
      <c r="A3448" s="65" t="s">
        <v>9836</v>
      </c>
      <c r="B3448" s="66" t="s">
        <v>9837</v>
      </c>
      <c r="C3448" s="67" t="s">
        <v>203</v>
      </c>
      <c r="D3448" s="69" t="s">
        <v>9838</v>
      </c>
      <c r="E3448" s="69" t="s">
        <v>9839</v>
      </c>
    </row>
    <row r="3449" spans="1:5" ht="56.25" x14ac:dyDescent="0.2">
      <c r="A3449" s="65" t="s">
        <v>9840</v>
      </c>
      <c r="B3449" s="66" t="s">
        <v>9841</v>
      </c>
      <c r="C3449" s="67" t="s">
        <v>203</v>
      </c>
      <c r="D3449" s="69" t="s">
        <v>9842</v>
      </c>
      <c r="E3449" s="69" t="s">
        <v>9843</v>
      </c>
    </row>
    <row r="3450" spans="1:5" ht="67.5" x14ac:dyDescent="0.2">
      <c r="A3450" s="65" t="s">
        <v>9844</v>
      </c>
      <c r="B3450" s="66" t="s">
        <v>9845</v>
      </c>
      <c r="C3450" s="67" t="s">
        <v>203</v>
      </c>
      <c r="D3450" s="69" t="s">
        <v>9846</v>
      </c>
      <c r="E3450" s="69" t="s">
        <v>382</v>
      </c>
    </row>
    <row r="3451" spans="1:5" ht="67.5" x14ac:dyDescent="0.2">
      <c r="A3451" s="65" t="s">
        <v>9847</v>
      </c>
      <c r="B3451" s="66" t="s">
        <v>9848</v>
      </c>
      <c r="C3451" s="67" t="s">
        <v>203</v>
      </c>
      <c r="D3451" s="69" t="s">
        <v>9849</v>
      </c>
      <c r="E3451" s="69" t="s">
        <v>9850</v>
      </c>
    </row>
    <row r="3452" spans="1:5" ht="45" x14ac:dyDescent="0.2">
      <c r="A3452" s="50">
        <v>47.04</v>
      </c>
      <c r="B3452" s="64" t="s">
        <v>9851</v>
      </c>
      <c r="C3452" s="47"/>
      <c r="D3452" s="47"/>
      <c r="E3452" s="47"/>
    </row>
    <row r="3453" spans="1:5" ht="56.25" x14ac:dyDescent="0.2">
      <c r="A3453" s="65" t="s">
        <v>9852</v>
      </c>
      <c r="B3453" s="66" t="s">
        <v>9853</v>
      </c>
      <c r="C3453" s="74" t="s">
        <v>203</v>
      </c>
      <c r="D3453" s="69" t="s">
        <v>9854</v>
      </c>
      <c r="E3453" s="69" t="s">
        <v>9855</v>
      </c>
    </row>
    <row r="3454" spans="1:5" ht="33.75" x14ac:dyDescent="0.2">
      <c r="A3454" s="65" t="s">
        <v>9856</v>
      </c>
      <c r="B3454" s="65" t="s">
        <v>9857</v>
      </c>
      <c r="C3454" s="74" t="s">
        <v>203</v>
      </c>
      <c r="D3454" s="69" t="s">
        <v>9858</v>
      </c>
      <c r="E3454" s="69" t="s">
        <v>9859</v>
      </c>
    </row>
    <row r="3455" spans="1:5" ht="33.75" x14ac:dyDescent="0.2">
      <c r="A3455" s="65" t="s">
        <v>9860</v>
      </c>
      <c r="B3455" s="65" t="s">
        <v>9861</v>
      </c>
      <c r="C3455" s="74" t="s">
        <v>203</v>
      </c>
      <c r="D3455" s="69" t="s">
        <v>9862</v>
      </c>
      <c r="E3455" s="69" t="s">
        <v>9863</v>
      </c>
    </row>
    <row r="3456" spans="1:5" ht="33.75" x14ac:dyDescent="0.2">
      <c r="A3456" s="65" t="s">
        <v>9864</v>
      </c>
      <c r="B3456" s="65" t="s">
        <v>9865</v>
      </c>
      <c r="C3456" s="74" t="s">
        <v>203</v>
      </c>
      <c r="D3456" s="69" t="s">
        <v>9866</v>
      </c>
      <c r="E3456" s="69" t="s">
        <v>9867</v>
      </c>
    </row>
    <row r="3457" spans="1:5" ht="67.5" x14ac:dyDescent="0.2">
      <c r="A3457" s="65" t="s">
        <v>9868</v>
      </c>
      <c r="B3457" s="66" t="s">
        <v>9869</v>
      </c>
      <c r="C3457" s="74" t="s">
        <v>203</v>
      </c>
      <c r="D3457" s="69" t="s">
        <v>9870</v>
      </c>
      <c r="E3457" s="69" t="s">
        <v>9871</v>
      </c>
    </row>
    <row r="3458" spans="1:5" ht="33.75" x14ac:dyDescent="0.2">
      <c r="A3458" s="65" t="s">
        <v>9872</v>
      </c>
      <c r="B3458" s="65" t="s">
        <v>9873</v>
      </c>
      <c r="C3458" s="74" t="s">
        <v>203</v>
      </c>
      <c r="D3458" s="69" t="s">
        <v>9874</v>
      </c>
      <c r="E3458" s="69" t="s">
        <v>9875</v>
      </c>
    </row>
    <row r="3459" spans="1:5" ht="33.75" x14ac:dyDescent="0.2">
      <c r="A3459" s="65" t="s">
        <v>9876</v>
      </c>
      <c r="B3459" s="65" t="s">
        <v>9877</v>
      </c>
      <c r="C3459" s="74" t="s">
        <v>203</v>
      </c>
      <c r="D3459" s="69" t="s">
        <v>9878</v>
      </c>
      <c r="E3459" s="69" t="s">
        <v>9879</v>
      </c>
    </row>
    <row r="3460" spans="1:5" ht="45" x14ac:dyDescent="0.2">
      <c r="A3460" s="65" t="s">
        <v>9880</v>
      </c>
      <c r="B3460" s="65" t="s">
        <v>9881</v>
      </c>
      <c r="C3460" s="74" t="s">
        <v>203</v>
      </c>
      <c r="D3460" s="69" t="s">
        <v>9882</v>
      </c>
      <c r="E3460" s="69" t="s">
        <v>9883</v>
      </c>
    </row>
    <row r="3461" spans="1:5" ht="67.5" x14ac:dyDescent="0.2">
      <c r="A3461" s="65" t="s">
        <v>9884</v>
      </c>
      <c r="B3461" s="66" t="s">
        <v>9885</v>
      </c>
      <c r="C3461" s="74" t="s">
        <v>203</v>
      </c>
      <c r="D3461" s="69" t="s">
        <v>9886</v>
      </c>
      <c r="E3461" s="69" t="s">
        <v>9887</v>
      </c>
    </row>
    <row r="3462" spans="1:5" ht="56.25" x14ac:dyDescent="0.2">
      <c r="A3462" s="65" t="s">
        <v>9888</v>
      </c>
      <c r="B3462" s="66" t="s">
        <v>9889</v>
      </c>
      <c r="C3462" s="74" t="s">
        <v>203</v>
      </c>
      <c r="D3462" s="69" t="s">
        <v>4843</v>
      </c>
      <c r="E3462" s="69" t="s">
        <v>9890</v>
      </c>
    </row>
    <row r="3463" spans="1:5" ht="22.5" x14ac:dyDescent="0.2">
      <c r="A3463" s="50">
        <v>47.05</v>
      </c>
      <c r="B3463" s="64" t="s">
        <v>9891</v>
      </c>
      <c r="C3463" s="47"/>
      <c r="D3463" s="47"/>
      <c r="E3463" s="47"/>
    </row>
    <row r="3464" spans="1:5" ht="33.75" x14ac:dyDescent="0.2">
      <c r="A3464" s="65" t="s">
        <v>9892</v>
      </c>
      <c r="B3464" s="65" t="s">
        <v>9893</v>
      </c>
      <c r="C3464" s="74" t="s">
        <v>203</v>
      </c>
      <c r="D3464" s="69" t="s">
        <v>9894</v>
      </c>
      <c r="E3464" s="69" t="s">
        <v>9895</v>
      </c>
    </row>
    <row r="3465" spans="1:5" ht="33.75" x14ac:dyDescent="0.2">
      <c r="A3465" s="65" t="s">
        <v>9896</v>
      </c>
      <c r="B3465" s="65" t="s">
        <v>9897</v>
      </c>
      <c r="C3465" s="74" t="s">
        <v>203</v>
      </c>
      <c r="D3465" s="69" t="s">
        <v>9898</v>
      </c>
      <c r="E3465" s="69" t="s">
        <v>9899</v>
      </c>
    </row>
    <row r="3466" spans="1:5" ht="33.75" x14ac:dyDescent="0.2">
      <c r="A3466" s="65" t="s">
        <v>9900</v>
      </c>
      <c r="B3466" s="65" t="s">
        <v>9901</v>
      </c>
      <c r="C3466" s="74" t="s">
        <v>203</v>
      </c>
      <c r="D3466" s="69" t="s">
        <v>9902</v>
      </c>
      <c r="E3466" s="69" t="s">
        <v>9903</v>
      </c>
    </row>
    <row r="3467" spans="1:5" ht="33.75" x14ac:dyDescent="0.2">
      <c r="A3467" s="65" t="s">
        <v>9904</v>
      </c>
      <c r="B3467" s="65" t="s">
        <v>9905</v>
      </c>
      <c r="C3467" s="74" t="s">
        <v>203</v>
      </c>
      <c r="D3467" s="69" t="s">
        <v>9906</v>
      </c>
      <c r="E3467" s="69" t="s">
        <v>9907</v>
      </c>
    </row>
    <row r="3468" spans="1:5" ht="33.75" x14ac:dyDescent="0.2">
      <c r="A3468" s="65" t="s">
        <v>9908</v>
      </c>
      <c r="B3468" s="65" t="s">
        <v>9909</v>
      </c>
      <c r="C3468" s="74" t="s">
        <v>203</v>
      </c>
      <c r="D3468" s="69" t="s">
        <v>9910</v>
      </c>
      <c r="E3468" s="69" t="s">
        <v>9911</v>
      </c>
    </row>
    <row r="3469" spans="1:5" ht="33.75" x14ac:dyDescent="0.2">
      <c r="A3469" s="65" t="s">
        <v>9912</v>
      </c>
      <c r="B3469" s="65" t="s">
        <v>9913</v>
      </c>
      <c r="C3469" s="74" t="s">
        <v>203</v>
      </c>
      <c r="D3469" s="69" t="s">
        <v>9914</v>
      </c>
      <c r="E3469" s="69" t="s">
        <v>9915</v>
      </c>
    </row>
    <row r="3470" spans="1:5" ht="33.75" x14ac:dyDescent="0.2">
      <c r="A3470" s="65" t="s">
        <v>9916</v>
      </c>
      <c r="B3470" s="65" t="s">
        <v>9917</v>
      </c>
      <c r="C3470" s="74" t="s">
        <v>203</v>
      </c>
      <c r="D3470" s="69" t="s">
        <v>9918</v>
      </c>
      <c r="E3470" s="69" t="s">
        <v>9919</v>
      </c>
    </row>
    <row r="3471" spans="1:5" ht="33.75" x14ac:dyDescent="0.2">
      <c r="A3471" s="65" t="s">
        <v>9920</v>
      </c>
      <c r="B3471" s="65" t="s">
        <v>9921</v>
      </c>
      <c r="C3471" s="74" t="s">
        <v>203</v>
      </c>
      <c r="D3471" s="69" t="s">
        <v>9922</v>
      </c>
      <c r="E3471" s="69" t="s">
        <v>9923</v>
      </c>
    </row>
    <row r="3472" spans="1:5" ht="33.75" x14ac:dyDescent="0.2">
      <c r="A3472" s="65" t="s">
        <v>9924</v>
      </c>
      <c r="B3472" s="65" t="s">
        <v>9925</v>
      </c>
      <c r="C3472" s="74" t="s">
        <v>203</v>
      </c>
      <c r="D3472" s="69" t="s">
        <v>9926</v>
      </c>
      <c r="E3472" s="69" t="s">
        <v>9927</v>
      </c>
    </row>
    <row r="3473" spans="1:5" ht="33.75" x14ac:dyDescent="0.2">
      <c r="A3473" s="65" t="s">
        <v>9928</v>
      </c>
      <c r="B3473" s="65" t="s">
        <v>9929</v>
      </c>
      <c r="C3473" s="74" t="s">
        <v>203</v>
      </c>
      <c r="D3473" s="69" t="s">
        <v>9930</v>
      </c>
      <c r="E3473" s="69" t="s">
        <v>9931</v>
      </c>
    </row>
    <row r="3474" spans="1:5" ht="33.75" x14ac:dyDescent="0.2">
      <c r="A3474" s="65" t="s">
        <v>9932</v>
      </c>
      <c r="B3474" s="65" t="s">
        <v>9933</v>
      </c>
      <c r="C3474" s="74" t="s">
        <v>203</v>
      </c>
      <c r="D3474" s="69" t="s">
        <v>9934</v>
      </c>
      <c r="E3474" s="69" t="s">
        <v>9935</v>
      </c>
    </row>
    <row r="3475" spans="1:5" ht="33.75" x14ac:dyDescent="0.2">
      <c r="A3475" s="65" t="s">
        <v>9936</v>
      </c>
      <c r="B3475" s="65" t="s">
        <v>9937</v>
      </c>
      <c r="C3475" s="74" t="s">
        <v>203</v>
      </c>
      <c r="D3475" s="69" t="s">
        <v>9938</v>
      </c>
      <c r="E3475" s="69" t="s">
        <v>9939</v>
      </c>
    </row>
    <row r="3476" spans="1:5" ht="33.75" x14ac:dyDescent="0.2">
      <c r="A3476" s="65" t="s">
        <v>9940</v>
      </c>
      <c r="B3476" s="65" t="s">
        <v>9941</v>
      </c>
      <c r="C3476" s="74" t="s">
        <v>203</v>
      </c>
      <c r="D3476" s="69" t="s">
        <v>9240</v>
      </c>
      <c r="E3476" s="69" t="s">
        <v>9942</v>
      </c>
    </row>
    <row r="3477" spans="1:5" ht="33.75" x14ac:dyDescent="0.2">
      <c r="A3477" s="65" t="s">
        <v>9943</v>
      </c>
      <c r="B3477" s="65" t="s">
        <v>9944</v>
      </c>
      <c r="C3477" s="74" t="s">
        <v>203</v>
      </c>
      <c r="D3477" s="69" t="s">
        <v>9945</v>
      </c>
      <c r="E3477" s="69" t="s">
        <v>9946</v>
      </c>
    </row>
    <row r="3478" spans="1:5" ht="33.75" x14ac:dyDescent="0.2">
      <c r="A3478" s="65" t="s">
        <v>9947</v>
      </c>
      <c r="B3478" s="65" t="s">
        <v>9948</v>
      </c>
      <c r="C3478" s="74" t="s">
        <v>203</v>
      </c>
      <c r="D3478" s="69" t="s">
        <v>9949</v>
      </c>
      <c r="E3478" s="69" t="s">
        <v>9950</v>
      </c>
    </row>
    <row r="3479" spans="1:5" ht="33.75" x14ac:dyDescent="0.2">
      <c r="A3479" s="65" t="s">
        <v>9951</v>
      </c>
      <c r="B3479" s="65" t="s">
        <v>9952</v>
      </c>
      <c r="C3479" s="74" t="s">
        <v>203</v>
      </c>
      <c r="D3479" s="69" t="s">
        <v>9953</v>
      </c>
      <c r="E3479" s="69" t="s">
        <v>1095</v>
      </c>
    </row>
    <row r="3480" spans="1:5" ht="33.75" x14ac:dyDescent="0.2">
      <c r="A3480" s="65" t="s">
        <v>9954</v>
      </c>
      <c r="B3480" s="65" t="s">
        <v>9955</v>
      </c>
      <c r="C3480" s="74" t="s">
        <v>203</v>
      </c>
      <c r="D3480" s="69" t="s">
        <v>9956</v>
      </c>
      <c r="E3480" s="69" t="s">
        <v>9957</v>
      </c>
    </row>
    <row r="3481" spans="1:5" ht="33.75" x14ac:dyDescent="0.2">
      <c r="A3481" s="65" t="s">
        <v>9958</v>
      </c>
      <c r="B3481" s="65" t="s">
        <v>9959</v>
      </c>
      <c r="C3481" s="74" t="s">
        <v>203</v>
      </c>
      <c r="D3481" s="69" t="s">
        <v>9960</v>
      </c>
      <c r="E3481" s="69" t="s">
        <v>8700</v>
      </c>
    </row>
    <row r="3482" spans="1:5" ht="33.75" x14ac:dyDescent="0.2">
      <c r="A3482" s="65" t="s">
        <v>9961</v>
      </c>
      <c r="B3482" s="65" t="s">
        <v>9962</v>
      </c>
      <c r="C3482" s="74" t="s">
        <v>203</v>
      </c>
      <c r="D3482" s="69" t="s">
        <v>9963</v>
      </c>
      <c r="E3482" s="69" t="s">
        <v>9964</v>
      </c>
    </row>
    <row r="3483" spans="1:5" ht="33.75" x14ac:dyDescent="0.2">
      <c r="A3483" s="65" t="s">
        <v>9965</v>
      </c>
      <c r="B3483" s="65" t="s">
        <v>9966</v>
      </c>
      <c r="C3483" s="74" t="s">
        <v>203</v>
      </c>
      <c r="D3483" s="69" t="s">
        <v>9967</v>
      </c>
      <c r="E3483" s="69" t="s">
        <v>9968</v>
      </c>
    </row>
    <row r="3484" spans="1:5" ht="78.75" x14ac:dyDescent="0.2">
      <c r="A3484" s="70" t="s">
        <v>9969</v>
      </c>
      <c r="B3484" s="65" t="s">
        <v>9970</v>
      </c>
      <c r="C3484" s="75" t="s">
        <v>203</v>
      </c>
      <c r="D3484" s="72" t="s">
        <v>9971</v>
      </c>
      <c r="E3484" s="72" t="s">
        <v>9972</v>
      </c>
    </row>
    <row r="3485" spans="1:5" ht="78.75" x14ac:dyDescent="0.2">
      <c r="A3485" s="70" t="s">
        <v>9973</v>
      </c>
      <c r="B3485" s="65" t="s">
        <v>9974</v>
      </c>
      <c r="C3485" s="75" t="s">
        <v>203</v>
      </c>
      <c r="D3485" s="72" t="s">
        <v>9975</v>
      </c>
      <c r="E3485" s="72" t="s">
        <v>9976</v>
      </c>
    </row>
    <row r="3486" spans="1:5" ht="67.5" x14ac:dyDescent="0.2">
      <c r="A3486" s="65" t="s">
        <v>9977</v>
      </c>
      <c r="B3486" s="66" t="s">
        <v>9978</v>
      </c>
      <c r="C3486" s="74" t="s">
        <v>203</v>
      </c>
      <c r="D3486" s="69" t="s">
        <v>9979</v>
      </c>
      <c r="E3486" s="69" t="s">
        <v>9980</v>
      </c>
    </row>
    <row r="3487" spans="1:5" ht="33.75" x14ac:dyDescent="0.2">
      <c r="A3487" s="65" t="s">
        <v>9981</v>
      </c>
      <c r="B3487" s="65" t="s">
        <v>9982</v>
      </c>
      <c r="C3487" s="74" t="s">
        <v>203</v>
      </c>
      <c r="D3487" s="69" t="s">
        <v>9983</v>
      </c>
      <c r="E3487" s="69" t="s">
        <v>9984</v>
      </c>
    </row>
    <row r="3488" spans="1:5" ht="33.75" x14ac:dyDescent="0.2">
      <c r="A3488" s="65" t="s">
        <v>9985</v>
      </c>
      <c r="B3488" s="65" t="s">
        <v>9986</v>
      </c>
      <c r="C3488" s="74" t="s">
        <v>203</v>
      </c>
      <c r="D3488" s="69" t="s">
        <v>9987</v>
      </c>
      <c r="E3488" s="69" t="s">
        <v>9988</v>
      </c>
    </row>
    <row r="3489" spans="1:5" ht="33.75" x14ac:dyDescent="0.2">
      <c r="A3489" s="65" t="s">
        <v>9989</v>
      </c>
      <c r="B3489" s="65" t="s">
        <v>9990</v>
      </c>
      <c r="C3489" s="74" t="s">
        <v>203</v>
      </c>
      <c r="D3489" s="69" t="s">
        <v>9991</v>
      </c>
      <c r="E3489" s="69" t="s">
        <v>9992</v>
      </c>
    </row>
    <row r="3490" spans="1:5" ht="78.75" x14ac:dyDescent="0.2">
      <c r="A3490" s="70" t="s">
        <v>9993</v>
      </c>
      <c r="B3490" s="65" t="s">
        <v>9994</v>
      </c>
      <c r="C3490" s="75" t="s">
        <v>203</v>
      </c>
      <c r="D3490" s="72" t="s">
        <v>9995</v>
      </c>
      <c r="E3490" s="72" t="s">
        <v>9996</v>
      </c>
    </row>
    <row r="3491" spans="1:5" ht="78.75" x14ac:dyDescent="0.2">
      <c r="A3491" s="70" t="s">
        <v>9997</v>
      </c>
      <c r="B3491" s="65" t="s">
        <v>9998</v>
      </c>
      <c r="C3491" s="75" t="s">
        <v>203</v>
      </c>
      <c r="D3491" s="72" t="s">
        <v>9999</v>
      </c>
      <c r="E3491" s="72" t="s">
        <v>10000</v>
      </c>
    </row>
    <row r="3492" spans="1:5" ht="78.75" x14ac:dyDescent="0.2">
      <c r="A3492" s="70" t="s">
        <v>10001</v>
      </c>
      <c r="B3492" s="65" t="s">
        <v>10002</v>
      </c>
      <c r="C3492" s="75" t="s">
        <v>203</v>
      </c>
      <c r="D3492" s="72" t="s">
        <v>10003</v>
      </c>
      <c r="E3492" s="72" t="s">
        <v>10004</v>
      </c>
    </row>
    <row r="3493" spans="1:5" ht="78.75" x14ac:dyDescent="0.2">
      <c r="A3493" s="70" t="s">
        <v>10005</v>
      </c>
      <c r="B3493" s="65" t="s">
        <v>10006</v>
      </c>
      <c r="C3493" s="75" t="s">
        <v>203</v>
      </c>
      <c r="D3493" s="72" t="s">
        <v>10007</v>
      </c>
      <c r="E3493" s="72" t="s">
        <v>10008</v>
      </c>
    </row>
    <row r="3494" spans="1:5" ht="67.5" x14ac:dyDescent="0.2">
      <c r="A3494" s="65" t="s">
        <v>10009</v>
      </c>
      <c r="B3494" s="66" t="s">
        <v>10010</v>
      </c>
      <c r="C3494" s="74" t="s">
        <v>203</v>
      </c>
      <c r="D3494" s="69" t="s">
        <v>10011</v>
      </c>
      <c r="E3494" s="69" t="s">
        <v>10012</v>
      </c>
    </row>
    <row r="3495" spans="1:5" ht="67.5" x14ac:dyDescent="0.2">
      <c r="A3495" s="65" t="s">
        <v>10013</v>
      </c>
      <c r="B3495" s="66" t="s">
        <v>10014</v>
      </c>
      <c r="C3495" s="74" t="s">
        <v>203</v>
      </c>
      <c r="D3495" s="69" t="s">
        <v>10015</v>
      </c>
      <c r="E3495" s="69" t="s">
        <v>10016</v>
      </c>
    </row>
    <row r="3496" spans="1:5" ht="67.5" x14ac:dyDescent="0.2">
      <c r="A3496" s="65" t="s">
        <v>10017</v>
      </c>
      <c r="B3496" s="66" t="s">
        <v>10018</v>
      </c>
      <c r="C3496" s="74" t="s">
        <v>203</v>
      </c>
      <c r="D3496" s="69" t="s">
        <v>10019</v>
      </c>
      <c r="E3496" s="69" t="s">
        <v>10020</v>
      </c>
    </row>
    <row r="3497" spans="1:5" ht="67.5" x14ac:dyDescent="0.2">
      <c r="A3497" s="65" t="s">
        <v>10021</v>
      </c>
      <c r="B3497" s="66" t="s">
        <v>10022</v>
      </c>
      <c r="C3497" s="74" t="s">
        <v>203</v>
      </c>
      <c r="D3497" s="69" t="s">
        <v>10023</v>
      </c>
      <c r="E3497" s="69" t="s">
        <v>10024</v>
      </c>
    </row>
    <row r="3498" spans="1:5" ht="67.5" x14ac:dyDescent="0.2">
      <c r="A3498" s="65" t="s">
        <v>10025</v>
      </c>
      <c r="B3498" s="66" t="s">
        <v>10026</v>
      </c>
      <c r="C3498" s="74" t="s">
        <v>203</v>
      </c>
      <c r="D3498" s="69" t="s">
        <v>10027</v>
      </c>
      <c r="E3498" s="69" t="s">
        <v>10028</v>
      </c>
    </row>
    <row r="3499" spans="1:5" ht="67.5" x14ac:dyDescent="0.2">
      <c r="A3499" s="65" t="s">
        <v>10029</v>
      </c>
      <c r="B3499" s="66" t="s">
        <v>10030</v>
      </c>
      <c r="C3499" s="74" t="s">
        <v>203</v>
      </c>
      <c r="D3499" s="69" t="s">
        <v>10031</v>
      </c>
      <c r="E3499" s="69" t="s">
        <v>10032</v>
      </c>
    </row>
    <row r="3500" spans="1:5" ht="67.5" x14ac:dyDescent="0.2">
      <c r="A3500" s="65" t="s">
        <v>10033</v>
      </c>
      <c r="B3500" s="66" t="s">
        <v>10034</v>
      </c>
      <c r="C3500" s="74" t="s">
        <v>203</v>
      </c>
      <c r="D3500" s="69" t="s">
        <v>10035</v>
      </c>
      <c r="E3500" s="69" t="s">
        <v>10036</v>
      </c>
    </row>
    <row r="3501" spans="1:5" ht="78.75" x14ac:dyDescent="0.2">
      <c r="A3501" s="70" t="s">
        <v>10037</v>
      </c>
      <c r="B3501" s="65" t="s">
        <v>10038</v>
      </c>
      <c r="C3501" s="75" t="s">
        <v>203</v>
      </c>
      <c r="D3501" s="72" t="s">
        <v>10039</v>
      </c>
      <c r="E3501" s="72" t="s">
        <v>8473</v>
      </c>
    </row>
    <row r="3502" spans="1:5" ht="78.75" x14ac:dyDescent="0.2">
      <c r="A3502" s="65" t="s">
        <v>10040</v>
      </c>
      <c r="B3502" s="66" t="s">
        <v>10041</v>
      </c>
      <c r="C3502" s="74" t="s">
        <v>203</v>
      </c>
      <c r="D3502" s="69" t="s">
        <v>9211</v>
      </c>
      <c r="E3502" s="69" t="s">
        <v>10042</v>
      </c>
    </row>
    <row r="3503" spans="1:5" ht="78.75" x14ac:dyDescent="0.2">
      <c r="A3503" s="70" t="s">
        <v>10043</v>
      </c>
      <c r="B3503" s="65" t="s">
        <v>10044</v>
      </c>
      <c r="C3503" s="75" t="s">
        <v>203</v>
      </c>
      <c r="D3503" s="72" t="s">
        <v>10045</v>
      </c>
      <c r="E3503" s="72" t="s">
        <v>10046</v>
      </c>
    </row>
    <row r="3504" spans="1:5" ht="78.75" x14ac:dyDescent="0.2">
      <c r="A3504" s="70" t="s">
        <v>10047</v>
      </c>
      <c r="B3504" s="65" t="s">
        <v>10048</v>
      </c>
      <c r="C3504" s="75" t="s">
        <v>203</v>
      </c>
      <c r="D3504" s="72" t="s">
        <v>10049</v>
      </c>
      <c r="E3504" s="72" t="s">
        <v>10050</v>
      </c>
    </row>
    <row r="3505" spans="1:5" ht="78.75" x14ac:dyDescent="0.2">
      <c r="A3505" s="70" t="s">
        <v>10051</v>
      </c>
      <c r="B3505" s="65" t="s">
        <v>10052</v>
      </c>
      <c r="C3505" s="75" t="s">
        <v>203</v>
      </c>
      <c r="D3505" s="72" t="s">
        <v>10053</v>
      </c>
      <c r="E3505" s="72" t="s">
        <v>10054</v>
      </c>
    </row>
    <row r="3506" spans="1:5" ht="78.75" x14ac:dyDescent="0.2">
      <c r="A3506" s="65" t="s">
        <v>10055</v>
      </c>
      <c r="B3506" s="66" t="s">
        <v>10056</v>
      </c>
      <c r="C3506" s="74" t="s">
        <v>203</v>
      </c>
      <c r="D3506" s="69" t="s">
        <v>10057</v>
      </c>
      <c r="E3506" s="69" t="s">
        <v>10058</v>
      </c>
    </row>
    <row r="3507" spans="1:5" ht="101.25" x14ac:dyDescent="0.2">
      <c r="A3507" s="70" t="s">
        <v>10059</v>
      </c>
      <c r="B3507" s="66" t="s">
        <v>10060</v>
      </c>
      <c r="C3507" s="75" t="s">
        <v>203</v>
      </c>
      <c r="D3507" s="72" t="s">
        <v>10061</v>
      </c>
      <c r="E3507" s="72" t="s">
        <v>10062</v>
      </c>
    </row>
    <row r="3508" spans="1:5" ht="90" x14ac:dyDescent="0.2">
      <c r="A3508" s="70" t="s">
        <v>10063</v>
      </c>
      <c r="B3508" s="65" t="s">
        <v>10064</v>
      </c>
      <c r="C3508" s="75" t="s">
        <v>203</v>
      </c>
      <c r="D3508" s="72" t="s">
        <v>10065</v>
      </c>
      <c r="E3508" s="72" t="s">
        <v>10066</v>
      </c>
    </row>
    <row r="3509" spans="1:5" ht="33.75" x14ac:dyDescent="0.2">
      <c r="A3509" s="65" t="s">
        <v>10067</v>
      </c>
      <c r="B3509" s="65" t="s">
        <v>10068</v>
      </c>
      <c r="C3509" s="74" t="s">
        <v>203</v>
      </c>
      <c r="D3509" s="69" t="s">
        <v>10069</v>
      </c>
      <c r="E3509" s="69" t="s">
        <v>10070</v>
      </c>
    </row>
    <row r="3510" spans="1:5" ht="33.75" x14ac:dyDescent="0.2">
      <c r="A3510" s="50">
        <v>47.06</v>
      </c>
      <c r="B3510" s="64" t="s">
        <v>10071</v>
      </c>
      <c r="C3510" s="47"/>
      <c r="D3510" s="47"/>
      <c r="E3510" s="47"/>
    </row>
    <row r="3511" spans="1:5" ht="56.25" x14ac:dyDescent="0.2">
      <c r="A3511" s="65" t="s">
        <v>10072</v>
      </c>
      <c r="B3511" s="66" t="s">
        <v>10073</v>
      </c>
      <c r="C3511" s="74" t="s">
        <v>203</v>
      </c>
      <c r="D3511" s="69" t="s">
        <v>10074</v>
      </c>
      <c r="E3511" s="69" t="s">
        <v>10075</v>
      </c>
    </row>
    <row r="3512" spans="1:5" ht="45" x14ac:dyDescent="0.2">
      <c r="A3512" s="65" t="s">
        <v>10076</v>
      </c>
      <c r="B3512" s="65" t="s">
        <v>10077</v>
      </c>
      <c r="C3512" s="74" t="s">
        <v>203</v>
      </c>
      <c r="D3512" s="69" t="s">
        <v>10078</v>
      </c>
      <c r="E3512" s="69" t="s">
        <v>10079</v>
      </c>
    </row>
    <row r="3513" spans="1:5" ht="45" x14ac:dyDescent="0.2">
      <c r="A3513" s="65" t="s">
        <v>10080</v>
      </c>
      <c r="B3513" s="65" t="s">
        <v>10081</v>
      </c>
      <c r="C3513" s="74" t="s">
        <v>203</v>
      </c>
      <c r="D3513" s="69" t="s">
        <v>10082</v>
      </c>
      <c r="E3513" s="69" t="s">
        <v>10083</v>
      </c>
    </row>
    <row r="3514" spans="1:5" ht="45" x14ac:dyDescent="0.2">
      <c r="A3514" s="65" t="s">
        <v>10084</v>
      </c>
      <c r="B3514" s="65" t="s">
        <v>10085</v>
      </c>
      <c r="C3514" s="74" t="s">
        <v>203</v>
      </c>
      <c r="D3514" s="69" t="s">
        <v>10086</v>
      </c>
      <c r="E3514" s="69" t="s">
        <v>10087</v>
      </c>
    </row>
    <row r="3515" spans="1:5" ht="56.25" x14ac:dyDescent="0.2">
      <c r="A3515" s="65" t="s">
        <v>10088</v>
      </c>
      <c r="B3515" s="66" t="s">
        <v>10089</v>
      </c>
      <c r="C3515" s="74" t="s">
        <v>203</v>
      </c>
      <c r="D3515" s="69" t="s">
        <v>10090</v>
      </c>
      <c r="E3515" s="69" t="s">
        <v>10091</v>
      </c>
    </row>
    <row r="3516" spans="1:5" ht="33.75" x14ac:dyDescent="0.2">
      <c r="A3516" s="65" t="s">
        <v>10092</v>
      </c>
      <c r="B3516" s="65" t="s">
        <v>10093</v>
      </c>
      <c r="C3516" s="74" t="s">
        <v>203</v>
      </c>
      <c r="D3516" s="69" t="s">
        <v>10094</v>
      </c>
      <c r="E3516" s="69" t="s">
        <v>10095</v>
      </c>
    </row>
    <row r="3517" spans="1:5" ht="33.75" x14ac:dyDescent="0.2">
      <c r="A3517" s="65" t="s">
        <v>10096</v>
      </c>
      <c r="B3517" s="65" t="s">
        <v>10097</v>
      </c>
      <c r="C3517" s="74" t="s">
        <v>203</v>
      </c>
      <c r="D3517" s="69" t="s">
        <v>10098</v>
      </c>
      <c r="E3517" s="69" t="s">
        <v>10099</v>
      </c>
    </row>
    <row r="3518" spans="1:5" ht="45" x14ac:dyDescent="0.2">
      <c r="A3518" s="65" t="s">
        <v>10100</v>
      </c>
      <c r="B3518" s="65" t="s">
        <v>10101</v>
      </c>
      <c r="C3518" s="74" t="s">
        <v>203</v>
      </c>
      <c r="D3518" s="69" t="s">
        <v>10102</v>
      </c>
      <c r="E3518" s="69" t="s">
        <v>10103</v>
      </c>
    </row>
    <row r="3519" spans="1:5" ht="45" x14ac:dyDescent="0.2">
      <c r="A3519" s="65" t="s">
        <v>10104</v>
      </c>
      <c r="B3519" s="65" t="s">
        <v>10105</v>
      </c>
      <c r="C3519" s="74" t="s">
        <v>203</v>
      </c>
      <c r="D3519" s="69" t="s">
        <v>10106</v>
      </c>
      <c r="E3519" s="69" t="s">
        <v>10107</v>
      </c>
    </row>
    <row r="3520" spans="1:5" ht="67.5" x14ac:dyDescent="0.2">
      <c r="A3520" s="65" t="s">
        <v>10108</v>
      </c>
      <c r="B3520" s="66" t="s">
        <v>10109</v>
      </c>
      <c r="C3520" s="74" t="s">
        <v>203</v>
      </c>
      <c r="D3520" s="69" t="s">
        <v>10110</v>
      </c>
      <c r="E3520" s="69" t="s">
        <v>10111</v>
      </c>
    </row>
    <row r="3521" spans="1:5" ht="67.5" x14ac:dyDescent="0.2">
      <c r="A3521" s="65" t="s">
        <v>10112</v>
      </c>
      <c r="B3521" s="66" t="s">
        <v>10113</v>
      </c>
      <c r="C3521" s="74" t="s">
        <v>203</v>
      </c>
      <c r="D3521" s="69" t="s">
        <v>10114</v>
      </c>
      <c r="E3521" s="69" t="s">
        <v>10115</v>
      </c>
    </row>
    <row r="3522" spans="1:5" ht="33.75" x14ac:dyDescent="0.2">
      <c r="A3522" s="65" t="s">
        <v>10116</v>
      </c>
      <c r="B3522" s="65" t="s">
        <v>10117</v>
      </c>
      <c r="C3522" s="74" t="s">
        <v>203</v>
      </c>
      <c r="D3522" s="69" t="s">
        <v>10118</v>
      </c>
      <c r="E3522" s="69" t="s">
        <v>10119</v>
      </c>
    </row>
    <row r="3523" spans="1:5" ht="56.25" x14ac:dyDescent="0.2">
      <c r="A3523" s="65" t="s">
        <v>10120</v>
      </c>
      <c r="B3523" s="66" t="s">
        <v>10121</v>
      </c>
      <c r="C3523" s="74" t="s">
        <v>203</v>
      </c>
      <c r="D3523" s="69" t="s">
        <v>10122</v>
      </c>
      <c r="E3523" s="69" t="s">
        <v>10123</v>
      </c>
    </row>
    <row r="3524" spans="1:5" ht="67.5" x14ac:dyDescent="0.2">
      <c r="A3524" s="65" t="s">
        <v>10124</v>
      </c>
      <c r="B3524" s="66" t="s">
        <v>10125</v>
      </c>
      <c r="C3524" s="74" t="s">
        <v>203</v>
      </c>
      <c r="D3524" s="69" t="s">
        <v>10126</v>
      </c>
      <c r="E3524" s="69" t="s">
        <v>10127</v>
      </c>
    </row>
    <row r="3525" spans="1:5" ht="56.25" x14ac:dyDescent="0.2">
      <c r="A3525" s="65" t="s">
        <v>10128</v>
      </c>
      <c r="B3525" s="66" t="s">
        <v>10129</v>
      </c>
      <c r="C3525" s="74" t="s">
        <v>203</v>
      </c>
      <c r="D3525" s="69" t="s">
        <v>10130</v>
      </c>
      <c r="E3525" s="69" t="s">
        <v>10131</v>
      </c>
    </row>
    <row r="3526" spans="1:5" ht="56.25" x14ac:dyDescent="0.2">
      <c r="A3526" s="65" t="s">
        <v>10132</v>
      </c>
      <c r="B3526" s="66" t="s">
        <v>10133</v>
      </c>
      <c r="C3526" s="74" t="s">
        <v>203</v>
      </c>
      <c r="D3526" s="69" t="s">
        <v>10134</v>
      </c>
      <c r="E3526" s="69" t="s">
        <v>10135</v>
      </c>
    </row>
    <row r="3527" spans="1:5" ht="56.25" x14ac:dyDescent="0.2">
      <c r="A3527" s="65" t="s">
        <v>10136</v>
      </c>
      <c r="B3527" s="66" t="s">
        <v>10137</v>
      </c>
      <c r="C3527" s="74" t="s">
        <v>203</v>
      </c>
      <c r="D3527" s="69" t="s">
        <v>10138</v>
      </c>
      <c r="E3527" s="69" t="s">
        <v>10139</v>
      </c>
    </row>
    <row r="3528" spans="1:5" ht="33.75" x14ac:dyDescent="0.2">
      <c r="A3528" s="50">
        <v>47.07</v>
      </c>
      <c r="B3528" s="64" t="s">
        <v>10140</v>
      </c>
      <c r="C3528" s="47"/>
      <c r="D3528" s="47"/>
      <c r="E3528" s="47"/>
    </row>
    <row r="3529" spans="1:5" ht="78.75" x14ac:dyDescent="0.2">
      <c r="A3529" s="70" t="s">
        <v>10141</v>
      </c>
      <c r="B3529" s="65" t="s">
        <v>10142</v>
      </c>
      <c r="C3529" s="75" t="s">
        <v>203</v>
      </c>
      <c r="D3529" s="72" t="s">
        <v>10143</v>
      </c>
      <c r="E3529" s="72" t="s">
        <v>10144</v>
      </c>
    </row>
    <row r="3530" spans="1:5" ht="78.75" x14ac:dyDescent="0.2">
      <c r="A3530" s="70" t="s">
        <v>10145</v>
      </c>
      <c r="B3530" s="65" t="s">
        <v>10146</v>
      </c>
      <c r="C3530" s="75" t="s">
        <v>203</v>
      </c>
      <c r="D3530" s="72" t="s">
        <v>6744</v>
      </c>
      <c r="E3530" s="72" t="s">
        <v>10147</v>
      </c>
    </row>
    <row r="3531" spans="1:5" ht="78.75" x14ac:dyDescent="0.2">
      <c r="A3531" s="70" t="s">
        <v>10148</v>
      </c>
      <c r="B3531" s="65" t="s">
        <v>10149</v>
      </c>
      <c r="C3531" s="75" t="s">
        <v>203</v>
      </c>
      <c r="D3531" s="72" t="s">
        <v>10150</v>
      </c>
      <c r="E3531" s="72" t="s">
        <v>10151</v>
      </c>
    </row>
    <row r="3532" spans="1:5" ht="90" x14ac:dyDescent="0.2">
      <c r="A3532" s="70" t="s">
        <v>10152</v>
      </c>
      <c r="B3532" s="65" t="s">
        <v>10153</v>
      </c>
      <c r="C3532" s="75" t="s">
        <v>203</v>
      </c>
      <c r="D3532" s="72" t="s">
        <v>10154</v>
      </c>
      <c r="E3532" s="72" t="s">
        <v>10155</v>
      </c>
    </row>
    <row r="3533" spans="1:5" ht="78.75" x14ac:dyDescent="0.2">
      <c r="A3533" s="70" t="s">
        <v>10156</v>
      </c>
      <c r="B3533" s="65" t="s">
        <v>10157</v>
      </c>
      <c r="C3533" s="75" t="s">
        <v>203</v>
      </c>
      <c r="D3533" s="72" t="s">
        <v>10158</v>
      </c>
      <c r="E3533" s="72" t="s">
        <v>10159</v>
      </c>
    </row>
    <row r="3534" spans="1:5" ht="33.75" x14ac:dyDescent="0.2">
      <c r="A3534" s="50">
        <v>47.09</v>
      </c>
      <c r="B3534" s="64" t="s">
        <v>10160</v>
      </c>
      <c r="C3534" s="47"/>
      <c r="D3534" s="47"/>
      <c r="E3534" s="47"/>
    </row>
    <row r="3535" spans="1:5" ht="78.75" x14ac:dyDescent="0.2">
      <c r="A3535" s="65" t="s">
        <v>10161</v>
      </c>
      <c r="B3535" s="66" t="s">
        <v>10162</v>
      </c>
      <c r="C3535" s="74" t="s">
        <v>203</v>
      </c>
      <c r="D3535" s="69" t="s">
        <v>10163</v>
      </c>
      <c r="E3535" s="69" t="s">
        <v>10164</v>
      </c>
    </row>
    <row r="3536" spans="1:5" ht="78.75" x14ac:dyDescent="0.2">
      <c r="A3536" s="65" t="s">
        <v>10165</v>
      </c>
      <c r="B3536" s="66" t="s">
        <v>10166</v>
      </c>
      <c r="C3536" s="74" t="s">
        <v>203</v>
      </c>
      <c r="D3536" s="69" t="s">
        <v>10167</v>
      </c>
      <c r="E3536" s="69" t="s">
        <v>10168</v>
      </c>
    </row>
    <row r="3537" spans="1:5" ht="78.75" x14ac:dyDescent="0.2">
      <c r="A3537" s="65" t="s">
        <v>10169</v>
      </c>
      <c r="B3537" s="66" t="s">
        <v>10170</v>
      </c>
      <c r="C3537" s="74" t="s">
        <v>203</v>
      </c>
      <c r="D3537" s="69" t="s">
        <v>10171</v>
      </c>
      <c r="E3537" s="69" t="s">
        <v>10172</v>
      </c>
    </row>
    <row r="3538" spans="1:5" ht="78.75" x14ac:dyDescent="0.2">
      <c r="A3538" s="65" t="s">
        <v>10173</v>
      </c>
      <c r="B3538" s="66" t="s">
        <v>10174</v>
      </c>
      <c r="C3538" s="74" t="s">
        <v>203</v>
      </c>
      <c r="D3538" s="69" t="s">
        <v>10175</v>
      </c>
      <c r="E3538" s="69" t="s">
        <v>10176</v>
      </c>
    </row>
    <row r="3539" spans="1:5" ht="33.75" x14ac:dyDescent="0.2">
      <c r="A3539" s="50">
        <v>47.1</v>
      </c>
      <c r="B3539" s="64" t="s">
        <v>10177</v>
      </c>
      <c r="C3539" s="47"/>
      <c r="D3539" s="47"/>
      <c r="E3539" s="47"/>
    </row>
    <row r="3540" spans="1:5" ht="90" x14ac:dyDescent="0.2">
      <c r="A3540" s="70" t="s">
        <v>10178</v>
      </c>
      <c r="B3540" s="65" t="s">
        <v>10179</v>
      </c>
      <c r="C3540" s="75" t="s">
        <v>203</v>
      </c>
      <c r="D3540" s="72" t="s">
        <v>10180</v>
      </c>
      <c r="E3540" s="72" t="s">
        <v>10181</v>
      </c>
    </row>
    <row r="3541" spans="1:5" ht="22.5" x14ac:dyDescent="0.2">
      <c r="A3541" s="50">
        <v>47.11</v>
      </c>
      <c r="B3541" s="64" t="s">
        <v>10182</v>
      </c>
      <c r="C3541" s="47"/>
      <c r="D3541" s="47"/>
      <c r="E3541" s="47"/>
    </row>
    <row r="3542" spans="1:5" ht="90" x14ac:dyDescent="0.2">
      <c r="A3542" s="65" t="s">
        <v>10183</v>
      </c>
      <c r="B3542" s="66" t="s">
        <v>10184</v>
      </c>
      <c r="C3542" s="74" t="s">
        <v>203</v>
      </c>
      <c r="D3542" s="69" t="s">
        <v>10185</v>
      </c>
      <c r="E3542" s="69" t="s">
        <v>10187</v>
      </c>
    </row>
    <row r="3543" spans="1:5" ht="56.25" x14ac:dyDescent="0.2">
      <c r="A3543" s="65" t="s">
        <v>10188</v>
      </c>
      <c r="B3543" s="65" t="s">
        <v>10189</v>
      </c>
      <c r="C3543" s="74" t="s">
        <v>203</v>
      </c>
      <c r="D3543" s="69" t="s">
        <v>10190</v>
      </c>
      <c r="E3543" s="69" t="s">
        <v>10191</v>
      </c>
    </row>
    <row r="3544" spans="1:5" ht="56.25" x14ac:dyDescent="0.2">
      <c r="A3544" s="65" t="s">
        <v>10192</v>
      </c>
      <c r="B3544" s="66" t="s">
        <v>10193</v>
      </c>
      <c r="C3544" s="74" t="s">
        <v>203</v>
      </c>
      <c r="D3544" s="69" t="s">
        <v>10194</v>
      </c>
      <c r="E3544" s="69" t="s">
        <v>10195</v>
      </c>
    </row>
    <row r="3545" spans="1:5" ht="112.5" x14ac:dyDescent="0.2">
      <c r="A3545" s="70" t="s">
        <v>10196</v>
      </c>
      <c r="B3545" s="66" t="s">
        <v>10197</v>
      </c>
      <c r="C3545" s="75" t="s">
        <v>203</v>
      </c>
      <c r="D3545" s="72" t="s">
        <v>10198</v>
      </c>
      <c r="E3545" s="72" t="s">
        <v>10199</v>
      </c>
    </row>
    <row r="3546" spans="1:5" ht="33.75" x14ac:dyDescent="0.2">
      <c r="A3546" s="50">
        <v>47.12</v>
      </c>
      <c r="B3546" s="64" t="s">
        <v>10200</v>
      </c>
      <c r="C3546" s="47"/>
      <c r="D3546" s="47"/>
      <c r="E3546" s="47"/>
    </row>
    <row r="3547" spans="1:5" ht="45" x14ac:dyDescent="0.2">
      <c r="A3547" s="65" t="s">
        <v>10201</v>
      </c>
      <c r="B3547" s="65" t="s">
        <v>10202</v>
      </c>
      <c r="C3547" s="74" t="s">
        <v>203</v>
      </c>
      <c r="D3547" s="69" t="s">
        <v>10203</v>
      </c>
      <c r="E3547" s="69" t="s">
        <v>10205</v>
      </c>
    </row>
    <row r="3548" spans="1:5" ht="45" x14ac:dyDescent="0.2">
      <c r="A3548" s="65" t="s">
        <v>10206</v>
      </c>
      <c r="B3548" s="65" t="s">
        <v>10207</v>
      </c>
      <c r="C3548" s="74" t="s">
        <v>203</v>
      </c>
      <c r="D3548" s="69" t="s">
        <v>10208</v>
      </c>
      <c r="E3548" s="69" t="s">
        <v>10209</v>
      </c>
    </row>
    <row r="3549" spans="1:5" ht="67.5" x14ac:dyDescent="0.2">
      <c r="A3549" s="65" t="s">
        <v>10210</v>
      </c>
      <c r="B3549" s="66" t="s">
        <v>10211</v>
      </c>
      <c r="C3549" s="74" t="s">
        <v>203</v>
      </c>
      <c r="D3549" s="69" t="s">
        <v>10212</v>
      </c>
      <c r="E3549" s="69" t="s">
        <v>10213</v>
      </c>
    </row>
    <row r="3550" spans="1:5" ht="90" x14ac:dyDescent="0.2">
      <c r="A3550" s="65" t="s">
        <v>10214</v>
      </c>
      <c r="B3550" s="66" t="s">
        <v>10215</v>
      </c>
      <c r="C3550" s="74" t="s">
        <v>203</v>
      </c>
      <c r="D3550" s="69" t="s">
        <v>10216</v>
      </c>
      <c r="E3550" s="69" t="s">
        <v>10217</v>
      </c>
    </row>
    <row r="3551" spans="1:5" ht="90" x14ac:dyDescent="0.2">
      <c r="A3551" s="65" t="s">
        <v>10218</v>
      </c>
      <c r="B3551" s="66" t="s">
        <v>10219</v>
      </c>
      <c r="C3551" s="74" t="s">
        <v>203</v>
      </c>
      <c r="D3551" s="69" t="s">
        <v>10220</v>
      </c>
      <c r="E3551" s="69" t="s">
        <v>10221</v>
      </c>
    </row>
    <row r="3552" spans="1:5" ht="45" x14ac:dyDescent="0.2">
      <c r="A3552" s="65" t="s">
        <v>10222</v>
      </c>
      <c r="B3552" s="65" t="s">
        <v>10223</v>
      </c>
      <c r="C3552" s="74" t="s">
        <v>203</v>
      </c>
      <c r="D3552" s="69" t="s">
        <v>10224</v>
      </c>
      <c r="E3552" s="69" t="s">
        <v>10225</v>
      </c>
    </row>
    <row r="3553" spans="1:5" ht="45" x14ac:dyDescent="0.2">
      <c r="A3553" s="65" t="s">
        <v>10226</v>
      </c>
      <c r="B3553" s="65" t="s">
        <v>10227</v>
      </c>
      <c r="C3553" s="74" t="s">
        <v>203</v>
      </c>
      <c r="D3553" s="69" t="s">
        <v>10228</v>
      </c>
      <c r="E3553" s="69" t="s">
        <v>10229</v>
      </c>
    </row>
    <row r="3554" spans="1:5" ht="45" x14ac:dyDescent="0.2">
      <c r="A3554" s="65" t="s">
        <v>10230</v>
      </c>
      <c r="B3554" s="65" t="s">
        <v>10231</v>
      </c>
      <c r="C3554" s="74" t="s">
        <v>203</v>
      </c>
      <c r="D3554" s="69" t="s">
        <v>10232</v>
      </c>
      <c r="E3554" s="69" t="s">
        <v>10233</v>
      </c>
    </row>
    <row r="3555" spans="1:5" ht="45" x14ac:dyDescent="0.2">
      <c r="A3555" s="65" t="s">
        <v>10234</v>
      </c>
      <c r="B3555" s="65" t="s">
        <v>10235</v>
      </c>
      <c r="C3555" s="74" t="s">
        <v>203</v>
      </c>
      <c r="D3555" s="69" t="s">
        <v>10236</v>
      </c>
      <c r="E3555" s="69" t="s">
        <v>10237</v>
      </c>
    </row>
    <row r="3556" spans="1:5" ht="56.25" x14ac:dyDescent="0.2">
      <c r="A3556" s="65" t="s">
        <v>10238</v>
      </c>
      <c r="B3556" s="66" t="s">
        <v>10239</v>
      </c>
      <c r="C3556" s="74" t="s">
        <v>203</v>
      </c>
      <c r="D3556" s="69" t="s">
        <v>10240</v>
      </c>
      <c r="E3556" s="69" t="s">
        <v>10241</v>
      </c>
    </row>
    <row r="3557" spans="1:5" ht="33.75" x14ac:dyDescent="0.2">
      <c r="A3557" s="50">
        <v>47.14</v>
      </c>
      <c r="B3557" s="64" t="s">
        <v>10242</v>
      </c>
      <c r="C3557" s="47"/>
      <c r="D3557" s="47"/>
      <c r="E3557" s="47"/>
    </row>
    <row r="3558" spans="1:5" ht="45" x14ac:dyDescent="0.2">
      <c r="A3558" s="65" t="s">
        <v>10243</v>
      </c>
      <c r="B3558" s="65" t="s">
        <v>10244</v>
      </c>
      <c r="C3558" s="74" t="s">
        <v>203</v>
      </c>
      <c r="D3558" s="69" t="s">
        <v>10245</v>
      </c>
      <c r="E3558" s="69" t="s">
        <v>10246</v>
      </c>
    </row>
    <row r="3559" spans="1:5" ht="67.5" x14ac:dyDescent="0.2">
      <c r="A3559" s="65" t="s">
        <v>10247</v>
      </c>
      <c r="B3559" s="66" t="s">
        <v>10248</v>
      </c>
      <c r="C3559" s="74" t="s">
        <v>203</v>
      </c>
      <c r="D3559" s="69" t="s">
        <v>5344</v>
      </c>
      <c r="E3559" s="69" t="s">
        <v>10249</v>
      </c>
    </row>
    <row r="3560" spans="1:5" ht="45" x14ac:dyDescent="0.2">
      <c r="A3560" s="50">
        <v>47.2</v>
      </c>
      <c r="B3560" s="64" t="s">
        <v>10250</v>
      </c>
      <c r="C3560" s="47"/>
      <c r="D3560" s="47"/>
      <c r="E3560" s="47"/>
    </row>
    <row r="3561" spans="1:5" ht="33.75" x14ac:dyDescent="0.2">
      <c r="A3561" s="65" t="s">
        <v>10251</v>
      </c>
      <c r="B3561" s="65" t="s">
        <v>10252</v>
      </c>
      <c r="C3561" s="74" t="s">
        <v>203</v>
      </c>
      <c r="D3561" s="69" t="s">
        <v>10253</v>
      </c>
      <c r="E3561" s="69" t="s">
        <v>10254</v>
      </c>
    </row>
    <row r="3562" spans="1:5" ht="33.75" x14ac:dyDescent="0.2">
      <c r="A3562" s="65" t="s">
        <v>10255</v>
      </c>
      <c r="B3562" s="65" t="s">
        <v>10256</v>
      </c>
      <c r="C3562" s="74" t="s">
        <v>203</v>
      </c>
      <c r="D3562" s="69" t="s">
        <v>10257</v>
      </c>
      <c r="E3562" s="69" t="s">
        <v>10258</v>
      </c>
    </row>
    <row r="3563" spans="1:5" ht="67.5" x14ac:dyDescent="0.2">
      <c r="A3563" s="65" t="s">
        <v>10259</v>
      </c>
      <c r="B3563" s="66" t="s">
        <v>10260</v>
      </c>
      <c r="C3563" s="74" t="s">
        <v>203</v>
      </c>
      <c r="D3563" s="69" t="s">
        <v>10261</v>
      </c>
      <c r="E3563" s="69" t="s">
        <v>10262</v>
      </c>
    </row>
    <row r="3564" spans="1:5" ht="67.5" x14ac:dyDescent="0.2">
      <c r="A3564" s="65" t="s">
        <v>10263</v>
      </c>
      <c r="B3564" s="66" t="s">
        <v>10264</v>
      </c>
      <c r="C3564" s="74" t="s">
        <v>203</v>
      </c>
      <c r="D3564" s="69" t="s">
        <v>10265</v>
      </c>
      <c r="E3564" s="69" t="s">
        <v>10266</v>
      </c>
    </row>
    <row r="3565" spans="1:5" ht="56.25" x14ac:dyDescent="0.2">
      <c r="A3565" s="65" t="s">
        <v>10267</v>
      </c>
      <c r="B3565" s="66" t="s">
        <v>10268</v>
      </c>
      <c r="C3565" s="74" t="s">
        <v>203</v>
      </c>
      <c r="D3565" s="69" t="s">
        <v>10269</v>
      </c>
      <c r="E3565" s="69" t="s">
        <v>10270</v>
      </c>
    </row>
    <row r="3566" spans="1:5" ht="56.25" x14ac:dyDescent="0.2">
      <c r="A3566" s="65" t="s">
        <v>10271</v>
      </c>
      <c r="B3566" s="66" t="s">
        <v>10272</v>
      </c>
      <c r="C3566" s="74" t="s">
        <v>203</v>
      </c>
      <c r="D3566" s="69" t="s">
        <v>10273</v>
      </c>
      <c r="E3566" s="69" t="s">
        <v>10274</v>
      </c>
    </row>
    <row r="3567" spans="1:5" ht="67.5" x14ac:dyDescent="0.2">
      <c r="A3567" s="65" t="s">
        <v>10275</v>
      </c>
      <c r="B3567" s="66" t="s">
        <v>10276</v>
      </c>
      <c r="C3567" s="74" t="s">
        <v>203</v>
      </c>
      <c r="D3567" s="69" t="s">
        <v>10277</v>
      </c>
      <c r="E3567" s="69" t="s">
        <v>10278</v>
      </c>
    </row>
    <row r="3568" spans="1:5" ht="45" x14ac:dyDescent="0.2">
      <c r="A3568" s="65" t="s">
        <v>10279</v>
      </c>
      <c r="B3568" s="65" t="s">
        <v>10280</v>
      </c>
      <c r="C3568" s="74" t="s">
        <v>203</v>
      </c>
      <c r="D3568" s="69" t="s">
        <v>10281</v>
      </c>
      <c r="E3568" s="69" t="s">
        <v>10282</v>
      </c>
    </row>
    <row r="3569" spans="1:5" ht="45" x14ac:dyDescent="0.2">
      <c r="A3569" s="65" t="s">
        <v>10283</v>
      </c>
      <c r="B3569" s="65" t="s">
        <v>10284</v>
      </c>
      <c r="C3569" s="74" t="s">
        <v>203</v>
      </c>
      <c r="D3569" s="69" t="s">
        <v>2242</v>
      </c>
      <c r="E3569" s="69" t="s">
        <v>10285</v>
      </c>
    </row>
    <row r="3570" spans="1:5" ht="67.5" x14ac:dyDescent="0.2">
      <c r="A3570" s="65" t="s">
        <v>10286</v>
      </c>
      <c r="B3570" s="66" t="s">
        <v>10287</v>
      </c>
      <c r="C3570" s="74" t="s">
        <v>203</v>
      </c>
      <c r="D3570" s="69" t="s">
        <v>10288</v>
      </c>
      <c r="E3570" s="69" t="s">
        <v>10289</v>
      </c>
    </row>
    <row r="3571" spans="1:5" ht="56.25" x14ac:dyDescent="0.2">
      <c r="A3571" s="65" t="s">
        <v>10290</v>
      </c>
      <c r="B3571" s="66" t="s">
        <v>10291</v>
      </c>
      <c r="C3571" s="74" t="s">
        <v>203</v>
      </c>
      <c r="D3571" s="69" t="s">
        <v>10292</v>
      </c>
      <c r="E3571" s="69" t="s">
        <v>10293</v>
      </c>
    </row>
    <row r="3572" spans="1:5" ht="56.25" x14ac:dyDescent="0.2">
      <c r="A3572" s="65" t="s">
        <v>10294</v>
      </c>
      <c r="B3572" s="66" t="s">
        <v>10295</v>
      </c>
      <c r="C3572" s="74" t="s">
        <v>203</v>
      </c>
      <c r="D3572" s="69" t="s">
        <v>10296</v>
      </c>
      <c r="E3572" s="69" t="s">
        <v>10297</v>
      </c>
    </row>
    <row r="3573" spans="1:5" ht="33.75" x14ac:dyDescent="0.2">
      <c r="A3573" s="49">
        <v>48</v>
      </c>
      <c r="B3573" s="64" t="s">
        <v>10298</v>
      </c>
      <c r="C3573" s="47"/>
      <c r="D3573" s="47"/>
      <c r="E3573" s="47"/>
    </row>
    <row r="3574" spans="1:5" ht="22.5" x14ac:dyDescent="0.2">
      <c r="A3574" s="50">
        <v>48.02</v>
      </c>
      <c r="B3574" s="64" t="s">
        <v>10299</v>
      </c>
      <c r="C3574" s="47"/>
      <c r="D3574" s="47"/>
      <c r="E3574" s="47"/>
    </row>
    <row r="3575" spans="1:5" ht="33.75" x14ac:dyDescent="0.2">
      <c r="A3575" s="65" t="s">
        <v>10300</v>
      </c>
      <c r="B3575" s="65" t="s">
        <v>10301</v>
      </c>
      <c r="C3575" s="74" t="s">
        <v>203</v>
      </c>
      <c r="D3575" s="69" t="s">
        <v>10302</v>
      </c>
      <c r="E3575" s="69" t="s">
        <v>10304</v>
      </c>
    </row>
    <row r="3576" spans="1:5" ht="33.75" x14ac:dyDescent="0.2">
      <c r="A3576" s="65" t="s">
        <v>10305</v>
      </c>
      <c r="B3576" s="65" t="s">
        <v>10306</v>
      </c>
      <c r="C3576" s="74" t="s">
        <v>203</v>
      </c>
      <c r="D3576" s="69" t="s">
        <v>10307</v>
      </c>
      <c r="E3576" s="69" t="s">
        <v>10309</v>
      </c>
    </row>
    <row r="3577" spans="1:5" ht="56.25" x14ac:dyDescent="0.2">
      <c r="A3577" s="65" t="s">
        <v>10310</v>
      </c>
      <c r="B3577" s="66" t="s">
        <v>10311</v>
      </c>
      <c r="C3577" s="74" t="s">
        <v>203</v>
      </c>
      <c r="D3577" s="69" t="s">
        <v>10312</v>
      </c>
      <c r="E3577" s="69" t="s">
        <v>10313</v>
      </c>
    </row>
    <row r="3578" spans="1:5" ht="56.25" x14ac:dyDescent="0.2">
      <c r="A3578" s="65" t="s">
        <v>10314</v>
      </c>
      <c r="B3578" s="66" t="s">
        <v>10315</v>
      </c>
      <c r="C3578" s="74" t="s">
        <v>203</v>
      </c>
      <c r="D3578" s="69" t="s">
        <v>10316</v>
      </c>
      <c r="E3578" s="69" t="s">
        <v>10317</v>
      </c>
    </row>
    <row r="3579" spans="1:5" ht="56.25" x14ac:dyDescent="0.2">
      <c r="A3579" s="65" t="s">
        <v>10318</v>
      </c>
      <c r="B3579" s="66" t="s">
        <v>10319</v>
      </c>
      <c r="C3579" s="67" t="s">
        <v>203</v>
      </c>
      <c r="D3579" s="69" t="s">
        <v>10320</v>
      </c>
      <c r="E3579" s="69" t="s">
        <v>10321</v>
      </c>
    </row>
    <row r="3580" spans="1:5" ht="56.25" x14ac:dyDescent="0.2">
      <c r="A3580" s="65" t="s">
        <v>10322</v>
      </c>
      <c r="B3580" s="66" t="s">
        <v>10323</v>
      </c>
      <c r="C3580" s="67" t="s">
        <v>203</v>
      </c>
      <c r="D3580" s="69" t="s">
        <v>10324</v>
      </c>
      <c r="E3580" s="69" t="s">
        <v>10326</v>
      </c>
    </row>
    <row r="3581" spans="1:5" ht="90" x14ac:dyDescent="0.2">
      <c r="A3581" s="70" t="s">
        <v>10327</v>
      </c>
      <c r="B3581" s="66" t="s">
        <v>10328</v>
      </c>
      <c r="C3581" s="71" t="s">
        <v>203</v>
      </c>
      <c r="D3581" s="72" t="s">
        <v>10329</v>
      </c>
      <c r="E3581" s="72" t="s">
        <v>10331</v>
      </c>
    </row>
    <row r="3582" spans="1:5" ht="90" x14ac:dyDescent="0.2">
      <c r="A3582" s="70" t="s">
        <v>10332</v>
      </c>
      <c r="B3582" s="66" t="s">
        <v>10333</v>
      </c>
      <c r="C3582" s="71" t="s">
        <v>203</v>
      </c>
      <c r="D3582" s="72" t="s">
        <v>10334</v>
      </c>
      <c r="E3582" s="72" t="s">
        <v>10335</v>
      </c>
    </row>
    <row r="3583" spans="1:5" ht="56.25" x14ac:dyDescent="0.2">
      <c r="A3583" s="65" t="s">
        <v>10336</v>
      </c>
      <c r="B3583" s="66" t="s">
        <v>10337</v>
      </c>
      <c r="C3583" s="67" t="s">
        <v>203</v>
      </c>
      <c r="D3583" s="69" t="s">
        <v>10338</v>
      </c>
      <c r="E3583" s="69" t="s">
        <v>10339</v>
      </c>
    </row>
    <row r="3584" spans="1:5" ht="56.25" x14ac:dyDescent="0.2">
      <c r="A3584" s="65" t="s">
        <v>10340</v>
      </c>
      <c r="B3584" s="66" t="s">
        <v>10341</v>
      </c>
      <c r="C3584" s="67" t="s">
        <v>203</v>
      </c>
      <c r="D3584" s="69" t="s">
        <v>10342</v>
      </c>
      <c r="E3584" s="69" t="s">
        <v>10343</v>
      </c>
    </row>
    <row r="3585" spans="1:5" ht="22.5" x14ac:dyDescent="0.2">
      <c r="A3585" s="50">
        <v>48.03</v>
      </c>
      <c r="B3585" s="64" t="s">
        <v>10344</v>
      </c>
      <c r="C3585" s="47"/>
      <c r="D3585" s="47"/>
      <c r="E3585" s="47"/>
    </row>
    <row r="3586" spans="1:5" ht="56.25" x14ac:dyDescent="0.2">
      <c r="A3586" s="65" t="s">
        <v>10345</v>
      </c>
      <c r="B3586" s="65" t="s">
        <v>10346</v>
      </c>
      <c r="C3586" s="67" t="s">
        <v>240</v>
      </c>
      <c r="D3586" s="69" t="s">
        <v>10347</v>
      </c>
      <c r="E3586" s="69" t="s">
        <v>10348</v>
      </c>
    </row>
    <row r="3587" spans="1:5" ht="56.25" x14ac:dyDescent="0.2">
      <c r="A3587" s="65" t="s">
        <v>10349</v>
      </c>
      <c r="B3587" s="65" t="s">
        <v>10350</v>
      </c>
      <c r="C3587" s="67" t="s">
        <v>240</v>
      </c>
      <c r="D3587" s="69" t="s">
        <v>10351</v>
      </c>
      <c r="E3587" s="69" t="s">
        <v>10352</v>
      </c>
    </row>
    <row r="3588" spans="1:5" ht="56.25" x14ac:dyDescent="0.2">
      <c r="A3588" s="65" t="s">
        <v>10353</v>
      </c>
      <c r="B3588" s="65" t="s">
        <v>10354</v>
      </c>
      <c r="C3588" s="67" t="s">
        <v>240</v>
      </c>
      <c r="D3588" s="69" t="s">
        <v>10355</v>
      </c>
      <c r="E3588" s="69" t="s">
        <v>10356</v>
      </c>
    </row>
    <row r="3589" spans="1:5" ht="56.25" x14ac:dyDescent="0.2">
      <c r="A3589" s="65" t="s">
        <v>10357</v>
      </c>
      <c r="B3589" s="65" t="s">
        <v>10358</v>
      </c>
      <c r="C3589" s="67" t="s">
        <v>240</v>
      </c>
      <c r="D3589" s="69" t="s">
        <v>10359</v>
      </c>
      <c r="E3589" s="69" t="s">
        <v>10360</v>
      </c>
    </row>
    <row r="3590" spans="1:5" ht="22.5" x14ac:dyDescent="0.2">
      <c r="A3590" s="50">
        <v>48.04</v>
      </c>
      <c r="B3590" s="64" t="s">
        <v>10361</v>
      </c>
      <c r="C3590" s="47"/>
      <c r="D3590" s="47"/>
      <c r="E3590" s="47"/>
    </row>
    <row r="3591" spans="1:5" ht="112.5" x14ac:dyDescent="0.2">
      <c r="A3591" s="70" t="s">
        <v>10362</v>
      </c>
      <c r="B3591" s="66" t="s">
        <v>10363</v>
      </c>
      <c r="C3591" s="71" t="s">
        <v>221</v>
      </c>
      <c r="D3591" s="72" t="s">
        <v>10364</v>
      </c>
      <c r="E3591" s="72" t="s">
        <v>10366</v>
      </c>
    </row>
    <row r="3592" spans="1:5" ht="112.5" x14ac:dyDescent="0.2">
      <c r="A3592" s="70" t="s">
        <v>10367</v>
      </c>
      <c r="B3592" s="66" t="s">
        <v>10368</v>
      </c>
      <c r="C3592" s="71" t="s">
        <v>221</v>
      </c>
      <c r="D3592" s="72" t="s">
        <v>10369</v>
      </c>
      <c r="E3592" s="72" t="s">
        <v>10371</v>
      </c>
    </row>
    <row r="3593" spans="1:5" x14ac:dyDescent="0.2">
      <c r="A3593" s="50">
        <v>48.05</v>
      </c>
      <c r="B3593" s="64" t="s">
        <v>10372</v>
      </c>
      <c r="C3593" s="47"/>
      <c r="D3593" s="47"/>
      <c r="E3593" s="47"/>
    </row>
    <row r="3594" spans="1:5" ht="22.5" x14ac:dyDescent="0.2">
      <c r="A3594" s="65" t="s">
        <v>10373</v>
      </c>
      <c r="B3594" s="65" t="s">
        <v>10374</v>
      </c>
      <c r="C3594" s="67" t="s">
        <v>203</v>
      </c>
      <c r="D3594" s="69" t="s">
        <v>8948</v>
      </c>
      <c r="E3594" s="69" t="s">
        <v>10375</v>
      </c>
    </row>
    <row r="3595" spans="1:5" ht="22.5" x14ac:dyDescent="0.2">
      <c r="A3595" s="65" t="s">
        <v>10376</v>
      </c>
      <c r="B3595" s="65" t="s">
        <v>10377</v>
      </c>
      <c r="C3595" s="67" t="s">
        <v>203</v>
      </c>
      <c r="D3595" s="69" t="s">
        <v>10378</v>
      </c>
      <c r="E3595" s="69" t="s">
        <v>10379</v>
      </c>
    </row>
    <row r="3596" spans="1:5" ht="22.5" x14ac:dyDescent="0.2">
      <c r="A3596" s="65" t="s">
        <v>10380</v>
      </c>
      <c r="B3596" s="65" t="s">
        <v>10381</v>
      </c>
      <c r="C3596" s="67" t="s">
        <v>203</v>
      </c>
      <c r="D3596" s="69" t="s">
        <v>8539</v>
      </c>
      <c r="E3596" s="69" t="s">
        <v>10382</v>
      </c>
    </row>
    <row r="3597" spans="1:5" ht="22.5" x14ac:dyDescent="0.2">
      <c r="A3597" s="65" t="s">
        <v>10383</v>
      </c>
      <c r="B3597" s="65" t="s">
        <v>10384</v>
      </c>
      <c r="C3597" s="67" t="s">
        <v>203</v>
      </c>
      <c r="D3597" s="69" t="s">
        <v>10385</v>
      </c>
      <c r="E3597" s="69" t="s">
        <v>10386</v>
      </c>
    </row>
    <row r="3598" spans="1:5" ht="22.5" x14ac:dyDescent="0.2">
      <c r="A3598" s="65" t="s">
        <v>10387</v>
      </c>
      <c r="B3598" s="65" t="s">
        <v>10388</v>
      </c>
      <c r="C3598" s="67" t="s">
        <v>203</v>
      </c>
      <c r="D3598" s="69" t="s">
        <v>10389</v>
      </c>
      <c r="E3598" s="69" t="s">
        <v>10390</v>
      </c>
    </row>
    <row r="3599" spans="1:5" ht="22.5" x14ac:dyDescent="0.2">
      <c r="A3599" s="65" t="s">
        <v>10391</v>
      </c>
      <c r="B3599" s="65" t="s">
        <v>10392</v>
      </c>
      <c r="C3599" s="67" t="s">
        <v>203</v>
      </c>
      <c r="D3599" s="69" t="s">
        <v>10393</v>
      </c>
      <c r="E3599" s="69" t="s">
        <v>10394</v>
      </c>
    </row>
    <row r="3600" spans="1:5" ht="45" x14ac:dyDescent="0.2">
      <c r="A3600" s="65" t="s">
        <v>10395</v>
      </c>
      <c r="B3600" s="65" t="s">
        <v>10396</v>
      </c>
      <c r="C3600" s="67" t="s">
        <v>203</v>
      </c>
      <c r="D3600" s="69" t="s">
        <v>10397</v>
      </c>
      <c r="E3600" s="69" t="s">
        <v>10398</v>
      </c>
    </row>
    <row r="3601" spans="1:5" ht="45" x14ac:dyDescent="0.2">
      <c r="A3601" s="50">
        <v>48.2</v>
      </c>
      <c r="B3601" s="64" t="s">
        <v>10399</v>
      </c>
      <c r="C3601" s="47"/>
      <c r="D3601" s="47"/>
      <c r="E3601" s="47"/>
    </row>
    <row r="3602" spans="1:5" ht="33.75" x14ac:dyDescent="0.2">
      <c r="A3602" s="65" t="s">
        <v>10400</v>
      </c>
      <c r="B3602" s="65" t="s">
        <v>10401</v>
      </c>
      <c r="C3602" s="67" t="s">
        <v>203</v>
      </c>
      <c r="D3602" s="73"/>
      <c r="E3602" s="69" t="s">
        <v>363</v>
      </c>
    </row>
    <row r="3603" spans="1:5" ht="33.75" x14ac:dyDescent="0.2">
      <c r="A3603" s="65" t="s">
        <v>10402</v>
      </c>
      <c r="B3603" s="65" t="s">
        <v>10403</v>
      </c>
      <c r="C3603" s="67" t="s">
        <v>203</v>
      </c>
      <c r="D3603" s="73"/>
      <c r="E3603" s="69" t="s">
        <v>10404</v>
      </c>
    </row>
    <row r="3604" spans="1:5" ht="33.75" x14ac:dyDescent="0.2">
      <c r="A3604" s="65" t="s">
        <v>10405</v>
      </c>
      <c r="B3604" s="65" t="s">
        <v>10406</v>
      </c>
      <c r="C3604" s="67" t="s">
        <v>203</v>
      </c>
      <c r="D3604" s="73"/>
      <c r="E3604" s="69" t="s">
        <v>10407</v>
      </c>
    </row>
    <row r="3605" spans="1:5" ht="33.75" x14ac:dyDescent="0.2">
      <c r="A3605" s="49">
        <v>49</v>
      </c>
      <c r="B3605" s="64" t="s">
        <v>10408</v>
      </c>
      <c r="C3605" s="47"/>
      <c r="D3605" s="47"/>
      <c r="E3605" s="47"/>
    </row>
    <row r="3606" spans="1:5" ht="22.5" x14ac:dyDescent="0.2">
      <c r="A3606" s="50">
        <v>49.01</v>
      </c>
      <c r="B3606" s="64" t="s">
        <v>10409</v>
      </c>
      <c r="C3606" s="47"/>
      <c r="D3606" s="47"/>
      <c r="E3606" s="47"/>
    </row>
    <row r="3607" spans="1:5" ht="45" x14ac:dyDescent="0.2">
      <c r="A3607" s="65" t="s">
        <v>10410</v>
      </c>
      <c r="B3607" s="65" t="s">
        <v>10411</v>
      </c>
      <c r="C3607" s="67" t="s">
        <v>203</v>
      </c>
      <c r="D3607" s="69" t="s">
        <v>533</v>
      </c>
      <c r="E3607" s="69" t="s">
        <v>10412</v>
      </c>
    </row>
    <row r="3608" spans="1:5" ht="45" x14ac:dyDescent="0.2">
      <c r="A3608" s="65" t="s">
        <v>10413</v>
      </c>
      <c r="B3608" s="65" t="s">
        <v>10414</v>
      </c>
      <c r="C3608" s="67" t="s">
        <v>203</v>
      </c>
      <c r="D3608" s="69" t="s">
        <v>10415</v>
      </c>
      <c r="E3608" s="69" t="s">
        <v>10416</v>
      </c>
    </row>
    <row r="3609" spans="1:5" ht="45" x14ac:dyDescent="0.2">
      <c r="A3609" s="65" t="s">
        <v>10417</v>
      </c>
      <c r="B3609" s="65" t="s">
        <v>10418</v>
      </c>
      <c r="C3609" s="67" t="s">
        <v>203</v>
      </c>
      <c r="D3609" s="69" t="s">
        <v>10419</v>
      </c>
      <c r="E3609" s="69" t="s">
        <v>10420</v>
      </c>
    </row>
    <row r="3610" spans="1:5" ht="45" x14ac:dyDescent="0.2">
      <c r="A3610" s="65" t="s">
        <v>10421</v>
      </c>
      <c r="B3610" s="65" t="s">
        <v>10422</v>
      </c>
      <c r="C3610" s="67" t="s">
        <v>203</v>
      </c>
      <c r="D3610" s="69" t="s">
        <v>10423</v>
      </c>
      <c r="E3610" s="69" t="s">
        <v>10424</v>
      </c>
    </row>
    <row r="3611" spans="1:5" ht="45" x14ac:dyDescent="0.2">
      <c r="A3611" s="65" t="s">
        <v>10425</v>
      </c>
      <c r="B3611" s="65" t="s">
        <v>10426</v>
      </c>
      <c r="C3611" s="67" t="s">
        <v>203</v>
      </c>
      <c r="D3611" s="69" t="s">
        <v>10427</v>
      </c>
      <c r="E3611" s="69" t="s">
        <v>10428</v>
      </c>
    </row>
    <row r="3612" spans="1:5" ht="45" x14ac:dyDescent="0.2">
      <c r="A3612" s="65" t="s">
        <v>10429</v>
      </c>
      <c r="B3612" s="65" t="s">
        <v>10430</v>
      </c>
      <c r="C3612" s="67" t="s">
        <v>203</v>
      </c>
      <c r="D3612" s="69" t="s">
        <v>10431</v>
      </c>
      <c r="E3612" s="69" t="s">
        <v>10432</v>
      </c>
    </row>
    <row r="3613" spans="1:5" x14ac:dyDescent="0.2">
      <c r="A3613" s="50">
        <v>49.03</v>
      </c>
      <c r="B3613" s="64" t="s">
        <v>10433</v>
      </c>
      <c r="C3613" s="47"/>
      <c r="D3613" s="47"/>
      <c r="E3613" s="47"/>
    </row>
    <row r="3614" spans="1:5" ht="33.75" x14ac:dyDescent="0.2">
      <c r="A3614" s="65" t="s">
        <v>10434</v>
      </c>
      <c r="B3614" s="65" t="s">
        <v>10435</v>
      </c>
      <c r="C3614" s="67" t="s">
        <v>203</v>
      </c>
      <c r="D3614" s="69" t="s">
        <v>10436</v>
      </c>
      <c r="E3614" s="69" t="s">
        <v>10438</v>
      </c>
    </row>
    <row r="3615" spans="1:5" ht="67.5" x14ac:dyDescent="0.2">
      <c r="A3615" s="65" t="s">
        <v>10439</v>
      </c>
      <c r="B3615" s="66" t="s">
        <v>10440</v>
      </c>
      <c r="C3615" s="67" t="s">
        <v>203</v>
      </c>
      <c r="D3615" s="69" t="s">
        <v>267</v>
      </c>
      <c r="E3615" s="69" t="s">
        <v>10442</v>
      </c>
    </row>
    <row r="3616" spans="1:5" ht="45" x14ac:dyDescent="0.2">
      <c r="A3616" s="65" t="s">
        <v>10443</v>
      </c>
      <c r="B3616" s="65" t="s">
        <v>10444</v>
      </c>
      <c r="C3616" s="67" t="s">
        <v>203</v>
      </c>
      <c r="D3616" s="69" t="s">
        <v>10445</v>
      </c>
      <c r="E3616" s="69" t="s">
        <v>10446</v>
      </c>
    </row>
    <row r="3617" spans="1:5" x14ac:dyDescent="0.2">
      <c r="A3617" s="50">
        <v>49.04</v>
      </c>
      <c r="B3617" s="64" t="s">
        <v>10447</v>
      </c>
      <c r="C3617" s="47"/>
      <c r="D3617" s="47"/>
      <c r="E3617" s="47"/>
    </row>
    <row r="3618" spans="1:5" ht="33.75" x14ac:dyDescent="0.2">
      <c r="A3618" s="65" t="s">
        <v>10448</v>
      </c>
      <c r="B3618" s="65" t="s">
        <v>10449</v>
      </c>
      <c r="C3618" s="67" t="s">
        <v>203</v>
      </c>
      <c r="D3618" s="69" t="s">
        <v>10450</v>
      </c>
      <c r="E3618" s="69" t="s">
        <v>10451</v>
      </c>
    </row>
    <row r="3619" spans="1:5" ht="22.5" x14ac:dyDescent="0.2">
      <c r="A3619" s="50">
        <v>49.05</v>
      </c>
      <c r="B3619" s="64" t="s">
        <v>10452</v>
      </c>
      <c r="C3619" s="47"/>
      <c r="D3619" s="47"/>
      <c r="E3619" s="47"/>
    </row>
    <row r="3620" spans="1:5" ht="56.25" x14ac:dyDescent="0.2">
      <c r="A3620" s="65" t="s">
        <v>10453</v>
      </c>
      <c r="B3620" s="66" t="s">
        <v>10454</v>
      </c>
      <c r="C3620" s="67" t="s">
        <v>203</v>
      </c>
      <c r="D3620" s="69" t="s">
        <v>10455</v>
      </c>
      <c r="E3620" s="69" t="s">
        <v>10456</v>
      </c>
    </row>
    <row r="3621" spans="1:5" ht="45" x14ac:dyDescent="0.2">
      <c r="A3621" s="65" t="s">
        <v>10457</v>
      </c>
      <c r="B3621" s="65" t="s">
        <v>10458</v>
      </c>
      <c r="C3621" s="67" t="s">
        <v>203</v>
      </c>
      <c r="D3621" s="69" t="s">
        <v>10459</v>
      </c>
      <c r="E3621" s="69" t="s">
        <v>10460</v>
      </c>
    </row>
    <row r="3622" spans="1:5" x14ac:dyDescent="0.2">
      <c r="A3622" s="50">
        <v>49.06</v>
      </c>
      <c r="B3622" s="64" t="s">
        <v>10461</v>
      </c>
      <c r="C3622" s="47"/>
      <c r="D3622" s="47"/>
      <c r="E3622" s="47"/>
    </row>
    <row r="3623" spans="1:5" ht="33.75" x14ac:dyDescent="0.2">
      <c r="A3623" s="65" t="s">
        <v>10462</v>
      </c>
      <c r="B3623" s="65" t="s">
        <v>10463</v>
      </c>
      <c r="C3623" s="67" t="s">
        <v>203</v>
      </c>
      <c r="D3623" s="69" t="s">
        <v>8961</v>
      </c>
      <c r="E3623" s="69" t="s">
        <v>10464</v>
      </c>
    </row>
    <row r="3624" spans="1:5" ht="33.75" x14ac:dyDescent="0.2">
      <c r="A3624" s="65" t="s">
        <v>10465</v>
      </c>
      <c r="B3624" s="65" t="s">
        <v>10466</v>
      </c>
      <c r="C3624" s="67" t="s">
        <v>204</v>
      </c>
      <c r="D3624" s="69" t="s">
        <v>10467</v>
      </c>
      <c r="E3624" s="69" t="s">
        <v>10468</v>
      </c>
    </row>
    <row r="3625" spans="1:5" ht="33.75" x14ac:dyDescent="0.2">
      <c r="A3625" s="65" t="s">
        <v>10469</v>
      </c>
      <c r="B3625" s="65" t="s">
        <v>10470</v>
      </c>
      <c r="C3625" s="67" t="s">
        <v>203</v>
      </c>
      <c r="D3625" s="69" t="s">
        <v>10471</v>
      </c>
      <c r="E3625" s="69" t="s">
        <v>10472</v>
      </c>
    </row>
    <row r="3626" spans="1:5" ht="33.75" x14ac:dyDescent="0.2">
      <c r="A3626" s="65" t="s">
        <v>10473</v>
      </c>
      <c r="B3626" s="65" t="s">
        <v>10474</v>
      </c>
      <c r="C3626" s="67" t="s">
        <v>203</v>
      </c>
      <c r="D3626" s="69" t="s">
        <v>10475</v>
      </c>
      <c r="E3626" s="69" t="s">
        <v>10476</v>
      </c>
    </row>
    <row r="3627" spans="1:5" ht="33.75" x14ac:dyDescent="0.2">
      <c r="A3627" s="65" t="s">
        <v>10477</v>
      </c>
      <c r="B3627" s="65" t="s">
        <v>10478</v>
      </c>
      <c r="C3627" s="67" t="s">
        <v>203</v>
      </c>
      <c r="D3627" s="69" t="s">
        <v>10479</v>
      </c>
      <c r="E3627" s="69" t="s">
        <v>10480</v>
      </c>
    </row>
    <row r="3628" spans="1:5" ht="33.75" x14ac:dyDescent="0.2">
      <c r="A3628" s="65" t="s">
        <v>10481</v>
      </c>
      <c r="B3628" s="65" t="s">
        <v>10482</v>
      </c>
      <c r="C3628" s="67" t="s">
        <v>203</v>
      </c>
      <c r="D3628" s="69" t="s">
        <v>1411</v>
      </c>
      <c r="E3628" s="69" t="s">
        <v>10483</v>
      </c>
    </row>
    <row r="3629" spans="1:5" ht="45" x14ac:dyDescent="0.2">
      <c r="A3629" s="65" t="s">
        <v>10484</v>
      </c>
      <c r="B3629" s="65" t="s">
        <v>10485</v>
      </c>
      <c r="C3629" s="67" t="s">
        <v>204</v>
      </c>
      <c r="D3629" s="69" t="s">
        <v>10486</v>
      </c>
      <c r="E3629" s="69" t="s">
        <v>10487</v>
      </c>
    </row>
    <row r="3630" spans="1:5" ht="45" x14ac:dyDescent="0.2">
      <c r="A3630" s="65" t="s">
        <v>10488</v>
      </c>
      <c r="B3630" s="65" t="s">
        <v>10489</v>
      </c>
      <c r="C3630" s="67" t="s">
        <v>204</v>
      </c>
      <c r="D3630" s="69" t="s">
        <v>10490</v>
      </c>
      <c r="E3630" s="69" t="s">
        <v>10491</v>
      </c>
    </row>
    <row r="3631" spans="1:5" ht="45" x14ac:dyDescent="0.2">
      <c r="A3631" s="65" t="s">
        <v>10492</v>
      </c>
      <c r="B3631" s="65" t="s">
        <v>10493</v>
      </c>
      <c r="C3631" s="67" t="s">
        <v>203</v>
      </c>
      <c r="D3631" s="69" t="s">
        <v>8817</v>
      </c>
      <c r="E3631" s="69" t="s">
        <v>10494</v>
      </c>
    </row>
    <row r="3632" spans="1:5" ht="67.5" x14ac:dyDescent="0.2">
      <c r="A3632" s="65" t="s">
        <v>10495</v>
      </c>
      <c r="B3632" s="66" t="s">
        <v>10496</v>
      </c>
      <c r="C3632" s="67" t="s">
        <v>203</v>
      </c>
      <c r="D3632" s="69" t="s">
        <v>10497</v>
      </c>
      <c r="E3632" s="69" t="s">
        <v>10498</v>
      </c>
    </row>
    <row r="3633" spans="1:5" ht="67.5" x14ac:dyDescent="0.2">
      <c r="A3633" s="65" t="s">
        <v>10499</v>
      </c>
      <c r="B3633" s="66" t="s">
        <v>10500</v>
      </c>
      <c r="C3633" s="67" t="s">
        <v>203</v>
      </c>
      <c r="D3633" s="69" t="s">
        <v>10501</v>
      </c>
      <c r="E3633" s="69" t="s">
        <v>10502</v>
      </c>
    </row>
    <row r="3634" spans="1:5" ht="56.25" x14ac:dyDescent="0.2">
      <c r="A3634" s="65" t="s">
        <v>10503</v>
      </c>
      <c r="B3634" s="66" t="s">
        <v>10504</v>
      </c>
      <c r="C3634" s="67" t="s">
        <v>203</v>
      </c>
      <c r="D3634" s="69" t="s">
        <v>10505</v>
      </c>
      <c r="E3634" s="69" t="s">
        <v>10506</v>
      </c>
    </row>
    <row r="3635" spans="1:5" ht="56.25" x14ac:dyDescent="0.2">
      <c r="A3635" s="65" t="s">
        <v>10507</v>
      </c>
      <c r="B3635" s="66" t="s">
        <v>10508</v>
      </c>
      <c r="C3635" s="67" t="s">
        <v>203</v>
      </c>
      <c r="D3635" s="69" t="s">
        <v>10509</v>
      </c>
      <c r="E3635" s="69" t="s">
        <v>10510</v>
      </c>
    </row>
    <row r="3636" spans="1:5" ht="56.25" x14ac:dyDescent="0.2">
      <c r="A3636" s="65" t="s">
        <v>10511</v>
      </c>
      <c r="B3636" s="66" t="s">
        <v>10512</v>
      </c>
      <c r="C3636" s="67" t="s">
        <v>203</v>
      </c>
      <c r="D3636" s="69" t="s">
        <v>10513</v>
      </c>
      <c r="E3636" s="69" t="s">
        <v>10514</v>
      </c>
    </row>
    <row r="3637" spans="1:5" ht="56.25" x14ac:dyDescent="0.2">
      <c r="A3637" s="65" t="s">
        <v>10515</v>
      </c>
      <c r="B3637" s="66" t="s">
        <v>10516</v>
      </c>
      <c r="C3637" s="67" t="s">
        <v>203</v>
      </c>
      <c r="D3637" s="69" t="s">
        <v>10517</v>
      </c>
      <c r="E3637" s="69" t="s">
        <v>10518</v>
      </c>
    </row>
    <row r="3638" spans="1:5" ht="56.25" x14ac:dyDescent="0.2">
      <c r="A3638" s="65" t="s">
        <v>10519</v>
      </c>
      <c r="B3638" s="66" t="s">
        <v>10520</v>
      </c>
      <c r="C3638" s="67" t="s">
        <v>203</v>
      </c>
      <c r="D3638" s="69" t="s">
        <v>10521</v>
      </c>
      <c r="E3638" s="69" t="s">
        <v>429</v>
      </c>
    </row>
    <row r="3639" spans="1:5" ht="56.25" x14ac:dyDescent="0.2">
      <c r="A3639" s="65" t="s">
        <v>10522</v>
      </c>
      <c r="B3639" s="66" t="s">
        <v>10523</v>
      </c>
      <c r="C3639" s="67" t="s">
        <v>203</v>
      </c>
      <c r="D3639" s="69" t="s">
        <v>10524</v>
      </c>
      <c r="E3639" s="69" t="s">
        <v>10525</v>
      </c>
    </row>
    <row r="3640" spans="1:5" ht="56.25" x14ac:dyDescent="0.2">
      <c r="A3640" s="65" t="s">
        <v>10526</v>
      </c>
      <c r="B3640" s="66" t="s">
        <v>10527</v>
      </c>
      <c r="C3640" s="67" t="s">
        <v>203</v>
      </c>
      <c r="D3640" s="69" t="s">
        <v>10528</v>
      </c>
      <c r="E3640" s="69" t="s">
        <v>10529</v>
      </c>
    </row>
    <row r="3641" spans="1:5" ht="67.5" x14ac:dyDescent="0.2">
      <c r="A3641" s="65" t="s">
        <v>10530</v>
      </c>
      <c r="B3641" s="66" t="s">
        <v>10531</v>
      </c>
      <c r="C3641" s="67" t="s">
        <v>203</v>
      </c>
      <c r="D3641" s="69" t="s">
        <v>10532</v>
      </c>
      <c r="E3641" s="69" t="s">
        <v>10533</v>
      </c>
    </row>
    <row r="3642" spans="1:5" ht="67.5" x14ac:dyDescent="0.2">
      <c r="A3642" s="65" t="s">
        <v>10534</v>
      </c>
      <c r="B3642" s="66" t="s">
        <v>10535</v>
      </c>
      <c r="C3642" s="67" t="s">
        <v>221</v>
      </c>
      <c r="D3642" s="69" t="s">
        <v>10536</v>
      </c>
      <c r="E3642" s="69" t="s">
        <v>10538</v>
      </c>
    </row>
    <row r="3643" spans="1:5" ht="67.5" x14ac:dyDescent="0.2">
      <c r="A3643" s="65" t="s">
        <v>10539</v>
      </c>
      <c r="B3643" s="66" t="s">
        <v>10540</v>
      </c>
      <c r="C3643" s="67" t="s">
        <v>221</v>
      </c>
      <c r="D3643" s="69" t="s">
        <v>10541</v>
      </c>
      <c r="E3643" s="69" t="s">
        <v>10542</v>
      </c>
    </row>
    <row r="3644" spans="1:5" ht="22.5" x14ac:dyDescent="0.2">
      <c r="A3644" s="50">
        <v>49.08</v>
      </c>
      <c r="B3644" s="64" t="s">
        <v>10543</v>
      </c>
      <c r="C3644" s="47"/>
      <c r="D3644" s="47"/>
      <c r="E3644" s="47"/>
    </row>
    <row r="3645" spans="1:5" ht="33.75" x14ac:dyDescent="0.2">
      <c r="A3645" s="65" t="s">
        <v>10544</v>
      </c>
      <c r="B3645" s="65" t="s">
        <v>10545</v>
      </c>
      <c r="C3645" s="67" t="s">
        <v>203</v>
      </c>
      <c r="D3645" s="69" t="s">
        <v>10546</v>
      </c>
      <c r="E3645" s="69" t="s">
        <v>10547</v>
      </c>
    </row>
    <row r="3646" spans="1:5" x14ac:dyDescent="0.2">
      <c r="A3646" s="50">
        <v>49.11</v>
      </c>
      <c r="B3646" s="64" t="s">
        <v>10548</v>
      </c>
      <c r="C3646" s="47"/>
      <c r="D3646" s="47"/>
      <c r="E3646" s="47"/>
    </row>
    <row r="3647" spans="1:5" ht="33.75" x14ac:dyDescent="0.2">
      <c r="A3647" s="65" t="s">
        <v>10549</v>
      </c>
      <c r="B3647" s="65" t="s">
        <v>10550</v>
      </c>
      <c r="C3647" s="67" t="s">
        <v>221</v>
      </c>
      <c r="D3647" s="69" t="s">
        <v>10551</v>
      </c>
      <c r="E3647" s="69" t="s">
        <v>10552</v>
      </c>
    </row>
    <row r="3648" spans="1:5" ht="56.25" x14ac:dyDescent="0.2">
      <c r="A3648" s="65" t="s">
        <v>10553</v>
      </c>
      <c r="B3648" s="66" t="s">
        <v>10554</v>
      </c>
      <c r="C3648" s="67" t="s">
        <v>221</v>
      </c>
      <c r="D3648" s="69" t="s">
        <v>10555</v>
      </c>
      <c r="E3648" s="69" t="s">
        <v>10556</v>
      </c>
    </row>
    <row r="3649" spans="1:5" ht="56.25" x14ac:dyDescent="0.2">
      <c r="A3649" s="65" t="s">
        <v>10557</v>
      </c>
      <c r="B3649" s="66" t="s">
        <v>10558</v>
      </c>
      <c r="C3649" s="67" t="s">
        <v>221</v>
      </c>
      <c r="D3649" s="69" t="s">
        <v>10559</v>
      </c>
      <c r="E3649" s="69" t="s">
        <v>10560</v>
      </c>
    </row>
    <row r="3650" spans="1:5" ht="33.75" x14ac:dyDescent="0.2">
      <c r="A3650" s="50">
        <v>49.12</v>
      </c>
      <c r="B3650" s="64" t="s">
        <v>10561</v>
      </c>
      <c r="C3650" s="47"/>
      <c r="D3650" s="47"/>
      <c r="E3650" s="47"/>
    </row>
    <row r="3651" spans="1:5" ht="33.75" x14ac:dyDescent="0.2">
      <c r="A3651" s="65" t="s">
        <v>10562</v>
      </c>
      <c r="B3651" s="65" t="s">
        <v>10563</v>
      </c>
      <c r="C3651" s="67" t="s">
        <v>203</v>
      </c>
      <c r="D3651" s="69" t="s">
        <v>10564</v>
      </c>
      <c r="E3651" s="69" t="s">
        <v>10566</v>
      </c>
    </row>
    <row r="3652" spans="1:5" ht="33.75" x14ac:dyDescent="0.2">
      <c r="A3652" s="65" t="s">
        <v>10567</v>
      </c>
      <c r="B3652" s="65" t="s">
        <v>10568</v>
      </c>
      <c r="C3652" s="67" t="s">
        <v>203</v>
      </c>
      <c r="D3652" s="69" t="s">
        <v>10569</v>
      </c>
      <c r="E3652" s="69" t="s">
        <v>10571</v>
      </c>
    </row>
    <row r="3653" spans="1:5" ht="33.75" x14ac:dyDescent="0.2">
      <c r="A3653" s="65" t="s">
        <v>10572</v>
      </c>
      <c r="B3653" s="65" t="s">
        <v>10573</v>
      </c>
      <c r="C3653" s="67" t="s">
        <v>203</v>
      </c>
      <c r="D3653" s="69" t="s">
        <v>10574</v>
      </c>
      <c r="E3653" s="69" t="s">
        <v>10576</v>
      </c>
    </row>
    <row r="3654" spans="1:5" ht="33.75" x14ac:dyDescent="0.2">
      <c r="A3654" s="65" t="s">
        <v>10577</v>
      </c>
      <c r="B3654" s="65" t="s">
        <v>10578</v>
      </c>
      <c r="C3654" s="67" t="s">
        <v>203</v>
      </c>
      <c r="D3654" s="69" t="s">
        <v>10579</v>
      </c>
      <c r="E3654" s="69" t="s">
        <v>10581</v>
      </c>
    </row>
    <row r="3655" spans="1:5" ht="33.75" x14ac:dyDescent="0.2">
      <c r="A3655" s="65" t="s">
        <v>10582</v>
      </c>
      <c r="B3655" s="65" t="s">
        <v>10583</v>
      </c>
      <c r="C3655" s="67" t="s">
        <v>203</v>
      </c>
      <c r="D3655" s="69" t="s">
        <v>10584</v>
      </c>
      <c r="E3655" s="69" t="s">
        <v>10586</v>
      </c>
    </row>
    <row r="3656" spans="1:5" ht="56.25" x14ac:dyDescent="0.2">
      <c r="A3656" s="65" t="s">
        <v>10587</v>
      </c>
      <c r="B3656" s="66" t="s">
        <v>10588</v>
      </c>
      <c r="C3656" s="67" t="s">
        <v>221</v>
      </c>
      <c r="D3656" s="69" t="s">
        <v>10589</v>
      </c>
      <c r="E3656" s="69" t="s">
        <v>10591</v>
      </c>
    </row>
    <row r="3657" spans="1:5" ht="33.75" x14ac:dyDescent="0.2">
      <c r="A3657" s="65" t="s">
        <v>10592</v>
      </c>
      <c r="B3657" s="65" t="s">
        <v>10593</v>
      </c>
      <c r="C3657" s="67" t="s">
        <v>203</v>
      </c>
      <c r="D3657" s="69" t="s">
        <v>10594</v>
      </c>
      <c r="E3657" s="69" t="s">
        <v>10596</v>
      </c>
    </row>
    <row r="3658" spans="1:5" x14ac:dyDescent="0.2">
      <c r="A3658" s="50">
        <v>49.13</v>
      </c>
      <c r="B3658" s="64" t="s">
        <v>10597</v>
      </c>
      <c r="C3658" s="47"/>
      <c r="D3658" s="47"/>
      <c r="E3658" s="47"/>
    </row>
    <row r="3659" spans="1:5" ht="56.25" x14ac:dyDescent="0.2">
      <c r="A3659" s="65" t="s">
        <v>10598</v>
      </c>
      <c r="B3659" s="66" t="s">
        <v>10599</v>
      </c>
      <c r="C3659" s="67" t="s">
        <v>203</v>
      </c>
      <c r="D3659" s="69" t="s">
        <v>10600</v>
      </c>
      <c r="E3659" s="69" t="s">
        <v>10602</v>
      </c>
    </row>
    <row r="3660" spans="1:5" ht="56.25" x14ac:dyDescent="0.2">
      <c r="A3660" s="65" t="s">
        <v>10603</v>
      </c>
      <c r="B3660" s="66" t="s">
        <v>10604</v>
      </c>
      <c r="C3660" s="67" t="s">
        <v>203</v>
      </c>
      <c r="D3660" s="69" t="s">
        <v>10605</v>
      </c>
      <c r="E3660" s="69" t="s">
        <v>10607</v>
      </c>
    </row>
    <row r="3661" spans="1:5" ht="56.25" x14ac:dyDescent="0.2">
      <c r="A3661" s="65" t="s">
        <v>10608</v>
      </c>
      <c r="B3661" s="66" t="s">
        <v>10609</v>
      </c>
      <c r="C3661" s="67" t="s">
        <v>203</v>
      </c>
      <c r="D3661" s="69" t="s">
        <v>10610</v>
      </c>
      <c r="E3661" s="69" t="s">
        <v>10612</v>
      </c>
    </row>
    <row r="3662" spans="1:5" ht="56.25" x14ac:dyDescent="0.2">
      <c r="A3662" s="65" t="s">
        <v>10613</v>
      </c>
      <c r="B3662" s="66" t="s">
        <v>10614</v>
      </c>
      <c r="C3662" s="67" t="s">
        <v>203</v>
      </c>
      <c r="D3662" s="69" t="s">
        <v>10615</v>
      </c>
      <c r="E3662" s="69" t="s">
        <v>10617</v>
      </c>
    </row>
    <row r="3663" spans="1:5" x14ac:dyDescent="0.2">
      <c r="A3663" s="50">
        <v>49.14</v>
      </c>
      <c r="B3663" s="64" t="s">
        <v>10618</v>
      </c>
      <c r="C3663" s="47"/>
      <c r="D3663" s="47"/>
      <c r="E3663" s="47"/>
    </row>
    <row r="3664" spans="1:5" ht="78.75" x14ac:dyDescent="0.2">
      <c r="A3664" s="65" t="s">
        <v>10619</v>
      </c>
      <c r="B3664" s="66" t="s">
        <v>10620</v>
      </c>
      <c r="C3664" s="67" t="s">
        <v>203</v>
      </c>
      <c r="D3664" s="69" t="s">
        <v>10621</v>
      </c>
      <c r="E3664" s="69" t="s">
        <v>10623</v>
      </c>
    </row>
    <row r="3665" spans="1:5" ht="78.75" x14ac:dyDescent="0.2">
      <c r="A3665" s="65" t="s">
        <v>10624</v>
      </c>
      <c r="B3665" s="66" t="s">
        <v>10625</v>
      </c>
      <c r="C3665" s="67" t="s">
        <v>203</v>
      </c>
      <c r="D3665" s="69" t="s">
        <v>10626</v>
      </c>
      <c r="E3665" s="69" t="s">
        <v>10628</v>
      </c>
    </row>
    <row r="3666" spans="1:5" ht="78.75" x14ac:dyDescent="0.2">
      <c r="A3666" s="65" t="s">
        <v>10629</v>
      </c>
      <c r="B3666" s="66" t="s">
        <v>10630</v>
      </c>
      <c r="C3666" s="67" t="s">
        <v>203</v>
      </c>
      <c r="D3666" s="69" t="s">
        <v>10631</v>
      </c>
      <c r="E3666" s="69" t="s">
        <v>10633</v>
      </c>
    </row>
    <row r="3667" spans="1:5" ht="22.5" x14ac:dyDescent="0.2">
      <c r="A3667" s="65" t="s">
        <v>10634</v>
      </c>
      <c r="B3667" s="65" t="s">
        <v>10635</v>
      </c>
      <c r="C3667" s="67" t="s">
        <v>221</v>
      </c>
      <c r="D3667" s="69" t="s">
        <v>10636</v>
      </c>
      <c r="E3667" s="69" t="s">
        <v>10638</v>
      </c>
    </row>
    <row r="3668" spans="1:5" ht="67.5" x14ac:dyDescent="0.2">
      <c r="A3668" s="65" t="s">
        <v>10639</v>
      </c>
      <c r="B3668" s="66" t="s">
        <v>10640</v>
      </c>
      <c r="C3668" s="67" t="s">
        <v>203</v>
      </c>
      <c r="D3668" s="69" t="s">
        <v>10641</v>
      </c>
      <c r="E3668" s="69" t="s">
        <v>10642</v>
      </c>
    </row>
    <row r="3669" spans="1:5" ht="22.5" x14ac:dyDescent="0.2">
      <c r="A3669" s="50">
        <v>49.15</v>
      </c>
      <c r="B3669" s="64" t="s">
        <v>10643</v>
      </c>
      <c r="C3669" s="47"/>
      <c r="D3669" s="47"/>
      <c r="E3669" s="47"/>
    </row>
    <row r="3670" spans="1:5" ht="33.75" x14ac:dyDescent="0.2">
      <c r="A3670" s="65" t="s">
        <v>10644</v>
      </c>
      <c r="B3670" s="65" t="s">
        <v>10645</v>
      </c>
      <c r="C3670" s="67" t="s">
        <v>221</v>
      </c>
      <c r="D3670" s="69" t="s">
        <v>10646</v>
      </c>
      <c r="E3670" s="69" t="s">
        <v>10647</v>
      </c>
    </row>
    <row r="3671" spans="1:5" ht="33.75" x14ac:dyDescent="0.2">
      <c r="A3671" s="65" t="s">
        <v>10648</v>
      </c>
      <c r="B3671" s="65" t="s">
        <v>10649</v>
      </c>
      <c r="C3671" s="67" t="s">
        <v>221</v>
      </c>
      <c r="D3671" s="69" t="s">
        <v>10650</v>
      </c>
      <c r="E3671" s="69" t="s">
        <v>10651</v>
      </c>
    </row>
    <row r="3672" spans="1:5" ht="33.75" x14ac:dyDescent="0.2">
      <c r="A3672" s="65" t="s">
        <v>10652</v>
      </c>
      <c r="B3672" s="65" t="s">
        <v>10653</v>
      </c>
      <c r="C3672" s="67" t="s">
        <v>221</v>
      </c>
      <c r="D3672" s="69" t="s">
        <v>10654</v>
      </c>
      <c r="E3672" s="69" t="s">
        <v>10655</v>
      </c>
    </row>
    <row r="3673" spans="1:5" ht="33.75" x14ac:dyDescent="0.2">
      <c r="A3673" s="65" t="s">
        <v>10656</v>
      </c>
      <c r="B3673" s="65" t="s">
        <v>10657</v>
      </c>
      <c r="C3673" s="67" t="s">
        <v>221</v>
      </c>
      <c r="D3673" s="69" t="s">
        <v>10658</v>
      </c>
      <c r="E3673" s="69" t="s">
        <v>10660</v>
      </c>
    </row>
    <row r="3674" spans="1:5" ht="33.75" x14ac:dyDescent="0.2">
      <c r="A3674" s="65" t="s">
        <v>10661</v>
      </c>
      <c r="B3674" s="65" t="s">
        <v>10662</v>
      </c>
      <c r="C3674" s="67" t="s">
        <v>221</v>
      </c>
      <c r="D3674" s="69" t="s">
        <v>10663</v>
      </c>
      <c r="E3674" s="69" t="s">
        <v>10664</v>
      </c>
    </row>
    <row r="3675" spans="1:5" ht="33.75" x14ac:dyDescent="0.2">
      <c r="A3675" s="65" t="s">
        <v>10665</v>
      </c>
      <c r="B3675" s="65" t="s">
        <v>10666</v>
      </c>
      <c r="C3675" s="67" t="s">
        <v>221</v>
      </c>
      <c r="D3675" s="69" t="s">
        <v>10667</v>
      </c>
      <c r="E3675" s="69" t="s">
        <v>10669</v>
      </c>
    </row>
    <row r="3676" spans="1:5" ht="33.75" x14ac:dyDescent="0.2">
      <c r="A3676" s="50">
        <v>49.16</v>
      </c>
      <c r="B3676" s="64" t="s">
        <v>10670</v>
      </c>
      <c r="C3676" s="47"/>
      <c r="D3676" s="47"/>
      <c r="E3676" s="47"/>
    </row>
    <row r="3677" spans="1:5" ht="22.5" x14ac:dyDescent="0.2">
      <c r="A3677" s="65" t="s">
        <v>10671</v>
      </c>
      <c r="B3677" s="65" t="s">
        <v>10672</v>
      </c>
      <c r="C3677" s="67" t="s">
        <v>203</v>
      </c>
      <c r="D3677" s="69" t="s">
        <v>10673</v>
      </c>
      <c r="E3677" s="69" t="s">
        <v>10674</v>
      </c>
    </row>
    <row r="3678" spans="1:5" ht="45" x14ac:dyDescent="0.2">
      <c r="A3678" s="65" t="s">
        <v>10675</v>
      </c>
      <c r="B3678" s="65" t="s">
        <v>10676</v>
      </c>
      <c r="C3678" s="67" t="s">
        <v>203</v>
      </c>
      <c r="D3678" s="69" t="s">
        <v>10677</v>
      </c>
      <c r="E3678" s="69" t="s">
        <v>10678</v>
      </c>
    </row>
    <row r="3679" spans="1:5" ht="33.75" x14ac:dyDescent="0.2">
      <c r="A3679" s="49">
        <v>50</v>
      </c>
      <c r="B3679" s="64" t="s">
        <v>10679</v>
      </c>
      <c r="C3679" s="47"/>
      <c r="D3679" s="47"/>
      <c r="E3679" s="47"/>
    </row>
    <row r="3680" spans="1:5" ht="22.5" x14ac:dyDescent="0.2">
      <c r="A3680" s="50">
        <v>50.01</v>
      </c>
      <c r="B3680" s="64" t="s">
        <v>10680</v>
      </c>
      <c r="C3680" s="47"/>
      <c r="D3680" s="47"/>
      <c r="E3680" s="47"/>
    </row>
    <row r="3681" spans="1:5" ht="56.25" x14ac:dyDescent="0.2">
      <c r="A3681" s="65" t="s">
        <v>10681</v>
      </c>
      <c r="B3681" s="66" t="s">
        <v>10682</v>
      </c>
      <c r="C3681" s="67" t="s">
        <v>203</v>
      </c>
      <c r="D3681" s="69" t="s">
        <v>10683</v>
      </c>
      <c r="E3681" s="69" t="s">
        <v>10684</v>
      </c>
    </row>
    <row r="3682" spans="1:5" ht="33.75" x14ac:dyDescent="0.2">
      <c r="A3682" s="65" t="s">
        <v>10685</v>
      </c>
      <c r="B3682" s="65" t="s">
        <v>10686</v>
      </c>
      <c r="C3682" s="67" t="s">
        <v>203</v>
      </c>
      <c r="D3682" s="69" t="s">
        <v>10687</v>
      </c>
      <c r="E3682" s="69" t="s">
        <v>10688</v>
      </c>
    </row>
    <row r="3683" spans="1:5" ht="45" x14ac:dyDescent="0.2">
      <c r="A3683" s="65" t="s">
        <v>10689</v>
      </c>
      <c r="B3683" s="65" t="s">
        <v>10690</v>
      </c>
      <c r="C3683" s="67" t="s">
        <v>221</v>
      </c>
      <c r="D3683" s="69" t="s">
        <v>10691</v>
      </c>
      <c r="E3683" s="69" t="s">
        <v>10692</v>
      </c>
    </row>
    <row r="3684" spans="1:5" ht="45" x14ac:dyDescent="0.2">
      <c r="A3684" s="65" t="s">
        <v>10693</v>
      </c>
      <c r="B3684" s="65" t="s">
        <v>10694</v>
      </c>
      <c r="C3684" s="67" t="s">
        <v>203</v>
      </c>
      <c r="D3684" s="69" t="s">
        <v>10695</v>
      </c>
      <c r="E3684" s="69" t="s">
        <v>10696</v>
      </c>
    </row>
    <row r="3685" spans="1:5" ht="45" x14ac:dyDescent="0.2">
      <c r="A3685" s="65" t="s">
        <v>10697</v>
      </c>
      <c r="B3685" s="65" t="s">
        <v>10698</v>
      </c>
      <c r="C3685" s="67" t="s">
        <v>221</v>
      </c>
      <c r="D3685" s="69" t="s">
        <v>4163</v>
      </c>
      <c r="E3685" s="69" t="s">
        <v>10699</v>
      </c>
    </row>
    <row r="3686" spans="1:5" ht="45" x14ac:dyDescent="0.2">
      <c r="A3686" s="65" t="s">
        <v>10700</v>
      </c>
      <c r="B3686" s="65" t="s">
        <v>10701</v>
      </c>
      <c r="C3686" s="67" t="s">
        <v>203</v>
      </c>
      <c r="D3686" s="69" t="s">
        <v>10702</v>
      </c>
      <c r="E3686" s="69" t="s">
        <v>10703</v>
      </c>
    </row>
    <row r="3687" spans="1:5" ht="101.25" x14ac:dyDescent="0.2">
      <c r="A3687" s="70" t="s">
        <v>10704</v>
      </c>
      <c r="B3687" s="66" t="s">
        <v>10705</v>
      </c>
      <c r="C3687" s="71" t="s">
        <v>203</v>
      </c>
      <c r="D3687" s="72" t="s">
        <v>10706</v>
      </c>
      <c r="E3687" s="72" t="s">
        <v>10708</v>
      </c>
    </row>
    <row r="3688" spans="1:5" ht="33.75" x14ac:dyDescent="0.2">
      <c r="A3688" s="65" t="s">
        <v>10709</v>
      </c>
      <c r="B3688" s="65" t="s">
        <v>10710</v>
      </c>
      <c r="C3688" s="67" t="s">
        <v>203</v>
      </c>
      <c r="D3688" s="69" t="s">
        <v>10711</v>
      </c>
      <c r="E3688" s="69" t="s">
        <v>10712</v>
      </c>
    </row>
    <row r="3689" spans="1:5" ht="33.75" x14ac:dyDescent="0.2">
      <c r="A3689" s="65" t="s">
        <v>10713</v>
      </c>
      <c r="B3689" s="65" t="s">
        <v>10714</v>
      </c>
      <c r="C3689" s="67" t="s">
        <v>203</v>
      </c>
      <c r="D3689" s="69" t="s">
        <v>10715</v>
      </c>
      <c r="E3689" s="69" t="s">
        <v>6562</v>
      </c>
    </row>
    <row r="3690" spans="1:5" ht="33.75" x14ac:dyDescent="0.2">
      <c r="A3690" s="65" t="s">
        <v>10716</v>
      </c>
      <c r="B3690" s="65" t="s">
        <v>10717</v>
      </c>
      <c r="C3690" s="67" t="s">
        <v>203</v>
      </c>
      <c r="D3690" s="69" t="s">
        <v>10718</v>
      </c>
      <c r="E3690" s="69" t="s">
        <v>10719</v>
      </c>
    </row>
    <row r="3691" spans="1:5" ht="33.75" x14ac:dyDescent="0.2">
      <c r="A3691" s="65" t="s">
        <v>10720</v>
      </c>
      <c r="B3691" s="65" t="s">
        <v>10721</v>
      </c>
      <c r="C3691" s="67" t="s">
        <v>203</v>
      </c>
      <c r="D3691" s="69" t="s">
        <v>10722</v>
      </c>
      <c r="E3691" s="69" t="s">
        <v>10723</v>
      </c>
    </row>
    <row r="3692" spans="1:5" ht="33.75" x14ac:dyDescent="0.2">
      <c r="A3692" s="65" t="s">
        <v>10724</v>
      </c>
      <c r="B3692" s="65" t="s">
        <v>10725</v>
      </c>
      <c r="C3692" s="67" t="s">
        <v>203</v>
      </c>
      <c r="D3692" s="69" t="s">
        <v>10726</v>
      </c>
      <c r="E3692" s="69" t="s">
        <v>10727</v>
      </c>
    </row>
    <row r="3693" spans="1:5" ht="22.5" x14ac:dyDescent="0.2">
      <c r="A3693" s="65" t="s">
        <v>10728</v>
      </c>
      <c r="B3693" s="65" t="s">
        <v>10729</v>
      </c>
      <c r="C3693" s="67" t="s">
        <v>203</v>
      </c>
      <c r="D3693" s="69" t="s">
        <v>5637</v>
      </c>
      <c r="E3693" s="69" t="s">
        <v>3925</v>
      </c>
    </row>
    <row r="3694" spans="1:5" ht="33.75" x14ac:dyDescent="0.2">
      <c r="A3694" s="65" t="s">
        <v>10730</v>
      </c>
      <c r="B3694" s="65" t="s">
        <v>10731</v>
      </c>
      <c r="C3694" s="67" t="s">
        <v>203</v>
      </c>
      <c r="D3694" s="69" t="s">
        <v>10732</v>
      </c>
      <c r="E3694" s="69" t="s">
        <v>6590</v>
      </c>
    </row>
    <row r="3695" spans="1:5" ht="56.25" x14ac:dyDescent="0.2">
      <c r="A3695" s="65" t="s">
        <v>10733</v>
      </c>
      <c r="B3695" s="66" t="s">
        <v>10734</v>
      </c>
      <c r="C3695" s="74" t="s">
        <v>203</v>
      </c>
      <c r="D3695" s="69" t="s">
        <v>10735</v>
      </c>
      <c r="E3695" s="69" t="s">
        <v>10737</v>
      </c>
    </row>
    <row r="3696" spans="1:5" ht="56.25" x14ac:dyDescent="0.2">
      <c r="A3696" s="65" t="s">
        <v>10738</v>
      </c>
      <c r="B3696" s="66" t="s">
        <v>10739</v>
      </c>
      <c r="C3696" s="74" t="s">
        <v>203</v>
      </c>
      <c r="D3696" s="69" t="s">
        <v>10740</v>
      </c>
      <c r="E3696" s="69" t="s">
        <v>10741</v>
      </c>
    </row>
    <row r="3697" spans="1:5" ht="67.5" x14ac:dyDescent="0.2">
      <c r="A3697" s="65" t="s">
        <v>10742</v>
      </c>
      <c r="B3697" s="66" t="s">
        <v>10743</v>
      </c>
      <c r="C3697" s="74" t="s">
        <v>203</v>
      </c>
      <c r="D3697" s="69" t="s">
        <v>10744</v>
      </c>
      <c r="E3697" s="69" t="s">
        <v>10746</v>
      </c>
    </row>
    <row r="3698" spans="1:5" ht="22.5" x14ac:dyDescent="0.2">
      <c r="A3698" s="50">
        <v>50.02</v>
      </c>
      <c r="B3698" s="64" t="s">
        <v>10747</v>
      </c>
      <c r="C3698" s="47"/>
      <c r="D3698" s="47"/>
      <c r="E3698" s="47"/>
    </row>
    <row r="3699" spans="1:5" ht="45" x14ac:dyDescent="0.2">
      <c r="A3699" s="65" t="s">
        <v>10748</v>
      </c>
      <c r="B3699" s="65" t="s">
        <v>10749</v>
      </c>
      <c r="C3699" s="74" t="s">
        <v>203</v>
      </c>
      <c r="D3699" s="69" t="s">
        <v>10750</v>
      </c>
      <c r="E3699" s="69" t="s">
        <v>10751</v>
      </c>
    </row>
    <row r="3700" spans="1:5" ht="22.5" x14ac:dyDescent="0.2">
      <c r="A3700" s="65" t="s">
        <v>10752</v>
      </c>
      <c r="B3700" s="65" t="s">
        <v>10753</v>
      </c>
      <c r="C3700" s="74" t="s">
        <v>203</v>
      </c>
      <c r="D3700" s="69" t="s">
        <v>10754</v>
      </c>
      <c r="E3700" s="69" t="s">
        <v>10755</v>
      </c>
    </row>
    <row r="3701" spans="1:5" ht="45" x14ac:dyDescent="0.2">
      <c r="A3701" s="65" t="s">
        <v>10756</v>
      </c>
      <c r="B3701" s="65" t="s">
        <v>10757</v>
      </c>
      <c r="C3701" s="74" t="s">
        <v>203</v>
      </c>
      <c r="D3701" s="69" t="s">
        <v>356</v>
      </c>
      <c r="E3701" s="69" t="s">
        <v>10758</v>
      </c>
    </row>
    <row r="3702" spans="1:5" ht="67.5" x14ac:dyDescent="0.2">
      <c r="A3702" s="65" t="s">
        <v>10759</v>
      </c>
      <c r="B3702" s="66" t="s">
        <v>10760</v>
      </c>
      <c r="C3702" s="74" t="s">
        <v>203</v>
      </c>
      <c r="D3702" s="69" t="s">
        <v>10761</v>
      </c>
      <c r="E3702" s="69" t="s">
        <v>10762</v>
      </c>
    </row>
    <row r="3703" spans="1:5" ht="33.75" x14ac:dyDescent="0.2">
      <c r="A3703" s="50">
        <v>50.05</v>
      </c>
      <c r="B3703" s="64" t="s">
        <v>10763</v>
      </c>
      <c r="C3703" s="47"/>
      <c r="D3703" s="47"/>
      <c r="E3703" s="47"/>
    </row>
    <row r="3704" spans="1:5" ht="56.25" x14ac:dyDescent="0.2">
      <c r="A3704" s="65" t="s">
        <v>10764</v>
      </c>
      <c r="B3704" s="65" t="s">
        <v>10765</v>
      </c>
      <c r="C3704" s="74" t="s">
        <v>203</v>
      </c>
      <c r="D3704" s="69" t="s">
        <v>10766</v>
      </c>
      <c r="E3704" s="69" t="s">
        <v>10767</v>
      </c>
    </row>
    <row r="3705" spans="1:5" ht="56.25" x14ac:dyDescent="0.2">
      <c r="A3705" s="65" t="s">
        <v>10768</v>
      </c>
      <c r="B3705" s="65" t="s">
        <v>10769</v>
      </c>
      <c r="C3705" s="74" t="s">
        <v>203</v>
      </c>
      <c r="D3705" s="69" t="s">
        <v>10770</v>
      </c>
      <c r="E3705" s="69" t="s">
        <v>10772</v>
      </c>
    </row>
    <row r="3706" spans="1:5" ht="67.5" x14ac:dyDescent="0.2">
      <c r="A3706" s="65" t="s">
        <v>10773</v>
      </c>
      <c r="B3706" s="66" t="s">
        <v>10774</v>
      </c>
      <c r="C3706" s="74" t="s">
        <v>203</v>
      </c>
      <c r="D3706" s="69" t="s">
        <v>10775</v>
      </c>
      <c r="E3706" s="69" t="s">
        <v>10776</v>
      </c>
    </row>
    <row r="3707" spans="1:5" ht="78.75" x14ac:dyDescent="0.2">
      <c r="A3707" s="65" t="s">
        <v>10777</v>
      </c>
      <c r="B3707" s="66" t="s">
        <v>10778</v>
      </c>
      <c r="C3707" s="74" t="s">
        <v>203</v>
      </c>
      <c r="D3707" s="69" t="s">
        <v>10779</v>
      </c>
      <c r="E3707" s="69" t="s">
        <v>10780</v>
      </c>
    </row>
    <row r="3708" spans="1:5" ht="90" x14ac:dyDescent="0.2">
      <c r="A3708" s="65" t="s">
        <v>10781</v>
      </c>
      <c r="B3708" s="66" t="s">
        <v>10782</v>
      </c>
      <c r="C3708" s="74" t="s">
        <v>203</v>
      </c>
      <c r="D3708" s="69" t="s">
        <v>10783</v>
      </c>
      <c r="E3708" s="69" t="s">
        <v>10784</v>
      </c>
    </row>
    <row r="3709" spans="1:5" ht="33.75" x14ac:dyDescent="0.2">
      <c r="A3709" s="65" t="s">
        <v>10785</v>
      </c>
      <c r="B3709" s="65" t="s">
        <v>10786</v>
      </c>
      <c r="C3709" s="74" t="s">
        <v>203</v>
      </c>
      <c r="D3709" s="69" t="s">
        <v>10787</v>
      </c>
      <c r="E3709" s="69" t="s">
        <v>10788</v>
      </c>
    </row>
    <row r="3710" spans="1:5" ht="45" x14ac:dyDescent="0.2">
      <c r="A3710" s="65" t="s">
        <v>10789</v>
      </c>
      <c r="B3710" s="65" t="s">
        <v>10790</v>
      </c>
      <c r="C3710" s="74" t="s">
        <v>203</v>
      </c>
      <c r="D3710" s="69" t="s">
        <v>10791</v>
      </c>
      <c r="E3710" s="69" t="s">
        <v>10792</v>
      </c>
    </row>
    <row r="3711" spans="1:5" ht="56.25" x14ac:dyDescent="0.2">
      <c r="A3711" s="65" t="s">
        <v>10793</v>
      </c>
      <c r="B3711" s="66" t="s">
        <v>10794</v>
      </c>
      <c r="C3711" s="74" t="s">
        <v>203</v>
      </c>
      <c r="D3711" s="69" t="s">
        <v>10795</v>
      </c>
      <c r="E3711" s="69" t="s">
        <v>10796</v>
      </c>
    </row>
    <row r="3712" spans="1:5" ht="22.5" x14ac:dyDescent="0.2">
      <c r="A3712" s="65" t="s">
        <v>10797</v>
      </c>
      <c r="B3712" s="65" t="s">
        <v>10798</v>
      </c>
      <c r="C3712" s="74" t="s">
        <v>203</v>
      </c>
      <c r="D3712" s="69" t="s">
        <v>10799</v>
      </c>
      <c r="E3712" s="69" t="s">
        <v>10800</v>
      </c>
    </row>
    <row r="3713" spans="1:5" ht="78.75" x14ac:dyDescent="0.2">
      <c r="A3713" s="65" t="s">
        <v>10801</v>
      </c>
      <c r="B3713" s="66" t="s">
        <v>10802</v>
      </c>
      <c r="C3713" s="74" t="s">
        <v>203</v>
      </c>
      <c r="D3713" s="69" t="s">
        <v>10803</v>
      </c>
      <c r="E3713" s="69" t="s">
        <v>10804</v>
      </c>
    </row>
    <row r="3714" spans="1:5" ht="78.75" x14ac:dyDescent="0.2">
      <c r="A3714" s="65" t="s">
        <v>10805</v>
      </c>
      <c r="B3714" s="66" t="s">
        <v>10806</v>
      </c>
      <c r="C3714" s="74" t="s">
        <v>203</v>
      </c>
      <c r="D3714" s="69" t="s">
        <v>10807</v>
      </c>
      <c r="E3714" s="69" t="s">
        <v>10808</v>
      </c>
    </row>
    <row r="3715" spans="1:5" ht="67.5" x14ac:dyDescent="0.2">
      <c r="A3715" s="65" t="s">
        <v>10809</v>
      </c>
      <c r="B3715" s="66" t="s">
        <v>10810</v>
      </c>
      <c r="C3715" s="74" t="s">
        <v>203</v>
      </c>
      <c r="D3715" s="69" t="s">
        <v>10811</v>
      </c>
      <c r="E3715" s="69" t="s">
        <v>10812</v>
      </c>
    </row>
    <row r="3716" spans="1:5" ht="22.5" x14ac:dyDescent="0.2">
      <c r="A3716" s="65" t="s">
        <v>10813</v>
      </c>
      <c r="B3716" s="65" t="s">
        <v>10814</v>
      </c>
      <c r="C3716" s="74" t="s">
        <v>203</v>
      </c>
      <c r="D3716" s="69" t="s">
        <v>10815</v>
      </c>
      <c r="E3716" s="69" t="s">
        <v>10816</v>
      </c>
    </row>
    <row r="3717" spans="1:5" ht="101.25" x14ac:dyDescent="0.2">
      <c r="A3717" s="70" t="s">
        <v>10817</v>
      </c>
      <c r="B3717" s="66" t="s">
        <v>10818</v>
      </c>
      <c r="C3717" s="75" t="s">
        <v>203</v>
      </c>
      <c r="D3717" s="72" t="s">
        <v>10819</v>
      </c>
      <c r="E3717" s="72" t="s">
        <v>10820</v>
      </c>
    </row>
    <row r="3718" spans="1:5" ht="33.75" x14ac:dyDescent="0.2">
      <c r="A3718" s="65" t="s">
        <v>10821</v>
      </c>
      <c r="B3718" s="65" t="s">
        <v>10822</v>
      </c>
      <c r="C3718" s="74" t="s">
        <v>203</v>
      </c>
      <c r="D3718" s="69" t="s">
        <v>10823</v>
      </c>
      <c r="E3718" s="69" t="s">
        <v>421</v>
      </c>
    </row>
    <row r="3719" spans="1:5" ht="33.75" x14ac:dyDescent="0.2">
      <c r="A3719" s="65" t="s">
        <v>10824</v>
      </c>
      <c r="B3719" s="65" t="s">
        <v>10825</v>
      </c>
      <c r="C3719" s="74" t="s">
        <v>203</v>
      </c>
      <c r="D3719" s="69" t="s">
        <v>10826</v>
      </c>
      <c r="E3719" s="69" t="s">
        <v>10827</v>
      </c>
    </row>
    <row r="3720" spans="1:5" ht="45" x14ac:dyDescent="0.2">
      <c r="A3720" s="65" t="s">
        <v>10828</v>
      </c>
      <c r="B3720" s="65" t="s">
        <v>10829</v>
      </c>
      <c r="C3720" s="74" t="s">
        <v>203</v>
      </c>
      <c r="D3720" s="69" t="s">
        <v>10830</v>
      </c>
      <c r="E3720" s="69" t="s">
        <v>10831</v>
      </c>
    </row>
    <row r="3721" spans="1:5" ht="33.75" x14ac:dyDescent="0.2">
      <c r="A3721" s="65" t="s">
        <v>10832</v>
      </c>
      <c r="B3721" s="65" t="s">
        <v>10833</v>
      </c>
      <c r="C3721" s="74" t="s">
        <v>203</v>
      </c>
      <c r="D3721" s="69" t="s">
        <v>10834</v>
      </c>
      <c r="E3721" s="69" t="s">
        <v>10835</v>
      </c>
    </row>
    <row r="3722" spans="1:5" ht="33.75" x14ac:dyDescent="0.2">
      <c r="A3722" s="65" t="s">
        <v>10836</v>
      </c>
      <c r="B3722" s="65" t="s">
        <v>10837</v>
      </c>
      <c r="C3722" s="74" t="s">
        <v>203</v>
      </c>
      <c r="D3722" s="69" t="s">
        <v>10838</v>
      </c>
      <c r="E3722" s="69" t="s">
        <v>10839</v>
      </c>
    </row>
    <row r="3723" spans="1:5" ht="33.75" x14ac:dyDescent="0.2">
      <c r="A3723" s="65" t="s">
        <v>10840</v>
      </c>
      <c r="B3723" s="65" t="s">
        <v>10841</v>
      </c>
      <c r="C3723" s="74" t="s">
        <v>203</v>
      </c>
      <c r="D3723" s="69" t="s">
        <v>10842</v>
      </c>
      <c r="E3723" s="69" t="s">
        <v>10843</v>
      </c>
    </row>
    <row r="3724" spans="1:5" ht="22.5" x14ac:dyDescent="0.2">
      <c r="A3724" s="65" t="s">
        <v>10844</v>
      </c>
      <c r="B3724" s="65" t="s">
        <v>10845</v>
      </c>
      <c r="C3724" s="74" t="s">
        <v>203</v>
      </c>
      <c r="D3724" s="69" t="s">
        <v>10846</v>
      </c>
      <c r="E3724" s="69" t="s">
        <v>10847</v>
      </c>
    </row>
    <row r="3725" spans="1:5" ht="33.75" x14ac:dyDescent="0.2">
      <c r="A3725" s="65" t="s">
        <v>10848</v>
      </c>
      <c r="B3725" s="65" t="s">
        <v>10849</v>
      </c>
      <c r="C3725" s="74" t="s">
        <v>203</v>
      </c>
      <c r="D3725" s="69" t="s">
        <v>10850</v>
      </c>
      <c r="E3725" s="69" t="s">
        <v>10851</v>
      </c>
    </row>
    <row r="3726" spans="1:5" x14ac:dyDescent="0.2">
      <c r="A3726" s="50">
        <v>50.1</v>
      </c>
      <c r="B3726" s="64" t="s">
        <v>10852</v>
      </c>
      <c r="C3726" s="47"/>
      <c r="D3726" s="47"/>
      <c r="E3726" s="47"/>
    </row>
    <row r="3727" spans="1:5" ht="33.75" x14ac:dyDescent="0.2">
      <c r="A3727" s="65" t="s">
        <v>10853</v>
      </c>
      <c r="B3727" s="65" t="s">
        <v>10854</v>
      </c>
      <c r="C3727" s="74" t="s">
        <v>203</v>
      </c>
      <c r="D3727" s="69" t="s">
        <v>10855</v>
      </c>
      <c r="E3727" s="69" t="s">
        <v>10856</v>
      </c>
    </row>
    <row r="3728" spans="1:5" ht="33.75" x14ac:dyDescent="0.2">
      <c r="A3728" s="65" t="s">
        <v>10857</v>
      </c>
      <c r="B3728" s="65" t="s">
        <v>10858</v>
      </c>
      <c r="C3728" s="74" t="s">
        <v>203</v>
      </c>
      <c r="D3728" s="69" t="s">
        <v>10859</v>
      </c>
      <c r="E3728" s="69" t="s">
        <v>10860</v>
      </c>
    </row>
    <row r="3729" spans="1:5" ht="33.75" x14ac:dyDescent="0.2">
      <c r="A3729" s="65" t="s">
        <v>10861</v>
      </c>
      <c r="B3729" s="65" t="s">
        <v>10862</v>
      </c>
      <c r="C3729" s="74" t="s">
        <v>203</v>
      </c>
      <c r="D3729" s="69" t="s">
        <v>1389</v>
      </c>
      <c r="E3729" s="69" t="s">
        <v>10863</v>
      </c>
    </row>
    <row r="3730" spans="1:5" ht="33.75" x14ac:dyDescent="0.2">
      <c r="A3730" s="65" t="s">
        <v>10864</v>
      </c>
      <c r="B3730" s="65" t="s">
        <v>10865</v>
      </c>
      <c r="C3730" s="74" t="s">
        <v>203</v>
      </c>
      <c r="D3730" s="69" t="s">
        <v>10866</v>
      </c>
      <c r="E3730" s="69" t="s">
        <v>10867</v>
      </c>
    </row>
    <row r="3731" spans="1:5" ht="45" x14ac:dyDescent="0.2">
      <c r="A3731" s="65" t="s">
        <v>10868</v>
      </c>
      <c r="B3731" s="65" t="s">
        <v>10869</v>
      </c>
      <c r="C3731" s="74" t="s">
        <v>203</v>
      </c>
      <c r="D3731" s="69" t="s">
        <v>10870</v>
      </c>
      <c r="E3731" s="69" t="s">
        <v>10871</v>
      </c>
    </row>
    <row r="3732" spans="1:5" ht="45" x14ac:dyDescent="0.2">
      <c r="A3732" s="65" t="s">
        <v>10872</v>
      </c>
      <c r="B3732" s="65" t="s">
        <v>10873</v>
      </c>
      <c r="C3732" s="76" t="s">
        <v>203</v>
      </c>
      <c r="D3732" s="69" t="s">
        <v>10874</v>
      </c>
      <c r="E3732" s="69" t="s">
        <v>10874</v>
      </c>
    </row>
    <row r="3733" spans="1:5" ht="45" x14ac:dyDescent="0.2">
      <c r="A3733" s="65" t="s">
        <v>10875</v>
      </c>
      <c r="B3733" s="65" t="s">
        <v>10876</v>
      </c>
      <c r="C3733" s="76" t="s">
        <v>203</v>
      </c>
      <c r="D3733" s="69" t="s">
        <v>10877</v>
      </c>
      <c r="E3733" s="69" t="s">
        <v>10878</v>
      </c>
    </row>
    <row r="3734" spans="1:5" ht="33.75" x14ac:dyDescent="0.2">
      <c r="A3734" s="65" t="s">
        <v>10879</v>
      </c>
      <c r="B3734" s="65" t="s">
        <v>10880</v>
      </c>
      <c r="C3734" s="76" t="s">
        <v>203</v>
      </c>
      <c r="D3734" s="69" t="s">
        <v>10881</v>
      </c>
      <c r="E3734" s="69" t="s">
        <v>10882</v>
      </c>
    </row>
    <row r="3735" spans="1:5" ht="33.75" x14ac:dyDescent="0.2">
      <c r="A3735" s="65" t="s">
        <v>10883</v>
      </c>
      <c r="B3735" s="65" t="s">
        <v>10884</v>
      </c>
      <c r="C3735" s="76" t="s">
        <v>203</v>
      </c>
      <c r="D3735" s="69" t="s">
        <v>10885</v>
      </c>
      <c r="E3735" s="69" t="s">
        <v>10886</v>
      </c>
    </row>
    <row r="3736" spans="1:5" ht="33.75" x14ac:dyDescent="0.2">
      <c r="A3736" s="65" t="s">
        <v>10887</v>
      </c>
      <c r="B3736" s="65" t="s">
        <v>10888</v>
      </c>
      <c r="C3736" s="76" t="s">
        <v>203</v>
      </c>
      <c r="D3736" s="69" t="s">
        <v>10889</v>
      </c>
      <c r="E3736" s="69" t="s">
        <v>10890</v>
      </c>
    </row>
    <row r="3737" spans="1:5" ht="33.75" x14ac:dyDescent="0.2">
      <c r="A3737" s="65" t="s">
        <v>10891</v>
      </c>
      <c r="B3737" s="65" t="s">
        <v>10892</v>
      </c>
      <c r="C3737" s="76" t="s">
        <v>203</v>
      </c>
      <c r="D3737" s="69" t="s">
        <v>10893</v>
      </c>
      <c r="E3737" s="69" t="s">
        <v>9157</v>
      </c>
    </row>
    <row r="3738" spans="1:5" ht="33.75" x14ac:dyDescent="0.2">
      <c r="A3738" s="65" t="s">
        <v>10894</v>
      </c>
      <c r="B3738" s="65" t="s">
        <v>10895</v>
      </c>
      <c r="C3738" s="76" t="s">
        <v>203</v>
      </c>
      <c r="D3738" s="69" t="s">
        <v>10896</v>
      </c>
      <c r="E3738" s="69" t="s">
        <v>10897</v>
      </c>
    </row>
    <row r="3739" spans="1:5" ht="45" x14ac:dyDescent="0.2">
      <c r="A3739" s="50">
        <v>50.2</v>
      </c>
      <c r="B3739" s="64" t="s">
        <v>10898</v>
      </c>
      <c r="C3739" s="47"/>
      <c r="D3739" s="47"/>
      <c r="E3739" s="47"/>
    </row>
    <row r="3740" spans="1:5" ht="22.5" x14ac:dyDescent="0.2">
      <c r="A3740" s="65" t="s">
        <v>10899</v>
      </c>
      <c r="B3740" s="65" t="s">
        <v>10900</v>
      </c>
      <c r="C3740" s="76" t="s">
        <v>338</v>
      </c>
      <c r="D3740" s="69" t="s">
        <v>10901</v>
      </c>
      <c r="E3740" s="69" t="s">
        <v>10901</v>
      </c>
    </row>
    <row r="3741" spans="1:5" ht="22.5" x14ac:dyDescent="0.2">
      <c r="A3741" s="65" t="s">
        <v>10902</v>
      </c>
      <c r="B3741" s="65" t="s">
        <v>10903</v>
      </c>
      <c r="C3741" s="76" t="s">
        <v>300</v>
      </c>
      <c r="D3741" s="69" t="s">
        <v>10904</v>
      </c>
      <c r="E3741" s="69" t="s">
        <v>10904</v>
      </c>
    </row>
    <row r="3742" spans="1:5" ht="22.5" x14ac:dyDescent="0.2">
      <c r="A3742" s="65" t="s">
        <v>10905</v>
      </c>
      <c r="B3742" s="65" t="s">
        <v>10906</v>
      </c>
      <c r="C3742" s="76" t="s">
        <v>300</v>
      </c>
      <c r="D3742" s="69" t="s">
        <v>10907</v>
      </c>
      <c r="E3742" s="69" t="s">
        <v>10907</v>
      </c>
    </row>
    <row r="3743" spans="1:5" ht="78.75" x14ac:dyDescent="0.2">
      <c r="A3743" s="65" t="s">
        <v>10908</v>
      </c>
      <c r="B3743" s="66" t="s">
        <v>10909</v>
      </c>
      <c r="C3743" s="76" t="s">
        <v>203</v>
      </c>
      <c r="D3743" s="69" t="s">
        <v>10910</v>
      </c>
      <c r="E3743" s="69" t="s">
        <v>10910</v>
      </c>
    </row>
    <row r="3744" spans="1:5" ht="67.5" x14ac:dyDescent="0.2">
      <c r="A3744" s="65" t="s">
        <v>10911</v>
      </c>
      <c r="B3744" s="66" t="s">
        <v>10912</v>
      </c>
      <c r="C3744" s="76" t="s">
        <v>203</v>
      </c>
      <c r="D3744" s="69" t="s">
        <v>10913</v>
      </c>
      <c r="E3744" s="69" t="s">
        <v>10913</v>
      </c>
    </row>
    <row r="3745" spans="1:5" ht="22.5" x14ac:dyDescent="0.2">
      <c r="A3745" s="65" t="s">
        <v>10914</v>
      </c>
      <c r="B3745" s="65" t="s">
        <v>10915</v>
      </c>
      <c r="C3745" s="76" t="s">
        <v>203</v>
      </c>
      <c r="D3745" s="69" t="s">
        <v>8290</v>
      </c>
      <c r="E3745" s="69" t="s">
        <v>10916</v>
      </c>
    </row>
    <row r="3746" spans="1:5" ht="22.5" x14ac:dyDescent="0.2">
      <c r="A3746" s="49">
        <v>54</v>
      </c>
      <c r="B3746" s="64" t="s">
        <v>10917</v>
      </c>
      <c r="C3746" s="47"/>
      <c r="D3746" s="47"/>
      <c r="E3746" s="47"/>
    </row>
    <row r="3747" spans="1:5" ht="22.5" x14ac:dyDescent="0.2">
      <c r="A3747" s="50">
        <v>54.01</v>
      </c>
      <c r="B3747" s="64" t="s">
        <v>10918</v>
      </c>
      <c r="C3747" s="47"/>
      <c r="D3747" s="47"/>
      <c r="E3747" s="47"/>
    </row>
    <row r="3748" spans="1:5" ht="67.5" x14ac:dyDescent="0.2">
      <c r="A3748" s="65" t="s">
        <v>10919</v>
      </c>
      <c r="B3748" s="66" t="s">
        <v>10920</v>
      </c>
      <c r="C3748" s="76" t="s">
        <v>204</v>
      </c>
      <c r="D3748" s="69" t="s">
        <v>6307</v>
      </c>
      <c r="E3748" s="69" t="s">
        <v>10921</v>
      </c>
    </row>
    <row r="3749" spans="1:5" ht="78.75" x14ac:dyDescent="0.2">
      <c r="A3749" s="65" t="s">
        <v>10922</v>
      </c>
      <c r="B3749" s="66" t="s">
        <v>10923</v>
      </c>
      <c r="C3749" s="76" t="s">
        <v>204</v>
      </c>
      <c r="D3749" s="69" t="s">
        <v>1840</v>
      </c>
      <c r="E3749" s="69" t="s">
        <v>10924</v>
      </c>
    </row>
    <row r="3750" spans="1:5" ht="33.75" x14ac:dyDescent="0.2">
      <c r="A3750" s="65" t="s">
        <v>10925</v>
      </c>
      <c r="B3750" s="65" t="s">
        <v>10926</v>
      </c>
      <c r="C3750" s="76" t="s">
        <v>228</v>
      </c>
      <c r="D3750" s="69" t="s">
        <v>9657</v>
      </c>
      <c r="E3750" s="69" t="s">
        <v>10928</v>
      </c>
    </row>
    <row r="3751" spans="1:5" ht="22.5" x14ac:dyDescent="0.2">
      <c r="A3751" s="65" t="s">
        <v>10929</v>
      </c>
      <c r="B3751" s="65" t="s">
        <v>10930</v>
      </c>
      <c r="C3751" s="76" t="s">
        <v>228</v>
      </c>
      <c r="D3751" s="69" t="s">
        <v>10931</v>
      </c>
      <c r="E3751" s="69" t="s">
        <v>10932</v>
      </c>
    </row>
    <row r="3752" spans="1:5" ht="22.5" x14ac:dyDescent="0.2">
      <c r="A3752" s="65" t="s">
        <v>10933</v>
      </c>
      <c r="B3752" s="65" t="s">
        <v>10934</v>
      </c>
      <c r="C3752" s="76" t="s">
        <v>228</v>
      </c>
      <c r="D3752" s="69" t="s">
        <v>10935</v>
      </c>
      <c r="E3752" s="69" t="s">
        <v>10936</v>
      </c>
    </row>
    <row r="3753" spans="1:5" x14ac:dyDescent="0.2">
      <c r="A3753" s="65" t="s">
        <v>10937</v>
      </c>
      <c r="B3753" s="65" t="s">
        <v>10938</v>
      </c>
      <c r="C3753" s="76" t="s">
        <v>228</v>
      </c>
      <c r="D3753" s="69" t="s">
        <v>10939</v>
      </c>
      <c r="E3753" s="69" t="s">
        <v>10940</v>
      </c>
    </row>
    <row r="3754" spans="1:5" ht="22.5" x14ac:dyDescent="0.2">
      <c r="A3754" s="65" t="s">
        <v>10941</v>
      </c>
      <c r="B3754" s="65" t="s">
        <v>10942</v>
      </c>
      <c r="C3754" s="76" t="s">
        <v>228</v>
      </c>
      <c r="D3754" s="69" t="s">
        <v>10943</v>
      </c>
      <c r="E3754" s="69" t="s">
        <v>10944</v>
      </c>
    </row>
    <row r="3755" spans="1:5" ht="67.5" x14ac:dyDescent="0.2">
      <c r="A3755" s="65" t="s">
        <v>10945</v>
      </c>
      <c r="B3755" s="66" t="s">
        <v>10946</v>
      </c>
      <c r="C3755" s="76" t="s">
        <v>228</v>
      </c>
      <c r="D3755" s="69" t="s">
        <v>10947</v>
      </c>
      <c r="E3755" s="69" t="s">
        <v>10947</v>
      </c>
    </row>
    <row r="3756" spans="1:5" ht="78.75" x14ac:dyDescent="0.2">
      <c r="A3756" s="65" t="s">
        <v>10948</v>
      </c>
      <c r="B3756" s="66" t="s">
        <v>10949</v>
      </c>
      <c r="C3756" s="76" t="s">
        <v>204</v>
      </c>
      <c r="D3756" s="69" t="s">
        <v>10950</v>
      </c>
      <c r="E3756" s="69" t="s">
        <v>430</v>
      </c>
    </row>
    <row r="3757" spans="1:5" ht="33.75" x14ac:dyDescent="0.2">
      <c r="A3757" s="65" t="s">
        <v>10951</v>
      </c>
      <c r="B3757" s="65" t="s">
        <v>10952</v>
      </c>
      <c r="C3757" s="76" t="s">
        <v>204</v>
      </c>
      <c r="D3757" s="73"/>
      <c r="E3757" s="69" t="s">
        <v>212</v>
      </c>
    </row>
    <row r="3758" spans="1:5" ht="45" x14ac:dyDescent="0.2">
      <c r="A3758" s="50">
        <v>54.02</v>
      </c>
      <c r="B3758" s="64" t="s">
        <v>10953</v>
      </c>
      <c r="C3758" s="47"/>
      <c r="D3758" s="47"/>
      <c r="E3758" s="47"/>
    </row>
    <row r="3759" spans="1:5" ht="67.5" x14ac:dyDescent="0.2">
      <c r="A3759" s="65" t="s">
        <v>10954</v>
      </c>
      <c r="B3759" s="66" t="s">
        <v>10955</v>
      </c>
      <c r="C3759" s="76" t="s">
        <v>228</v>
      </c>
      <c r="D3759" s="69" t="s">
        <v>10956</v>
      </c>
      <c r="E3759" s="69" t="s">
        <v>10957</v>
      </c>
    </row>
    <row r="3760" spans="1:5" ht="22.5" x14ac:dyDescent="0.2">
      <c r="A3760" s="50">
        <v>54.03</v>
      </c>
      <c r="B3760" s="64" t="s">
        <v>10958</v>
      </c>
      <c r="C3760" s="47"/>
      <c r="D3760" s="47"/>
      <c r="E3760" s="47"/>
    </row>
    <row r="3761" spans="1:5" ht="33.75" x14ac:dyDescent="0.2">
      <c r="A3761" s="65" t="s">
        <v>10959</v>
      </c>
      <c r="B3761" s="65" t="s">
        <v>10960</v>
      </c>
      <c r="C3761" s="76" t="s">
        <v>228</v>
      </c>
      <c r="D3761" s="69" t="s">
        <v>10961</v>
      </c>
      <c r="E3761" s="69" t="s">
        <v>10963</v>
      </c>
    </row>
    <row r="3762" spans="1:5" ht="56.25" x14ac:dyDescent="0.2">
      <c r="A3762" s="65" t="s">
        <v>10964</v>
      </c>
      <c r="B3762" s="65" t="s">
        <v>10965</v>
      </c>
      <c r="C3762" s="76" t="s">
        <v>228</v>
      </c>
      <c r="D3762" s="69" t="s">
        <v>10966</v>
      </c>
      <c r="E3762" s="69" t="s">
        <v>10967</v>
      </c>
    </row>
    <row r="3763" spans="1:5" ht="56.25" x14ac:dyDescent="0.2">
      <c r="A3763" s="65" t="s">
        <v>10968</v>
      </c>
      <c r="B3763" s="66" t="s">
        <v>10969</v>
      </c>
      <c r="C3763" s="76" t="s">
        <v>228</v>
      </c>
      <c r="D3763" s="69" t="s">
        <v>10970</v>
      </c>
      <c r="E3763" s="69" t="s">
        <v>10971</v>
      </c>
    </row>
    <row r="3764" spans="1:5" ht="22.5" x14ac:dyDescent="0.2">
      <c r="A3764" s="65" t="s">
        <v>10972</v>
      </c>
      <c r="B3764" s="65" t="s">
        <v>10973</v>
      </c>
      <c r="C3764" s="76" t="s">
        <v>204</v>
      </c>
      <c r="D3764" s="69" t="s">
        <v>10974</v>
      </c>
      <c r="E3764" s="69" t="s">
        <v>1729</v>
      </c>
    </row>
    <row r="3765" spans="1:5" ht="33.75" x14ac:dyDescent="0.2">
      <c r="A3765" s="65" t="s">
        <v>10975</v>
      </c>
      <c r="B3765" s="65" t="s">
        <v>10976</v>
      </c>
      <c r="C3765" s="76" t="s">
        <v>204</v>
      </c>
      <c r="D3765" s="69" t="s">
        <v>5707</v>
      </c>
      <c r="E3765" s="69" t="s">
        <v>10977</v>
      </c>
    </row>
    <row r="3766" spans="1:5" ht="22.5" x14ac:dyDescent="0.2">
      <c r="A3766" s="65" t="s">
        <v>10978</v>
      </c>
      <c r="B3766" s="65" t="s">
        <v>10979</v>
      </c>
      <c r="C3766" s="76" t="s">
        <v>228</v>
      </c>
      <c r="D3766" s="69" t="s">
        <v>10980</v>
      </c>
      <c r="E3766" s="69" t="s">
        <v>10981</v>
      </c>
    </row>
    <row r="3767" spans="1:5" ht="22.5" x14ac:dyDescent="0.2">
      <c r="A3767" s="65" t="s">
        <v>10982</v>
      </c>
      <c r="B3767" s="65" t="s">
        <v>10983</v>
      </c>
      <c r="C3767" s="76" t="s">
        <v>228</v>
      </c>
      <c r="D3767" s="69" t="s">
        <v>10984</v>
      </c>
      <c r="E3767" s="69" t="s">
        <v>10985</v>
      </c>
    </row>
    <row r="3768" spans="1:5" ht="33.75" x14ac:dyDescent="0.2">
      <c r="A3768" s="50">
        <v>54.04</v>
      </c>
      <c r="B3768" s="64" t="s">
        <v>10986</v>
      </c>
      <c r="C3768" s="47"/>
      <c r="D3768" s="47"/>
      <c r="E3768" s="47"/>
    </row>
    <row r="3769" spans="1:5" ht="33.75" x14ac:dyDescent="0.2">
      <c r="A3769" s="65" t="s">
        <v>10987</v>
      </c>
      <c r="B3769" s="65" t="s">
        <v>10988</v>
      </c>
      <c r="C3769" s="76" t="s">
        <v>204</v>
      </c>
      <c r="D3769" s="69" t="s">
        <v>10989</v>
      </c>
      <c r="E3769" s="69" t="s">
        <v>10990</v>
      </c>
    </row>
    <row r="3770" spans="1:5" ht="33.75" x14ac:dyDescent="0.2">
      <c r="A3770" s="65" t="s">
        <v>10991</v>
      </c>
      <c r="B3770" s="65" t="s">
        <v>10992</v>
      </c>
      <c r="C3770" s="76" t="s">
        <v>204</v>
      </c>
      <c r="D3770" s="69" t="s">
        <v>10993</v>
      </c>
      <c r="E3770" s="69" t="s">
        <v>10994</v>
      </c>
    </row>
    <row r="3771" spans="1:5" ht="45" x14ac:dyDescent="0.2">
      <c r="A3771" s="65" t="s">
        <v>10995</v>
      </c>
      <c r="B3771" s="65" t="s">
        <v>10996</v>
      </c>
      <c r="C3771" s="76" t="s">
        <v>204</v>
      </c>
      <c r="D3771" s="69" t="s">
        <v>10997</v>
      </c>
      <c r="E3771" s="69" t="s">
        <v>10998</v>
      </c>
    </row>
    <row r="3772" spans="1:5" ht="33.75" x14ac:dyDescent="0.2">
      <c r="A3772" s="65" t="s">
        <v>10999</v>
      </c>
      <c r="B3772" s="65" t="s">
        <v>11000</v>
      </c>
      <c r="C3772" s="76" t="s">
        <v>204</v>
      </c>
      <c r="D3772" s="69" t="s">
        <v>11001</v>
      </c>
      <c r="E3772" s="69" t="s">
        <v>11002</v>
      </c>
    </row>
    <row r="3773" spans="1:5" ht="101.25" x14ac:dyDescent="0.2">
      <c r="A3773" s="70" t="s">
        <v>11003</v>
      </c>
      <c r="B3773" s="66" t="s">
        <v>11004</v>
      </c>
      <c r="C3773" s="79" t="s">
        <v>204</v>
      </c>
      <c r="D3773" s="72" t="s">
        <v>11005</v>
      </c>
      <c r="E3773" s="72" t="s">
        <v>11006</v>
      </c>
    </row>
    <row r="3774" spans="1:5" ht="90" x14ac:dyDescent="0.2">
      <c r="A3774" s="70" t="s">
        <v>11007</v>
      </c>
      <c r="B3774" s="65" t="s">
        <v>11008</v>
      </c>
      <c r="C3774" s="71" t="s">
        <v>204</v>
      </c>
      <c r="D3774" s="72" t="s">
        <v>11009</v>
      </c>
      <c r="E3774" s="72" t="s">
        <v>11010</v>
      </c>
    </row>
    <row r="3775" spans="1:5" ht="90" x14ac:dyDescent="0.2">
      <c r="A3775" s="70" t="s">
        <v>11011</v>
      </c>
      <c r="B3775" s="65" t="s">
        <v>11012</v>
      </c>
      <c r="C3775" s="71" t="s">
        <v>204</v>
      </c>
      <c r="D3775" s="72" t="s">
        <v>11013</v>
      </c>
      <c r="E3775" s="72" t="s">
        <v>11014</v>
      </c>
    </row>
    <row r="3776" spans="1:5" ht="56.25" x14ac:dyDescent="0.2">
      <c r="A3776" s="65" t="s">
        <v>11015</v>
      </c>
      <c r="B3776" s="66" t="s">
        <v>11016</v>
      </c>
      <c r="C3776" s="67" t="s">
        <v>204</v>
      </c>
      <c r="D3776" s="69" t="s">
        <v>11017</v>
      </c>
      <c r="E3776" s="69" t="s">
        <v>11018</v>
      </c>
    </row>
    <row r="3777" spans="1:5" ht="56.25" x14ac:dyDescent="0.2">
      <c r="A3777" s="65" t="s">
        <v>11019</v>
      </c>
      <c r="B3777" s="66" t="s">
        <v>11020</v>
      </c>
      <c r="C3777" s="67" t="s">
        <v>204</v>
      </c>
      <c r="D3777" s="69" t="s">
        <v>11021</v>
      </c>
      <c r="E3777" s="69" t="s">
        <v>11022</v>
      </c>
    </row>
    <row r="3778" spans="1:5" x14ac:dyDescent="0.2">
      <c r="A3778" s="50">
        <v>54.06</v>
      </c>
      <c r="B3778" s="64" t="s">
        <v>11023</v>
      </c>
      <c r="C3778" s="47"/>
      <c r="D3778" s="47"/>
      <c r="E3778" s="47"/>
    </row>
    <row r="3779" spans="1:5" ht="33.75" x14ac:dyDescent="0.2">
      <c r="A3779" s="65" t="s">
        <v>11024</v>
      </c>
      <c r="B3779" s="65" t="s">
        <v>11025</v>
      </c>
      <c r="C3779" s="67" t="s">
        <v>221</v>
      </c>
      <c r="D3779" s="69" t="s">
        <v>11026</v>
      </c>
      <c r="E3779" s="69" t="s">
        <v>11028</v>
      </c>
    </row>
    <row r="3780" spans="1:5" ht="33.75" x14ac:dyDescent="0.2">
      <c r="A3780" s="65" t="s">
        <v>11029</v>
      </c>
      <c r="B3780" s="65" t="s">
        <v>11030</v>
      </c>
      <c r="C3780" s="67" t="s">
        <v>221</v>
      </c>
      <c r="D3780" s="69" t="s">
        <v>11031</v>
      </c>
      <c r="E3780" s="69" t="s">
        <v>5818</v>
      </c>
    </row>
    <row r="3781" spans="1:5" ht="45" x14ac:dyDescent="0.2">
      <c r="A3781" s="65" t="s">
        <v>11032</v>
      </c>
      <c r="B3781" s="65" t="s">
        <v>11033</v>
      </c>
      <c r="C3781" s="67" t="s">
        <v>228</v>
      </c>
      <c r="D3781" s="69" t="s">
        <v>11034</v>
      </c>
      <c r="E3781" s="69" t="s">
        <v>11036</v>
      </c>
    </row>
    <row r="3782" spans="1:5" ht="45" x14ac:dyDescent="0.2">
      <c r="A3782" s="65" t="s">
        <v>11037</v>
      </c>
      <c r="B3782" s="65" t="s">
        <v>11038</v>
      </c>
      <c r="C3782" s="67" t="s">
        <v>228</v>
      </c>
      <c r="D3782" s="69" t="s">
        <v>11039</v>
      </c>
      <c r="E3782" s="69" t="s">
        <v>11040</v>
      </c>
    </row>
    <row r="3783" spans="1:5" ht="22.5" x14ac:dyDescent="0.2">
      <c r="A3783" s="65" t="s">
        <v>11041</v>
      </c>
      <c r="B3783" s="65" t="s">
        <v>11042</v>
      </c>
      <c r="C3783" s="67" t="s">
        <v>228</v>
      </c>
      <c r="D3783" s="69" t="s">
        <v>11043</v>
      </c>
      <c r="E3783" s="69" t="s">
        <v>11043</v>
      </c>
    </row>
    <row r="3784" spans="1:5" ht="56.25" x14ac:dyDescent="0.2">
      <c r="A3784" s="65" t="s">
        <v>11044</v>
      </c>
      <c r="B3784" s="66" t="s">
        <v>11045</v>
      </c>
      <c r="C3784" s="67" t="s">
        <v>228</v>
      </c>
      <c r="D3784" s="69" t="s">
        <v>11046</v>
      </c>
      <c r="E3784" s="69" t="s">
        <v>11047</v>
      </c>
    </row>
    <row r="3785" spans="1:5" ht="56.25" x14ac:dyDescent="0.2">
      <c r="A3785" s="65" t="s">
        <v>11048</v>
      </c>
      <c r="B3785" s="66" t="s">
        <v>11049</v>
      </c>
      <c r="C3785" s="67" t="s">
        <v>228</v>
      </c>
      <c r="D3785" s="69" t="s">
        <v>11050</v>
      </c>
      <c r="E3785" s="69" t="s">
        <v>11051</v>
      </c>
    </row>
    <row r="3786" spans="1:5" x14ac:dyDescent="0.2">
      <c r="A3786" s="50">
        <v>54.07</v>
      </c>
      <c r="B3786" s="64" t="s">
        <v>11052</v>
      </c>
      <c r="C3786" s="47"/>
      <c r="D3786" s="47"/>
      <c r="E3786" s="47"/>
    </row>
    <row r="3787" spans="1:5" ht="22.5" x14ac:dyDescent="0.2">
      <c r="A3787" s="65" t="s">
        <v>11053</v>
      </c>
      <c r="B3787" s="65" t="s">
        <v>11054</v>
      </c>
      <c r="C3787" s="67" t="s">
        <v>204</v>
      </c>
      <c r="D3787" s="69" t="s">
        <v>11055</v>
      </c>
      <c r="E3787" s="69" t="s">
        <v>11055</v>
      </c>
    </row>
    <row r="3788" spans="1:5" ht="78.75" x14ac:dyDescent="0.2">
      <c r="A3788" s="65" t="s">
        <v>11056</v>
      </c>
      <c r="B3788" s="66" t="s">
        <v>11057</v>
      </c>
      <c r="C3788" s="67" t="s">
        <v>204</v>
      </c>
      <c r="D3788" s="69" t="s">
        <v>11058</v>
      </c>
      <c r="E3788" s="69" t="s">
        <v>11059</v>
      </c>
    </row>
    <row r="3789" spans="1:5" ht="67.5" x14ac:dyDescent="0.2">
      <c r="A3789" s="65" t="s">
        <v>11060</v>
      </c>
      <c r="B3789" s="66" t="s">
        <v>11061</v>
      </c>
      <c r="C3789" s="67" t="s">
        <v>204</v>
      </c>
      <c r="D3789" s="69" t="s">
        <v>11062</v>
      </c>
      <c r="E3789" s="69" t="s">
        <v>11063</v>
      </c>
    </row>
    <row r="3790" spans="1:5" ht="90" x14ac:dyDescent="0.2">
      <c r="A3790" s="65" t="s">
        <v>11064</v>
      </c>
      <c r="B3790" s="66" t="s">
        <v>11065</v>
      </c>
      <c r="C3790" s="67" t="s">
        <v>204</v>
      </c>
      <c r="D3790" s="69" t="s">
        <v>11066</v>
      </c>
      <c r="E3790" s="69" t="s">
        <v>11067</v>
      </c>
    </row>
    <row r="3791" spans="1:5" ht="67.5" x14ac:dyDescent="0.2">
      <c r="A3791" s="65" t="s">
        <v>11068</v>
      </c>
      <c r="B3791" s="66" t="s">
        <v>11069</v>
      </c>
      <c r="C3791" s="67" t="s">
        <v>204</v>
      </c>
      <c r="D3791" s="69" t="s">
        <v>416</v>
      </c>
      <c r="E3791" s="69" t="s">
        <v>11070</v>
      </c>
    </row>
    <row r="3792" spans="1:5" ht="78.75" x14ac:dyDescent="0.2">
      <c r="A3792" s="65" t="s">
        <v>11071</v>
      </c>
      <c r="B3792" s="66" t="s">
        <v>11072</v>
      </c>
      <c r="C3792" s="67" t="s">
        <v>204</v>
      </c>
      <c r="D3792" s="69" t="s">
        <v>11073</v>
      </c>
      <c r="E3792" s="69" t="s">
        <v>11074</v>
      </c>
    </row>
    <row r="3793" spans="1:5" ht="45" x14ac:dyDescent="0.2">
      <c r="A3793" s="50">
        <v>54.2</v>
      </c>
      <c r="B3793" s="64" t="s">
        <v>11075</v>
      </c>
      <c r="C3793" s="47"/>
      <c r="D3793" s="47"/>
      <c r="E3793" s="47"/>
    </row>
    <row r="3794" spans="1:5" ht="33.75" x14ac:dyDescent="0.2">
      <c r="A3794" s="65" t="s">
        <v>11076</v>
      </c>
      <c r="B3794" s="65" t="s">
        <v>11077</v>
      </c>
      <c r="C3794" s="67" t="s">
        <v>221</v>
      </c>
      <c r="D3794" s="69" t="s">
        <v>11078</v>
      </c>
      <c r="E3794" s="69" t="s">
        <v>11080</v>
      </c>
    </row>
    <row r="3795" spans="1:5" ht="33.75" x14ac:dyDescent="0.2">
      <c r="A3795" s="65" t="s">
        <v>11081</v>
      </c>
      <c r="B3795" s="65" t="s">
        <v>11082</v>
      </c>
      <c r="C3795" s="67" t="s">
        <v>221</v>
      </c>
      <c r="D3795" s="69" t="s">
        <v>783</v>
      </c>
      <c r="E3795" s="69" t="s">
        <v>11083</v>
      </c>
    </row>
    <row r="3796" spans="1:5" ht="33.75" x14ac:dyDescent="0.2">
      <c r="A3796" s="65" t="s">
        <v>11084</v>
      </c>
      <c r="B3796" s="65" t="s">
        <v>11085</v>
      </c>
      <c r="C3796" s="67" t="s">
        <v>204</v>
      </c>
      <c r="D3796" s="69" t="s">
        <v>11086</v>
      </c>
      <c r="E3796" s="69" t="s">
        <v>1397</v>
      </c>
    </row>
    <row r="3797" spans="1:5" ht="67.5" x14ac:dyDescent="0.2">
      <c r="A3797" s="65" t="s">
        <v>11087</v>
      </c>
      <c r="B3797" s="66" t="s">
        <v>11088</v>
      </c>
      <c r="C3797" s="67" t="s">
        <v>204</v>
      </c>
      <c r="D3797" s="69" t="s">
        <v>6042</v>
      </c>
      <c r="E3797" s="69" t="s">
        <v>11089</v>
      </c>
    </row>
    <row r="3798" spans="1:5" ht="67.5" x14ac:dyDescent="0.2">
      <c r="A3798" s="65" t="s">
        <v>11090</v>
      </c>
      <c r="B3798" s="66" t="s">
        <v>11091</v>
      </c>
      <c r="C3798" s="67" t="s">
        <v>204</v>
      </c>
      <c r="D3798" s="69" t="s">
        <v>11092</v>
      </c>
      <c r="E3798" s="69" t="s">
        <v>11093</v>
      </c>
    </row>
    <row r="3799" spans="1:5" ht="67.5" x14ac:dyDescent="0.2">
      <c r="A3799" s="65" t="s">
        <v>11094</v>
      </c>
      <c r="B3799" s="66" t="s">
        <v>11095</v>
      </c>
      <c r="C3799" s="67" t="s">
        <v>204</v>
      </c>
      <c r="D3799" s="69" t="s">
        <v>11096</v>
      </c>
      <c r="E3799" s="69" t="s">
        <v>11098</v>
      </c>
    </row>
    <row r="3800" spans="1:5" x14ac:dyDescent="0.2">
      <c r="A3800" s="49">
        <v>55</v>
      </c>
      <c r="B3800" s="64" t="s">
        <v>11099</v>
      </c>
      <c r="C3800" s="47"/>
      <c r="D3800" s="47"/>
      <c r="E3800" s="47"/>
    </row>
    <row r="3801" spans="1:5" x14ac:dyDescent="0.2">
      <c r="A3801" s="50">
        <v>55.01</v>
      </c>
      <c r="B3801" s="64" t="s">
        <v>11100</v>
      </c>
      <c r="C3801" s="47"/>
      <c r="D3801" s="47"/>
      <c r="E3801" s="47"/>
    </row>
    <row r="3802" spans="1:5" x14ac:dyDescent="0.2">
      <c r="A3802" s="65" t="s">
        <v>11101</v>
      </c>
      <c r="B3802" s="65" t="s">
        <v>11102</v>
      </c>
      <c r="C3802" s="67" t="s">
        <v>204</v>
      </c>
      <c r="D3802" s="73"/>
      <c r="E3802" s="69" t="s">
        <v>1637</v>
      </c>
    </row>
    <row r="3803" spans="1:5" ht="33.75" x14ac:dyDescent="0.2">
      <c r="A3803" s="65" t="s">
        <v>11103</v>
      </c>
      <c r="B3803" s="65" t="s">
        <v>11104</v>
      </c>
      <c r="C3803" s="67" t="s">
        <v>204</v>
      </c>
      <c r="D3803" s="69" t="s">
        <v>4234</v>
      </c>
      <c r="E3803" s="69" t="s">
        <v>11106</v>
      </c>
    </row>
    <row r="3804" spans="1:5" ht="45" x14ac:dyDescent="0.2">
      <c r="A3804" s="65" t="s">
        <v>11107</v>
      </c>
      <c r="B3804" s="65" t="s">
        <v>11108</v>
      </c>
      <c r="C3804" s="67" t="s">
        <v>204</v>
      </c>
      <c r="D3804" s="69" t="s">
        <v>243</v>
      </c>
      <c r="E3804" s="69" t="s">
        <v>11109</v>
      </c>
    </row>
    <row r="3805" spans="1:5" ht="45" x14ac:dyDescent="0.2">
      <c r="A3805" s="65" t="s">
        <v>11110</v>
      </c>
      <c r="B3805" s="65" t="s">
        <v>11111</v>
      </c>
      <c r="C3805" s="67" t="s">
        <v>203</v>
      </c>
      <c r="D3805" s="68"/>
      <c r="E3805" s="69" t="s">
        <v>301</v>
      </c>
    </row>
    <row r="3806" spans="1:5" ht="33.75" x14ac:dyDescent="0.2">
      <c r="A3806" s="65" t="s">
        <v>11112</v>
      </c>
      <c r="B3806" s="65" t="s">
        <v>11113</v>
      </c>
      <c r="C3806" s="67" t="s">
        <v>204</v>
      </c>
      <c r="D3806" s="73"/>
      <c r="E3806" s="69" t="s">
        <v>5526</v>
      </c>
    </row>
    <row r="3807" spans="1:5" ht="90" x14ac:dyDescent="0.2">
      <c r="A3807" s="65" t="s">
        <v>11114</v>
      </c>
      <c r="B3807" s="66" t="s">
        <v>11115</v>
      </c>
      <c r="C3807" s="67" t="s">
        <v>204</v>
      </c>
      <c r="D3807" s="69" t="s">
        <v>5335</v>
      </c>
      <c r="E3807" s="69" t="s">
        <v>11116</v>
      </c>
    </row>
    <row r="3808" spans="1:5" ht="33.75" x14ac:dyDescent="0.2">
      <c r="A3808" s="65" t="s">
        <v>11117</v>
      </c>
      <c r="B3808" s="65" t="s">
        <v>11118</v>
      </c>
      <c r="C3808" s="67" t="s">
        <v>204</v>
      </c>
      <c r="D3808" s="69" t="s">
        <v>11119</v>
      </c>
      <c r="E3808" s="69" t="s">
        <v>11119</v>
      </c>
    </row>
    <row r="3809" spans="1:5" ht="33.75" x14ac:dyDescent="0.2">
      <c r="A3809" s="50">
        <v>55.02</v>
      </c>
      <c r="B3809" s="64" t="s">
        <v>11120</v>
      </c>
      <c r="C3809" s="47"/>
      <c r="D3809" s="47"/>
      <c r="E3809" s="47"/>
    </row>
    <row r="3810" spans="1:5" ht="22.5" x14ac:dyDescent="0.2">
      <c r="A3810" s="65" t="s">
        <v>11121</v>
      </c>
      <c r="B3810" s="65" t="s">
        <v>11122</v>
      </c>
      <c r="C3810" s="67" t="s">
        <v>203</v>
      </c>
      <c r="D3810" s="73"/>
      <c r="E3810" s="69" t="s">
        <v>223</v>
      </c>
    </row>
    <row r="3811" spans="1:5" ht="33.75" x14ac:dyDescent="0.2">
      <c r="A3811" s="65" t="s">
        <v>11123</v>
      </c>
      <c r="B3811" s="65" t="s">
        <v>11124</v>
      </c>
      <c r="C3811" s="67" t="s">
        <v>203</v>
      </c>
      <c r="D3811" s="69" t="s">
        <v>279</v>
      </c>
      <c r="E3811" s="69" t="s">
        <v>7479</v>
      </c>
    </row>
    <row r="3812" spans="1:5" x14ac:dyDescent="0.2">
      <c r="A3812" s="65" t="s">
        <v>11125</v>
      </c>
      <c r="B3812" s="65" t="s">
        <v>11126</v>
      </c>
      <c r="C3812" s="67" t="s">
        <v>228</v>
      </c>
      <c r="D3812" s="69" t="s">
        <v>11127</v>
      </c>
      <c r="E3812" s="69" t="s">
        <v>11127</v>
      </c>
    </row>
    <row r="3813" spans="1:5" ht="33.75" x14ac:dyDescent="0.2">
      <c r="A3813" s="65" t="s">
        <v>11128</v>
      </c>
      <c r="B3813" s="65" t="s">
        <v>11129</v>
      </c>
      <c r="C3813" s="67" t="s">
        <v>203</v>
      </c>
      <c r="D3813" s="73"/>
      <c r="E3813" s="69" t="s">
        <v>308</v>
      </c>
    </row>
    <row r="3814" spans="1:5" ht="56.25" x14ac:dyDescent="0.2">
      <c r="A3814" s="65" t="s">
        <v>11130</v>
      </c>
      <c r="B3814" s="65" t="s">
        <v>11131</v>
      </c>
      <c r="C3814" s="67" t="s">
        <v>221</v>
      </c>
      <c r="D3814" s="68"/>
      <c r="E3814" s="69" t="s">
        <v>1189</v>
      </c>
    </row>
    <row r="3815" spans="1:5" ht="45" x14ac:dyDescent="0.2">
      <c r="A3815" s="65" t="s">
        <v>11132</v>
      </c>
      <c r="B3815" s="65" t="s">
        <v>11133</v>
      </c>
      <c r="C3815" s="67" t="s">
        <v>221</v>
      </c>
      <c r="D3815" s="68"/>
      <c r="E3815" s="69" t="s">
        <v>11070</v>
      </c>
    </row>
    <row r="3816" spans="1:5" x14ac:dyDescent="0.2">
      <c r="A3816" s="50">
        <v>55.1</v>
      </c>
      <c r="B3816" s="64" t="s">
        <v>11134</v>
      </c>
      <c r="C3816" s="47"/>
      <c r="D3816" s="47"/>
      <c r="E3816" s="47"/>
    </row>
    <row r="3817" spans="1:5" ht="22.5" x14ac:dyDescent="0.2">
      <c r="A3817" s="65" t="s">
        <v>11135</v>
      </c>
      <c r="B3817" s="65" t="s">
        <v>11136</v>
      </c>
      <c r="C3817" s="67" t="s">
        <v>255</v>
      </c>
      <c r="D3817" s="69" t="s">
        <v>3621</v>
      </c>
      <c r="E3817" s="69" t="s">
        <v>3621</v>
      </c>
    </row>
    <row r="3818" spans="1:5" ht="45" x14ac:dyDescent="0.2">
      <c r="A3818" s="49">
        <v>61</v>
      </c>
      <c r="B3818" s="64" t="s">
        <v>11137</v>
      </c>
      <c r="C3818" s="47"/>
      <c r="D3818" s="47"/>
      <c r="E3818" s="47"/>
    </row>
    <row r="3819" spans="1:5" x14ac:dyDescent="0.2">
      <c r="A3819" s="50">
        <v>61.01</v>
      </c>
      <c r="B3819" s="64" t="s">
        <v>11138</v>
      </c>
      <c r="C3819" s="47"/>
      <c r="D3819" s="47"/>
      <c r="E3819" s="47"/>
    </row>
    <row r="3820" spans="1:5" ht="90" x14ac:dyDescent="0.2">
      <c r="A3820" s="65" t="s">
        <v>11139</v>
      </c>
      <c r="B3820" s="66" t="s">
        <v>11140</v>
      </c>
      <c r="C3820" s="67" t="s">
        <v>240</v>
      </c>
      <c r="D3820" s="69" t="s">
        <v>11141</v>
      </c>
      <c r="E3820" s="69" t="s">
        <v>11141</v>
      </c>
    </row>
    <row r="3821" spans="1:5" ht="78.75" x14ac:dyDescent="0.2">
      <c r="A3821" s="65" t="s">
        <v>11142</v>
      </c>
      <c r="B3821" s="66" t="s">
        <v>11143</v>
      </c>
      <c r="C3821" s="67" t="s">
        <v>240</v>
      </c>
      <c r="D3821" s="69" t="s">
        <v>11144</v>
      </c>
      <c r="E3821" s="69" t="s">
        <v>11144</v>
      </c>
    </row>
    <row r="3822" spans="1:5" ht="78.75" x14ac:dyDescent="0.2">
      <c r="A3822" s="65" t="s">
        <v>11145</v>
      </c>
      <c r="B3822" s="66" t="s">
        <v>11146</v>
      </c>
      <c r="C3822" s="67" t="s">
        <v>240</v>
      </c>
      <c r="D3822" s="69" t="s">
        <v>11147</v>
      </c>
      <c r="E3822" s="69" t="s">
        <v>11147</v>
      </c>
    </row>
    <row r="3823" spans="1:5" ht="90" x14ac:dyDescent="0.2">
      <c r="A3823" s="65" t="s">
        <v>11148</v>
      </c>
      <c r="B3823" s="66" t="s">
        <v>11149</v>
      </c>
      <c r="C3823" s="67" t="s">
        <v>240</v>
      </c>
      <c r="D3823" s="69" t="s">
        <v>11150</v>
      </c>
      <c r="E3823" s="69" t="s">
        <v>11150</v>
      </c>
    </row>
    <row r="3824" spans="1:5" ht="90" x14ac:dyDescent="0.2">
      <c r="A3824" s="65" t="s">
        <v>11151</v>
      </c>
      <c r="B3824" s="66" t="s">
        <v>11152</v>
      </c>
      <c r="C3824" s="67" t="s">
        <v>240</v>
      </c>
      <c r="D3824" s="69" t="s">
        <v>11153</v>
      </c>
      <c r="E3824" s="69" t="s">
        <v>11153</v>
      </c>
    </row>
    <row r="3825" spans="1:5" ht="33.75" x14ac:dyDescent="0.2">
      <c r="A3825" s="65" t="s">
        <v>11154</v>
      </c>
      <c r="B3825" s="65" t="s">
        <v>11155</v>
      </c>
      <c r="C3825" s="67" t="s">
        <v>204</v>
      </c>
      <c r="D3825" s="69" t="s">
        <v>11156</v>
      </c>
      <c r="E3825" s="69" t="s">
        <v>11156</v>
      </c>
    </row>
    <row r="3826" spans="1:5" x14ac:dyDescent="0.2">
      <c r="A3826" s="50">
        <v>61.1</v>
      </c>
      <c r="B3826" s="64" t="s">
        <v>11157</v>
      </c>
      <c r="C3826" s="47"/>
      <c r="D3826" s="47"/>
      <c r="E3826" s="47"/>
    </row>
    <row r="3827" spans="1:5" ht="67.5" x14ac:dyDescent="0.2">
      <c r="A3827" s="65" t="s">
        <v>11158</v>
      </c>
      <c r="B3827" s="66" t="s">
        <v>11159</v>
      </c>
      <c r="C3827" s="67" t="s">
        <v>203</v>
      </c>
      <c r="D3827" s="69" t="s">
        <v>11160</v>
      </c>
      <c r="E3827" s="69" t="s">
        <v>11162</v>
      </c>
    </row>
    <row r="3828" spans="1:5" ht="67.5" x14ac:dyDescent="0.2">
      <c r="A3828" s="65" t="s">
        <v>11163</v>
      </c>
      <c r="B3828" s="66" t="s">
        <v>11164</v>
      </c>
      <c r="C3828" s="67" t="s">
        <v>203</v>
      </c>
      <c r="D3828" s="69" t="s">
        <v>11165</v>
      </c>
      <c r="E3828" s="69" t="s">
        <v>11167</v>
      </c>
    </row>
    <row r="3829" spans="1:5" ht="67.5" x14ac:dyDescent="0.2">
      <c r="A3829" s="65" t="s">
        <v>11168</v>
      </c>
      <c r="B3829" s="66" t="s">
        <v>11169</v>
      </c>
      <c r="C3829" s="67" t="s">
        <v>203</v>
      </c>
      <c r="D3829" s="69" t="s">
        <v>11170</v>
      </c>
      <c r="E3829" s="69" t="s">
        <v>11172</v>
      </c>
    </row>
    <row r="3830" spans="1:5" ht="56.25" x14ac:dyDescent="0.2">
      <c r="A3830" s="65" t="s">
        <v>11173</v>
      </c>
      <c r="B3830" s="66" t="s">
        <v>11174</v>
      </c>
      <c r="C3830" s="67" t="s">
        <v>203</v>
      </c>
      <c r="D3830" s="69" t="s">
        <v>11175</v>
      </c>
      <c r="E3830" s="69" t="s">
        <v>11177</v>
      </c>
    </row>
    <row r="3831" spans="1:5" ht="56.25" x14ac:dyDescent="0.2">
      <c r="A3831" s="65" t="s">
        <v>11178</v>
      </c>
      <c r="B3831" s="66" t="s">
        <v>11179</v>
      </c>
      <c r="C3831" s="67" t="s">
        <v>203</v>
      </c>
      <c r="D3831" s="69" t="s">
        <v>11180</v>
      </c>
      <c r="E3831" s="69" t="s">
        <v>11182</v>
      </c>
    </row>
    <row r="3832" spans="1:5" ht="56.25" x14ac:dyDescent="0.2">
      <c r="A3832" s="65" t="s">
        <v>11183</v>
      </c>
      <c r="B3832" s="66" t="s">
        <v>11184</v>
      </c>
      <c r="C3832" s="67" t="s">
        <v>203</v>
      </c>
      <c r="D3832" s="69" t="s">
        <v>11185</v>
      </c>
      <c r="E3832" s="69" t="s">
        <v>11187</v>
      </c>
    </row>
    <row r="3833" spans="1:5" ht="67.5" x14ac:dyDescent="0.2">
      <c r="A3833" s="65" t="s">
        <v>11188</v>
      </c>
      <c r="B3833" s="66" t="s">
        <v>11189</v>
      </c>
      <c r="C3833" s="67" t="s">
        <v>203</v>
      </c>
      <c r="D3833" s="69" t="s">
        <v>11190</v>
      </c>
      <c r="E3833" s="69" t="s">
        <v>11191</v>
      </c>
    </row>
    <row r="3834" spans="1:5" ht="56.25" x14ac:dyDescent="0.2">
      <c r="A3834" s="65" t="s">
        <v>11192</v>
      </c>
      <c r="B3834" s="66" t="s">
        <v>11193</v>
      </c>
      <c r="C3834" s="67" t="s">
        <v>203</v>
      </c>
      <c r="D3834" s="69" t="s">
        <v>11194</v>
      </c>
      <c r="E3834" s="69" t="s">
        <v>11196</v>
      </c>
    </row>
    <row r="3835" spans="1:5" ht="56.25" x14ac:dyDescent="0.2">
      <c r="A3835" s="65" t="s">
        <v>11197</v>
      </c>
      <c r="B3835" s="66" t="s">
        <v>11198</v>
      </c>
      <c r="C3835" s="67" t="s">
        <v>203</v>
      </c>
      <c r="D3835" s="69" t="s">
        <v>11199</v>
      </c>
      <c r="E3835" s="69" t="s">
        <v>11201</v>
      </c>
    </row>
    <row r="3836" spans="1:5" ht="90" x14ac:dyDescent="0.2">
      <c r="A3836" s="70" t="s">
        <v>11202</v>
      </c>
      <c r="B3836" s="65" t="s">
        <v>11203</v>
      </c>
      <c r="C3836" s="71" t="s">
        <v>203</v>
      </c>
      <c r="D3836" s="72" t="s">
        <v>11204</v>
      </c>
      <c r="E3836" s="72" t="s">
        <v>11206</v>
      </c>
    </row>
    <row r="3837" spans="1:5" ht="90" x14ac:dyDescent="0.2">
      <c r="A3837" s="70" t="s">
        <v>11207</v>
      </c>
      <c r="B3837" s="65" t="s">
        <v>11208</v>
      </c>
      <c r="C3837" s="71" t="s">
        <v>203</v>
      </c>
      <c r="D3837" s="72" t="s">
        <v>11209</v>
      </c>
      <c r="E3837" s="72" t="s">
        <v>11211</v>
      </c>
    </row>
    <row r="3838" spans="1:5" ht="90" x14ac:dyDescent="0.2">
      <c r="A3838" s="70" t="s">
        <v>11212</v>
      </c>
      <c r="B3838" s="65" t="s">
        <v>11213</v>
      </c>
      <c r="C3838" s="71" t="s">
        <v>203</v>
      </c>
      <c r="D3838" s="72" t="s">
        <v>11214</v>
      </c>
      <c r="E3838" s="72" t="s">
        <v>11216</v>
      </c>
    </row>
    <row r="3839" spans="1:5" ht="90" x14ac:dyDescent="0.2">
      <c r="A3839" s="70" t="s">
        <v>11217</v>
      </c>
      <c r="B3839" s="65" t="s">
        <v>11218</v>
      </c>
      <c r="C3839" s="71" t="s">
        <v>203</v>
      </c>
      <c r="D3839" s="72" t="s">
        <v>11219</v>
      </c>
      <c r="E3839" s="72" t="s">
        <v>11221</v>
      </c>
    </row>
    <row r="3840" spans="1:5" ht="67.5" x14ac:dyDescent="0.2">
      <c r="A3840" s="65" t="s">
        <v>11222</v>
      </c>
      <c r="B3840" s="66" t="s">
        <v>11223</v>
      </c>
      <c r="C3840" s="67" t="s">
        <v>203</v>
      </c>
      <c r="D3840" s="69" t="s">
        <v>11224</v>
      </c>
      <c r="E3840" s="69" t="s">
        <v>11226</v>
      </c>
    </row>
    <row r="3841" spans="1:5" ht="67.5" x14ac:dyDescent="0.2">
      <c r="A3841" s="65" t="s">
        <v>11227</v>
      </c>
      <c r="B3841" s="66" t="s">
        <v>11228</v>
      </c>
      <c r="C3841" s="67" t="s">
        <v>203</v>
      </c>
      <c r="D3841" s="69" t="s">
        <v>11229</v>
      </c>
      <c r="E3841" s="69" t="s">
        <v>11230</v>
      </c>
    </row>
    <row r="3842" spans="1:5" ht="67.5" x14ac:dyDescent="0.2">
      <c r="A3842" s="65" t="s">
        <v>11231</v>
      </c>
      <c r="B3842" s="66" t="s">
        <v>11232</v>
      </c>
      <c r="C3842" s="67" t="s">
        <v>203</v>
      </c>
      <c r="D3842" s="69" t="s">
        <v>11233</v>
      </c>
      <c r="E3842" s="69" t="s">
        <v>11234</v>
      </c>
    </row>
    <row r="3843" spans="1:5" ht="33.75" x14ac:dyDescent="0.2">
      <c r="A3843" s="65" t="s">
        <v>11235</v>
      </c>
      <c r="B3843" s="65" t="s">
        <v>11236</v>
      </c>
      <c r="C3843" s="67" t="s">
        <v>221</v>
      </c>
      <c r="D3843" s="69" t="s">
        <v>11237</v>
      </c>
      <c r="E3843" s="69" t="s">
        <v>11238</v>
      </c>
    </row>
    <row r="3844" spans="1:5" ht="33.75" x14ac:dyDescent="0.2">
      <c r="A3844" s="65" t="s">
        <v>11239</v>
      </c>
      <c r="B3844" s="65" t="s">
        <v>11240</v>
      </c>
      <c r="C3844" s="67" t="s">
        <v>221</v>
      </c>
      <c r="D3844" s="69" t="s">
        <v>11241</v>
      </c>
      <c r="E3844" s="69" t="s">
        <v>11242</v>
      </c>
    </row>
    <row r="3845" spans="1:5" ht="33.75" x14ac:dyDescent="0.2">
      <c r="A3845" s="65" t="s">
        <v>11243</v>
      </c>
      <c r="B3845" s="65" t="s">
        <v>11244</v>
      </c>
      <c r="C3845" s="67" t="s">
        <v>221</v>
      </c>
      <c r="D3845" s="69" t="s">
        <v>1668</v>
      </c>
      <c r="E3845" s="69" t="s">
        <v>11245</v>
      </c>
    </row>
    <row r="3846" spans="1:5" ht="45" x14ac:dyDescent="0.2">
      <c r="A3846" s="65" t="s">
        <v>11246</v>
      </c>
      <c r="B3846" s="65" t="s">
        <v>11247</v>
      </c>
      <c r="C3846" s="67" t="s">
        <v>204</v>
      </c>
      <c r="D3846" s="69" t="s">
        <v>11248</v>
      </c>
      <c r="E3846" s="69" t="s">
        <v>11249</v>
      </c>
    </row>
    <row r="3847" spans="1:5" ht="56.25" x14ac:dyDescent="0.2">
      <c r="A3847" s="65" t="s">
        <v>11250</v>
      </c>
      <c r="B3847" s="66" t="s">
        <v>11251</v>
      </c>
      <c r="C3847" s="67" t="s">
        <v>204</v>
      </c>
      <c r="D3847" s="69" t="s">
        <v>11252</v>
      </c>
      <c r="E3847" s="69" t="s">
        <v>11252</v>
      </c>
    </row>
    <row r="3848" spans="1:5" ht="45" x14ac:dyDescent="0.2">
      <c r="A3848" s="65" t="s">
        <v>11253</v>
      </c>
      <c r="B3848" s="65" t="s">
        <v>11254</v>
      </c>
      <c r="C3848" s="67" t="s">
        <v>204</v>
      </c>
      <c r="D3848" s="69" t="s">
        <v>11255</v>
      </c>
      <c r="E3848" s="69" t="s">
        <v>11257</v>
      </c>
    </row>
    <row r="3849" spans="1:5" ht="45" x14ac:dyDescent="0.2">
      <c r="A3849" s="65" t="s">
        <v>11258</v>
      </c>
      <c r="B3849" s="65" t="s">
        <v>11259</v>
      </c>
      <c r="C3849" s="67" t="s">
        <v>204</v>
      </c>
      <c r="D3849" s="69" t="s">
        <v>11260</v>
      </c>
      <c r="E3849" s="69" t="s">
        <v>11262</v>
      </c>
    </row>
    <row r="3850" spans="1:5" ht="45" x14ac:dyDescent="0.2">
      <c r="A3850" s="65" t="s">
        <v>11263</v>
      </c>
      <c r="B3850" s="65" t="s">
        <v>11264</v>
      </c>
      <c r="C3850" s="67" t="s">
        <v>204</v>
      </c>
      <c r="D3850" s="69" t="s">
        <v>11265</v>
      </c>
      <c r="E3850" s="69" t="s">
        <v>11267</v>
      </c>
    </row>
    <row r="3851" spans="1:5" ht="33.75" x14ac:dyDescent="0.2">
      <c r="A3851" s="65" t="s">
        <v>11268</v>
      </c>
      <c r="B3851" s="65" t="s">
        <v>11269</v>
      </c>
      <c r="C3851" s="67" t="s">
        <v>203</v>
      </c>
      <c r="D3851" s="73"/>
      <c r="E3851" s="69" t="s">
        <v>11270</v>
      </c>
    </row>
    <row r="3852" spans="1:5" ht="67.5" x14ac:dyDescent="0.2">
      <c r="A3852" s="65" t="s">
        <v>11271</v>
      </c>
      <c r="B3852" s="66" t="s">
        <v>11272</v>
      </c>
      <c r="C3852" s="67" t="s">
        <v>203</v>
      </c>
      <c r="D3852" s="69" t="s">
        <v>11273</v>
      </c>
      <c r="E3852" s="69" t="s">
        <v>11275</v>
      </c>
    </row>
    <row r="3853" spans="1:5" ht="33.75" x14ac:dyDescent="0.2">
      <c r="A3853" s="65" t="s">
        <v>11276</v>
      </c>
      <c r="B3853" s="65" t="s">
        <v>11277</v>
      </c>
      <c r="C3853" s="67" t="s">
        <v>203</v>
      </c>
      <c r="D3853" s="69" t="s">
        <v>11278</v>
      </c>
      <c r="E3853" s="69" t="s">
        <v>11279</v>
      </c>
    </row>
    <row r="3854" spans="1:5" ht="45" x14ac:dyDescent="0.2">
      <c r="A3854" s="65" t="s">
        <v>11280</v>
      </c>
      <c r="B3854" s="65" t="s">
        <v>11281</v>
      </c>
      <c r="C3854" s="67" t="s">
        <v>203</v>
      </c>
      <c r="D3854" s="69" t="s">
        <v>11282</v>
      </c>
      <c r="E3854" s="69" t="s">
        <v>11284</v>
      </c>
    </row>
    <row r="3855" spans="1:5" ht="45" x14ac:dyDescent="0.2">
      <c r="A3855" s="65" t="s">
        <v>11285</v>
      </c>
      <c r="B3855" s="65" t="s">
        <v>11286</v>
      </c>
      <c r="C3855" s="67" t="s">
        <v>204</v>
      </c>
      <c r="D3855" s="69" t="s">
        <v>11287</v>
      </c>
      <c r="E3855" s="69" t="s">
        <v>11289</v>
      </c>
    </row>
    <row r="3856" spans="1:5" ht="45" x14ac:dyDescent="0.2">
      <c r="A3856" s="65" t="s">
        <v>11290</v>
      </c>
      <c r="B3856" s="65" t="s">
        <v>11291</v>
      </c>
      <c r="C3856" s="67" t="s">
        <v>221</v>
      </c>
      <c r="D3856" s="69" t="s">
        <v>11292</v>
      </c>
      <c r="E3856" s="69" t="s">
        <v>11293</v>
      </c>
    </row>
    <row r="3857" spans="1:5" ht="22.5" x14ac:dyDescent="0.2">
      <c r="A3857" s="65" t="s">
        <v>11294</v>
      </c>
      <c r="B3857" s="65" t="s">
        <v>11295</v>
      </c>
      <c r="C3857" s="67" t="s">
        <v>203</v>
      </c>
      <c r="D3857" s="69" t="s">
        <v>11296</v>
      </c>
      <c r="E3857" s="69" t="s">
        <v>11297</v>
      </c>
    </row>
    <row r="3858" spans="1:5" ht="22.5" x14ac:dyDescent="0.2">
      <c r="A3858" s="65" t="s">
        <v>11298</v>
      </c>
      <c r="B3858" s="65" t="s">
        <v>11299</v>
      </c>
      <c r="C3858" s="67" t="s">
        <v>203</v>
      </c>
      <c r="D3858" s="69" t="s">
        <v>11300</v>
      </c>
      <c r="E3858" s="69" t="s">
        <v>11301</v>
      </c>
    </row>
    <row r="3859" spans="1:5" ht="33.75" x14ac:dyDescent="0.2">
      <c r="A3859" s="65" t="s">
        <v>11302</v>
      </c>
      <c r="B3859" s="65" t="s">
        <v>11303</v>
      </c>
      <c r="C3859" s="67" t="s">
        <v>203</v>
      </c>
      <c r="D3859" s="69" t="s">
        <v>11304</v>
      </c>
      <c r="E3859" s="69" t="s">
        <v>11305</v>
      </c>
    </row>
    <row r="3860" spans="1:5" ht="33.75" x14ac:dyDescent="0.2">
      <c r="A3860" s="65" t="s">
        <v>11306</v>
      </c>
      <c r="B3860" s="65" t="s">
        <v>11307</v>
      </c>
      <c r="C3860" s="67" t="s">
        <v>203</v>
      </c>
      <c r="D3860" s="69" t="s">
        <v>11308</v>
      </c>
      <c r="E3860" s="69" t="s">
        <v>11309</v>
      </c>
    </row>
    <row r="3861" spans="1:5" ht="67.5" x14ac:dyDescent="0.2">
      <c r="A3861" s="65" t="s">
        <v>11310</v>
      </c>
      <c r="B3861" s="66" t="s">
        <v>11311</v>
      </c>
      <c r="C3861" s="67" t="s">
        <v>204</v>
      </c>
      <c r="D3861" s="69" t="s">
        <v>11312</v>
      </c>
      <c r="E3861" s="69" t="s">
        <v>11314</v>
      </c>
    </row>
    <row r="3862" spans="1:5" ht="67.5" x14ac:dyDescent="0.2">
      <c r="A3862" s="65" t="s">
        <v>11315</v>
      </c>
      <c r="B3862" s="66" t="s">
        <v>11316</v>
      </c>
      <c r="C3862" s="67" t="s">
        <v>204</v>
      </c>
      <c r="D3862" s="69" t="s">
        <v>11317</v>
      </c>
      <c r="E3862" s="69" t="s">
        <v>11319</v>
      </c>
    </row>
    <row r="3863" spans="1:5" ht="67.5" x14ac:dyDescent="0.2">
      <c r="A3863" s="65" t="s">
        <v>11320</v>
      </c>
      <c r="B3863" s="66" t="s">
        <v>11321</v>
      </c>
      <c r="C3863" s="67" t="s">
        <v>204</v>
      </c>
      <c r="D3863" s="69" t="s">
        <v>11322</v>
      </c>
      <c r="E3863" s="69" t="s">
        <v>11323</v>
      </c>
    </row>
    <row r="3864" spans="1:5" ht="33.75" x14ac:dyDescent="0.2">
      <c r="A3864" s="65" t="s">
        <v>11324</v>
      </c>
      <c r="B3864" s="65" t="s">
        <v>11325</v>
      </c>
      <c r="C3864" s="67" t="s">
        <v>204</v>
      </c>
      <c r="D3864" s="69" t="s">
        <v>11326</v>
      </c>
      <c r="E3864" s="69" t="s">
        <v>11327</v>
      </c>
    </row>
    <row r="3865" spans="1:5" ht="33.75" x14ac:dyDescent="0.2">
      <c r="A3865" s="65" t="s">
        <v>11328</v>
      </c>
      <c r="B3865" s="65" t="s">
        <v>11329</v>
      </c>
      <c r="C3865" s="67" t="s">
        <v>204</v>
      </c>
      <c r="D3865" s="69" t="s">
        <v>11330</v>
      </c>
      <c r="E3865" s="69" t="s">
        <v>11332</v>
      </c>
    </row>
    <row r="3866" spans="1:5" ht="33.75" x14ac:dyDescent="0.2">
      <c r="A3866" s="65" t="s">
        <v>11333</v>
      </c>
      <c r="B3866" s="65" t="s">
        <v>11334</v>
      </c>
      <c r="C3866" s="67" t="s">
        <v>204</v>
      </c>
      <c r="D3866" s="69" t="s">
        <v>11335</v>
      </c>
      <c r="E3866" s="69" t="s">
        <v>11336</v>
      </c>
    </row>
    <row r="3867" spans="1:5" ht="56.25" x14ac:dyDescent="0.2">
      <c r="A3867" s="65" t="s">
        <v>11337</v>
      </c>
      <c r="B3867" s="65" t="s">
        <v>11338</v>
      </c>
      <c r="C3867" s="67" t="s">
        <v>204</v>
      </c>
      <c r="D3867" s="69" t="s">
        <v>11339</v>
      </c>
      <c r="E3867" s="69" t="s">
        <v>11341</v>
      </c>
    </row>
    <row r="3868" spans="1:5" ht="56.25" x14ac:dyDescent="0.2">
      <c r="A3868" s="65" t="s">
        <v>11342</v>
      </c>
      <c r="B3868" s="65" t="s">
        <v>11343</v>
      </c>
      <c r="C3868" s="67" t="s">
        <v>204</v>
      </c>
      <c r="D3868" s="69" t="s">
        <v>11344</v>
      </c>
      <c r="E3868" s="69" t="s">
        <v>11346</v>
      </c>
    </row>
    <row r="3869" spans="1:5" ht="56.25" x14ac:dyDescent="0.2">
      <c r="A3869" s="65" t="s">
        <v>11347</v>
      </c>
      <c r="B3869" s="65" t="s">
        <v>11348</v>
      </c>
      <c r="C3869" s="67" t="s">
        <v>204</v>
      </c>
      <c r="D3869" s="69" t="s">
        <v>11349</v>
      </c>
      <c r="E3869" s="69" t="s">
        <v>11350</v>
      </c>
    </row>
    <row r="3870" spans="1:5" ht="56.25" x14ac:dyDescent="0.2">
      <c r="A3870" s="65" t="s">
        <v>11351</v>
      </c>
      <c r="B3870" s="65" t="s">
        <v>11352</v>
      </c>
      <c r="C3870" s="67" t="s">
        <v>204</v>
      </c>
      <c r="D3870" s="69" t="s">
        <v>11353</v>
      </c>
      <c r="E3870" s="69" t="s">
        <v>11354</v>
      </c>
    </row>
    <row r="3871" spans="1:5" ht="56.25" x14ac:dyDescent="0.2">
      <c r="A3871" s="65" t="s">
        <v>11355</v>
      </c>
      <c r="B3871" s="65" t="s">
        <v>11356</v>
      </c>
      <c r="C3871" s="67" t="s">
        <v>204</v>
      </c>
      <c r="D3871" s="69" t="s">
        <v>11357</v>
      </c>
      <c r="E3871" s="69" t="s">
        <v>11358</v>
      </c>
    </row>
    <row r="3872" spans="1:5" ht="22.5" x14ac:dyDescent="0.2">
      <c r="A3872" s="65" t="s">
        <v>11359</v>
      </c>
      <c r="B3872" s="65" t="s">
        <v>11360</v>
      </c>
      <c r="C3872" s="67" t="s">
        <v>204</v>
      </c>
      <c r="D3872" s="69" t="s">
        <v>11361</v>
      </c>
      <c r="E3872" s="69" t="s">
        <v>11362</v>
      </c>
    </row>
    <row r="3873" spans="1:5" x14ac:dyDescent="0.2">
      <c r="A3873" s="65" t="s">
        <v>11363</v>
      </c>
      <c r="B3873" s="65" t="s">
        <v>11364</v>
      </c>
      <c r="C3873" s="67" t="s">
        <v>204</v>
      </c>
      <c r="D3873" s="69" t="s">
        <v>11365</v>
      </c>
      <c r="E3873" s="69" t="s">
        <v>11367</v>
      </c>
    </row>
    <row r="3874" spans="1:5" ht="33.75" x14ac:dyDescent="0.2">
      <c r="A3874" s="65" t="s">
        <v>11368</v>
      </c>
      <c r="B3874" s="65" t="s">
        <v>11369</v>
      </c>
      <c r="C3874" s="67" t="s">
        <v>203</v>
      </c>
      <c r="D3874" s="69" t="s">
        <v>11370</v>
      </c>
      <c r="E3874" s="69" t="s">
        <v>11371</v>
      </c>
    </row>
    <row r="3875" spans="1:5" ht="33.75" x14ac:dyDescent="0.2">
      <c r="A3875" s="65" t="s">
        <v>11372</v>
      </c>
      <c r="B3875" s="65" t="s">
        <v>11373</v>
      </c>
      <c r="C3875" s="67" t="s">
        <v>203</v>
      </c>
      <c r="D3875" s="69" t="s">
        <v>11374</v>
      </c>
      <c r="E3875" s="69" t="s">
        <v>11375</v>
      </c>
    </row>
    <row r="3876" spans="1:5" x14ac:dyDescent="0.2">
      <c r="A3876" s="50">
        <v>61.14</v>
      </c>
      <c r="B3876" s="64" t="s">
        <v>11376</v>
      </c>
      <c r="C3876" s="47"/>
      <c r="D3876" s="47"/>
      <c r="E3876" s="47"/>
    </row>
    <row r="3877" spans="1:5" ht="67.5" x14ac:dyDescent="0.2">
      <c r="A3877" s="65" t="s">
        <v>11377</v>
      </c>
      <c r="B3877" s="66" t="s">
        <v>11378</v>
      </c>
      <c r="C3877" s="67" t="s">
        <v>203</v>
      </c>
      <c r="D3877" s="69" t="s">
        <v>11379</v>
      </c>
      <c r="E3877" s="69" t="s">
        <v>11381</v>
      </c>
    </row>
    <row r="3878" spans="1:5" ht="78.75" x14ac:dyDescent="0.2">
      <c r="A3878" s="65" t="s">
        <v>11382</v>
      </c>
      <c r="B3878" s="66" t="s">
        <v>11383</v>
      </c>
      <c r="C3878" s="67" t="s">
        <v>203</v>
      </c>
      <c r="D3878" s="69" t="s">
        <v>11384</v>
      </c>
      <c r="E3878" s="69" t="s">
        <v>11386</v>
      </c>
    </row>
    <row r="3879" spans="1:5" ht="67.5" x14ac:dyDescent="0.2">
      <c r="A3879" s="65" t="s">
        <v>11387</v>
      </c>
      <c r="B3879" s="66" t="s">
        <v>11388</v>
      </c>
      <c r="C3879" s="67" t="s">
        <v>203</v>
      </c>
      <c r="D3879" s="69" t="s">
        <v>11389</v>
      </c>
      <c r="E3879" s="69" t="s">
        <v>11391</v>
      </c>
    </row>
    <row r="3880" spans="1:5" ht="78.75" x14ac:dyDescent="0.2">
      <c r="A3880" s="65" t="s">
        <v>11392</v>
      </c>
      <c r="B3880" s="66" t="s">
        <v>11393</v>
      </c>
      <c r="C3880" s="67" t="s">
        <v>203</v>
      </c>
      <c r="D3880" s="69" t="s">
        <v>11394</v>
      </c>
      <c r="E3880" s="69" t="s">
        <v>11395</v>
      </c>
    </row>
    <row r="3881" spans="1:5" ht="67.5" x14ac:dyDescent="0.2">
      <c r="A3881" s="65" t="s">
        <v>11396</v>
      </c>
      <c r="B3881" s="66" t="s">
        <v>11397</v>
      </c>
      <c r="C3881" s="67" t="s">
        <v>203</v>
      </c>
      <c r="D3881" s="69" t="s">
        <v>11398</v>
      </c>
      <c r="E3881" s="69" t="s">
        <v>11399</v>
      </c>
    </row>
    <row r="3882" spans="1:5" ht="67.5" x14ac:dyDescent="0.2">
      <c r="A3882" s="65" t="s">
        <v>11400</v>
      </c>
      <c r="B3882" s="66" t="s">
        <v>11401</v>
      </c>
      <c r="C3882" s="67" t="s">
        <v>203</v>
      </c>
      <c r="D3882" s="69" t="s">
        <v>11402</v>
      </c>
      <c r="E3882" s="69" t="s">
        <v>11403</v>
      </c>
    </row>
    <row r="3883" spans="1:5" ht="78.75" x14ac:dyDescent="0.2">
      <c r="A3883" s="65" t="s">
        <v>11404</v>
      </c>
      <c r="B3883" s="66" t="s">
        <v>11405</v>
      </c>
      <c r="C3883" s="67" t="s">
        <v>203</v>
      </c>
      <c r="D3883" s="69" t="s">
        <v>11406</v>
      </c>
      <c r="E3883" s="69" t="s">
        <v>11408</v>
      </c>
    </row>
    <row r="3884" spans="1:5" ht="22.5" x14ac:dyDescent="0.2">
      <c r="A3884" s="50">
        <v>61.15</v>
      </c>
      <c r="B3884" s="64" t="s">
        <v>11409</v>
      </c>
      <c r="C3884" s="47"/>
      <c r="D3884" s="47"/>
      <c r="E3884" s="47"/>
    </row>
    <row r="3885" spans="1:5" ht="56.25" x14ac:dyDescent="0.2">
      <c r="A3885" s="65" t="s">
        <v>11410</v>
      </c>
      <c r="B3885" s="65" t="s">
        <v>11411</v>
      </c>
      <c r="C3885" s="67" t="s">
        <v>203</v>
      </c>
      <c r="D3885" s="69" t="s">
        <v>11412</v>
      </c>
      <c r="E3885" s="69" t="s">
        <v>11413</v>
      </c>
    </row>
    <row r="3886" spans="1:5" ht="33.75" x14ac:dyDescent="0.2">
      <c r="A3886" s="65" t="s">
        <v>11414</v>
      </c>
      <c r="B3886" s="65" t="s">
        <v>11415</v>
      </c>
      <c r="C3886" s="67" t="s">
        <v>203</v>
      </c>
      <c r="D3886" s="69" t="s">
        <v>11416</v>
      </c>
      <c r="E3886" s="69" t="s">
        <v>5278</v>
      </c>
    </row>
    <row r="3887" spans="1:5" ht="56.25" x14ac:dyDescent="0.2">
      <c r="A3887" s="65" t="s">
        <v>11417</v>
      </c>
      <c r="B3887" s="66" t="s">
        <v>11418</v>
      </c>
      <c r="C3887" s="67" t="s">
        <v>203</v>
      </c>
      <c r="D3887" s="69" t="s">
        <v>11419</v>
      </c>
      <c r="E3887" s="69" t="s">
        <v>11420</v>
      </c>
    </row>
    <row r="3888" spans="1:5" ht="67.5" x14ac:dyDescent="0.2">
      <c r="A3888" s="65" t="s">
        <v>11421</v>
      </c>
      <c r="B3888" s="66" t="s">
        <v>11422</v>
      </c>
      <c r="C3888" s="67" t="s">
        <v>203</v>
      </c>
      <c r="D3888" s="69" t="s">
        <v>11423</v>
      </c>
      <c r="E3888" s="69" t="s">
        <v>11424</v>
      </c>
    </row>
    <row r="3889" spans="1:5" ht="56.25" x14ac:dyDescent="0.2">
      <c r="A3889" s="65" t="s">
        <v>11425</v>
      </c>
      <c r="B3889" s="66" t="s">
        <v>11426</v>
      </c>
      <c r="C3889" s="67" t="s">
        <v>203</v>
      </c>
      <c r="D3889" s="69" t="s">
        <v>11427</v>
      </c>
      <c r="E3889" s="69" t="s">
        <v>11429</v>
      </c>
    </row>
    <row r="3890" spans="1:5" ht="33.75" x14ac:dyDescent="0.2">
      <c r="A3890" s="65" t="s">
        <v>11430</v>
      </c>
      <c r="B3890" s="65" t="s">
        <v>11431</v>
      </c>
      <c r="C3890" s="67" t="s">
        <v>203</v>
      </c>
      <c r="D3890" s="69" t="s">
        <v>11432</v>
      </c>
      <c r="E3890" s="69" t="s">
        <v>11433</v>
      </c>
    </row>
    <row r="3891" spans="1:5" ht="56.25" x14ac:dyDescent="0.2">
      <c r="A3891" s="65" t="s">
        <v>11434</v>
      </c>
      <c r="B3891" s="66" t="s">
        <v>11435</v>
      </c>
      <c r="C3891" s="67" t="s">
        <v>203</v>
      </c>
      <c r="D3891" s="69" t="s">
        <v>11436</v>
      </c>
      <c r="E3891" s="69" t="s">
        <v>11437</v>
      </c>
    </row>
    <row r="3892" spans="1:5" ht="45" x14ac:dyDescent="0.2">
      <c r="A3892" s="65" t="s">
        <v>11438</v>
      </c>
      <c r="B3892" s="65" t="s">
        <v>11439</v>
      </c>
      <c r="C3892" s="67" t="s">
        <v>203</v>
      </c>
      <c r="D3892" s="69" t="s">
        <v>11440</v>
      </c>
      <c r="E3892" s="69" t="s">
        <v>11441</v>
      </c>
    </row>
    <row r="3893" spans="1:5" ht="56.25" x14ac:dyDescent="0.2">
      <c r="A3893" s="65" t="s">
        <v>11442</v>
      </c>
      <c r="B3893" s="66" t="s">
        <v>11443</v>
      </c>
      <c r="C3893" s="67" t="s">
        <v>203</v>
      </c>
      <c r="D3893" s="69" t="s">
        <v>11444</v>
      </c>
      <c r="E3893" s="69" t="s">
        <v>11445</v>
      </c>
    </row>
    <row r="3894" spans="1:5" ht="56.25" x14ac:dyDescent="0.2">
      <c r="A3894" s="65" t="s">
        <v>11446</v>
      </c>
      <c r="B3894" s="65" t="s">
        <v>11447</v>
      </c>
      <c r="C3894" s="67" t="s">
        <v>203</v>
      </c>
      <c r="D3894" s="69" t="s">
        <v>11448</v>
      </c>
      <c r="E3894" s="69" t="s">
        <v>11449</v>
      </c>
    </row>
    <row r="3895" spans="1:5" ht="33.75" x14ac:dyDescent="0.2">
      <c r="A3895" s="65" t="s">
        <v>11450</v>
      </c>
      <c r="B3895" s="65" t="s">
        <v>11451</v>
      </c>
      <c r="C3895" s="67" t="s">
        <v>203</v>
      </c>
      <c r="D3895" s="69" t="s">
        <v>11452</v>
      </c>
      <c r="E3895" s="69" t="s">
        <v>11453</v>
      </c>
    </row>
    <row r="3896" spans="1:5" ht="33.75" x14ac:dyDescent="0.2">
      <c r="A3896" s="65" t="s">
        <v>11454</v>
      </c>
      <c r="B3896" s="65" t="s">
        <v>11455</v>
      </c>
      <c r="C3896" s="67" t="s">
        <v>203</v>
      </c>
      <c r="D3896" s="69" t="s">
        <v>11456</v>
      </c>
      <c r="E3896" s="69" t="s">
        <v>11457</v>
      </c>
    </row>
    <row r="3897" spans="1:5" ht="22.5" x14ac:dyDescent="0.2">
      <c r="A3897" s="65" t="s">
        <v>11458</v>
      </c>
      <c r="B3897" s="65" t="s">
        <v>11459</v>
      </c>
      <c r="C3897" s="67" t="s">
        <v>203</v>
      </c>
      <c r="D3897" s="69" t="s">
        <v>11460</v>
      </c>
      <c r="E3897" s="69" t="s">
        <v>11462</v>
      </c>
    </row>
    <row r="3898" spans="1:5" ht="22.5" x14ac:dyDescent="0.2">
      <c r="A3898" s="65" t="s">
        <v>11463</v>
      </c>
      <c r="B3898" s="65" t="s">
        <v>11464</v>
      </c>
      <c r="C3898" s="67" t="s">
        <v>203</v>
      </c>
      <c r="D3898" s="69" t="s">
        <v>11465</v>
      </c>
      <c r="E3898" s="69" t="s">
        <v>11466</v>
      </c>
    </row>
    <row r="3899" spans="1:5" ht="33.75" x14ac:dyDescent="0.2">
      <c r="A3899" s="65" t="s">
        <v>11467</v>
      </c>
      <c r="B3899" s="65" t="s">
        <v>11468</v>
      </c>
      <c r="C3899" s="67" t="s">
        <v>203</v>
      </c>
      <c r="D3899" s="69" t="s">
        <v>11469</v>
      </c>
      <c r="E3899" s="69" t="s">
        <v>11470</v>
      </c>
    </row>
    <row r="3900" spans="1:5" ht="45" x14ac:dyDescent="0.2">
      <c r="A3900" s="65" t="s">
        <v>11471</v>
      </c>
      <c r="B3900" s="65" t="s">
        <v>11472</v>
      </c>
      <c r="C3900" s="67" t="s">
        <v>203</v>
      </c>
      <c r="D3900" s="69" t="s">
        <v>463</v>
      </c>
      <c r="E3900" s="69" t="s">
        <v>11473</v>
      </c>
    </row>
    <row r="3901" spans="1:5" ht="90" x14ac:dyDescent="0.2">
      <c r="A3901" s="65" t="s">
        <v>11474</v>
      </c>
      <c r="B3901" s="66" t="s">
        <v>11475</v>
      </c>
      <c r="C3901" s="67" t="s">
        <v>203</v>
      </c>
      <c r="D3901" s="69" t="s">
        <v>11476</v>
      </c>
      <c r="E3901" s="69" t="s">
        <v>11477</v>
      </c>
    </row>
    <row r="3902" spans="1:5" ht="56.25" x14ac:dyDescent="0.2">
      <c r="A3902" s="65" t="s">
        <v>11478</v>
      </c>
      <c r="B3902" s="65" t="s">
        <v>11479</v>
      </c>
      <c r="C3902" s="67" t="s">
        <v>203</v>
      </c>
      <c r="D3902" s="69" t="s">
        <v>11480</v>
      </c>
      <c r="E3902" s="69" t="s">
        <v>11481</v>
      </c>
    </row>
    <row r="3903" spans="1:5" ht="45" x14ac:dyDescent="0.2">
      <c r="A3903" s="65" t="s">
        <v>11482</v>
      </c>
      <c r="B3903" s="65" t="s">
        <v>11483</v>
      </c>
      <c r="C3903" s="67" t="s">
        <v>203</v>
      </c>
      <c r="D3903" s="69" t="s">
        <v>11484</v>
      </c>
      <c r="E3903" s="69" t="s">
        <v>11485</v>
      </c>
    </row>
    <row r="3904" spans="1:5" ht="56.25" x14ac:dyDescent="0.2">
      <c r="A3904" s="65" t="s">
        <v>11486</v>
      </c>
      <c r="B3904" s="66" t="s">
        <v>11487</v>
      </c>
      <c r="C3904" s="67" t="s">
        <v>203</v>
      </c>
      <c r="D3904" s="69" t="s">
        <v>11488</v>
      </c>
      <c r="E3904" s="69" t="s">
        <v>11489</v>
      </c>
    </row>
    <row r="3905" spans="1:5" ht="78.75" x14ac:dyDescent="0.2">
      <c r="A3905" s="65" t="s">
        <v>11490</v>
      </c>
      <c r="B3905" s="66" t="s">
        <v>11491</v>
      </c>
      <c r="C3905" s="67" t="s">
        <v>203</v>
      </c>
      <c r="D3905" s="69" t="s">
        <v>11492</v>
      </c>
      <c r="E3905" s="69" t="s">
        <v>11493</v>
      </c>
    </row>
    <row r="3906" spans="1:5" ht="33.75" x14ac:dyDescent="0.2">
      <c r="A3906" s="65" t="s">
        <v>11494</v>
      </c>
      <c r="B3906" s="65" t="s">
        <v>11495</v>
      </c>
      <c r="C3906" s="67" t="s">
        <v>203</v>
      </c>
      <c r="D3906" s="69" t="s">
        <v>11496</v>
      </c>
      <c r="E3906" s="69" t="s">
        <v>11498</v>
      </c>
    </row>
    <row r="3907" spans="1:5" ht="33.75" x14ac:dyDescent="0.2">
      <c r="A3907" s="65" t="s">
        <v>11499</v>
      </c>
      <c r="B3907" s="65" t="s">
        <v>11500</v>
      </c>
      <c r="C3907" s="67" t="s">
        <v>203</v>
      </c>
      <c r="D3907" s="69" t="s">
        <v>11501</v>
      </c>
      <c r="E3907" s="69" t="s">
        <v>11503</v>
      </c>
    </row>
    <row r="3908" spans="1:5" ht="33.75" x14ac:dyDescent="0.2">
      <c r="A3908" s="65" t="s">
        <v>11504</v>
      </c>
      <c r="B3908" s="65" t="s">
        <v>11505</v>
      </c>
      <c r="C3908" s="67" t="s">
        <v>203</v>
      </c>
      <c r="D3908" s="69" t="s">
        <v>11506</v>
      </c>
      <c r="E3908" s="69" t="s">
        <v>11507</v>
      </c>
    </row>
    <row r="3909" spans="1:5" ht="45" x14ac:dyDescent="0.2">
      <c r="A3909" s="65" t="s">
        <v>11508</v>
      </c>
      <c r="B3909" s="65" t="s">
        <v>11509</v>
      </c>
      <c r="C3909" s="67" t="s">
        <v>203</v>
      </c>
      <c r="D3909" s="69" t="s">
        <v>11510</v>
      </c>
      <c r="E3909" s="69" t="s">
        <v>11512</v>
      </c>
    </row>
    <row r="3910" spans="1:5" ht="45" x14ac:dyDescent="0.2">
      <c r="A3910" s="50">
        <v>61.2</v>
      </c>
      <c r="B3910" s="64" t="s">
        <v>11513</v>
      </c>
      <c r="C3910" s="47"/>
      <c r="D3910" s="47"/>
      <c r="E3910" s="47"/>
    </row>
    <row r="3911" spans="1:5" ht="33.75" x14ac:dyDescent="0.2">
      <c r="A3911" s="65" t="s">
        <v>11514</v>
      </c>
      <c r="B3911" s="65" t="s">
        <v>11515</v>
      </c>
      <c r="C3911" s="67" t="s">
        <v>240</v>
      </c>
      <c r="D3911" s="69" t="s">
        <v>11516</v>
      </c>
      <c r="E3911" s="69" t="s">
        <v>11518</v>
      </c>
    </row>
    <row r="3912" spans="1:5" ht="33.75" x14ac:dyDescent="0.2">
      <c r="A3912" s="65" t="s">
        <v>11519</v>
      </c>
      <c r="B3912" s="65" t="s">
        <v>11520</v>
      </c>
      <c r="C3912" s="67" t="s">
        <v>240</v>
      </c>
      <c r="D3912" s="69" t="s">
        <v>11521</v>
      </c>
      <c r="E3912" s="69" t="s">
        <v>11522</v>
      </c>
    </row>
    <row r="3913" spans="1:5" ht="56.25" x14ac:dyDescent="0.2">
      <c r="A3913" s="65" t="s">
        <v>11523</v>
      </c>
      <c r="B3913" s="65" t="s">
        <v>11524</v>
      </c>
      <c r="C3913" s="67" t="s">
        <v>240</v>
      </c>
      <c r="D3913" s="69" t="s">
        <v>11525</v>
      </c>
      <c r="E3913" s="69" t="s">
        <v>11527</v>
      </c>
    </row>
    <row r="3914" spans="1:5" ht="56.25" x14ac:dyDescent="0.2">
      <c r="A3914" s="65" t="s">
        <v>11528</v>
      </c>
      <c r="B3914" s="65" t="s">
        <v>11529</v>
      </c>
      <c r="C3914" s="67" t="s">
        <v>240</v>
      </c>
      <c r="D3914" s="69" t="s">
        <v>11530</v>
      </c>
      <c r="E3914" s="69" t="s">
        <v>11532</v>
      </c>
    </row>
    <row r="3915" spans="1:5" ht="56.25" x14ac:dyDescent="0.2">
      <c r="A3915" s="65" t="s">
        <v>11533</v>
      </c>
      <c r="B3915" s="65" t="s">
        <v>11534</v>
      </c>
      <c r="C3915" s="67" t="s">
        <v>240</v>
      </c>
      <c r="D3915" s="69" t="s">
        <v>11535</v>
      </c>
      <c r="E3915" s="69" t="s">
        <v>11537</v>
      </c>
    </row>
    <row r="3916" spans="1:5" ht="67.5" x14ac:dyDescent="0.2">
      <c r="A3916" s="65" t="s">
        <v>11538</v>
      </c>
      <c r="B3916" s="66" t="s">
        <v>11539</v>
      </c>
      <c r="C3916" s="67" t="s">
        <v>240</v>
      </c>
      <c r="D3916" s="69" t="s">
        <v>11540</v>
      </c>
      <c r="E3916" s="69" t="s">
        <v>11542</v>
      </c>
    </row>
    <row r="3917" spans="1:5" ht="22.5" x14ac:dyDescent="0.2">
      <c r="A3917" s="65" t="s">
        <v>11543</v>
      </c>
      <c r="B3917" s="65" t="s">
        <v>11544</v>
      </c>
      <c r="C3917" s="67" t="s">
        <v>300</v>
      </c>
      <c r="D3917" s="69" t="s">
        <v>11545</v>
      </c>
      <c r="E3917" s="69" t="s">
        <v>11546</v>
      </c>
    </row>
    <row r="3918" spans="1:5" ht="56.25" x14ac:dyDescent="0.2">
      <c r="A3918" s="49">
        <v>62</v>
      </c>
      <c r="B3918" s="64" t="s">
        <v>11547</v>
      </c>
      <c r="C3918" s="48"/>
      <c r="D3918" s="48"/>
      <c r="E3918" s="48"/>
    </row>
    <row r="3919" spans="1:5" ht="22.5" x14ac:dyDescent="0.2">
      <c r="A3919" s="50">
        <v>62.04</v>
      </c>
      <c r="B3919" s="64" t="s">
        <v>11548</v>
      </c>
      <c r="C3919" s="47"/>
      <c r="D3919" s="47"/>
      <c r="E3919" s="47"/>
    </row>
    <row r="3920" spans="1:5" ht="45" x14ac:dyDescent="0.2">
      <c r="A3920" s="65" t="s">
        <v>11549</v>
      </c>
      <c r="B3920" s="65" t="s">
        <v>11550</v>
      </c>
      <c r="C3920" s="67" t="s">
        <v>203</v>
      </c>
      <c r="D3920" s="69" t="s">
        <v>11551</v>
      </c>
      <c r="E3920" s="69" t="s">
        <v>11552</v>
      </c>
    </row>
    <row r="3921" spans="1:5" ht="33.75" x14ac:dyDescent="0.2">
      <c r="A3921" s="65" t="s">
        <v>11553</v>
      </c>
      <c r="B3921" s="65" t="s">
        <v>11554</v>
      </c>
      <c r="C3921" s="67" t="s">
        <v>221</v>
      </c>
      <c r="D3921" s="69" t="s">
        <v>11555</v>
      </c>
      <c r="E3921" s="69" t="s">
        <v>11555</v>
      </c>
    </row>
    <row r="3922" spans="1:5" ht="56.25" x14ac:dyDescent="0.2">
      <c r="A3922" s="65" t="s">
        <v>11556</v>
      </c>
      <c r="B3922" s="66" t="s">
        <v>11557</v>
      </c>
      <c r="C3922" s="67" t="s">
        <v>221</v>
      </c>
      <c r="D3922" s="69" t="s">
        <v>11558</v>
      </c>
      <c r="E3922" s="69" t="s">
        <v>11558</v>
      </c>
    </row>
    <row r="3923" spans="1:5" ht="45" x14ac:dyDescent="0.2">
      <c r="A3923" s="50">
        <v>62.2</v>
      </c>
      <c r="B3923" s="64" t="s">
        <v>11559</v>
      </c>
      <c r="C3923" s="47"/>
      <c r="D3923" s="47"/>
      <c r="E3923" s="47"/>
    </row>
    <row r="3924" spans="1:5" ht="45" x14ac:dyDescent="0.2">
      <c r="A3924" s="65" t="s">
        <v>11560</v>
      </c>
      <c r="B3924" s="65" t="s">
        <v>11561</v>
      </c>
      <c r="C3924" s="67" t="s">
        <v>204</v>
      </c>
      <c r="D3924" s="69" t="s">
        <v>11562</v>
      </c>
      <c r="E3924" s="69" t="s">
        <v>11562</v>
      </c>
    </row>
    <row r="3925" spans="1:5" ht="56.25" x14ac:dyDescent="0.2">
      <c r="A3925" s="65" t="s">
        <v>11563</v>
      </c>
      <c r="B3925" s="66" t="s">
        <v>11564</v>
      </c>
      <c r="C3925" s="67" t="s">
        <v>204</v>
      </c>
      <c r="D3925" s="69" t="s">
        <v>11565</v>
      </c>
      <c r="E3925" s="69" t="s">
        <v>11565</v>
      </c>
    </row>
    <row r="3926" spans="1:5" ht="56.25" x14ac:dyDescent="0.2">
      <c r="A3926" s="65" t="s">
        <v>11566</v>
      </c>
      <c r="B3926" s="66" t="s">
        <v>11567</v>
      </c>
      <c r="C3926" s="67" t="s">
        <v>204</v>
      </c>
      <c r="D3926" s="69" t="s">
        <v>11568</v>
      </c>
      <c r="E3926" s="69" t="s">
        <v>11568</v>
      </c>
    </row>
    <row r="3927" spans="1:5" ht="33.75" x14ac:dyDescent="0.2">
      <c r="A3927" s="49">
        <v>65</v>
      </c>
      <c r="B3927" s="64" t="s">
        <v>11569</v>
      </c>
      <c r="C3927" s="47"/>
      <c r="D3927" s="47"/>
      <c r="E3927" s="47"/>
    </row>
    <row r="3928" spans="1:5" ht="22.5" x14ac:dyDescent="0.2">
      <c r="A3928" s="50">
        <v>65.010000000000005</v>
      </c>
      <c r="B3928" s="64" t="s">
        <v>11570</v>
      </c>
      <c r="C3928" s="47"/>
      <c r="D3928" s="47"/>
      <c r="E3928" s="47"/>
    </row>
    <row r="3929" spans="1:5" ht="22.5" x14ac:dyDescent="0.2">
      <c r="A3929" s="65" t="s">
        <v>11571</v>
      </c>
      <c r="B3929" s="65" t="s">
        <v>11572</v>
      </c>
      <c r="C3929" s="67" t="s">
        <v>204</v>
      </c>
      <c r="D3929" s="69" t="s">
        <v>11573</v>
      </c>
      <c r="E3929" s="69" t="s">
        <v>11573</v>
      </c>
    </row>
    <row r="3930" spans="1:5" ht="22.5" x14ac:dyDescent="0.2">
      <c r="A3930" s="50">
        <v>65.02</v>
      </c>
      <c r="B3930" s="64" t="s">
        <v>11574</v>
      </c>
      <c r="C3930" s="47"/>
      <c r="D3930" s="47"/>
      <c r="E3930" s="47"/>
    </row>
    <row r="3931" spans="1:5" ht="22.5" x14ac:dyDescent="0.2">
      <c r="A3931" s="65" t="s">
        <v>11575</v>
      </c>
      <c r="B3931" s="65" t="s">
        <v>11576</v>
      </c>
      <c r="C3931" s="67" t="s">
        <v>204</v>
      </c>
      <c r="D3931" s="69" t="s">
        <v>11577</v>
      </c>
      <c r="E3931" s="69" t="s">
        <v>11577</v>
      </c>
    </row>
    <row r="3932" spans="1:5" ht="56.25" x14ac:dyDescent="0.2">
      <c r="A3932" s="49">
        <v>66</v>
      </c>
      <c r="B3932" s="64" t="s">
        <v>11578</v>
      </c>
      <c r="C3932" s="48"/>
      <c r="D3932" s="48"/>
      <c r="E3932" s="48"/>
    </row>
    <row r="3933" spans="1:5" ht="22.5" x14ac:dyDescent="0.2">
      <c r="A3933" s="50">
        <v>66.02</v>
      </c>
      <c r="B3933" s="64" t="s">
        <v>11579</v>
      </c>
      <c r="C3933" s="47"/>
      <c r="D3933" s="47"/>
      <c r="E3933" s="47"/>
    </row>
    <row r="3934" spans="1:5" ht="56.25" x14ac:dyDescent="0.2">
      <c r="A3934" s="65" t="s">
        <v>11580</v>
      </c>
      <c r="B3934" s="66" t="s">
        <v>11581</v>
      </c>
      <c r="C3934" s="67" t="s">
        <v>203</v>
      </c>
      <c r="D3934" s="69" t="s">
        <v>11582</v>
      </c>
      <c r="E3934" s="69" t="s">
        <v>11583</v>
      </c>
    </row>
    <row r="3935" spans="1:5" ht="33.75" x14ac:dyDescent="0.2">
      <c r="A3935" s="65" t="s">
        <v>11584</v>
      </c>
      <c r="B3935" s="65" t="s">
        <v>11585</v>
      </c>
      <c r="C3935" s="67" t="s">
        <v>203</v>
      </c>
      <c r="D3935" s="69" t="s">
        <v>11586</v>
      </c>
      <c r="E3935" s="69" t="s">
        <v>11586</v>
      </c>
    </row>
    <row r="3936" spans="1:5" ht="22.5" x14ac:dyDescent="0.2">
      <c r="A3936" s="65" t="s">
        <v>11587</v>
      </c>
      <c r="B3936" s="65" t="s">
        <v>11588</v>
      </c>
      <c r="C3936" s="67" t="s">
        <v>240</v>
      </c>
      <c r="D3936" s="69" t="s">
        <v>11589</v>
      </c>
      <c r="E3936" s="69" t="s">
        <v>11590</v>
      </c>
    </row>
    <row r="3937" spans="1:5" ht="56.25" x14ac:dyDescent="0.2">
      <c r="A3937" s="65" t="s">
        <v>11591</v>
      </c>
      <c r="B3937" s="66" t="s">
        <v>11592</v>
      </c>
      <c r="C3937" s="67" t="s">
        <v>240</v>
      </c>
      <c r="D3937" s="69" t="s">
        <v>11593</v>
      </c>
      <c r="E3937" s="69" t="s">
        <v>11593</v>
      </c>
    </row>
    <row r="3938" spans="1:5" ht="67.5" x14ac:dyDescent="0.2">
      <c r="A3938" s="65" t="s">
        <v>11594</v>
      </c>
      <c r="B3938" s="66" t="s">
        <v>11595</v>
      </c>
      <c r="C3938" s="67" t="s">
        <v>240</v>
      </c>
      <c r="D3938" s="69" t="s">
        <v>11596</v>
      </c>
      <c r="E3938" s="69" t="s">
        <v>11596</v>
      </c>
    </row>
    <row r="3939" spans="1:5" ht="33.75" x14ac:dyDescent="0.2">
      <c r="A3939" s="65" t="s">
        <v>11597</v>
      </c>
      <c r="B3939" s="65" t="s">
        <v>11598</v>
      </c>
      <c r="C3939" s="67" t="s">
        <v>240</v>
      </c>
      <c r="D3939" s="69" t="s">
        <v>11599</v>
      </c>
      <c r="E3939" s="69" t="s">
        <v>11600</v>
      </c>
    </row>
    <row r="3940" spans="1:5" ht="33.75" x14ac:dyDescent="0.2">
      <c r="A3940" s="65" t="s">
        <v>11601</v>
      </c>
      <c r="B3940" s="65" t="s">
        <v>11602</v>
      </c>
      <c r="C3940" s="67" t="s">
        <v>203</v>
      </c>
      <c r="D3940" s="69" t="s">
        <v>11603</v>
      </c>
      <c r="E3940" s="69" t="s">
        <v>11604</v>
      </c>
    </row>
    <row r="3941" spans="1:5" ht="78.75" x14ac:dyDescent="0.2">
      <c r="A3941" s="65" t="s">
        <v>11605</v>
      </c>
      <c r="B3941" s="66" t="s">
        <v>11606</v>
      </c>
      <c r="C3941" s="67" t="s">
        <v>240</v>
      </c>
      <c r="D3941" s="69" t="s">
        <v>11607</v>
      </c>
      <c r="E3941" s="69" t="s">
        <v>11609</v>
      </c>
    </row>
    <row r="3942" spans="1:5" ht="45" x14ac:dyDescent="0.2">
      <c r="A3942" s="50">
        <v>66.08</v>
      </c>
      <c r="B3942" s="64" t="s">
        <v>11610</v>
      </c>
      <c r="C3942" s="47"/>
      <c r="D3942" s="47"/>
      <c r="E3942" s="47"/>
    </row>
    <row r="3943" spans="1:5" ht="78.75" x14ac:dyDescent="0.2">
      <c r="A3943" s="65" t="s">
        <v>11611</v>
      </c>
      <c r="B3943" s="66" t="s">
        <v>11612</v>
      </c>
      <c r="C3943" s="67" t="s">
        <v>203</v>
      </c>
      <c r="D3943" s="69" t="s">
        <v>11613</v>
      </c>
      <c r="E3943" s="69" t="s">
        <v>11614</v>
      </c>
    </row>
    <row r="3944" spans="1:5" ht="33.75" x14ac:dyDescent="0.2">
      <c r="A3944" s="65" t="s">
        <v>11615</v>
      </c>
      <c r="B3944" s="65" t="s">
        <v>11616</v>
      </c>
      <c r="C3944" s="67" t="s">
        <v>203</v>
      </c>
      <c r="D3944" s="69" t="s">
        <v>11617</v>
      </c>
      <c r="E3944" s="69" t="s">
        <v>11619</v>
      </c>
    </row>
    <row r="3945" spans="1:5" ht="33.75" x14ac:dyDescent="0.2">
      <c r="A3945" s="65" t="s">
        <v>11620</v>
      </c>
      <c r="B3945" s="65" t="s">
        <v>11621</v>
      </c>
      <c r="C3945" s="67" t="s">
        <v>203</v>
      </c>
      <c r="D3945" s="69" t="s">
        <v>11622</v>
      </c>
      <c r="E3945" s="69" t="s">
        <v>11623</v>
      </c>
    </row>
    <row r="3946" spans="1:5" ht="33.75" x14ac:dyDescent="0.2">
      <c r="A3946" s="65" t="s">
        <v>11624</v>
      </c>
      <c r="B3946" s="65" t="s">
        <v>11625</v>
      </c>
      <c r="C3946" s="67" t="s">
        <v>203</v>
      </c>
      <c r="D3946" s="69" t="s">
        <v>11626</v>
      </c>
      <c r="E3946" s="69" t="s">
        <v>11627</v>
      </c>
    </row>
    <row r="3947" spans="1:5" ht="33.75" x14ac:dyDescent="0.2">
      <c r="A3947" s="65" t="s">
        <v>11628</v>
      </c>
      <c r="B3947" s="65" t="s">
        <v>11629</v>
      </c>
      <c r="C3947" s="67" t="s">
        <v>203</v>
      </c>
      <c r="D3947" s="69" t="s">
        <v>11630</v>
      </c>
      <c r="E3947" s="69" t="s">
        <v>11632</v>
      </c>
    </row>
    <row r="3948" spans="1:5" ht="33.75" x14ac:dyDescent="0.2">
      <c r="A3948" s="65" t="s">
        <v>11633</v>
      </c>
      <c r="B3948" s="65" t="s">
        <v>11634</v>
      </c>
      <c r="C3948" s="67" t="s">
        <v>203</v>
      </c>
      <c r="D3948" s="69" t="s">
        <v>11635</v>
      </c>
      <c r="E3948" s="69" t="s">
        <v>11637</v>
      </c>
    </row>
    <row r="3949" spans="1:5" ht="33.75" x14ac:dyDescent="0.2">
      <c r="A3949" s="65" t="s">
        <v>11638</v>
      </c>
      <c r="B3949" s="65" t="s">
        <v>11639</v>
      </c>
      <c r="C3949" s="67" t="s">
        <v>203</v>
      </c>
      <c r="D3949" s="69" t="s">
        <v>3699</v>
      </c>
      <c r="E3949" s="69" t="s">
        <v>11245</v>
      </c>
    </row>
    <row r="3950" spans="1:5" ht="56.25" x14ac:dyDescent="0.2">
      <c r="A3950" s="65" t="s">
        <v>11640</v>
      </c>
      <c r="B3950" s="66" t="s">
        <v>11641</v>
      </c>
      <c r="C3950" s="67" t="s">
        <v>203</v>
      </c>
      <c r="D3950" s="69" t="s">
        <v>11642</v>
      </c>
      <c r="E3950" s="69" t="s">
        <v>11643</v>
      </c>
    </row>
    <row r="3951" spans="1:5" ht="33.75" x14ac:dyDescent="0.2">
      <c r="A3951" s="65" t="s">
        <v>11644</v>
      </c>
      <c r="B3951" s="65" t="s">
        <v>11645</v>
      </c>
      <c r="C3951" s="67" t="s">
        <v>203</v>
      </c>
      <c r="D3951" s="69" t="s">
        <v>11646</v>
      </c>
      <c r="E3951" s="69" t="s">
        <v>11647</v>
      </c>
    </row>
    <row r="3952" spans="1:5" ht="33.75" x14ac:dyDescent="0.2">
      <c r="A3952" s="65" t="s">
        <v>11648</v>
      </c>
      <c r="B3952" s="65" t="s">
        <v>11649</v>
      </c>
      <c r="C3952" s="67" t="s">
        <v>203</v>
      </c>
      <c r="D3952" s="69" t="s">
        <v>11650</v>
      </c>
      <c r="E3952" s="69" t="s">
        <v>11651</v>
      </c>
    </row>
    <row r="3953" spans="1:5" ht="56.25" x14ac:dyDescent="0.2">
      <c r="A3953" s="65" t="s">
        <v>11652</v>
      </c>
      <c r="B3953" s="66" t="s">
        <v>11653</v>
      </c>
      <c r="C3953" s="67" t="s">
        <v>203</v>
      </c>
      <c r="D3953" s="69" t="s">
        <v>11654</v>
      </c>
      <c r="E3953" s="69" t="s">
        <v>11656</v>
      </c>
    </row>
    <row r="3954" spans="1:5" ht="45" x14ac:dyDescent="0.2">
      <c r="A3954" s="65" t="s">
        <v>11657</v>
      </c>
      <c r="B3954" s="65" t="s">
        <v>11658</v>
      </c>
      <c r="C3954" s="67" t="s">
        <v>203</v>
      </c>
      <c r="D3954" s="69" t="s">
        <v>11659</v>
      </c>
      <c r="E3954" s="69" t="s">
        <v>11660</v>
      </c>
    </row>
    <row r="3955" spans="1:5" ht="45" x14ac:dyDescent="0.2">
      <c r="A3955" s="65" t="s">
        <v>11661</v>
      </c>
      <c r="B3955" s="65" t="s">
        <v>11662</v>
      </c>
      <c r="C3955" s="67" t="s">
        <v>203</v>
      </c>
      <c r="D3955" s="69" t="s">
        <v>11663</v>
      </c>
      <c r="E3955" s="69" t="s">
        <v>11664</v>
      </c>
    </row>
    <row r="3956" spans="1:5" ht="33.75" x14ac:dyDescent="0.2">
      <c r="A3956" s="65" t="s">
        <v>11665</v>
      </c>
      <c r="B3956" s="65" t="s">
        <v>11666</v>
      </c>
      <c r="C3956" s="67" t="s">
        <v>203</v>
      </c>
      <c r="D3956" s="69" t="s">
        <v>11667</v>
      </c>
      <c r="E3956" s="69" t="s">
        <v>11669</v>
      </c>
    </row>
    <row r="3957" spans="1:5" ht="67.5" x14ac:dyDescent="0.2">
      <c r="A3957" s="65" t="s">
        <v>11670</v>
      </c>
      <c r="B3957" s="66" t="s">
        <v>11671</v>
      </c>
      <c r="C3957" s="67" t="s">
        <v>240</v>
      </c>
      <c r="D3957" s="69" t="s">
        <v>11672</v>
      </c>
      <c r="E3957" s="69" t="s">
        <v>11674</v>
      </c>
    </row>
    <row r="3958" spans="1:5" ht="67.5" x14ac:dyDescent="0.2">
      <c r="A3958" s="65" t="s">
        <v>11675</v>
      </c>
      <c r="B3958" s="66" t="s">
        <v>11676</v>
      </c>
      <c r="C3958" s="67" t="s">
        <v>240</v>
      </c>
      <c r="D3958" s="69" t="s">
        <v>11677</v>
      </c>
      <c r="E3958" s="69" t="s">
        <v>11678</v>
      </c>
    </row>
    <row r="3959" spans="1:5" ht="90" x14ac:dyDescent="0.2">
      <c r="A3959" s="70" t="s">
        <v>11679</v>
      </c>
      <c r="B3959" s="65" t="s">
        <v>11680</v>
      </c>
      <c r="C3959" s="71" t="s">
        <v>203</v>
      </c>
      <c r="D3959" s="72" t="s">
        <v>11681</v>
      </c>
      <c r="E3959" s="72" t="s">
        <v>11683</v>
      </c>
    </row>
    <row r="3960" spans="1:5" ht="112.5" x14ac:dyDescent="0.2">
      <c r="A3960" s="70" t="s">
        <v>11684</v>
      </c>
      <c r="B3960" s="66" t="s">
        <v>11685</v>
      </c>
      <c r="C3960" s="71" t="s">
        <v>203</v>
      </c>
      <c r="D3960" s="72" t="s">
        <v>11686</v>
      </c>
      <c r="E3960" s="72" t="s">
        <v>11687</v>
      </c>
    </row>
    <row r="3961" spans="1:5" ht="101.25" x14ac:dyDescent="0.2">
      <c r="A3961" s="70" t="s">
        <v>11688</v>
      </c>
      <c r="B3961" s="66" t="s">
        <v>11689</v>
      </c>
      <c r="C3961" s="71" t="s">
        <v>203</v>
      </c>
      <c r="D3961" s="72" t="s">
        <v>11690</v>
      </c>
      <c r="E3961" s="72" t="s">
        <v>11691</v>
      </c>
    </row>
    <row r="3962" spans="1:5" ht="45" x14ac:dyDescent="0.2">
      <c r="A3962" s="50">
        <v>66.2</v>
      </c>
      <c r="B3962" s="64" t="s">
        <v>11692</v>
      </c>
      <c r="C3962" s="47"/>
      <c r="D3962" s="47"/>
      <c r="E3962" s="47"/>
    </row>
    <row r="3963" spans="1:5" ht="33.75" x14ac:dyDescent="0.2">
      <c r="A3963" s="65" t="s">
        <v>11693</v>
      </c>
      <c r="B3963" s="65" t="s">
        <v>11694</v>
      </c>
      <c r="C3963" s="67" t="s">
        <v>203</v>
      </c>
      <c r="D3963" s="69" t="s">
        <v>9548</v>
      </c>
      <c r="E3963" s="69" t="s">
        <v>11696</v>
      </c>
    </row>
    <row r="3964" spans="1:5" ht="33.75" x14ac:dyDescent="0.2">
      <c r="A3964" s="65" t="s">
        <v>11697</v>
      </c>
      <c r="B3964" s="65" t="s">
        <v>11698</v>
      </c>
      <c r="C3964" s="67" t="s">
        <v>203</v>
      </c>
      <c r="D3964" s="69" t="s">
        <v>11699</v>
      </c>
      <c r="E3964" s="69" t="s">
        <v>11700</v>
      </c>
    </row>
    <row r="3965" spans="1:5" ht="33.75" x14ac:dyDescent="0.2">
      <c r="A3965" s="65" t="s">
        <v>11701</v>
      </c>
      <c r="B3965" s="65" t="s">
        <v>11702</v>
      </c>
      <c r="C3965" s="67" t="s">
        <v>203</v>
      </c>
      <c r="D3965" s="73"/>
      <c r="E3965" s="69" t="s">
        <v>11655</v>
      </c>
    </row>
    <row r="3966" spans="1:5" ht="33.75" x14ac:dyDescent="0.2">
      <c r="A3966" s="65" t="s">
        <v>11703</v>
      </c>
      <c r="B3966" s="65" t="s">
        <v>11704</v>
      </c>
      <c r="C3966" s="67" t="s">
        <v>203</v>
      </c>
      <c r="D3966" s="73"/>
      <c r="E3966" s="69" t="s">
        <v>11655</v>
      </c>
    </row>
    <row r="3967" spans="1:5" ht="67.5" x14ac:dyDescent="0.2">
      <c r="A3967" s="65" t="s">
        <v>11705</v>
      </c>
      <c r="B3967" s="66" t="s">
        <v>11706</v>
      </c>
      <c r="C3967" s="67" t="s">
        <v>203</v>
      </c>
      <c r="D3967" s="69" t="s">
        <v>11707</v>
      </c>
      <c r="E3967" s="69" t="s">
        <v>11708</v>
      </c>
    </row>
    <row r="3968" spans="1:5" ht="45" x14ac:dyDescent="0.2">
      <c r="A3968" s="65" t="s">
        <v>11709</v>
      </c>
      <c r="B3968" s="65" t="s">
        <v>11710</v>
      </c>
      <c r="C3968" s="67" t="s">
        <v>203</v>
      </c>
      <c r="D3968" s="69" t="s">
        <v>11711</v>
      </c>
      <c r="E3968" s="69" t="s">
        <v>11712</v>
      </c>
    </row>
    <row r="3969" spans="1:5" ht="56.25" x14ac:dyDescent="0.2">
      <c r="A3969" s="49">
        <v>67</v>
      </c>
      <c r="B3969" s="51" t="s">
        <v>11713</v>
      </c>
      <c r="C3969" s="48"/>
      <c r="D3969" s="48"/>
      <c r="E3969" s="48"/>
    </row>
    <row r="3970" spans="1:5" x14ac:dyDescent="0.2">
      <c r="A3970" s="50">
        <v>67.02</v>
      </c>
      <c r="B3970" s="64" t="s">
        <v>11714</v>
      </c>
      <c r="C3970" s="47"/>
      <c r="D3970" s="47"/>
      <c r="E3970" s="47"/>
    </row>
    <row r="3971" spans="1:5" ht="33.75" x14ac:dyDescent="0.2">
      <c r="A3971" s="65" t="s">
        <v>11715</v>
      </c>
      <c r="B3971" s="65" t="s">
        <v>11716</v>
      </c>
      <c r="C3971" s="67" t="s">
        <v>203</v>
      </c>
      <c r="D3971" s="69" t="s">
        <v>11717</v>
      </c>
      <c r="E3971" s="69" t="s">
        <v>11718</v>
      </c>
    </row>
    <row r="3972" spans="1:5" ht="45" x14ac:dyDescent="0.2">
      <c r="A3972" s="65" t="s">
        <v>11719</v>
      </c>
      <c r="B3972" s="65" t="s">
        <v>11720</v>
      </c>
      <c r="C3972" s="67" t="s">
        <v>204</v>
      </c>
      <c r="D3972" s="69" t="s">
        <v>11721</v>
      </c>
      <c r="E3972" s="69" t="s">
        <v>11722</v>
      </c>
    </row>
    <row r="3973" spans="1:5" ht="67.5" x14ac:dyDescent="0.2">
      <c r="A3973" s="65" t="s">
        <v>11723</v>
      </c>
      <c r="B3973" s="66" t="s">
        <v>11724</v>
      </c>
      <c r="C3973" s="67" t="s">
        <v>204</v>
      </c>
      <c r="D3973" s="69" t="s">
        <v>11725</v>
      </c>
      <c r="E3973" s="69" t="s">
        <v>11726</v>
      </c>
    </row>
    <row r="3974" spans="1:5" ht="56.25" x14ac:dyDescent="0.2">
      <c r="A3974" s="65" t="s">
        <v>11727</v>
      </c>
      <c r="B3974" s="66" t="s">
        <v>11728</v>
      </c>
      <c r="C3974" s="67" t="s">
        <v>203</v>
      </c>
      <c r="D3974" s="69" t="s">
        <v>11729</v>
      </c>
      <c r="E3974" s="69" t="s">
        <v>11730</v>
      </c>
    </row>
    <row r="3975" spans="1:5" ht="78.75" x14ac:dyDescent="0.2">
      <c r="A3975" s="70" t="s">
        <v>11731</v>
      </c>
      <c r="B3975" s="65" t="s">
        <v>11732</v>
      </c>
      <c r="C3975" s="71" t="s">
        <v>203</v>
      </c>
      <c r="D3975" s="72" t="s">
        <v>11733</v>
      </c>
      <c r="E3975" s="72" t="s">
        <v>11735</v>
      </c>
    </row>
    <row r="3976" spans="1:5" ht="33.75" x14ac:dyDescent="0.2">
      <c r="A3976" s="65" t="s">
        <v>11736</v>
      </c>
      <c r="B3976" s="65" t="s">
        <v>11737</v>
      </c>
      <c r="C3976" s="67" t="s">
        <v>204</v>
      </c>
      <c r="D3976" s="69" t="s">
        <v>11738</v>
      </c>
      <c r="E3976" s="69" t="s">
        <v>11739</v>
      </c>
    </row>
    <row r="3977" spans="1:5" ht="90" x14ac:dyDescent="0.2">
      <c r="A3977" s="65" t="s">
        <v>11740</v>
      </c>
      <c r="B3977" s="66" t="s">
        <v>11741</v>
      </c>
      <c r="C3977" s="67" t="s">
        <v>203</v>
      </c>
      <c r="D3977" s="69" t="s">
        <v>11742</v>
      </c>
      <c r="E3977" s="69" t="s">
        <v>11742</v>
      </c>
    </row>
    <row r="3978" spans="1:5" ht="90" x14ac:dyDescent="0.2">
      <c r="A3978" s="70" t="s">
        <v>11743</v>
      </c>
      <c r="B3978" s="66" t="s">
        <v>11744</v>
      </c>
      <c r="C3978" s="71" t="s">
        <v>203</v>
      </c>
      <c r="D3978" s="72" t="s">
        <v>11745</v>
      </c>
      <c r="E3978" s="72" t="s">
        <v>11747</v>
      </c>
    </row>
    <row r="3979" spans="1:5" ht="101.25" x14ac:dyDescent="0.2">
      <c r="A3979" s="70" t="s">
        <v>11748</v>
      </c>
      <c r="B3979" s="65" t="s">
        <v>11749</v>
      </c>
      <c r="C3979" s="71" t="s">
        <v>240</v>
      </c>
      <c r="D3979" s="72" t="s">
        <v>11750</v>
      </c>
      <c r="E3979" s="72" t="s">
        <v>11750</v>
      </c>
    </row>
    <row r="3980" spans="1:5" ht="123.75" x14ac:dyDescent="0.2">
      <c r="A3980" s="65" t="s">
        <v>11751</v>
      </c>
      <c r="B3980" s="65" t="s">
        <v>11752</v>
      </c>
      <c r="C3980" s="67" t="s">
        <v>240</v>
      </c>
      <c r="D3980" s="69" t="s">
        <v>11753</v>
      </c>
      <c r="E3980" s="69" t="s">
        <v>11755</v>
      </c>
    </row>
    <row r="3981" spans="1:5" ht="146.25" x14ac:dyDescent="0.2">
      <c r="A3981" s="65" t="s">
        <v>11756</v>
      </c>
      <c r="B3981" s="66" t="s">
        <v>11757</v>
      </c>
      <c r="C3981" s="67" t="s">
        <v>240</v>
      </c>
      <c r="D3981" s="69" t="s">
        <v>11758</v>
      </c>
      <c r="E3981" s="69" t="s">
        <v>11760</v>
      </c>
    </row>
    <row r="3982" spans="1:5" ht="33.75" x14ac:dyDescent="0.2">
      <c r="A3982" s="49">
        <v>68</v>
      </c>
      <c r="B3982" s="64" t="s">
        <v>11761</v>
      </c>
      <c r="C3982" s="47"/>
      <c r="D3982" s="47"/>
      <c r="E3982" s="47"/>
    </row>
    <row r="3983" spans="1:5" x14ac:dyDescent="0.2">
      <c r="A3983" s="50">
        <v>68.010000000000005</v>
      </c>
      <c r="B3983" s="64" t="s">
        <v>11762</v>
      </c>
      <c r="C3983" s="47"/>
      <c r="D3983" s="47"/>
      <c r="E3983" s="47"/>
    </row>
    <row r="3984" spans="1:5" ht="33.75" x14ac:dyDescent="0.2">
      <c r="A3984" s="65" t="s">
        <v>11763</v>
      </c>
      <c r="B3984" s="65" t="s">
        <v>11764</v>
      </c>
      <c r="C3984" s="67" t="s">
        <v>203</v>
      </c>
      <c r="D3984" s="69" t="s">
        <v>11765</v>
      </c>
      <c r="E3984" s="69" t="s">
        <v>11766</v>
      </c>
    </row>
    <row r="3985" spans="1:5" ht="33.75" x14ac:dyDescent="0.2">
      <c r="A3985" s="65" t="s">
        <v>11767</v>
      </c>
      <c r="B3985" s="65" t="s">
        <v>11768</v>
      </c>
      <c r="C3985" s="67" t="s">
        <v>203</v>
      </c>
      <c r="D3985" s="69" t="s">
        <v>11769</v>
      </c>
      <c r="E3985" s="69" t="s">
        <v>11770</v>
      </c>
    </row>
    <row r="3986" spans="1:5" ht="33.75" x14ac:dyDescent="0.2">
      <c r="A3986" s="65" t="s">
        <v>11771</v>
      </c>
      <c r="B3986" s="65" t="s">
        <v>11772</v>
      </c>
      <c r="C3986" s="67" t="s">
        <v>203</v>
      </c>
      <c r="D3986" s="69" t="s">
        <v>11773</v>
      </c>
      <c r="E3986" s="69" t="s">
        <v>11774</v>
      </c>
    </row>
    <row r="3987" spans="1:5" ht="33.75" x14ac:dyDescent="0.2">
      <c r="A3987" s="65" t="s">
        <v>11775</v>
      </c>
      <c r="B3987" s="65" t="s">
        <v>11776</v>
      </c>
      <c r="C3987" s="67" t="s">
        <v>203</v>
      </c>
      <c r="D3987" s="69" t="s">
        <v>11777</v>
      </c>
      <c r="E3987" s="69" t="s">
        <v>11778</v>
      </c>
    </row>
    <row r="3988" spans="1:5" ht="33.75" x14ac:dyDescent="0.2">
      <c r="A3988" s="65" t="s">
        <v>11779</v>
      </c>
      <c r="B3988" s="65" t="s">
        <v>11780</v>
      </c>
      <c r="C3988" s="67" t="s">
        <v>203</v>
      </c>
      <c r="D3988" s="69" t="s">
        <v>11781</v>
      </c>
      <c r="E3988" s="69" t="s">
        <v>11782</v>
      </c>
    </row>
    <row r="3989" spans="1:5" ht="33.75" x14ac:dyDescent="0.2">
      <c r="A3989" s="65" t="s">
        <v>11783</v>
      </c>
      <c r="B3989" s="65" t="s">
        <v>11784</v>
      </c>
      <c r="C3989" s="67" t="s">
        <v>203</v>
      </c>
      <c r="D3989" s="69" t="s">
        <v>11785</v>
      </c>
      <c r="E3989" s="69" t="s">
        <v>11786</v>
      </c>
    </row>
    <row r="3990" spans="1:5" ht="33.75" x14ac:dyDescent="0.2">
      <c r="A3990" s="65" t="s">
        <v>11787</v>
      </c>
      <c r="B3990" s="65" t="s">
        <v>11788</v>
      </c>
      <c r="C3990" s="67" t="s">
        <v>203</v>
      </c>
      <c r="D3990" s="69" t="s">
        <v>11789</v>
      </c>
      <c r="E3990" s="69" t="s">
        <v>11790</v>
      </c>
    </row>
    <row r="3991" spans="1:5" ht="33.75" x14ac:dyDescent="0.2">
      <c r="A3991" s="65" t="s">
        <v>11791</v>
      </c>
      <c r="B3991" s="65" t="s">
        <v>11792</v>
      </c>
      <c r="C3991" s="67" t="s">
        <v>203</v>
      </c>
      <c r="D3991" s="69" t="s">
        <v>11793</v>
      </c>
      <c r="E3991" s="69" t="s">
        <v>11794</v>
      </c>
    </row>
    <row r="3992" spans="1:5" ht="33.75" x14ac:dyDescent="0.2">
      <c r="A3992" s="65" t="s">
        <v>11795</v>
      </c>
      <c r="B3992" s="65" t="s">
        <v>11796</v>
      </c>
      <c r="C3992" s="67" t="s">
        <v>203</v>
      </c>
      <c r="D3992" s="69" t="s">
        <v>11797</v>
      </c>
      <c r="E3992" s="69" t="s">
        <v>11798</v>
      </c>
    </row>
    <row r="3993" spans="1:5" ht="33.75" x14ac:dyDescent="0.2">
      <c r="A3993" s="65" t="s">
        <v>11799</v>
      </c>
      <c r="B3993" s="65" t="s">
        <v>11800</v>
      </c>
      <c r="C3993" s="67" t="s">
        <v>203</v>
      </c>
      <c r="D3993" s="69" t="s">
        <v>11801</v>
      </c>
      <c r="E3993" s="69" t="s">
        <v>11802</v>
      </c>
    </row>
    <row r="3994" spans="1:5" ht="33.75" x14ac:dyDescent="0.2">
      <c r="A3994" s="65" t="s">
        <v>11803</v>
      </c>
      <c r="B3994" s="65" t="s">
        <v>11804</v>
      </c>
      <c r="C3994" s="67" t="s">
        <v>203</v>
      </c>
      <c r="D3994" s="69" t="s">
        <v>11805</v>
      </c>
      <c r="E3994" s="69" t="s">
        <v>11806</v>
      </c>
    </row>
    <row r="3995" spans="1:5" ht="33.75" x14ac:dyDescent="0.2">
      <c r="A3995" s="65" t="s">
        <v>11807</v>
      </c>
      <c r="B3995" s="65" t="s">
        <v>11808</v>
      </c>
      <c r="C3995" s="67" t="s">
        <v>203</v>
      </c>
      <c r="D3995" s="69" t="s">
        <v>11809</v>
      </c>
      <c r="E3995" s="69" t="s">
        <v>11810</v>
      </c>
    </row>
    <row r="3996" spans="1:5" x14ac:dyDescent="0.2">
      <c r="A3996" s="50">
        <v>68.02</v>
      </c>
      <c r="B3996" s="64" t="s">
        <v>11811</v>
      </c>
      <c r="C3996" s="47"/>
      <c r="D3996" s="47"/>
      <c r="E3996" s="47"/>
    </row>
    <row r="3997" spans="1:5" x14ac:dyDescent="0.2">
      <c r="A3997" s="65" t="s">
        <v>11812</v>
      </c>
      <c r="B3997" s="65" t="s">
        <v>11813</v>
      </c>
      <c r="C3997" s="67" t="s">
        <v>203</v>
      </c>
      <c r="D3997" s="69" t="s">
        <v>11814</v>
      </c>
      <c r="E3997" s="69" t="s">
        <v>11816</v>
      </c>
    </row>
    <row r="3998" spans="1:5" x14ac:dyDescent="0.2">
      <c r="A3998" s="65" t="s">
        <v>11817</v>
      </c>
      <c r="B3998" s="65" t="s">
        <v>11818</v>
      </c>
      <c r="C3998" s="67" t="s">
        <v>203</v>
      </c>
      <c r="D3998" s="69" t="s">
        <v>11819</v>
      </c>
      <c r="E3998" s="69" t="s">
        <v>11821</v>
      </c>
    </row>
    <row r="3999" spans="1:5" x14ac:dyDescent="0.2">
      <c r="A3999" s="65" t="s">
        <v>11822</v>
      </c>
      <c r="B3999" s="65" t="s">
        <v>11823</v>
      </c>
      <c r="C3999" s="67" t="s">
        <v>203</v>
      </c>
      <c r="D3999" s="69" t="s">
        <v>11824</v>
      </c>
      <c r="E3999" s="69" t="s">
        <v>11825</v>
      </c>
    </row>
    <row r="4000" spans="1:5" x14ac:dyDescent="0.2">
      <c r="A4000" s="65" t="s">
        <v>11826</v>
      </c>
      <c r="B4000" s="65" t="s">
        <v>11827</v>
      </c>
      <c r="C4000" s="67" t="s">
        <v>203</v>
      </c>
      <c r="D4000" s="69" t="s">
        <v>11828</v>
      </c>
      <c r="E4000" s="69" t="s">
        <v>11830</v>
      </c>
    </row>
    <row r="4001" spans="1:5" ht="22.5" x14ac:dyDescent="0.2">
      <c r="A4001" s="65" t="s">
        <v>11831</v>
      </c>
      <c r="B4001" s="65" t="s">
        <v>11832</v>
      </c>
      <c r="C4001" s="67" t="s">
        <v>203</v>
      </c>
      <c r="D4001" s="69" t="s">
        <v>11833</v>
      </c>
      <c r="E4001" s="69" t="s">
        <v>11835</v>
      </c>
    </row>
    <row r="4002" spans="1:5" x14ac:dyDescent="0.2">
      <c r="A4002" s="65" t="s">
        <v>11836</v>
      </c>
      <c r="B4002" s="65" t="s">
        <v>11837</v>
      </c>
      <c r="C4002" s="67" t="s">
        <v>203</v>
      </c>
      <c r="D4002" s="69" t="s">
        <v>11838</v>
      </c>
      <c r="E4002" s="69" t="s">
        <v>11839</v>
      </c>
    </row>
    <row r="4003" spans="1:5" x14ac:dyDescent="0.2">
      <c r="A4003" s="65" t="s">
        <v>11840</v>
      </c>
      <c r="B4003" s="65" t="s">
        <v>11841</v>
      </c>
      <c r="C4003" s="67" t="s">
        <v>203</v>
      </c>
      <c r="D4003" s="69" t="s">
        <v>11842</v>
      </c>
      <c r="E4003" s="69" t="s">
        <v>11843</v>
      </c>
    </row>
    <row r="4004" spans="1:5" x14ac:dyDescent="0.2">
      <c r="A4004" s="65" t="s">
        <v>11844</v>
      </c>
      <c r="B4004" s="65" t="s">
        <v>11845</v>
      </c>
      <c r="C4004" s="67" t="s">
        <v>203</v>
      </c>
      <c r="D4004" s="69" t="s">
        <v>11846</v>
      </c>
      <c r="E4004" s="69" t="s">
        <v>11847</v>
      </c>
    </row>
    <row r="4005" spans="1:5" ht="22.5" x14ac:dyDescent="0.2">
      <c r="A4005" s="65" t="s">
        <v>11848</v>
      </c>
      <c r="B4005" s="65" t="s">
        <v>11849</v>
      </c>
      <c r="C4005" s="67" t="s">
        <v>203</v>
      </c>
      <c r="D4005" s="69" t="s">
        <v>11850</v>
      </c>
      <c r="E4005" s="69" t="s">
        <v>11852</v>
      </c>
    </row>
    <row r="4006" spans="1:5" ht="22.5" x14ac:dyDescent="0.2">
      <c r="A4006" s="65" t="s">
        <v>11853</v>
      </c>
      <c r="B4006" s="65" t="s">
        <v>11854</v>
      </c>
      <c r="C4006" s="67" t="s">
        <v>203</v>
      </c>
      <c r="D4006" s="69" t="s">
        <v>11855</v>
      </c>
      <c r="E4006" s="69" t="s">
        <v>11856</v>
      </c>
    </row>
    <row r="4007" spans="1:5" ht="22.5" x14ac:dyDescent="0.2">
      <c r="A4007" s="65" t="s">
        <v>11857</v>
      </c>
      <c r="B4007" s="65" t="s">
        <v>11858</v>
      </c>
      <c r="C4007" s="67" t="s">
        <v>203</v>
      </c>
      <c r="D4007" s="69" t="s">
        <v>11859</v>
      </c>
      <c r="E4007" s="69" t="s">
        <v>6491</v>
      </c>
    </row>
    <row r="4008" spans="1:5" ht="22.5" x14ac:dyDescent="0.2">
      <c r="A4008" s="65" t="s">
        <v>11860</v>
      </c>
      <c r="B4008" s="65" t="s">
        <v>11861</v>
      </c>
      <c r="C4008" s="67" t="s">
        <v>203</v>
      </c>
      <c r="D4008" s="69" t="s">
        <v>11862</v>
      </c>
      <c r="E4008" s="69" t="s">
        <v>11863</v>
      </c>
    </row>
    <row r="4009" spans="1:5" ht="45" x14ac:dyDescent="0.2">
      <c r="A4009" s="50">
        <v>68.2</v>
      </c>
      <c r="B4009" s="64" t="s">
        <v>11864</v>
      </c>
      <c r="C4009" s="47"/>
      <c r="D4009" s="47"/>
      <c r="E4009" s="47"/>
    </row>
    <row r="4010" spans="1:5" ht="22.5" x14ac:dyDescent="0.2">
      <c r="A4010" s="65" t="s">
        <v>11865</v>
      </c>
      <c r="B4010" s="65" t="s">
        <v>11866</v>
      </c>
      <c r="C4010" s="67" t="s">
        <v>203</v>
      </c>
      <c r="D4010" s="69" t="s">
        <v>11867</v>
      </c>
      <c r="E4010" s="69" t="s">
        <v>11869</v>
      </c>
    </row>
    <row r="4011" spans="1:5" ht="56.25" x14ac:dyDescent="0.2">
      <c r="A4011" s="65" t="s">
        <v>11870</v>
      </c>
      <c r="B4011" s="66" t="s">
        <v>11871</v>
      </c>
      <c r="C4011" s="67" t="s">
        <v>203</v>
      </c>
      <c r="D4011" s="69" t="s">
        <v>11872</v>
      </c>
      <c r="E4011" s="69" t="s">
        <v>11873</v>
      </c>
    </row>
    <row r="4012" spans="1:5" ht="67.5" x14ac:dyDescent="0.2">
      <c r="A4012" s="65" t="s">
        <v>11874</v>
      </c>
      <c r="B4012" s="66" t="s">
        <v>11875</v>
      </c>
      <c r="C4012" s="67" t="s">
        <v>203</v>
      </c>
      <c r="D4012" s="69" t="s">
        <v>11876</v>
      </c>
      <c r="E4012" s="69" t="s">
        <v>11877</v>
      </c>
    </row>
    <row r="4013" spans="1:5" ht="33.75" x14ac:dyDescent="0.2">
      <c r="A4013" s="65" t="s">
        <v>11878</v>
      </c>
      <c r="B4013" s="65" t="s">
        <v>11879</v>
      </c>
      <c r="C4013" s="67" t="s">
        <v>203</v>
      </c>
      <c r="D4013" s="69" t="s">
        <v>11880</v>
      </c>
      <c r="E4013" s="69" t="s">
        <v>5185</v>
      </c>
    </row>
    <row r="4014" spans="1:5" ht="56.25" x14ac:dyDescent="0.2">
      <c r="A4014" s="49">
        <v>69</v>
      </c>
      <c r="B4014" s="51" t="s">
        <v>11881</v>
      </c>
      <c r="C4014" s="48"/>
      <c r="D4014" s="48"/>
      <c r="E4014" s="48"/>
    </row>
    <row r="4015" spans="1:5" ht="45" x14ac:dyDescent="0.2">
      <c r="A4015" s="50">
        <v>69.03</v>
      </c>
      <c r="B4015" s="64" t="s">
        <v>11882</v>
      </c>
      <c r="C4015" s="47"/>
      <c r="D4015" s="47"/>
      <c r="E4015" s="47"/>
    </row>
    <row r="4016" spans="1:5" ht="67.5" x14ac:dyDescent="0.2">
      <c r="A4016" s="65" t="s">
        <v>11883</v>
      </c>
      <c r="B4016" s="66" t="s">
        <v>11884</v>
      </c>
      <c r="C4016" s="67" t="s">
        <v>203</v>
      </c>
      <c r="D4016" s="69" t="s">
        <v>11885</v>
      </c>
      <c r="E4016" s="69" t="s">
        <v>11885</v>
      </c>
    </row>
    <row r="4017" spans="1:5" ht="78.75" x14ac:dyDescent="0.2">
      <c r="A4017" s="65" t="s">
        <v>11886</v>
      </c>
      <c r="B4017" s="66" t="s">
        <v>11887</v>
      </c>
      <c r="C4017" s="67" t="s">
        <v>203</v>
      </c>
      <c r="D4017" s="69" t="s">
        <v>2198</v>
      </c>
      <c r="E4017" s="69" t="s">
        <v>11888</v>
      </c>
    </row>
    <row r="4018" spans="1:5" ht="78.75" x14ac:dyDescent="0.2">
      <c r="A4018" s="65" t="s">
        <v>11889</v>
      </c>
      <c r="B4018" s="66" t="s">
        <v>11890</v>
      </c>
      <c r="C4018" s="67" t="s">
        <v>203</v>
      </c>
      <c r="D4018" s="69" t="s">
        <v>11891</v>
      </c>
      <c r="E4018" s="69" t="s">
        <v>11893</v>
      </c>
    </row>
    <row r="4019" spans="1:5" ht="78.75" x14ac:dyDescent="0.2">
      <c r="A4019" s="70" t="s">
        <v>11894</v>
      </c>
      <c r="B4019" s="65" t="s">
        <v>11895</v>
      </c>
      <c r="C4019" s="71" t="s">
        <v>203</v>
      </c>
      <c r="D4019" s="72" t="s">
        <v>11896</v>
      </c>
      <c r="E4019" s="72" t="s">
        <v>11897</v>
      </c>
    </row>
    <row r="4020" spans="1:5" ht="22.5" x14ac:dyDescent="0.2">
      <c r="A4020" s="65" t="s">
        <v>11898</v>
      </c>
      <c r="B4020" s="65" t="s">
        <v>11899</v>
      </c>
      <c r="C4020" s="67" t="s">
        <v>203</v>
      </c>
      <c r="D4020" s="69" t="s">
        <v>11900</v>
      </c>
      <c r="E4020" s="69" t="s">
        <v>11901</v>
      </c>
    </row>
    <row r="4021" spans="1:5" ht="22.5" x14ac:dyDescent="0.2">
      <c r="A4021" s="65" t="s">
        <v>11902</v>
      </c>
      <c r="B4021" s="65" t="s">
        <v>11903</v>
      </c>
      <c r="C4021" s="67" t="s">
        <v>203</v>
      </c>
      <c r="D4021" s="69" t="s">
        <v>11904</v>
      </c>
      <c r="E4021" s="69" t="s">
        <v>11905</v>
      </c>
    </row>
    <row r="4022" spans="1:5" ht="56.25" x14ac:dyDescent="0.2">
      <c r="A4022" s="65" t="s">
        <v>11906</v>
      </c>
      <c r="B4022" s="66" t="s">
        <v>11907</v>
      </c>
      <c r="C4022" s="67" t="s">
        <v>240</v>
      </c>
      <c r="D4022" s="69" t="s">
        <v>11908</v>
      </c>
      <c r="E4022" s="69" t="s">
        <v>11908</v>
      </c>
    </row>
    <row r="4023" spans="1:5" ht="56.25" x14ac:dyDescent="0.2">
      <c r="A4023" s="65" t="s">
        <v>11909</v>
      </c>
      <c r="B4023" s="66" t="s">
        <v>11910</v>
      </c>
      <c r="C4023" s="67" t="s">
        <v>240</v>
      </c>
      <c r="D4023" s="69" t="s">
        <v>11911</v>
      </c>
      <c r="E4023" s="69" t="s">
        <v>11911</v>
      </c>
    </row>
    <row r="4024" spans="1:5" ht="78.75" x14ac:dyDescent="0.2">
      <c r="A4024" s="65" t="s">
        <v>11912</v>
      </c>
      <c r="B4024" s="66" t="s">
        <v>11913</v>
      </c>
      <c r="C4024" s="67" t="s">
        <v>240</v>
      </c>
      <c r="D4024" s="69" t="s">
        <v>11914</v>
      </c>
      <c r="E4024" s="69" t="s">
        <v>11914</v>
      </c>
    </row>
    <row r="4025" spans="1:5" ht="22.5" x14ac:dyDescent="0.2">
      <c r="A4025" s="50">
        <v>69.05</v>
      </c>
      <c r="B4025" s="64" t="s">
        <v>11915</v>
      </c>
      <c r="C4025" s="47"/>
      <c r="D4025" s="47"/>
      <c r="E4025" s="47"/>
    </row>
    <row r="4026" spans="1:5" ht="56.25" x14ac:dyDescent="0.2">
      <c r="A4026" s="65" t="s">
        <v>11916</v>
      </c>
      <c r="B4026" s="65" t="s">
        <v>11917</v>
      </c>
      <c r="C4026" s="67" t="s">
        <v>203</v>
      </c>
      <c r="D4026" s="69" t="s">
        <v>11918</v>
      </c>
      <c r="E4026" s="69" t="s">
        <v>11919</v>
      </c>
    </row>
    <row r="4027" spans="1:5" ht="56.25" x14ac:dyDescent="0.2">
      <c r="A4027" s="65" t="s">
        <v>11920</v>
      </c>
      <c r="B4027" s="65" t="s">
        <v>11921</v>
      </c>
      <c r="C4027" s="67" t="s">
        <v>203</v>
      </c>
      <c r="D4027" s="69" t="s">
        <v>11922</v>
      </c>
      <c r="E4027" s="69" t="s">
        <v>11923</v>
      </c>
    </row>
    <row r="4028" spans="1:5" ht="56.25" x14ac:dyDescent="0.2">
      <c r="A4028" s="65" t="s">
        <v>11924</v>
      </c>
      <c r="B4028" s="65" t="s">
        <v>11925</v>
      </c>
      <c r="C4028" s="67" t="s">
        <v>203</v>
      </c>
      <c r="D4028" s="69" t="s">
        <v>11926</v>
      </c>
      <c r="E4028" s="69" t="s">
        <v>11927</v>
      </c>
    </row>
    <row r="4029" spans="1:5" ht="33.75" x14ac:dyDescent="0.2">
      <c r="A4029" s="50">
        <v>69.06</v>
      </c>
      <c r="B4029" s="64" t="s">
        <v>11928</v>
      </c>
      <c r="C4029" s="47"/>
      <c r="D4029" s="47"/>
      <c r="E4029" s="47"/>
    </row>
    <row r="4030" spans="1:5" ht="67.5" x14ac:dyDescent="0.2">
      <c r="A4030" s="65" t="s">
        <v>11929</v>
      </c>
      <c r="B4030" s="66" t="s">
        <v>11930</v>
      </c>
      <c r="C4030" s="67" t="s">
        <v>203</v>
      </c>
      <c r="D4030" s="69" t="s">
        <v>11931</v>
      </c>
      <c r="E4030" s="69" t="s">
        <v>11932</v>
      </c>
    </row>
    <row r="4031" spans="1:5" ht="78.75" x14ac:dyDescent="0.2">
      <c r="A4031" s="65" t="s">
        <v>11933</v>
      </c>
      <c r="B4031" s="66" t="s">
        <v>11934</v>
      </c>
      <c r="C4031" s="67" t="s">
        <v>203</v>
      </c>
      <c r="D4031" s="69" t="s">
        <v>11935</v>
      </c>
      <c r="E4031" s="69" t="s">
        <v>11936</v>
      </c>
    </row>
    <row r="4032" spans="1:5" ht="78.75" x14ac:dyDescent="0.2">
      <c r="A4032" s="65" t="s">
        <v>11937</v>
      </c>
      <c r="B4032" s="66" t="s">
        <v>11938</v>
      </c>
      <c r="C4032" s="67" t="s">
        <v>203</v>
      </c>
      <c r="D4032" s="69" t="s">
        <v>11939</v>
      </c>
      <c r="E4032" s="69" t="s">
        <v>11940</v>
      </c>
    </row>
    <row r="4033" spans="1:5" ht="45" x14ac:dyDescent="0.2">
      <c r="A4033" s="65" t="s">
        <v>11941</v>
      </c>
      <c r="B4033" s="65" t="s">
        <v>11942</v>
      </c>
      <c r="C4033" s="67" t="s">
        <v>203</v>
      </c>
      <c r="D4033" s="69" t="s">
        <v>11943</v>
      </c>
      <c r="E4033" s="69" t="s">
        <v>11944</v>
      </c>
    </row>
    <row r="4034" spans="1:5" ht="78.75" x14ac:dyDescent="0.2">
      <c r="A4034" s="65" t="s">
        <v>11945</v>
      </c>
      <c r="B4034" s="66" t="s">
        <v>11946</v>
      </c>
      <c r="C4034" s="67" t="s">
        <v>203</v>
      </c>
      <c r="D4034" s="69" t="s">
        <v>11947</v>
      </c>
      <c r="E4034" s="69" t="s">
        <v>11948</v>
      </c>
    </row>
    <row r="4035" spans="1:5" ht="67.5" x14ac:dyDescent="0.2">
      <c r="A4035" s="65" t="s">
        <v>11949</v>
      </c>
      <c r="B4035" s="66" t="s">
        <v>11950</v>
      </c>
      <c r="C4035" s="67" t="s">
        <v>203</v>
      </c>
      <c r="D4035" s="69" t="s">
        <v>11951</v>
      </c>
      <c r="E4035" s="69" t="s">
        <v>11952</v>
      </c>
    </row>
    <row r="4036" spans="1:5" ht="67.5" x14ac:dyDescent="0.2">
      <c r="A4036" s="65" t="s">
        <v>11953</v>
      </c>
      <c r="B4036" s="66" t="s">
        <v>11954</v>
      </c>
      <c r="C4036" s="67" t="s">
        <v>203</v>
      </c>
      <c r="D4036" s="69" t="s">
        <v>11955</v>
      </c>
      <c r="E4036" s="69" t="s">
        <v>11956</v>
      </c>
    </row>
    <row r="4037" spans="1:5" ht="78.75" x14ac:dyDescent="0.2">
      <c r="A4037" s="65" t="s">
        <v>11957</v>
      </c>
      <c r="B4037" s="66" t="s">
        <v>11958</v>
      </c>
      <c r="C4037" s="67" t="s">
        <v>203</v>
      </c>
      <c r="D4037" s="69" t="s">
        <v>11959</v>
      </c>
      <c r="E4037" s="69" t="s">
        <v>11960</v>
      </c>
    </row>
    <row r="4038" spans="1:5" ht="67.5" x14ac:dyDescent="0.2">
      <c r="A4038" s="65" t="s">
        <v>11961</v>
      </c>
      <c r="B4038" s="66" t="s">
        <v>11962</v>
      </c>
      <c r="C4038" s="67" t="s">
        <v>203</v>
      </c>
      <c r="D4038" s="69" t="s">
        <v>11963</v>
      </c>
      <c r="E4038" s="69" t="s">
        <v>11964</v>
      </c>
    </row>
    <row r="4039" spans="1:5" ht="67.5" x14ac:dyDescent="0.2">
      <c r="A4039" s="65" t="s">
        <v>11965</v>
      </c>
      <c r="B4039" s="66" t="s">
        <v>11966</v>
      </c>
      <c r="C4039" s="67" t="s">
        <v>203</v>
      </c>
      <c r="D4039" s="69" t="s">
        <v>11967</v>
      </c>
      <c r="E4039" s="69" t="s">
        <v>11968</v>
      </c>
    </row>
    <row r="4040" spans="1:5" ht="67.5" x14ac:dyDescent="0.2">
      <c r="A4040" s="65" t="s">
        <v>11969</v>
      </c>
      <c r="B4040" s="66" t="s">
        <v>11970</v>
      </c>
      <c r="C4040" s="67" t="s">
        <v>203</v>
      </c>
      <c r="D4040" s="69" t="s">
        <v>11971</v>
      </c>
      <c r="E4040" s="69" t="s">
        <v>11972</v>
      </c>
    </row>
    <row r="4041" spans="1:5" ht="67.5" x14ac:dyDescent="0.2">
      <c r="A4041" s="65" t="s">
        <v>11973</v>
      </c>
      <c r="B4041" s="66" t="s">
        <v>11974</v>
      </c>
      <c r="C4041" s="67" t="s">
        <v>203</v>
      </c>
      <c r="D4041" s="69" t="s">
        <v>11975</v>
      </c>
      <c r="E4041" s="69" t="s">
        <v>11976</v>
      </c>
    </row>
    <row r="4042" spans="1:5" ht="78.75" x14ac:dyDescent="0.2">
      <c r="A4042" s="65" t="s">
        <v>11977</v>
      </c>
      <c r="B4042" s="66" t="s">
        <v>11978</v>
      </c>
      <c r="C4042" s="67" t="s">
        <v>203</v>
      </c>
      <c r="D4042" s="69" t="s">
        <v>11979</v>
      </c>
      <c r="E4042" s="69" t="s">
        <v>11980</v>
      </c>
    </row>
    <row r="4043" spans="1:5" ht="78.75" x14ac:dyDescent="0.2">
      <c r="A4043" s="65" t="s">
        <v>11981</v>
      </c>
      <c r="B4043" s="66" t="s">
        <v>11982</v>
      </c>
      <c r="C4043" s="67" t="s">
        <v>203</v>
      </c>
      <c r="D4043" s="69" t="s">
        <v>11983</v>
      </c>
      <c r="E4043" s="69" t="s">
        <v>11984</v>
      </c>
    </row>
    <row r="4044" spans="1:5" ht="78.75" x14ac:dyDescent="0.2">
      <c r="A4044" s="65" t="s">
        <v>11985</v>
      </c>
      <c r="B4044" s="66" t="s">
        <v>11986</v>
      </c>
      <c r="C4044" s="67" t="s">
        <v>203</v>
      </c>
      <c r="D4044" s="69" t="s">
        <v>11987</v>
      </c>
      <c r="E4044" s="69" t="s">
        <v>11988</v>
      </c>
    </row>
    <row r="4045" spans="1:5" ht="78.75" x14ac:dyDescent="0.2">
      <c r="A4045" s="65" t="s">
        <v>11989</v>
      </c>
      <c r="B4045" s="66" t="s">
        <v>11990</v>
      </c>
      <c r="C4045" s="67" t="s">
        <v>203</v>
      </c>
      <c r="D4045" s="69" t="s">
        <v>11991</v>
      </c>
      <c r="E4045" s="69" t="s">
        <v>11992</v>
      </c>
    </row>
    <row r="4046" spans="1:5" ht="78.75" x14ac:dyDescent="0.2">
      <c r="A4046" s="65" t="s">
        <v>11993</v>
      </c>
      <c r="B4046" s="66" t="s">
        <v>11994</v>
      </c>
      <c r="C4046" s="67" t="s">
        <v>203</v>
      </c>
      <c r="D4046" s="69" t="s">
        <v>11995</v>
      </c>
      <c r="E4046" s="69" t="s">
        <v>11996</v>
      </c>
    </row>
    <row r="4047" spans="1:5" ht="22.5" x14ac:dyDescent="0.2">
      <c r="A4047" s="50">
        <v>69.08</v>
      </c>
      <c r="B4047" s="64" t="s">
        <v>11997</v>
      </c>
      <c r="C4047" s="47"/>
      <c r="D4047" s="47"/>
      <c r="E4047" s="47"/>
    </row>
    <row r="4048" spans="1:5" ht="33.75" x14ac:dyDescent="0.2">
      <c r="A4048" s="65" t="s">
        <v>11998</v>
      </c>
      <c r="B4048" s="65" t="s">
        <v>11999</v>
      </c>
      <c r="C4048" s="67" t="s">
        <v>203</v>
      </c>
      <c r="D4048" s="69" t="s">
        <v>12000</v>
      </c>
      <c r="E4048" s="69" t="s">
        <v>12001</v>
      </c>
    </row>
    <row r="4049" spans="1:5" x14ac:dyDescent="0.2">
      <c r="A4049" s="50">
        <v>69.09</v>
      </c>
      <c r="B4049" s="64" t="s">
        <v>12002</v>
      </c>
      <c r="C4049" s="47"/>
      <c r="D4049" s="47"/>
      <c r="E4049" s="47"/>
    </row>
    <row r="4050" spans="1:5" ht="33.75" x14ac:dyDescent="0.2">
      <c r="A4050" s="65" t="s">
        <v>12003</v>
      </c>
      <c r="B4050" s="65" t="s">
        <v>12004</v>
      </c>
      <c r="C4050" s="67" t="s">
        <v>203</v>
      </c>
      <c r="D4050" s="69" t="s">
        <v>12005</v>
      </c>
      <c r="E4050" s="69" t="s">
        <v>12006</v>
      </c>
    </row>
    <row r="4051" spans="1:5" ht="22.5" x14ac:dyDescent="0.2">
      <c r="A4051" s="65" t="s">
        <v>12007</v>
      </c>
      <c r="B4051" s="65" t="s">
        <v>12008</v>
      </c>
      <c r="C4051" s="67" t="s">
        <v>203</v>
      </c>
      <c r="D4051" s="69" t="s">
        <v>12009</v>
      </c>
      <c r="E4051" s="69" t="s">
        <v>12010</v>
      </c>
    </row>
    <row r="4052" spans="1:5" ht="22.5" x14ac:dyDescent="0.2">
      <c r="A4052" s="65" t="s">
        <v>12011</v>
      </c>
      <c r="B4052" s="65" t="s">
        <v>12012</v>
      </c>
      <c r="C4052" s="67" t="s">
        <v>203</v>
      </c>
      <c r="D4052" s="69" t="s">
        <v>12013</v>
      </c>
      <c r="E4052" s="69" t="s">
        <v>12014</v>
      </c>
    </row>
    <row r="4053" spans="1:5" ht="33.75" x14ac:dyDescent="0.2">
      <c r="A4053" s="65" t="s">
        <v>12015</v>
      </c>
      <c r="B4053" s="65" t="s">
        <v>12016</v>
      </c>
      <c r="C4053" s="67" t="s">
        <v>203</v>
      </c>
      <c r="D4053" s="69" t="s">
        <v>12017</v>
      </c>
      <c r="E4053" s="69" t="s">
        <v>12018</v>
      </c>
    </row>
    <row r="4054" spans="1:5" ht="45" x14ac:dyDescent="0.2">
      <c r="A4054" s="65" t="s">
        <v>12019</v>
      </c>
      <c r="B4054" s="65" t="s">
        <v>12020</v>
      </c>
      <c r="C4054" s="67" t="s">
        <v>203</v>
      </c>
      <c r="D4054" s="69" t="s">
        <v>12021</v>
      </c>
      <c r="E4054" s="69" t="s">
        <v>12022</v>
      </c>
    </row>
    <row r="4055" spans="1:5" x14ac:dyDescent="0.2">
      <c r="A4055" s="50">
        <v>69.099999999999994</v>
      </c>
      <c r="B4055" s="64" t="s">
        <v>12023</v>
      </c>
      <c r="C4055" s="47"/>
      <c r="D4055" s="47"/>
      <c r="E4055" s="47"/>
    </row>
    <row r="4056" spans="1:5" ht="56.25" x14ac:dyDescent="0.2">
      <c r="A4056" s="65" t="s">
        <v>12024</v>
      </c>
      <c r="B4056" s="66" t="s">
        <v>12025</v>
      </c>
      <c r="C4056" s="67" t="s">
        <v>203</v>
      </c>
      <c r="D4056" s="69" t="s">
        <v>12026</v>
      </c>
      <c r="E4056" s="69" t="s">
        <v>12027</v>
      </c>
    </row>
    <row r="4057" spans="1:5" ht="45" x14ac:dyDescent="0.2">
      <c r="A4057" s="65" t="s">
        <v>12028</v>
      </c>
      <c r="B4057" s="65" t="s">
        <v>12029</v>
      </c>
      <c r="C4057" s="67" t="s">
        <v>240</v>
      </c>
      <c r="D4057" s="69" t="s">
        <v>12030</v>
      </c>
      <c r="E4057" s="69" t="s">
        <v>12031</v>
      </c>
    </row>
    <row r="4058" spans="1:5" ht="45" x14ac:dyDescent="0.2">
      <c r="A4058" s="50">
        <v>69.2</v>
      </c>
      <c r="B4058" s="64" t="s">
        <v>12032</v>
      </c>
      <c r="C4058" s="47"/>
      <c r="D4058" s="47"/>
      <c r="E4058" s="47"/>
    </row>
    <row r="4059" spans="1:5" ht="33.75" x14ac:dyDescent="0.2">
      <c r="A4059" s="65" t="s">
        <v>12033</v>
      </c>
      <c r="B4059" s="65" t="s">
        <v>12034</v>
      </c>
      <c r="C4059" s="67" t="s">
        <v>221</v>
      </c>
      <c r="D4059" s="69" t="s">
        <v>12035</v>
      </c>
      <c r="E4059" s="69" t="s">
        <v>291</v>
      </c>
    </row>
    <row r="4060" spans="1:5" ht="33.75" x14ac:dyDescent="0.2">
      <c r="A4060" s="65" t="s">
        <v>12036</v>
      </c>
      <c r="B4060" s="65" t="s">
        <v>12037</v>
      </c>
      <c r="C4060" s="67" t="s">
        <v>203</v>
      </c>
      <c r="D4060" s="69" t="s">
        <v>6093</v>
      </c>
      <c r="E4060" s="69" t="s">
        <v>4022</v>
      </c>
    </row>
    <row r="4061" spans="1:5" ht="33.75" x14ac:dyDescent="0.2">
      <c r="A4061" s="65" t="s">
        <v>12038</v>
      </c>
      <c r="B4061" s="65" t="s">
        <v>12039</v>
      </c>
      <c r="C4061" s="67" t="s">
        <v>203</v>
      </c>
      <c r="D4061" s="69" t="s">
        <v>12040</v>
      </c>
      <c r="E4061" s="69" t="s">
        <v>12041</v>
      </c>
    </row>
    <row r="4062" spans="1:5" ht="67.5" x14ac:dyDescent="0.2">
      <c r="A4062" s="65" t="s">
        <v>12042</v>
      </c>
      <c r="B4062" s="66" t="s">
        <v>12043</v>
      </c>
      <c r="C4062" s="67" t="s">
        <v>203</v>
      </c>
      <c r="D4062" s="69" t="s">
        <v>6198</v>
      </c>
      <c r="E4062" s="69" t="s">
        <v>12044</v>
      </c>
    </row>
    <row r="4063" spans="1:5" ht="22.5" x14ac:dyDescent="0.2">
      <c r="A4063" s="65" t="s">
        <v>12045</v>
      </c>
      <c r="B4063" s="65" t="s">
        <v>12046</v>
      </c>
      <c r="C4063" s="67" t="s">
        <v>203</v>
      </c>
      <c r="D4063" s="69" t="s">
        <v>12047</v>
      </c>
      <c r="E4063" s="69" t="s">
        <v>12049</v>
      </c>
    </row>
    <row r="4064" spans="1:5" ht="22.5" x14ac:dyDescent="0.2">
      <c r="A4064" s="65" t="s">
        <v>12050</v>
      </c>
      <c r="B4064" s="65" t="s">
        <v>12051</v>
      </c>
      <c r="C4064" s="67" t="s">
        <v>203</v>
      </c>
      <c r="D4064" s="69" t="s">
        <v>12052</v>
      </c>
      <c r="E4064" s="69" t="s">
        <v>12053</v>
      </c>
    </row>
    <row r="4065" spans="1:5" ht="33.75" x14ac:dyDescent="0.2">
      <c r="A4065" s="65" t="s">
        <v>12054</v>
      </c>
      <c r="B4065" s="65" t="s">
        <v>12055</v>
      </c>
      <c r="C4065" s="67" t="s">
        <v>203</v>
      </c>
      <c r="D4065" s="69" t="s">
        <v>404</v>
      </c>
      <c r="E4065" s="69" t="s">
        <v>3425</v>
      </c>
    </row>
    <row r="4066" spans="1:5" ht="33.75" x14ac:dyDescent="0.2">
      <c r="A4066" s="65" t="s">
        <v>12056</v>
      </c>
      <c r="B4066" s="65" t="s">
        <v>12057</v>
      </c>
      <c r="C4066" s="67" t="s">
        <v>203</v>
      </c>
      <c r="D4066" s="69" t="s">
        <v>3340</v>
      </c>
      <c r="E4066" s="69" t="s">
        <v>352</v>
      </c>
    </row>
    <row r="4067" spans="1:5" ht="33.75" x14ac:dyDescent="0.2">
      <c r="A4067" s="65" t="s">
        <v>12058</v>
      </c>
      <c r="B4067" s="65" t="s">
        <v>12059</v>
      </c>
      <c r="C4067" s="67" t="s">
        <v>203</v>
      </c>
      <c r="D4067" s="69" t="s">
        <v>12060</v>
      </c>
      <c r="E4067" s="69" t="s">
        <v>251</v>
      </c>
    </row>
    <row r="4068" spans="1:5" ht="45" x14ac:dyDescent="0.2">
      <c r="A4068" s="65" t="s">
        <v>12061</v>
      </c>
      <c r="B4068" s="65" t="s">
        <v>12062</v>
      </c>
      <c r="C4068" s="67" t="s">
        <v>203</v>
      </c>
      <c r="D4068" s="69" t="s">
        <v>12063</v>
      </c>
      <c r="E4068" s="69" t="s">
        <v>12064</v>
      </c>
    </row>
    <row r="4069" spans="1:5" ht="22.5" x14ac:dyDescent="0.2">
      <c r="A4069" s="65" t="s">
        <v>12065</v>
      </c>
      <c r="B4069" s="65" t="s">
        <v>12066</v>
      </c>
      <c r="C4069" s="67" t="s">
        <v>203</v>
      </c>
      <c r="D4069" s="69" t="s">
        <v>12067</v>
      </c>
      <c r="E4069" s="69" t="s">
        <v>12068</v>
      </c>
    </row>
    <row r="4070" spans="1:5" ht="22.5" x14ac:dyDescent="0.2">
      <c r="A4070" s="65" t="s">
        <v>12069</v>
      </c>
      <c r="B4070" s="65" t="s">
        <v>12070</v>
      </c>
      <c r="C4070" s="67" t="s">
        <v>203</v>
      </c>
      <c r="D4070" s="69" t="s">
        <v>12071</v>
      </c>
      <c r="E4070" s="69" t="s">
        <v>12072</v>
      </c>
    </row>
    <row r="4071" spans="1:5" ht="33.75" x14ac:dyDescent="0.2">
      <c r="A4071" s="65" t="s">
        <v>12073</v>
      </c>
      <c r="B4071" s="65" t="s">
        <v>12074</v>
      </c>
      <c r="C4071" s="67" t="s">
        <v>203</v>
      </c>
      <c r="D4071" s="69" t="s">
        <v>4127</v>
      </c>
      <c r="E4071" s="69" t="s">
        <v>12075</v>
      </c>
    </row>
    <row r="4072" spans="1:5" ht="33.75" x14ac:dyDescent="0.2">
      <c r="A4072" s="65" t="s">
        <v>12076</v>
      </c>
      <c r="B4072" s="65" t="s">
        <v>12077</v>
      </c>
      <c r="C4072" s="67" t="s">
        <v>203</v>
      </c>
      <c r="D4072" s="69" t="s">
        <v>12078</v>
      </c>
      <c r="E4072" s="69" t="s">
        <v>12079</v>
      </c>
    </row>
    <row r="4073" spans="1:5" ht="33.75" x14ac:dyDescent="0.2">
      <c r="A4073" s="65" t="s">
        <v>12080</v>
      </c>
      <c r="B4073" s="65" t="s">
        <v>12081</v>
      </c>
      <c r="C4073" s="67" t="s">
        <v>203</v>
      </c>
      <c r="D4073" s="69" t="s">
        <v>386</v>
      </c>
      <c r="E4073" s="69" t="s">
        <v>12082</v>
      </c>
    </row>
    <row r="4074" spans="1:5" ht="22.5" x14ac:dyDescent="0.2">
      <c r="A4074" s="65" t="s">
        <v>12083</v>
      </c>
      <c r="B4074" s="65" t="s">
        <v>12084</v>
      </c>
      <c r="C4074" s="67" t="s">
        <v>203</v>
      </c>
      <c r="D4074" s="69" t="s">
        <v>12085</v>
      </c>
      <c r="E4074" s="69" t="s">
        <v>5527</v>
      </c>
    </row>
    <row r="4075" spans="1:5" ht="22.5" x14ac:dyDescent="0.2">
      <c r="A4075" s="65" t="s">
        <v>12086</v>
      </c>
      <c r="B4075" s="65" t="s">
        <v>12087</v>
      </c>
      <c r="C4075" s="67" t="s">
        <v>203</v>
      </c>
      <c r="D4075" s="69" t="s">
        <v>1381</v>
      </c>
      <c r="E4075" s="69" t="s">
        <v>7262</v>
      </c>
    </row>
    <row r="4076" spans="1:5" ht="33.75" x14ac:dyDescent="0.2">
      <c r="A4076" s="65" t="s">
        <v>12088</v>
      </c>
      <c r="B4076" s="65" t="s">
        <v>12089</v>
      </c>
      <c r="C4076" s="67" t="s">
        <v>203</v>
      </c>
      <c r="D4076" s="69" t="s">
        <v>5600</v>
      </c>
      <c r="E4076" s="69" t="s">
        <v>12090</v>
      </c>
    </row>
    <row r="4077" spans="1:5" ht="33.75" x14ac:dyDescent="0.2">
      <c r="A4077" s="65" t="s">
        <v>12091</v>
      </c>
      <c r="B4077" s="65" t="s">
        <v>12092</v>
      </c>
      <c r="C4077" s="67" t="s">
        <v>203</v>
      </c>
      <c r="D4077" s="69" t="s">
        <v>12093</v>
      </c>
      <c r="E4077" s="69" t="s">
        <v>12094</v>
      </c>
    </row>
    <row r="4078" spans="1:5" ht="33.75" x14ac:dyDescent="0.2">
      <c r="A4078" s="65" t="s">
        <v>12095</v>
      </c>
      <c r="B4078" s="65" t="s">
        <v>12096</v>
      </c>
      <c r="C4078" s="67" t="s">
        <v>203</v>
      </c>
      <c r="D4078" s="69" t="s">
        <v>12097</v>
      </c>
      <c r="E4078" s="69" t="s">
        <v>246</v>
      </c>
    </row>
    <row r="4079" spans="1:5" ht="45" x14ac:dyDescent="0.2">
      <c r="A4079" s="65" t="s">
        <v>12098</v>
      </c>
      <c r="B4079" s="65" t="s">
        <v>12099</v>
      </c>
      <c r="C4079" s="67" t="s">
        <v>203</v>
      </c>
      <c r="D4079" s="69" t="s">
        <v>12100</v>
      </c>
      <c r="E4079" s="69" t="s">
        <v>12101</v>
      </c>
    </row>
    <row r="4080" spans="1:5" ht="45" x14ac:dyDescent="0.2">
      <c r="A4080" s="65" t="s">
        <v>12102</v>
      </c>
      <c r="B4080" s="65" t="s">
        <v>12103</v>
      </c>
      <c r="C4080" s="67" t="s">
        <v>203</v>
      </c>
      <c r="D4080" s="69" t="s">
        <v>356</v>
      </c>
      <c r="E4080" s="69" t="s">
        <v>12105</v>
      </c>
    </row>
    <row r="4081" spans="1:5" ht="22.5" x14ac:dyDescent="0.2">
      <c r="A4081" s="65" t="s">
        <v>12106</v>
      </c>
      <c r="B4081" s="65" t="s">
        <v>12107</v>
      </c>
      <c r="C4081" s="67" t="s">
        <v>203</v>
      </c>
      <c r="D4081" s="69" t="s">
        <v>2533</v>
      </c>
      <c r="E4081" s="69" t="s">
        <v>12108</v>
      </c>
    </row>
    <row r="4082" spans="1:5" ht="45" x14ac:dyDescent="0.2">
      <c r="A4082" s="65" t="s">
        <v>12109</v>
      </c>
      <c r="B4082" s="65" t="s">
        <v>12110</v>
      </c>
      <c r="C4082" s="67" t="s">
        <v>203</v>
      </c>
      <c r="D4082" s="69" t="s">
        <v>12111</v>
      </c>
      <c r="E4082" s="69" t="s">
        <v>12112</v>
      </c>
    </row>
    <row r="4083" spans="1:5" x14ac:dyDescent="0.2">
      <c r="A4083" s="49">
        <v>70</v>
      </c>
      <c r="B4083" s="64" t="s">
        <v>12113</v>
      </c>
      <c r="C4083" s="47"/>
      <c r="D4083" s="47"/>
      <c r="E4083" s="47"/>
    </row>
    <row r="4084" spans="1:5" x14ac:dyDescent="0.2">
      <c r="A4084" s="50">
        <v>70.010000000000005</v>
      </c>
      <c r="B4084" s="64" t="s">
        <v>12114</v>
      </c>
      <c r="C4084" s="47"/>
      <c r="D4084" s="47"/>
      <c r="E4084" s="47"/>
    </row>
    <row r="4085" spans="1:5" ht="33.75" x14ac:dyDescent="0.2">
      <c r="A4085" s="65" t="s">
        <v>12115</v>
      </c>
      <c r="B4085" s="65" t="s">
        <v>12116</v>
      </c>
      <c r="C4085" s="67" t="s">
        <v>204</v>
      </c>
      <c r="D4085" s="69" t="s">
        <v>12117</v>
      </c>
      <c r="E4085" s="69" t="s">
        <v>12119</v>
      </c>
    </row>
    <row r="4086" spans="1:5" ht="33.75" x14ac:dyDescent="0.2">
      <c r="A4086" s="65" t="s">
        <v>12120</v>
      </c>
      <c r="B4086" s="65" t="s">
        <v>12121</v>
      </c>
      <c r="C4086" s="67" t="s">
        <v>204</v>
      </c>
      <c r="D4086" s="69" t="s">
        <v>12122</v>
      </c>
      <c r="E4086" s="69" t="s">
        <v>7091</v>
      </c>
    </row>
    <row r="4087" spans="1:5" ht="33.75" x14ac:dyDescent="0.2">
      <c r="A4087" s="65" t="s">
        <v>12124</v>
      </c>
      <c r="B4087" s="65" t="s">
        <v>12125</v>
      </c>
      <c r="C4087" s="67" t="s">
        <v>204</v>
      </c>
      <c r="D4087" s="69" t="s">
        <v>12126</v>
      </c>
      <c r="E4087" s="69" t="s">
        <v>12127</v>
      </c>
    </row>
    <row r="4088" spans="1:5" ht="33.75" x14ac:dyDescent="0.2">
      <c r="A4088" s="65" t="s">
        <v>12128</v>
      </c>
      <c r="B4088" s="65" t="s">
        <v>12129</v>
      </c>
      <c r="C4088" s="67" t="s">
        <v>221</v>
      </c>
      <c r="D4088" s="69" t="s">
        <v>12130</v>
      </c>
      <c r="E4088" s="69" t="s">
        <v>12132</v>
      </c>
    </row>
    <row r="4089" spans="1:5" ht="33.75" x14ac:dyDescent="0.2">
      <c r="A4089" s="65" t="s">
        <v>12133</v>
      </c>
      <c r="B4089" s="65" t="s">
        <v>12134</v>
      </c>
      <c r="C4089" s="67" t="s">
        <v>240</v>
      </c>
      <c r="D4089" s="69" t="s">
        <v>12135</v>
      </c>
      <c r="E4089" s="69" t="s">
        <v>12135</v>
      </c>
    </row>
    <row r="4090" spans="1:5" ht="22.5" x14ac:dyDescent="0.2">
      <c r="A4090" s="50">
        <v>70.02</v>
      </c>
      <c r="B4090" s="64" t="s">
        <v>12136</v>
      </c>
      <c r="C4090" s="47"/>
      <c r="D4090" s="47"/>
      <c r="E4090" s="47"/>
    </row>
    <row r="4091" spans="1:5" ht="33.75" x14ac:dyDescent="0.2">
      <c r="A4091" s="65" t="s">
        <v>12137</v>
      </c>
      <c r="B4091" s="65" t="s">
        <v>12138</v>
      </c>
      <c r="C4091" s="67" t="s">
        <v>204</v>
      </c>
      <c r="D4091" s="69" t="s">
        <v>12139</v>
      </c>
      <c r="E4091" s="69" t="s">
        <v>12139</v>
      </c>
    </row>
    <row r="4092" spans="1:5" ht="33.75" x14ac:dyDescent="0.2">
      <c r="A4092" s="65" t="s">
        <v>12140</v>
      </c>
      <c r="B4092" s="65" t="s">
        <v>12141</v>
      </c>
      <c r="C4092" s="67" t="s">
        <v>204</v>
      </c>
      <c r="D4092" s="69" t="s">
        <v>12142</v>
      </c>
      <c r="E4092" s="69" t="s">
        <v>12142</v>
      </c>
    </row>
    <row r="4093" spans="1:5" ht="78.75" x14ac:dyDescent="0.2">
      <c r="A4093" s="65" t="s">
        <v>12143</v>
      </c>
      <c r="B4093" s="66" t="s">
        <v>12144</v>
      </c>
      <c r="C4093" s="67" t="s">
        <v>204</v>
      </c>
      <c r="D4093" s="69" t="s">
        <v>12145</v>
      </c>
      <c r="E4093" s="69" t="s">
        <v>12145</v>
      </c>
    </row>
    <row r="4094" spans="1:5" ht="78.75" x14ac:dyDescent="0.2">
      <c r="A4094" s="65" t="s">
        <v>12146</v>
      </c>
      <c r="B4094" s="66" t="s">
        <v>12147</v>
      </c>
      <c r="C4094" s="67" t="s">
        <v>204</v>
      </c>
      <c r="D4094" s="69" t="s">
        <v>6712</v>
      </c>
      <c r="E4094" s="69" t="s">
        <v>6712</v>
      </c>
    </row>
    <row r="4095" spans="1:5" ht="78.75" x14ac:dyDescent="0.2">
      <c r="A4095" s="65" t="s">
        <v>12148</v>
      </c>
      <c r="B4095" s="66" t="s">
        <v>12149</v>
      </c>
      <c r="C4095" s="67" t="s">
        <v>204</v>
      </c>
      <c r="D4095" s="69" t="s">
        <v>12150</v>
      </c>
      <c r="E4095" s="69" t="s">
        <v>12150</v>
      </c>
    </row>
    <row r="4096" spans="1:5" ht="67.5" x14ac:dyDescent="0.2">
      <c r="A4096" s="65" t="s">
        <v>12151</v>
      </c>
      <c r="B4096" s="66" t="s">
        <v>12152</v>
      </c>
      <c r="C4096" s="67" t="s">
        <v>204</v>
      </c>
      <c r="D4096" s="69" t="s">
        <v>12153</v>
      </c>
      <c r="E4096" s="69" t="s">
        <v>12153</v>
      </c>
    </row>
    <row r="4097" spans="1:5" ht="67.5" x14ac:dyDescent="0.2">
      <c r="A4097" s="65" t="s">
        <v>12154</v>
      </c>
      <c r="B4097" s="66" t="s">
        <v>12155</v>
      </c>
      <c r="C4097" s="67" t="s">
        <v>204</v>
      </c>
      <c r="D4097" s="69" t="s">
        <v>1489</v>
      </c>
      <c r="E4097" s="69" t="s">
        <v>1489</v>
      </c>
    </row>
    <row r="4098" spans="1:5" ht="45" x14ac:dyDescent="0.2">
      <c r="A4098" s="65" t="s">
        <v>12156</v>
      </c>
      <c r="B4098" s="65" t="s">
        <v>12157</v>
      </c>
      <c r="C4098" s="67" t="s">
        <v>204</v>
      </c>
      <c r="D4098" s="69" t="s">
        <v>12158</v>
      </c>
      <c r="E4098" s="69" t="s">
        <v>12158</v>
      </c>
    </row>
    <row r="4099" spans="1:5" ht="45" x14ac:dyDescent="0.2">
      <c r="A4099" s="65" t="s">
        <v>12159</v>
      </c>
      <c r="B4099" s="65" t="s">
        <v>12160</v>
      </c>
      <c r="C4099" s="67" t="s">
        <v>204</v>
      </c>
      <c r="D4099" s="69" t="s">
        <v>12161</v>
      </c>
      <c r="E4099" s="69" t="s">
        <v>12161</v>
      </c>
    </row>
    <row r="4100" spans="1:5" ht="67.5" x14ac:dyDescent="0.2">
      <c r="A4100" s="65" t="s">
        <v>12162</v>
      </c>
      <c r="B4100" s="66" t="s">
        <v>12163</v>
      </c>
      <c r="C4100" s="67" t="s">
        <v>204</v>
      </c>
      <c r="D4100" s="69" t="s">
        <v>12164</v>
      </c>
      <c r="E4100" s="69" t="s">
        <v>12164</v>
      </c>
    </row>
    <row r="4101" spans="1:5" x14ac:dyDescent="0.2">
      <c r="A4101" s="50">
        <v>70.03</v>
      </c>
      <c r="B4101" s="64" t="s">
        <v>12165</v>
      </c>
      <c r="C4101" s="47"/>
      <c r="D4101" s="47"/>
      <c r="E4101" s="47"/>
    </row>
    <row r="4102" spans="1:5" ht="78.75" x14ac:dyDescent="0.2">
      <c r="A4102" s="65" t="s">
        <v>12166</v>
      </c>
      <c r="B4102" s="66" t="s">
        <v>12167</v>
      </c>
      <c r="C4102" s="67" t="s">
        <v>204</v>
      </c>
      <c r="D4102" s="69" t="s">
        <v>12168</v>
      </c>
      <c r="E4102" s="69" t="s">
        <v>12170</v>
      </c>
    </row>
    <row r="4103" spans="1:5" ht="78.75" x14ac:dyDescent="0.2">
      <c r="A4103" s="65" t="s">
        <v>12171</v>
      </c>
      <c r="B4103" s="66" t="s">
        <v>12172</v>
      </c>
      <c r="C4103" s="67" t="s">
        <v>204</v>
      </c>
      <c r="D4103" s="69" t="s">
        <v>12173</v>
      </c>
      <c r="E4103" s="69" t="s">
        <v>12174</v>
      </c>
    </row>
    <row r="4104" spans="1:5" ht="67.5" x14ac:dyDescent="0.2">
      <c r="A4104" s="65" t="s">
        <v>12175</v>
      </c>
      <c r="B4104" s="66" t="s">
        <v>12176</v>
      </c>
      <c r="C4104" s="67" t="s">
        <v>204</v>
      </c>
      <c r="D4104" s="69" t="s">
        <v>12177</v>
      </c>
      <c r="E4104" s="69" t="s">
        <v>12178</v>
      </c>
    </row>
    <row r="4105" spans="1:5" ht="67.5" x14ac:dyDescent="0.2">
      <c r="A4105" s="65" t="s">
        <v>12179</v>
      </c>
      <c r="B4105" s="66" t="s">
        <v>12180</v>
      </c>
      <c r="C4105" s="74" t="s">
        <v>204</v>
      </c>
      <c r="D4105" s="69" t="s">
        <v>12181</v>
      </c>
      <c r="E4105" s="69" t="s">
        <v>12182</v>
      </c>
    </row>
    <row r="4106" spans="1:5" ht="78.75" x14ac:dyDescent="0.2">
      <c r="A4106" s="65" t="s">
        <v>12183</v>
      </c>
      <c r="B4106" s="66" t="s">
        <v>12184</v>
      </c>
      <c r="C4106" s="74" t="s">
        <v>204</v>
      </c>
      <c r="D4106" s="69" t="s">
        <v>12185</v>
      </c>
      <c r="E4106" s="69" t="s">
        <v>12186</v>
      </c>
    </row>
    <row r="4107" spans="1:5" ht="67.5" x14ac:dyDescent="0.2">
      <c r="A4107" s="65" t="s">
        <v>12187</v>
      </c>
      <c r="B4107" s="66" t="s">
        <v>12188</v>
      </c>
      <c r="C4107" s="74" t="s">
        <v>204</v>
      </c>
      <c r="D4107" s="69" t="s">
        <v>12189</v>
      </c>
      <c r="E4107" s="69" t="s">
        <v>12191</v>
      </c>
    </row>
    <row r="4108" spans="1:5" ht="67.5" x14ac:dyDescent="0.2">
      <c r="A4108" s="65" t="s">
        <v>12192</v>
      </c>
      <c r="B4108" s="66" t="s">
        <v>12193</v>
      </c>
      <c r="C4108" s="74" t="s">
        <v>204</v>
      </c>
      <c r="D4108" s="69" t="s">
        <v>12194</v>
      </c>
      <c r="E4108" s="69" t="s">
        <v>12195</v>
      </c>
    </row>
    <row r="4109" spans="1:5" ht="78.75" x14ac:dyDescent="0.2">
      <c r="A4109" s="65" t="s">
        <v>12196</v>
      </c>
      <c r="B4109" s="66" t="s">
        <v>12197</v>
      </c>
      <c r="C4109" s="74" t="s">
        <v>204</v>
      </c>
      <c r="D4109" s="69" t="s">
        <v>12198</v>
      </c>
      <c r="E4109" s="69" t="s">
        <v>12199</v>
      </c>
    </row>
    <row r="4110" spans="1:5" x14ac:dyDescent="0.2">
      <c r="A4110" s="50">
        <v>70.040000000000006</v>
      </c>
      <c r="B4110" s="64" t="s">
        <v>12200</v>
      </c>
      <c r="C4110" s="47"/>
      <c r="D4110" s="47"/>
      <c r="E4110" s="47"/>
    </row>
    <row r="4111" spans="1:5" ht="45" x14ac:dyDescent="0.2">
      <c r="A4111" s="65" t="s">
        <v>12201</v>
      </c>
      <c r="B4111" s="65" t="s">
        <v>12202</v>
      </c>
      <c r="C4111" s="74" t="s">
        <v>203</v>
      </c>
      <c r="D4111" s="69" t="s">
        <v>12203</v>
      </c>
      <c r="E4111" s="69" t="s">
        <v>12204</v>
      </c>
    </row>
    <row r="4112" spans="1:5" ht="33.75" x14ac:dyDescent="0.2">
      <c r="A4112" s="65" t="s">
        <v>12205</v>
      </c>
      <c r="B4112" s="65" t="s">
        <v>12206</v>
      </c>
      <c r="C4112" s="74" t="s">
        <v>203</v>
      </c>
      <c r="D4112" s="69" t="s">
        <v>12207</v>
      </c>
      <c r="E4112" s="69" t="s">
        <v>12208</v>
      </c>
    </row>
    <row r="4113" spans="1:5" ht="33.75" x14ac:dyDescent="0.2">
      <c r="A4113" s="65" t="s">
        <v>12209</v>
      </c>
      <c r="B4113" s="65" t="s">
        <v>12210</v>
      </c>
      <c r="C4113" s="74" t="s">
        <v>203</v>
      </c>
      <c r="D4113" s="69" t="s">
        <v>12211</v>
      </c>
      <c r="E4113" s="69" t="s">
        <v>12213</v>
      </c>
    </row>
    <row r="4114" spans="1:5" ht="45" x14ac:dyDescent="0.2">
      <c r="A4114" s="65" t="s">
        <v>12214</v>
      </c>
      <c r="B4114" s="65" t="s">
        <v>12215</v>
      </c>
      <c r="C4114" s="74" t="s">
        <v>203</v>
      </c>
      <c r="D4114" s="69" t="s">
        <v>12216</v>
      </c>
      <c r="E4114" s="69" t="s">
        <v>12217</v>
      </c>
    </row>
    <row r="4115" spans="1:5" ht="33.75" x14ac:dyDescent="0.2">
      <c r="A4115" s="65" t="s">
        <v>12218</v>
      </c>
      <c r="B4115" s="65" t="s">
        <v>12219</v>
      </c>
      <c r="C4115" s="74" t="s">
        <v>203</v>
      </c>
      <c r="D4115" s="69" t="s">
        <v>12220</v>
      </c>
      <c r="E4115" s="69" t="s">
        <v>12221</v>
      </c>
    </row>
    <row r="4116" spans="1:5" ht="45" x14ac:dyDescent="0.2">
      <c r="A4116" s="65" t="s">
        <v>12222</v>
      </c>
      <c r="B4116" s="65" t="s">
        <v>12223</v>
      </c>
      <c r="C4116" s="74" t="s">
        <v>203</v>
      </c>
      <c r="D4116" s="69" t="s">
        <v>12224</v>
      </c>
      <c r="E4116" s="69" t="s">
        <v>12225</v>
      </c>
    </row>
    <row r="4117" spans="1:5" ht="33.75" x14ac:dyDescent="0.2">
      <c r="A4117" s="65" t="s">
        <v>12226</v>
      </c>
      <c r="B4117" s="65" t="s">
        <v>12227</v>
      </c>
      <c r="C4117" s="74" t="s">
        <v>203</v>
      </c>
      <c r="D4117" s="69" t="s">
        <v>12228</v>
      </c>
      <c r="E4117" s="69" t="s">
        <v>12229</v>
      </c>
    </row>
    <row r="4118" spans="1:5" ht="33.75" x14ac:dyDescent="0.2">
      <c r="A4118" s="50">
        <v>70.05</v>
      </c>
      <c r="B4118" s="64" t="s">
        <v>12230</v>
      </c>
      <c r="C4118" s="47"/>
      <c r="D4118" s="47"/>
      <c r="E4118" s="47"/>
    </row>
    <row r="4119" spans="1:5" ht="33.75" x14ac:dyDescent="0.2">
      <c r="A4119" s="65" t="s">
        <v>12231</v>
      </c>
      <c r="B4119" s="65" t="s">
        <v>12232</v>
      </c>
      <c r="C4119" s="74" t="s">
        <v>203</v>
      </c>
      <c r="D4119" s="69" t="s">
        <v>9112</v>
      </c>
      <c r="E4119" s="69" t="s">
        <v>12234</v>
      </c>
    </row>
    <row r="4120" spans="1:5" ht="22.5" x14ac:dyDescent="0.2">
      <c r="A4120" s="65" t="s">
        <v>12235</v>
      </c>
      <c r="B4120" s="65" t="s">
        <v>12236</v>
      </c>
      <c r="C4120" s="74" t="s">
        <v>203</v>
      </c>
      <c r="D4120" s="69" t="s">
        <v>12237</v>
      </c>
      <c r="E4120" s="69" t="s">
        <v>12238</v>
      </c>
    </row>
    <row r="4121" spans="1:5" ht="45" x14ac:dyDescent="0.2">
      <c r="A4121" s="65" t="s">
        <v>12239</v>
      </c>
      <c r="B4121" s="65" t="s">
        <v>12240</v>
      </c>
      <c r="C4121" s="74" t="s">
        <v>203</v>
      </c>
      <c r="D4121" s="69" t="s">
        <v>12241</v>
      </c>
      <c r="E4121" s="69" t="s">
        <v>12242</v>
      </c>
    </row>
    <row r="4122" spans="1:5" ht="45" x14ac:dyDescent="0.2">
      <c r="A4122" s="65" t="s">
        <v>12243</v>
      </c>
      <c r="B4122" s="65" t="s">
        <v>12244</v>
      </c>
      <c r="C4122" s="74" t="s">
        <v>203</v>
      </c>
      <c r="D4122" s="69" t="s">
        <v>12245</v>
      </c>
      <c r="E4122" s="69" t="s">
        <v>12247</v>
      </c>
    </row>
    <row r="4123" spans="1:5" ht="56.25" x14ac:dyDescent="0.2">
      <c r="A4123" s="65" t="s">
        <v>12248</v>
      </c>
      <c r="B4123" s="66" t="s">
        <v>12249</v>
      </c>
      <c r="C4123" s="74" t="s">
        <v>203</v>
      </c>
      <c r="D4123" s="69" t="s">
        <v>12250</v>
      </c>
      <c r="E4123" s="69" t="s">
        <v>12252</v>
      </c>
    </row>
    <row r="4124" spans="1:5" x14ac:dyDescent="0.2">
      <c r="A4124" s="50">
        <v>70.06</v>
      </c>
      <c r="B4124" s="64" t="s">
        <v>12253</v>
      </c>
      <c r="C4124" s="47"/>
      <c r="D4124" s="47"/>
      <c r="E4124" s="47"/>
    </row>
    <row r="4125" spans="1:5" ht="22.5" x14ac:dyDescent="0.2">
      <c r="A4125" s="65" t="s">
        <v>12254</v>
      </c>
      <c r="B4125" s="65" t="s">
        <v>12255</v>
      </c>
      <c r="C4125" s="74" t="s">
        <v>203</v>
      </c>
      <c r="D4125" s="69" t="s">
        <v>12256</v>
      </c>
      <c r="E4125" s="69" t="s">
        <v>12257</v>
      </c>
    </row>
    <row r="4126" spans="1:5" ht="22.5" x14ac:dyDescent="0.2">
      <c r="A4126" s="65" t="s">
        <v>12258</v>
      </c>
      <c r="B4126" s="65" t="s">
        <v>12259</v>
      </c>
      <c r="C4126" s="74" t="s">
        <v>203</v>
      </c>
      <c r="D4126" s="69" t="s">
        <v>12260</v>
      </c>
      <c r="E4126" s="69" t="s">
        <v>12262</v>
      </c>
    </row>
    <row r="4127" spans="1:5" ht="22.5" x14ac:dyDescent="0.2">
      <c r="A4127" s="65" t="s">
        <v>12263</v>
      </c>
      <c r="B4127" s="65" t="s">
        <v>12264</v>
      </c>
      <c r="C4127" s="74" t="s">
        <v>203</v>
      </c>
      <c r="D4127" s="69" t="s">
        <v>366</v>
      </c>
      <c r="E4127" s="69" t="s">
        <v>1691</v>
      </c>
    </row>
    <row r="4128" spans="1:5" ht="33.75" x14ac:dyDescent="0.2">
      <c r="A4128" s="65" t="s">
        <v>12265</v>
      </c>
      <c r="B4128" s="65" t="s">
        <v>12266</v>
      </c>
      <c r="C4128" s="74" t="s">
        <v>203</v>
      </c>
      <c r="D4128" s="69" t="s">
        <v>12267</v>
      </c>
      <c r="E4128" s="69" t="s">
        <v>232</v>
      </c>
    </row>
    <row r="4129" spans="1:5" ht="22.5" x14ac:dyDescent="0.2">
      <c r="A4129" s="65" t="s">
        <v>12268</v>
      </c>
      <c r="B4129" s="65" t="s">
        <v>12269</v>
      </c>
      <c r="C4129" s="74" t="s">
        <v>203</v>
      </c>
      <c r="D4129" s="69" t="s">
        <v>12270</v>
      </c>
      <c r="E4129" s="69" t="s">
        <v>12271</v>
      </c>
    </row>
    <row r="4130" spans="1:5" ht="33.75" x14ac:dyDescent="0.2">
      <c r="A4130" s="65" t="s">
        <v>12272</v>
      </c>
      <c r="B4130" s="65" t="s">
        <v>12273</v>
      </c>
      <c r="C4130" s="74" t="s">
        <v>203</v>
      </c>
      <c r="D4130" s="69" t="s">
        <v>12274</v>
      </c>
      <c r="E4130" s="69" t="s">
        <v>12275</v>
      </c>
    </row>
    <row r="4131" spans="1:5" ht="22.5" x14ac:dyDescent="0.2">
      <c r="A4131" s="65" t="s">
        <v>12276</v>
      </c>
      <c r="B4131" s="65" t="s">
        <v>12277</v>
      </c>
      <c r="C4131" s="74" t="s">
        <v>203</v>
      </c>
      <c r="D4131" s="69" t="s">
        <v>12278</v>
      </c>
      <c r="E4131" s="69" t="s">
        <v>12280</v>
      </c>
    </row>
    <row r="4132" spans="1:5" ht="33.75" x14ac:dyDescent="0.2">
      <c r="A4132" s="65" t="s">
        <v>12281</v>
      </c>
      <c r="B4132" s="65" t="s">
        <v>12282</v>
      </c>
      <c r="C4132" s="74" t="s">
        <v>203</v>
      </c>
      <c r="D4132" s="69" t="s">
        <v>12283</v>
      </c>
      <c r="E4132" s="69" t="s">
        <v>1190</v>
      </c>
    </row>
    <row r="4133" spans="1:5" ht="33.75" x14ac:dyDescent="0.2">
      <c r="A4133" s="49">
        <v>97</v>
      </c>
      <c r="B4133" s="64" t="s">
        <v>12284</v>
      </c>
      <c r="C4133" s="47"/>
      <c r="D4133" s="47"/>
      <c r="E4133" s="47"/>
    </row>
    <row r="4134" spans="1:5" ht="33.75" x14ac:dyDescent="0.2">
      <c r="A4134" s="50">
        <v>97.02</v>
      </c>
      <c r="B4134" s="64" t="s">
        <v>12285</v>
      </c>
      <c r="C4134" s="47"/>
      <c r="D4134" s="47"/>
      <c r="E4134" s="47"/>
    </row>
    <row r="4135" spans="1:5" ht="33.75" x14ac:dyDescent="0.2">
      <c r="A4135" s="65" t="s">
        <v>12286</v>
      </c>
      <c r="B4135" s="65" t="s">
        <v>12287</v>
      </c>
      <c r="C4135" s="74" t="s">
        <v>204</v>
      </c>
      <c r="D4135" s="69" t="s">
        <v>12288</v>
      </c>
      <c r="E4135" s="69" t="s">
        <v>12289</v>
      </c>
    </row>
    <row r="4136" spans="1:5" ht="33.75" x14ac:dyDescent="0.2">
      <c r="A4136" s="65" t="s">
        <v>12290</v>
      </c>
      <c r="B4136" s="65" t="s">
        <v>12291</v>
      </c>
      <c r="C4136" s="74" t="s">
        <v>204</v>
      </c>
      <c r="D4136" s="69" t="s">
        <v>12292</v>
      </c>
      <c r="E4136" s="69" t="s">
        <v>12293</v>
      </c>
    </row>
    <row r="4137" spans="1:5" ht="45" x14ac:dyDescent="0.2">
      <c r="A4137" s="65" t="s">
        <v>12294</v>
      </c>
      <c r="B4137" s="65" t="s">
        <v>12295</v>
      </c>
      <c r="C4137" s="74" t="s">
        <v>204</v>
      </c>
      <c r="D4137" s="69" t="s">
        <v>12296</v>
      </c>
      <c r="E4137" s="69" t="s">
        <v>12297</v>
      </c>
    </row>
    <row r="4138" spans="1:5" ht="90" x14ac:dyDescent="0.2">
      <c r="A4138" s="70" t="s">
        <v>12298</v>
      </c>
      <c r="B4138" s="65" t="s">
        <v>12299</v>
      </c>
      <c r="C4138" s="75" t="s">
        <v>203</v>
      </c>
      <c r="D4138" s="72" t="s">
        <v>355</v>
      </c>
      <c r="E4138" s="72" t="s">
        <v>5707</v>
      </c>
    </row>
    <row r="4139" spans="1:5" ht="90" x14ac:dyDescent="0.2">
      <c r="A4139" s="70" t="s">
        <v>12300</v>
      </c>
      <c r="B4139" s="65" t="s">
        <v>12301</v>
      </c>
      <c r="C4139" s="75" t="s">
        <v>203</v>
      </c>
      <c r="D4139" s="72" t="s">
        <v>12302</v>
      </c>
      <c r="E4139" s="72" t="s">
        <v>12303</v>
      </c>
    </row>
    <row r="4140" spans="1:5" ht="78.75" x14ac:dyDescent="0.2">
      <c r="A4140" s="65" t="s">
        <v>12304</v>
      </c>
      <c r="B4140" s="66" t="s">
        <v>12305</v>
      </c>
      <c r="C4140" s="74" t="s">
        <v>203</v>
      </c>
      <c r="D4140" s="69" t="s">
        <v>12306</v>
      </c>
      <c r="E4140" s="69" t="s">
        <v>7249</v>
      </c>
    </row>
    <row r="4141" spans="1:5" ht="56.25" x14ac:dyDescent="0.2">
      <c r="A4141" s="65" t="s">
        <v>12307</v>
      </c>
      <c r="B4141" s="66" t="s">
        <v>12308</v>
      </c>
      <c r="C4141" s="74" t="s">
        <v>203</v>
      </c>
      <c r="D4141" s="69" t="s">
        <v>288</v>
      </c>
      <c r="E4141" s="69" t="s">
        <v>933</v>
      </c>
    </row>
    <row r="4142" spans="1:5" ht="33.75" x14ac:dyDescent="0.2">
      <c r="A4142" s="65" t="s">
        <v>12309</v>
      </c>
      <c r="B4142" s="65" t="s">
        <v>12310</v>
      </c>
      <c r="C4142" s="74" t="s">
        <v>203</v>
      </c>
      <c r="D4142" s="69" t="s">
        <v>5551</v>
      </c>
      <c r="E4142" s="69" t="s">
        <v>12311</v>
      </c>
    </row>
    <row r="4143" spans="1:5" ht="45" x14ac:dyDescent="0.2">
      <c r="A4143" s="65" t="s">
        <v>12312</v>
      </c>
      <c r="B4143" s="65" t="s">
        <v>12313</v>
      </c>
      <c r="C4143" s="74" t="s">
        <v>203</v>
      </c>
      <c r="D4143" s="69" t="s">
        <v>12314</v>
      </c>
      <c r="E4143" s="69" t="s">
        <v>12315</v>
      </c>
    </row>
    <row r="4144" spans="1:5" ht="33.75" x14ac:dyDescent="0.2">
      <c r="A4144" s="65" t="s">
        <v>12316</v>
      </c>
      <c r="B4144" s="65" t="s">
        <v>12317</v>
      </c>
      <c r="C4144" s="74" t="s">
        <v>203</v>
      </c>
      <c r="D4144" s="69" t="s">
        <v>12318</v>
      </c>
      <c r="E4144" s="69" t="s">
        <v>4151</v>
      </c>
    </row>
    <row r="4145" spans="1:5" ht="22.5" x14ac:dyDescent="0.2">
      <c r="A4145" s="50">
        <v>97.03</v>
      </c>
      <c r="B4145" s="64" t="s">
        <v>12319</v>
      </c>
      <c r="C4145" s="47"/>
      <c r="D4145" s="47"/>
      <c r="E4145" s="47"/>
    </row>
    <row r="4146" spans="1:5" ht="33.75" x14ac:dyDescent="0.2">
      <c r="A4146" s="65" t="s">
        <v>12320</v>
      </c>
      <c r="B4146" s="65" t="s">
        <v>12321</v>
      </c>
      <c r="C4146" s="74" t="s">
        <v>203</v>
      </c>
      <c r="D4146" s="69" t="s">
        <v>5948</v>
      </c>
      <c r="E4146" s="69" t="s">
        <v>12322</v>
      </c>
    </row>
    <row r="4147" spans="1:5" ht="22.5" x14ac:dyDescent="0.2">
      <c r="A4147" s="50">
        <v>97.05</v>
      </c>
      <c r="B4147" s="64" t="s">
        <v>12323</v>
      </c>
      <c r="C4147" s="47"/>
      <c r="D4147" s="47"/>
      <c r="E4147" s="47"/>
    </row>
    <row r="4148" spans="1:5" ht="78.75" x14ac:dyDescent="0.2">
      <c r="A4148" s="70" t="s">
        <v>12324</v>
      </c>
      <c r="B4148" s="65" t="s">
        <v>12325</v>
      </c>
      <c r="C4148" s="75" t="s">
        <v>203</v>
      </c>
      <c r="D4148" s="72" t="s">
        <v>8618</v>
      </c>
      <c r="E4148" s="72" t="s">
        <v>12326</v>
      </c>
    </row>
    <row r="4149" spans="1:5" ht="90" x14ac:dyDescent="0.2">
      <c r="A4149" s="65" t="s">
        <v>12327</v>
      </c>
      <c r="B4149" s="66" t="s">
        <v>12328</v>
      </c>
      <c r="C4149" s="74" t="s">
        <v>203</v>
      </c>
      <c r="D4149" s="69" t="s">
        <v>12329</v>
      </c>
      <c r="E4149" s="69" t="s">
        <v>12330</v>
      </c>
    </row>
    <row r="4150" spans="1:5" ht="45" x14ac:dyDescent="0.2">
      <c r="A4150" s="65" t="s">
        <v>12331</v>
      </c>
      <c r="B4150" s="65" t="s">
        <v>12332</v>
      </c>
      <c r="C4150" s="74" t="s">
        <v>204</v>
      </c>
      <c r="D4150" s="69" t="s">
        <v>12333</v>
      </c>
      <c r="E4150" s="69" t="s">
        <v>12333</v>
      </c>
    </row>
    <row r="4151" spans="1:5" ht="22.5" x14ac:dyDescent="0.2">
      <c r="A4151" s="65" t="s">
        <v>12334</v>
      </c>
      <c r="B4151" s="65" t="s">
        <v>12335</v>
      </c>
      <c r="C4151" s="74" t="s">
        <v>300</v>
      </c>
      <c r="D4151" s="69" t="s">
        <v>12336</v>
      </c>
      <c r="E4151" s="69" t="s">
        <v>12336</v>
      </c>
    </row>
    <row r="4152" spans="1:5" ht="22.5" x14ac:dyDescent="0.2">
      <c r="A4152" s="49">
        <v>98</v>
      </c>
      <c r="B4152" s="64" t="s">
        <v>12337</v>
      </c>
      <c r="C4152" s="47"/>
      <c r="D4152" s="47"/>
      <c r="E4152" s="47"/>
    </row>
    <row r="4153" spans="1:5" x14ac:dyDescent="0.2">
      <c r="A4153" s="50">
        <v>98.02</v>
      </c>
      <c r="B4153" s="64" t="s">
        <v>12338</v>
      </c>
      <c r="C4153" s="47"/>
      <c r="D4153" s="47"/>
      <c r="E4153" s="47"/>
    </row>
    <row r="4154" spans="1:5" ht="45" x14ac:dyDescent="0.2">
      <c r="A4154" s="65" t="s">
        <v>12339</v>
      </c>
      <c r="B4154" s="65" t="s">
        <v>12340</v>
      </c>
      <c r="C4154" s="74" t="s">
        <v>203</v>
      </c>
      <c r="D4154" s="69" t="s">
        <v>12341</v>
      </c>
      <c r="E4154" s="69" t="s">
        <v>12341</v>
      </c>
    </row>
  </sheetData>
  <mergeCells count="73">
    <mergeCell ref="O15:O86"/>
    <mergeCell ref="D94:F94"/>
    <mergeCell ref="D95:F95"/>
    <mergeCell ref="D96:F96"/>
    <mergeCell ref="I94:L94"/>
    <mergeCell ref="I95:L95"/>
    <mergeCell ref="I96:L96"/>
    <mergeCell ref="A19:A22"/>
    <mergeCell ref="B19:B22"/>
    <mergeCell ref="C19:C22"/>
    <mergeCell ref="A23:A26"/>
    <mergeCell ref="B23:B26"/>
    <mergeCell ref="C23:C26"/>
    <mergeCell ref="A27:A30"/>
    <mergeCell ref="B27:B30"/>
    <mergeCell ref="C27:C30"/>
    <mergeCell ref="A31:A34"/>
    <mergeCell ref="B31:B34"/>
    <mergeCell ref="C31:C34"/>
    <mergeCell ref="A1:O1"/>
    <mergeCell ref="A13:F13"/>
    <mergeCell ref="A15:A18"/>
    <mergeCell ref="B15:B18"/>
    <mergeCell ref="C15:C18"/>
    <mergeCell ref="A12:O12"/>
    <mergeCell ref="A11:O11"/>
    <mergeCell ref="A6:O6"/>
    <mergeCell ref="A7:O7"/>
    <mergeCell ref="A9:O9"/>
    <mergeCell ref="E15:E78"/>
    <mergeCell ref="C75:C78"/>
    <mergeCell ref="A51:A54"/>
    <mergeCell ref="B51:B54"/>
    <mergeCell ref="C51:C54"/>
    <mergeCell ref="A55:A58"/>
    <mergeCell ref="A89:B89"/>
    <mergeCell ref="A90:B90"/>
    <mergeCell ref="A87:B87"/>
    <mergeCell ref="A88:B88"/>
    <mergeCell ref="A75:A78"/>
    <mergeCell ref="B75:B78"/>
    <mergeCell ref="A79:A82"/>
    <mergeCell ref="B79:B82"/>
    <mergeCell ref="C79:C82"/>
    <mergeCell ref="A83:A86"/>
    <mergeCell ref="B83:B86"/>
    <mergeCell ref="C83:C86"/>
    <mergeCell ref="A35:A38"/>
    <mergeCell ref="B35:B38"/>
    <mergeCell ref="C35:C38"/>
    <mergeCell ref="A39:A42"/>
    <mergeCell ref="B39:B42"/>
    <mergeCell ref="C39:C42"/>
    <mergeCell ref="A43:A46"/>
    <mergeCell ref="B43:B46"/>
    <mergeCell ref="C43:C46"/>
    <mergeCell ref="A47:A50"/>
    <mergeCell ref="B47:B50"/>
    <mergeCell ref="C47:C50"/>
    <mergeCell ref="B55:B58"/>
    <mergeCell ref="C55:C58"/>
    <mergeCell ref="A59:A62"/>
    <mergeCell ref="B59:B62"/>
    <mergeCell ref="C59:C62"/>
    <mergeCell ref="C63:C66"/>
    <mergeCell ref="C67:C70"/>
    <mergeCell ref="C71:C74"/>
    <mergeCell ref="A63:A66"/>
    <mergeCell ref="A67:A70"/>
    <mergeCell ref="A71:A74"/>
    <mergeCell ref="B63:B66"/>
    <mergeCell ref="B67:B70"/>
    <mergeCell ref="B71:B74"/>
  </mergeCells>
  <phoneticPr fontId="4" type="noConversion"/>
  <printOptions horizontalCentered="1" verticalCentered="1"/>
  <pageMargins left="0.51181102362204722" right="0.31496062992125984" top="0.78740157480314965" bottom="0.78740157480314965" header="0.31496062992125984" footer="0.31496062992125984"/>
  <pageSetup paperSize="9" scale="44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4B1A7-62F3-406A-AA15-FCC84D30AA09}">
  <sheetPr>
    <tabColor rgb="FFFF0000"/>
  </sheetPr>
  <dimension ref="B2:J11"/>
  <sheetViews>
    <sheetView workbookViewId="0">
      <selection activeCell="B2" sqref="B2:G11"/>
    </sheetView>
  </sheetViews>
  <sheetFormatPr defaultRowHeight="12.75" x14ac:dyDescent="0.2"/>
  <cols>
    <col min="3" max="3" width="22" customWidth="1"/>
    <col min="4" max="4" width="38.28515625" bestFit="1" customWidth="1"/>
    <col min="6" max="7" width="13.5703125" customWidth="1"/>
    <col min="9" max="9" width="13.5703125" bestFit="1" customWidth="1"/>
  </cols>
  <sheetData>
    <row r="2" spans="2:10" x14ac:dyDescent="0.2">
      <c r="B2" s="770" t="s">
        <v>21981</v>
      </c>
      <c r="C2" s="770"/>
      <c r="D2" s="770"/>
      <c r="E2" s="770"/>
      <c r="F2" s="770"/>
      <c r="G2" s="770"/>
    </row>
    <row r="3" spans="2:10" ht="25.5" x14ac:dyDescent="0.2">
      <c r="B3" s="629" t="s">
        <v>49</v>
      </c>
      <c r="C3" s="630" t="s">
        <v>21974</v>
      </c>
      <c r="D3" s="629" t="s">
        <v>21975</v>
      </c>
      <c r="E3" s="629" t="s">
        <v>21050</v>
      </c>
      <c r="F3" s="631" t="s">
        <v>21979</v>
      </c>
      <c r="G3" s="632" t="s">
        <v>21980</v>
      </c>
      <c r="I3" s="218" t="s">
        <v>21047</v>
      </c>
    </row>
    <row r="4" spans="2:10" x14ac:dyDescent="0.2">
      <c r="B4" s="626" t="s">
        <v>8</v>
      </c>
      <c r="C4" s="309" t="s">
        <v>45</v>
      </c>
      <c r="D4" s="571" t="s">
        <v>13685</v>
      </c>
      <c r="E4" s="309" t="s">
        <v>20358</v>
      </c>
      <c r="F4" s="310">
        <v>408</v>
      </c>
      <c r="G4" s="310">
        <f>ROUND(0.5*F4,2)</f>
        <v>204</v>
      </c>
      <c r="I4" s="628">
        <f>P.O.!I16</f>
        <v>40718.400000000001</v>
      </c>
      <c r="J4" s="627">
        <f>I4/P.O.!$I$210</f>
        <v>2.5297136703264292E-2</v>
      </c>
    </row>
    <row r="5" spans="2:10" x14ac:dyDescent="0.2">
      <c r="B5" s="626" t="s">
        <v>20</v>
      </c>
      <c r="C5" s="309" t="s">
        <v>21994</v>
      </c>
      <c r="D5" s="571" t="s">
        <v>21987</v>
      </c>
      <c r="E5" s="309" t="s">
        <v>2</v>
      </c>
      <c r="F5" s="310">
        <f>P.O.!F18+P.O.!F35+P.O.!F40+P.O.!F194</f>
        <v>396.15000000000003</v>
      </c>
      <c r="G5" s="310">
        <f t="shared" ref="G5:G11" si="0">ROUND(0.5*F5,2)</f>
        <v>198.08</v>
      </c>
      <c r="I5" s="313">
        <f>P.O.!I18+P.O.!I35+P.O.!I40</f>
        <v>83678.16</v>
      </c>
      <c r="J5" s="627">
        <f>I5/P.O.!$I$210</f>
        <v>5.1986764032909492E-2</v>
      </c>
    </row>
    <row r="6" spans="2:10" ht="25.5" x14ac:dyDescent="0.2">
      <c r="B6" s="626" t="s">
        <v>21</v>
      </c>
      <c r="C6" s="314" t="s">
        <v>21995</v>
      </c>
      <c r="D6" s="633" t="s">
        <v>21985</v>
      </c>
      <c r="E6" s="309" t="s">
        <v>21053</v>
      </c>
      <c r="F6" s="310">
        <f>P.O.!F21+P.O.!F24+P.O.!F32+P.O.!F38+P.O.!F43+P.O.!F197+P.O.!F201</f>
        <v>8994.9400000000023</v>
      </c>
      <c r="G6" s="310">
        <f t="shared" si="0"/>
        <v>4497.47</v>
      </c>
      <c r="I6" s="313">
        <f>P.O.!I21+P.O.!I24+P.O.!I32+P.O.!I38+P.O.!I43</f>
        <v>119522.85</v>
      </c>
      <c r="J6" s="627">
        <f>I6/P.O.!$I$210</f>
        <v>7.4256008969255979E-2</v>
      </c>
    </row>
    <row r="7" spans="2:10" ht="25.5" x14ac:dyDescent="0.2">
      <c r="B7" s="626" t="s">
        <v>109</v>
      </c>
      <c r="C7" s="309" t="s">
        <v>21986</v>
      </c>
      <c r="D7" s="634" t="s">
        <v>21996</v>
      </c>
      <c r="E7" s="309" t="s">
        <v>2</v>
      </c>
      <c r="F7" s="310">
        <f>P.O.!F29+P.O.!F30</f>
        <v>670.49</v>
      </c>
      <c r="G7" s="310">
        <f t="shared" si="0"/>
        <v>335.25</v>
      </c>
      <c r="I7" s="313">
        <f>P.O.!I29+P.O.!I30</f>
        <v>99806.1</v>
      </c>
      <c r="J7" s="627">
        <f>I7/P.O.!$I$210</f>
        <v>6.2006575786859655E-2</v>
      </c>
    </row>
    <row r="8" spans="2:10" x14ac:dyDescent="0.2">
      <c r="B8" s="626" t="s">
        <v>12348</v>
      </c>
      <c r="C8" s="309" t="s">
        <v>20055</v>
      </c>
      <c r="D8" s="571" t="s">
        <v>21997</v>
      </c>
      <c r="E8" s="309" t="s">
        <v>2</v>
      </c>
      <c r="F8" s="310">
        <f>P.O.!F51</f>
        <v>324.17</v>
      </c>
      <c r="G8" s="310">
        <f t="shared" si="0"/>
        <v>162.09</v>
      </c>
      <c r="I8" s="313">
        <f>P.O.!I51</f>
        <v>68121.08</v>
      </c>
      <c r="J8" s="627">
        <f>I8/P.O.!$I$210</f>
        <v>4.2321610700174934E-2</v>
      </c>
    </row>
    <row r="9" spans="2:10" ht="25.5" x14ac:dyDescent="0.2">
      <c r="B9" s="626" t="s">
        <v>12359</v>
      </c>
      <c r="C9" s="309" t="s">
        <v>21988</v>
      </c>
      <c r="D9" s="634" t="s">
        <v>21990</v>
      </c>
      <c r="E9" s="309" t="s">
        <v>21989</v>
      </c>
      <c r="F9" s="310">
        <f>P.O.!F108+P.O.!F109+P.O.!F110+P.O.!F111+P.O.!F112</f>
        <v>3840</v>
      </c>
      <c r="G9" s="310">
        <f t="shared" si="0"/>
        <v>1920</v>
      </c>
      <c r="I9" s="313">
        <f>P.O.!I108+P.O.!I109+P.O.!I110+P.O.!I111+P.O.!I112</f>
        <v>33335.68</v>
      </c>
      <c r="J9" s="627">
        <f>I9/P.O.!$I$210</f>
        <v>2.0710471287090686E-2</v>
      </c>
    </row>
    <row r="10" spans="2:10" x14ac:dyDescent="0.2">
      <c r="B10" s="626" t="s">
        <v>20054</v>
      </c>
      <c r="C10" s="309" t="s">
        <v>21563</v>
      </c>
      <c r="D10" s="634" t="s">
        <v>21991</v>
      </c>
      <c r="E10" s="309" t="s">
        <v>2</v>
      </c>
      <c r="F10" s="310">
        <f>P.O.!F156</f>
        <v>578.84</v>
      </c>
      <c r="G10" s="310">
        <f t="shared" si="0"/>
        <v>289.42</v>
      </c>
      <c r="I10" s="313">
        <f>P.O.!I156</f>
        <v>132230.21</v>
      </c>
      <c r="J10" s="627">
        <f>I10/P.O.!$I$210</f>
        <v>8.215071561434989E-2</v>
      </c>
    </row>
    <row r="11" spans="2:10" x14ac:dyDescent="0.2">
      <c r="B11" s="626" t="s">
        <v>20427</v>
      </c>
      <c r="C11" s="309" t="s">
        <v>21992</v>
      </c>
      <c r="D11" s="634" t="s">
        <v>21993</v>
      </c>
      <c r="E11" s="309" t="s">
        <v>21989</v>
      </c>
      <c r="F11" s="310">
        <f>P.O.!F162+P.O.!F163</f>
        <v>1536.1799999999998</v>
      </c>
      <c r="G11" s="310">
        <f t="shared" si="0"/>
        <v>768.09</v>
      </c>
      <c r="I11" s="313">
        <f>P.O.!I162+P.O.!I163</f>
        <v>63914.880000000005</v>
      </c>
      <c r="J11" s="627">
        <f>I11/P.O.!$I$210</f>
        <v>3.9708423138746438E-2</v>
      </c>
    </row>
  </sheetData>
  <mergeCells count="1">
    <mergeCell ref="B2:G2"/>
  </mergeCells>
  <phoneticPr fontId="4" type="noConversion"/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1" tint="0.14999847407452621"/>
    <pageSetUpPr fitToPage="1"/>
  </sheetPr>
  <dimension ref="B1:AM142"/>
  <sheetViews>
    <sheetView topLeftCell="J1" workbookViewId="0">
      <selection activeCell="V18" sqref="V18"/>
    </sheetView>
  </sheetViews>
  <sheetFormatPr defaultColWidth="9.140625" defaultRowHeight="15" x14ac:dyDescent="0.25"/>
  <cols>
    <col min="1" max="1" width="4.5703125" style="316" customWidth="1"/>
    <col min="2" max="2" width="9.85546875" style="316" customWidth="1"/>
    <col min="3" max="3" width="7.5703125" style="316" customWidth="1"/>
    <col min="4" max="4" width="7.85546875" style="316" bestFit="1" customWidth="1"/>
    <col min="5" max="5" width="8.28515625" style="316" bestFit="1" customWidth="1"/>
    <col min="6" max="6" width="7.85546875" style="316" bestFit="1" customWidth="1"/>
    <col min="7" max="7" width="7.42578125" style="316" bestFit="1" customWidth="1"/>
    <col min="8" max="8" width="8.42578125" style="316" bestFit="1" customWidth="1"/>
    <col min="9" max="9" width="8.7109375" style="316" bestFit="1" customWidth="1"/>
    <col min="10" max="10" width="9.140625" style="316" bestFit="1" customWidth="1"/>
    <col min="11" max="11" width="4.28515625" style="316" customWidth="1"/>
    <col min="12" max="12" width="11.28515625" style="316" customWidth="1"/>
    <col min="13" max="13" width="8.5703125" style="316" customWidth="1"/>
    <col min="14" max="14" width="9.140625" style="316"/>
    <col min="15" max="15" width="6" style="316" bestFit="1" customWidth="1"/>
    <col min="16" max="16" width="7.42578125" style="316" bestFit="1" customWidth="1"/>
    <col min="17" max="17" width="6.42578125" style="316" bestFit="1" customWidth="1"/>
    <col min="18" max="19" width="8.42578125" style="316" bestFit="1" customWidth="1"/>
    <col min="20" max="20" width="9.42578125" style="316" bestFit="1" customWidth="1"/>
    <col min="21" max="21" width="3.28515625" style="316" customWidth="1"/>
    <col min="22" max="22" width="10.42578125" style="316" customWidth="1"/>
    <col min="23" max="23" width="6.42578125" style="316" bestFit="1" customWidth="1"/>
    <col min="24" max="24" width="7.42578125" style="316" bestFit="1" customWidth="1"/>
    <col min="25" max="25" width="6" style="316" bestFit="1" customWidth="1"/>
    <col min="26" max="26" width="9.5703125" style="316" customWidth="1"/>
    <col min="27" max="27" width="8.7109375" style="316" customWidth="1"/>
    <col min="28" max="28" width="9.140625" style="316" customWidth="1"/>
    <col min="29" max="29" width="9.140625" style="316" bestFit="1" customWidth="1"/>
    <col min="30" max="30" width="3.7109375" style="316" customWidth="1"/>
    <col min="31" max="31" width="24.42578125" style="316" customWidth="1"/>
    <col min="32" max="32" width="8.7109375" style="317" customWidth="1"/>
    <col min="33" max="33" width="9.140625" style="316"/>
    <col min="34" max="34" width="10.140625" style="316" customWidth="1"/>
    <col min="35" max="35" width="4.42578125" style="316" customWidth="1"/>
    <col min="36" max="16384" width="9.140625" style="316"/>
  </cols>
  <sheetData>
    <row r="1" spans="2:39" x14ac:dyDescent="0.25">
      <c r="N1" s="316">
        <f>6*333.18</f>
        <v>1999.08</v>
      </c>
    </row>
    <row r="2" spans="2:39" x14ac:dyDescent="0.25">
      <c r="B2" s="778" t="s">
        <v>20606</v>
      </c>
      <c r="C2" s="778"/>
      <c r="D2" s="778"/>
      <c r="E2" s="778"/>
      <c r="F2" s="778"/>
      <c r="G2" s="778"/>
      <c r="H2" s="778"/>
      <c r="I2" s="778"/>
      <c r="J2" s="778"/>
      <c r="L2" s="778" t="s">
        <v>20642</v>
      </c>
      <c r="M2" s="778"/>
      <c r="N2" s="778"/>
      <c r="O2" s="778"/>
      <c r="P2" s="778"/>
      <c r="Q2" s="778"/>
      <c r="R2" s="778"/>
      <c r="S2" s="778"/>
      <c r="T2" s="778"/>
      <c r="V2" s="775" t="s">
        <v>21850</v>
      </c>
      <c r="W2" s="776"/>
      <c r="X2" s="776"/>
      <c r="Y2" s="776"/>
      <c r="Z2" s="776"/>
      <c r="AA2" s="776"/>
      <c r="AB2" s="776"/>
      <c r="AC2" s="777"/>
      <c r="AE2" s="772" t="s">
        <v>20916</v>
      </c>
      <c r="AF2" s="773"/>
      <c r="AG2" s="773"/>
      <c r="AH2" s="774"/>
      <c r="AJ2" s="771" t="s">
        <v>20486</v>
      </c>
      <c r="AK2" s="771"/>
      <c r="AL2" s="771"/>
      <c r="AM2" s="771"/>
    </row>
    <row r="3" spans="2:39" ht="30" customHeight="1" x14ac:dyDescent="0.25">
      <c r="B3" s="341" t="s">
        <v>107</v>
      </c>
      <c r="C3" s="342" t="s">
        <v>20604</v>
      </c>
      <c r="D3" s="342" t="s">
        <v>89</v>
      </c>
      <c r="E3" s="342" t="s">
        <v>87</v>
      </c>
      <c r="F3" s="342" t="s">
        <v>20605</v>
      </c>
      <c r="G3" s="342" t="s">
        <v>21255</v>
      </c>
      <c r="H3" s="342" t="s">
        <v>20361</v>
      </c>
      <c r="I3" s="342" t="s">
        <v>20659</v>
      </c>
      <c r="J3" s="342" t="s">
        <v>20660</v>
      </c>
      <c r="L3" s="341" t="s">
        <v>107</v>
      </c>
      <c r="M3" s="342" t="s">
        <v>20604</v>
      </c>
      <c r="N3" s="342" t="s">
        <v>89</v>
      </c>
      <c r="O3" s="342" t="s">
        <v>87</v>
      </c>
      <c r="P3" s="342" t="s">
        <v>21255</v>
      </c>
      <c r="Q3" s="342" t="s">
        <v>20605</v>
      </c>
      <c r="R3" s="342" t="s">
        <v>20361</v>
      </c>
      <c r="S3" s="342" t="s">
        <v>20659</v>
      </c>
      <c r="T3" s="342" t="s">
        <v>20660</v>
      </c>
      <c r="V3" s="341" t="s">
        <v>107</v>
      </c>
      <c r="W3" s="342" t="s">
        <v>88</v>
      </c>
      <c r="X3" s="342" t="s">
        <v>21255</v>
      </c>
      <c r="Y3" s="342" t="s">
        <v>87</v>
      </c>
      <c r="Z3" s="342" t="s">
        <v>20361</v>
      </c>
      <c r="AA3" s="342" t="s">
        <v>20883</v>
      </c>
      <c r="AB3" s="342" t="s">
        <v>21854</v>
      </c>
      <c r="AC3" s="342" t="s">
        <v>20587</v>
      </c>
      <c r="AE3" s="341" t="s">
        <v>20914</v>
      </c>
      <c r="AF3" s="342" t="s">
        <v>88</v>
      </c>
      <c r="AG3" s="342" t="s">
        <v>87</v>
      </c>
      <c r="AH3" s="342" t="s">
        <v>20915</v>
      </c>
      <c r="AJ3" s="341" t="s">
        <v>107</v>
      </c>
      <c r="AK3" s="342" t="s">
        <v>20361</v>
      </c>
      <c r="AL3" s="342" t="s">
        <v>20659</v>
      </c>
      <c r="AM3" s="342" t="s">
        <v>20660</v>
      </c>
    </row>
    <row r="4" spans="2:39" x14ac:dyDescent="0.25">
      <c r="B4" s="369" t="s">
        <v>20611</v>
      </c>
      <c r="C4" s="324">
        <v>0.6</v>
      </c>
      <c r="D4" s="324">
        <v>0.6</v>
      </c>
      <c r="E4" s="324">
        <v>0.5</v>
      </c>
      <c r="F4" s="324">
        <f>ROUND(2*C4*E4+2*D4*E4,2)</f>
        <v>1.2</v>
      </c>
      <c r="G4" s="324">
        <f t="shared" ref="G4:G35" si="0">ROUND(0.05*C4*D4,2)</f>
        <v>0.02</v>
      </c>
      <c r="H4" s="324">
        <f>ROUND(C4*D4*E4,2)</f>
        <v>0.18</v>
      </c>
      <c r="I4" s="324">
        <v>80</v>
      </c>
      <c r="J4" s="324">
        <f t="shared" ref="J4:J33" si="1">ROUND(H4*I4,2)</f>
        <v>14.4</v>
      </c>
      <c r="L4" s="369" t="s">
        <v>20641</v>
      </c>
      <c r="M4" s="324">
        <f>2.65+0.96+2.4</f>
        <v>6.01</v>
      </c>
      <c r="N4" s="324">
        <v>0.24</v>
      </c>
      <c r="O4" s="324">
        <v>0.5</v>
      </c>
      <c r="P4" s="324">
        <f>ROUND(0.05*M4*N4,2)</f>
        <v>7.0000000000000007E-2</v>
      </c>
      <c r="Q4" s="324">
        <f>ROUND(2*M4*O4,2)</f>
        <v>6.01</v>
      </c>
      <c r="R4" s="324">
        <f>ROUND(M4*N4*O4,2)</f>
        <v>0.72</v>
      </c>
      <c r="S4" s="324">
        <v>75</v>
      </c>
      <c r="T4" s="324">
        <f>ROUND(R4*S4,2)</f>
        <v>54</v>
      </c>
      <c r="V4" s="369" t="s">
        <v>20887</v>
      </c>
      <c r="W4" s="324">
        <v>5.28</v>
      </c>
      <c r="X4" s="324">
        <f>ROUND(0.05*W4,2)</f>
        <v>0.26</v>
      </c>
      <c r="Y4" s="324">
        <v>0.1</v>
      </c>
      <c r="Z4" s="324">
        <f t="shared" ref="Z4:Z30" si="2">ROUND(W4*Y4,2)</f>
        <v>0.53</v>
      </c>
      <c r="AA4" s="324" t="s">
        <v>20886</v>
      </c>
      <c r="AB4" s="324">
        <v>2.52</v>
      </c>
      <c r="AC4" s="324">
        <f t="shared" ref="AC4:AC30" si="3">ROUND(W4*AB4,2)</f>
        <v>13.31</v>
      </c>
      <c r="AE4" s="343" t="s">
        <v>20700</v>
      </c>
      <c r="AF4" s="321">
        <v>6.04</v>
      </c>
      <c r="AG4" s="365">
        <v>0.02</v>
      </c>
      <c r="AH4" s="321">
        <f>ROUND(AF4*AG4,2)</f>
        <v>0.12</v>
      </c>
      <c r="AJ4" s="369" t="s">
        <v>21853</v>
      </c>
      <c r="AK4" s="457"/>
      <c r="AL4" s="457"/>
      <c r="AM4" s="365">
        <f>F142</f>
        <v>2200.3700000000013</v>
      </c>
    </row>
    <row r="5" spans="2:39" x14ac:dyDescent="0.25">
      <c r="B5" s="369" t="s">
        <v>20612</v>
      </c>
      <c r="C5" s="324">
        <v>0.6</v>
      </c>
      <c r="D5" s="324">
        <v>0.6</v>
      </c>
      <c r="E5" s="324">
        <f>$E$4</f>
        <v>0.5</v>
      </c>
      <c r="F5" s="324">
        <f t="shared" ref="F5:F23" si="4">ROUND(2*C5*E5+2*D5*E5,2)</f>
        <v>1.2</v>
      </c>
      <c r="G5" s="324">
        <f t="shared" si="0"/>
        <v>0.02</v>
      </c>
      <c r="H5" s="324">
        <f t="shared" ref="H5:H23" si="5">ROUND(C5*D5*E5,2)</f>
        <v>0.18</v>
      </c>
      <c r="I5" s="324">
        <f>$I$4</f>
        <v>80</v>
      </c>
      <c r="J5" s="324">
        <f t="shared" si="1"/>
        <v>14.4</v>
      </c>
      <c r="L5" s="369" t="s">
        <v>20643</v>
      </c>
      <c r="M5" s="324">
        <f>2.83+0.79</f>
        <v>3.62</v>
      </c>
      <c r="N5" s="324">
        <v>0.24</v>
      </c>
      <c r="O5" s="324">
        <v>0.5</v>
      </c>
      <c r="P5" s="324">
        <f t="shared" ref="P5:P28" si="6">ROUND(0.05*M5*N5,2)</f>
        <v>0.04</v>
      </c>
      <c r="Q5" s="324">
        <f t="shared" ref="Q5:Q22" si="7">ROUND(2*M5*O5,2)</f>
        <v>3.62</v>
      </c>
      <c r="R5" s="324">
        <f t="shared" ref="R5:R22" si="8">ROUND(M5*N5*O5,2)</f>
        <v>0.43</v>
      </c>
      <c r="S5" s="324">
        <f>$S$4</f>
        <v>75</v>
      </c>
      <c r="T5" s="324">
        <f t="shared" ref="T5:T22" si="9">ROUND(R5*S5,2)</f>
        <v>32.25</v>
      </c>
      <c r="V5" s="369" t="s">
        <v>20888</v>
      </c>
      <c r="W5" s="324">
        <v>11.48</v>
      </c>
      <c r="X5" s="324">
        <f t="shared" ref="X5:X30" si="10">ROUND(0.05*W5,2)</f>
        <v>0.56999999999999995</v>
      </c>
      <c r="Y5" s="324">
        <v>0.1</v>
      </c>
      <c r="Z5" s="324">
        <f t="shared" si="2"/>
        <v>1.1499999999999999</v>
      </c>
      <c r="AA5" s="324" t="str">
        <f>$AA$4</f>
        <v>Q159</v>
      </c>
      <c r="AB5" s="324">
        <f>$AB$4</f>
        <v>2.52</v>
      </c>
      <c r="AC5" s="324">
        <f t="shared" si="3"/>
        <v>28.93</v>
      </c>
      <c r="AE5" s="343" t="s">
        <v>20711</v>
      </c>
      <c r="AF5" s="321">
        <v>12.52</v>
      </c>
      <c r="AG5" s="365">
        <f>$AG$4</f>
        <v>0.02</v>
      </c>
      <c r="AH5" s="321">
        <f t="shared" ref="AH5:AH27" si="11">ROUND(AF5*AG5,2)</f>
        <v>0.25</v>
      </c>
      <c r="AJ5" s="369" t="s">
        <v>21851</v>
      </c>
      <c r="AK5" s="365">
        <f>H55</f>
        <v>17.279999999999987</v>
      </c>
      <c r="AL5" s="324">
        <v>80</v>
      </c>
      <c r="AM5" s="365">
        <f>J55</f>
        <v>1382.4000000000005</v>
      </c>
    </row>
    <row r="6" spans="2:39" x14ac:dyDescent="0.25">
      <c r="B6" s="369" t="s">
        <v>20613</v>
      </c>
      <c r="C6" s="324">
        <v>0.6</v>
      </c>
      <c r="D6" s="324">
        <v>1.5</v>
      </c>
      <c r="E6" s="324">
        <f t="shared" ref="E6:E54" si="12">$E$4</f>
        <v>0.5</v>
      </c>
      <c r="F6" s="324">
        <f t="shared" si="4"/>
        <v>2.1</v>
      </c>
      <c r="G6" s="324">
        <f t="shared" si="0"/>
        <v>0.05</v>
      </c>
      <c r="H6" s="324">
        <f t="shared" si="5"/>
        <v>0.45</v>
      </c>
      <c r="I6" s="324">
        <f t="shared" ref="I6:I54" si="13">$I$4</f>
        <v>80</v>
      </c>
      <c r="J6" s="324">
        <f t="shared" si="1"/>
        <v>36</v>
      </c>
      <c r="L6" s="369" t="s">
        <v>20644</v>
      </c>
      <c r="M6" s="324">
        <v>1.5</v>
      </c>
      <c r="N6" s="324">
        <v>0.24</v>
      </c>
      <c r="O6" s="324">
        <v>0.5</v>
      </c>
      <c r="P6" s="324">
        <f t="shared" si="6"/>
        <v>0.02</v>
      </c>
      <c r="Q6" s="324">
        <f t="shared" si="7"/>
        <v>1.5</v>
      </c>
      <c r="R6" s="324">
        <f t="shared" si="8"/>
        <v>0.18</v>
      </c>
      <c r="S6" s="324">
        <f t="shared" ref="S6:S28" si="14">$S$4</f>
        <v>75</v>
      </c>
      <c r="T6" s="324">
        <f t="shared" si="9"/>
        <v>13.5</v>
      </c>
      <c r="V6" s="369" t="s">
        <v>20889</v>
      </c>
      <c r="W6" s="324">
        <v>8.48</v>
      </c>
      <c r="X6" s="324">
        <f t="shared" si="10"/>
        <v>0.42</v>
      </c>
      <c r="Y6" s="324">
        <v>0.1</v>
      </c>
      <c r="Z6" s="324">
        <f t="shared" si="2"/>
        <v>0.85</v>
      </c>
      <c r="AA6" s="324" t="str">
        <f t="shared" ref="AA6:AA31" si="15">$AA$4</f>
        <v>Q159</v>
      </c>
      <c r="AB6" s="324">
        <f t="shared" ref="AB6:AB31" si="16">$AB$4</f>
        <v>2.52</v>
      </c>
      <c r="AC6" s="324">
        <f t="shared" si="3"/>
        <v>21.37</v>
      </c>
      <c r="AE6" s="343" t="s">
        <v>20709</v>
      </c>
      <c r="AF6" s="321">
        <v>9.42</v>
      </c>
      <c r="AG6" s="365">
        <f t="shared" ref="AG6:AG27" si="17">$AG$4</f>
        <v>0.02</v>
      </c>
      <c r="AH6" s="321">
        <f t="shared" si="11"/>
        <v>0.19</v>
      </c>
      <c r="AJ6" s="369" t="s">
        <v>21852</v>
      </c>
      <c r="AK6" s="324">
        <f>R29</f>
        <v>12.239999999999998</v>
      </c>
      <c r="AL6" s="324">
        <v>75</v>
      </c>
      <c r="AM6" s="324">
        <f>T29</f>
        <v>918</v>
      </c>
    </row>
    <row r="7" spans="2:39" x14ac:dyDescent="0.25">
      <c r="B7" s="369" t="s">
        <v>20614</v>
      </c>
      <c r="C7" s="324">
        <v>1.5</v>
      </c>
      <c r="D7" s="324">
        <v>0.6</v>
      </c>
      <c r="E7" s="324">
        <f t="shared" si="12"/>
        <v>0.5</v>
      </c>
      <c r="F7" s="324">
        <f t="shared" si="4"/>
        <v>2.1</v>
      </c>
      <c r="G7" s="324">
        <f t="shared" si="0"/>
        <v>0.05</v>
      </c>
      <c r="H7" s="324">
        <f t="shared" si="5"/>
        <v>0.45</v>
      </c>
      <c r="I7" s="324">
        <f t="shared" si="13"/>
        <v>80</v>
      </c>
      <c r="J7" s="324">
        <f t="shared" si="1"/>
        <v>36</v>
      </c>
      <c r="L7" s="369" t="s">
        <v>20645</v>
      </c>
      <c r="M7" s="324">
        <v>1.93</v>
      </c>
      <c r="N7" s="324">
        <v>0.19</v>
      </c>
      <c r="O7" s="324">
        <v>0.5</v>
      </c>
      <c r="P7" s="324">
        <f t="shared" si="6"/>
        <v>0.02</v>
      </c>
      <c r="Q7" s="324">
        <f t="shared" si="7"/>
        <v>1.93</v>
      </c>
      <c r="R7" s="324">
        <f t="shared" si="8"/>
        <v>0.18</v>
      </c>
      <c r="S7" s="324">
        <f t="shared" si="14"/>
        <v>75</v>
      </c>
      <c r="T7" s="324">
        <f t="shared" si="9"/>
        <v>13.5</v>
      </c>
      <c r="V7" s="369" t="s">
        <v>20890</v>
      </c>
      <c r="W7" s="324">
        <v>4.55</v>
      </c>
      <c r="X7" s="324">
        <f t="shared" si="10"/>
        <v>0.23</v>
      </c>
      <c r="Y7" s="324">
        <v>0.1</v>
      </c>
      <c r="Z7" s="324">
        <f t="shared" si="2"/>
        <v>0.46</v>
      </c>
      <c r="AA7" s="324" t="str">
        <f t="shared" si="15"/>
        <v>Q159</v>
      </c>
      <c r="AB7" s="324">
        <f t="shared" si="16"/>
        <v>2.52</v>
      </c>
      <c r="AC7" s="324">
        <f t="shared" si="3"/>
        <v>11.47</v>
      </c>
      <c r="AE7" s="343" t="s">
        <v>20699</v>
      </c>
      <c r="AF7" s="321">
        <v>11.04</v>
      </c>
      <c r="AG7" s="365">
        <f t="shared" si="17"/>
        <v>0.02</v>
      </c>
      <c r="AH7" s="321">
        <f t="shared" si="11"/>
        <v>0.22</v>
      </c>
      <c r="AJ7" s="771" t="s">
        <v>7</v>
      </c>
      <c r="AK7" s="771"/>
      <c r="AL7" s="771"/>
      <c r="AM7" s="371">
        <f>SUM(AM4:AM6)</f>
        <v>4500.7700000000023</v>
      </c>
    </row>
    <row r="8" spans="2:39" x14ac:dyDescent="0.25">
      <c r="B8" s="369" t="s">
        <v>20615</v>
      </c>
      <c r="C8" s="324">
        <v>0.6</v>
      </c>
      <c r="D8" s="324">
        <v>1.5</v>
      </c>
      <c r="E8" s="324">
        <f t="shared" si="12"/>
        <v>0.5</v>
      </c>
      <c r="F8" s="324">
        <f t="shared" si="4"/>
        <v>2.1</v>
      </c>
      <c r="G8" s="324">
        <f t="shared" si="0"/>
        <v>0.05</v>
      </c>
      <c r="H8" s="324">
        <f t="shared" si="5"/>
        <v>0.45</v>
      </c>
      <c r="I8" s="324">
        <f t="shared" si="13"/>
        <v>80</v>
      </c>
      <c r="J8" s="324">
        <f t="shared" si="1"/>
        <v>36</v>
      </c>
      <c r="L8" s="369" t="s">
        <v>20646</v>
      </c>
      <c r="M8" s="324">
        <v>1.93</v>
      </c>
      <c r="N8" s="324">
        <v>0.19</v>
      </c>
      <c r="O8" s="324">
        <v>0.5</v>
      </c>
      <c r="P8" s="324">
        <f t="shared" si="6"/>
        <v>0.02</v>
      </c>
      <c r="Q8" s="324">
        <f t="shared" si="7"/>
        <v>1.93</v>
      </c>
      <c r="R8" s="324">
        <f t="shared" si="8"/>
        <v>0.18</v>
      </c>
      <c r="S8" s="324">
        <f t="shared" si="14"/>
        <v>75</v>
      </c>
      <c r="T8" s="324">
        <f t="shared" si="9"/>
        <v>13.5</v>
      </c>
      <c r="V8" s="369" t="s">
        <v>20891</v>
      </c>
      <c r="W8" s="324">
        <v>7.98</v>
      </c>
      <c r="X8" s="324">
        <f t="shared" si="10"/>
        <v>0.4</v>
      </c>
      <c r="Y8" s="324">
        <v>0.1</v>
      </c>
      <c r="Z8" s="324">
        <f t="shared" si="2"/>
        <v>0.8</v>
      </c>
      <c r="AA8" s="324" t="str">
        <f t="shared" si="15"/>
        <v>Q159</v>
      </c>
      <c r="AB8" s="324">
        <f t="shared" si="16"/>
        <v>2.52</v>
      </c>
      <c r="AC8" s="324">
        <f t="shared" si="3"/>
        <v>20.11</v>
      </c>
      <c r="AE8" s="343" t="s">
        <v>20712</v>
      </c>
      <c r="AF8" s="324">
        <v>9</v>
      </c>
      <c r="AG8" s="365">
        <f t="shared" si="17"/>
        <v>0.02</v>
      </c>
      <c r="AH8" s="321">
        <f t="shared" si="11"/>
        <v>0.18</v>
      </c>
    </row>
    <row r="9" spans="2:39" x14ac:dyDescent="0.25">
      <c r="B9" s="369" t="s">
        <v>20616</v>
      </c>
      <c r="C9" s="324">
        <v>0.6</v>
      </c>
      <c r="D9" s="324">
        <v>1.5</v>
      </c>
      <c r="E9" s="324">
        <f t="shared" si="12"/>
        <v>0.5</v>
      </c>
      <c r="F9" s="324">
        <f t="shared" si="4"/>
        <v>2.1</v>
      </c>
      <c r="G9" s="324">
        <f t="shared" si="0"/>
        <v>0.05</v>
      </c>
      <c r="H9" s="324">
        <f t="shared" si="5"/>
        <v>0.45</v>
      </c>
      <c r="I9" s="324">
        <f t="shared" si="13"/>
        <v>80</v>
      </c>
      <c r="J9" s="324">
        <f t="shared" si="1"/>
        <v>36</v>
      </c>
      <c r="L9" s="369" t="s">
        <v>20647</v>
      </c>
      <c r="M9" s="324">
        <v>1.93</v>
      </c>
      <c r="N9" s="324">
        <v>0.19</v>
      </c>
      <c r="O9" s="324">
        <v>0.5</v>
      </c>
      <c r="P9" s="324">
        <f t="shared" si="6"/>
        <v>0.02</v>
      </c>
      <c r="Q9" s="324">
        <f t="shared" si="7"/>
        <v>1.93</v>
      </c>
      <c r="R9" s="324">
        <f t="shared" si="8"/>
        <v>0.18</v>
      </c>
      <c r="S9" s="324">
        <f t="shared" si="14"/>
        <v>75</v>
      </c>
      <c r="T9" s="324">
        <f t="shared" si="9"/>
        <v>13.5</v>
      </c>
      <c r="V9" s="369" t="s">
        <v>20892</v>
      </c>
      <c r="W9" s="324">
        <v>3.84</v>
      </c>
      <c r="X9" s="324">
        <f t="shared" si="10"/>
        <v>0.19</v>
      </c>
      <c r="Y9" s="324">
        <v>0.1</v>
      </c>
      <c r="Z9" s="324">
        <f t="shared" si="2"/>
        <v>0.38</v>
      </c>
      <c r="AA9" s="324" t="str">
        <f t="shared" si="15"/>
        <v>Q159</v>
      </c>
      <c r="AB9" s="324">
        <f t="shared" si="16"/>
        <v>2.52</v>
      </c>
      <c r="AC9" s="324">
        <f t="shared" si="3"/>
        <v>9.68</v>
      </c>
      <c r="AE9" s="343" t="s">
        <v>20710</v>
      </c>
      <c r="AF9" s="324">
        <v>4.55</v>
      </c>
      <c r="AG9" s="365">
        <f t="shared" si="17"/>
        <v>0.02</v>
      </c>
      <c r="AH9" s="321">
        <f t="shared" si="11"/>
        <v>0.09</v>
      </c>
    </row>
    <row r="10" spans="2:39" x14ac:dyDescent="0.25">
      <c r="B10" s="369" t="s">
        <v>20617</v>
      </c>
      <c r="C10" s="324">
        <v>1.5</v>
      </c>
      <c r="D10" s="324">
        <v>0.6</v>
      </c>
      <c r="E10" s="324">
        <f t="shared" si="12"/>
        <v>0.5</v>
      </c>
      <c r="F10" s="324">
        <f t="shared" si="4"/>
        <v>2.1</v>
      </c>
      <c r="G10" s="324">
        <f t="shared" si="0"/>
        <v>0.05</v>
      </c>
      <c r="H10" s="324">
        <f t="shared" si="5"/>
        <v>0.45</v>
      </c>
      <c r="I10" s="324">
        <f t="shared" si="13"/>
        <v>80</v>
      </c>
      <c r="J10" s="324">
        <f t="shared" si="1"/>
        <v>36</v>
      </c>
      <c r="L10" s="369" t="s">
        <v>20648</v>
      </c>
      <c r="M10" s="324">
        <v>1.93</v>
      </c>
      <c r="N10" s="324">
        <v>0.19</v>
      </c>
      <c r="O10" s="324">
        <v>0.5</v>
      </c>
      <c r="P10" s="324">
        <f t="shared" si="6"/>
        <v>0.02</v>
      </c>
      <c r="Q10" s="324">
        <f t="shared" si="7"/>
        <v>1.93</v>
      </c>
      <c r="R10" s="324">
        <f t="shared" si="8"/>
        <v>0.18</v>
      </c>
      <c r="S10" s="324">
        <f t="shared" si="14"/>
        <v>75</v>
      </c>
      <c r="T10" s="324">
        <f t="shared" si="9"/>
        <v>13.5</v>
      </c>
      <c r="V10" s="369" t="s">
        <v>20893</v>
      </c>
      <c r="W10" s="324">
        <v>8.9499999999999993</v>
      </c>
      <c r="X10" s="324">
        <f t="shared" si="10"/>
        <v>0.45</v>
      </c>
      <c r="Y10" s="324">
        <v>0.1</v>
      </c>
      <c r="Z10" s="324">
        <f t="shared" si="2"/>
        <v>0.9</v>
      </c>
      <c r="AA10" s="324" t="str">
        <f t="shared" si="15"/>
        <v>Q159</v>
      </c>
      <c r="AB10" s="324">
        <f t="shared" si="16"/>
        <v>2.52</v>
      </c>
      <c r="AC10" s="324">
        <f t="shared" si="3"/>
        <v>22.55</v>
      </c>
      <c r="AE10" s="343" t="s">
        <v>20707</v>
      </c>
      <c r="AF10" s="324">
        <v>9.91</v>
      </c>
      <c r="AG10" s="365">
        <f t="shared" si="17"/>
        <v>0.02</v>
      </c>
      <c r="AH10" s="321">
        <f t="shared" si="11"/>
        <v>0.2</v>
      </c>
    </row>
    <row r="11" spans="2:39" x14ac:dyDescent="0.25">
      <c r="B11" s="369" t="s">
        <v>20618</v>
      </c>
      <c r="C11" s="324">
        <v>1.5</v>
      </c>
      <c r="D11" s="324">
        <v>0.6</v>
      </c>
      <c r="E11" s="324">
        <f t="shared" si="12"/>
        <v>0.5</v>
      </c>
      <c r="F11" s="324">
        <f t="shared" si="4"/>
        <v>2.1</v>
      </c>
      <c r="G11" s="324">
        <f t="shared" si="0"/>
        <v>0.05</v>
      </c>
      <c r="H11" s="324">
        <f t="shared" si="5"/>
        <v>0.45</v>
      </c>
      <c r="I11" s="324">
        <f t="shared" si="13"/>
        <v>80</v>
      </c>
      <c r="J11" s="324">
        <f t="shared" si="1"/>
        <v>36</v>
      </c>
      <c r="L11" s="369" t="s">
        <v>20649</v>
      </c>
      <c r="M11" s="324">
        <f>0.72+2.21</f>
        <v>2.9299999999999997</v>
      </c>
      <c r="N11" s="324">
        <v>0.19</v>
      </c>
      <c r="O11" s="324">
        <v>0.5</v>
      </c>
      <c r="P11" s="324">
        <f t="shared" si="6"/>
        <v>0.03</v>
      </c>
      <c r="Q11" s="324">
        <f t="shared" si="7"/>
        <v>2.93</v>
      </c>
      <c r="R11" s="324">
        <f t="shared" si="8"/>
        <v>0.28000000000000003</v>
      </c>
      <c r="S11" s="324">
        <f t="shared" si="14"/>
        <v>75</v>
      </c>
      <c r="T11" s="324">
        <f t="shared" si="9"/>
        <v>21</v>
      </c>
      <c r="V11" s="369" t="s">
        <v>20894</v>
      </c>
      <c r="W11" s="324">
        <v>4.5</v>
      </c>
      <c r="X11" s="324">
        <f t="shared" si="10"/>
        <v>0.23</v>
      </c>
      <c r="Y11" s="324">
        <v>0.1</v>
      </c>
      <c r="Z11" s="324">
        <f t="shared" si="2"/>
        <v>0.45</v>
      </c>
      <c r="AA11" s="324" t="str">
        <f t="shared" si="15"/>
        <v>Q159</v>
      </c>
      <c r="AB11" s="324">
        <f t="shared" si="16"/>
        <v>2.52</v>
      </c>
      <c r="AC11" s="324">
        <f t="shared" si="3"/>
        <v>11.34</v>
      </c>
      <c r="AE11" s="343" t="s">
        <v>20713</v>
      </c>
      <c r="AF11" s="324">
        <v>17.25</v>
      </c>
      <c r="AG11" s="365">
        <f t="shared" si="17"/>
        <v>0.02</v>
      </c>
      <c r="AH11" s="321">
        <f t="shared" si="11"/>
        <v>0.35</v>
      </c>
    </row>
    <row r="12" spans="2:39" x14ac:dyDescent="0.25">
      <c r="B12" s="369" t="s">
        <v>20619</v>
      </c>
      <c r="C12" s="324">
        <v>1.5</v>
      </c>
      <c r="D12" s="324">
        <v>0.6</v>
      </c>
      <c r="E12" s="324">
        <f t="shared" si="12"/>
        <v>0.5</v>
      </c>
      <c r="F12" s="324">
        <f t="shared" si="4"/>
        <v>2.1</v>
      </c>
      <c r="G12" s="324">
        <f t="shared" si="0"/>
        <v>0.05</v>
      </c>
      <c r="H12" s="324">
        <f t="shared" si="5"/>
        <v>0.45</v>
      </c>
      <c r="I12" s="324">
        <f t="shared" si="13"/>
        <v>80</v>
      </c>
      <c r="J12" s="324">
        <f t="shared" si="1"/>
        <v>36</v>
      </c>
      <c r="L12" s="369" t="s">
        <v>20650</v>
      </c>
      <c r="M12" s="324">
        <f>1.93+0.76+2.43</f>
        <v>5.12</v>
      </c>
      <c r="N12" s="324">
        <v>0.19</v>
      </c>
      <c r="O12" s="324">
        <v>0.5</v>
      </c>
      <c r="P12" s="324">
        <f t="shared" si="6"/>
        <v>0.05</v>
      </c>
      <c r="Q12" s="324">
        <f t="shared" si="7"/>
        <v>5.12</v>
      </c>
      <c r="R12" s="324">
        <f t="shared" si="8"/>
        <v>0.49</v>
      </c>
      <c r="S12" s="324">
        <f t="shared" si="14"/>
        <v>75</v>
      </c>
      <c r="T12" s="324">
        <f t="shared" si="9"/>
        <v>36.75</v>
      </c>
      <c r="V12" s="369" t="s">
        <v>20895</v>
      </c>
      <c r="W12" s="324">
        <v>16.04</v>
      </c>
      <c r="X12" s="324">
        <f t="shared" si="10"/>
        <v>0.8</v>
      </c>
      <c r="Y12" s="324">
        <v>0.1</v>
      </c>
      <c r="Z12" s="324">
        <f t="shared" si="2"/>
        <v>1.6</v>
      </c>
      <c r="AA12" s="324" t="str">
        <f t="shared" si="15"/>
        <v>Q159</v>
      </c>
      <c r="AB12" s="324">
        <f t="shared" si="16"/>
        <v>2.52</v>
      </c>
      <c r="AC12" s="324">
        <f t="shared" si="3"/>
        <v>40.42</v>
      </c>
      <c r="AE12" s="343" t="s">
        <v>20708</v>
      </c>
      <c r="AF12" s="324">
        <v>4.55</v>
      </c>
      <c r="AG12" s="365">
        <f t="shared" si="17"/>
        <v>0.02</v>
      </c>
      <c r="AH12" s="321">
        <f t="shared" si="11"/>
        <v>0.09</v>
      </c>
    </row>
    <row r="13" spans="2:39" x14ac:dyDescent="0.25">
      <c r="B13" s="369" t="s">
        <v>20620</v>
      </c>
      <c r="C13" s="324">
        <v>0.6</v>
      </c>
      <c r="D13" s="324">
        <v>0.6</v>
      </c>
      <c r="E13" s="324">
        <f t="shared" si="12"/>
        <v>0.5</v>
      </c>
      <c r="F13" s="324">
        <f t="shared" si="4"/>
        <v>1.2</v>
      </c>
      <c r="G13" s="324">
        <f t="shared" si="0"/>
        <v>0.02</v>
      </c>
      <c r="H13" s="324">
        <f t="shared" si="5"/>
        <v>0.18</v>
      </c>
      <c r="I13" s="324">
        <f t="shared" si="13"/>
        <v>80</v>
      </c>
      <c r="J13" s="324">
        <f t="shared" si="1"/>
        <v>14.4</v>
      </c>
      <c r="L13" s="369" t="s">
        <v>20651</v>
      </c>
      <c r="M13" s="324">
        <v>2.83</v>
      </c>
      <c r="N13" s="324">
        <v>0.19</v>
      </c>
      <c r="O13" s="324">
        <v>0.5</v>
      </c>
      <c r="P13" s="324">
        <f t="shared" si="6"/>
        <v>0.03</v>
      </c>
      <c r="Q13" s="324">
        <f t="shared" si="7"/>
        <v>2.83</v>
      </c>
      <c r="R13" s="324">
        <f t="shared" si="8"/>
        <v>0.27</v>
      </c>
      <c r="S13" s="324">
        <f t="shared" si="14"/>
        <v>75</v>
      </c>
      <c r="T13" s="324">
        <f t="shared" si="9"/>
        <v>20.25</v>
      </c>
      <c r="V13" s="369" t="s">
        <v>20896</v>
      </c>
      <c r="W13" s="324">
        <v>3.78</v>
      </c>
      <c r="X13" s="324">
        <f t="shared" si="10"/>
        <v>0.19</v>
      </c>
      <c r="Y13" s="324">
        <v>0.1</v>
      </c>
      <c r="Z13" s="324">
        <f t="shared" si="2"/>
        <v>0.38</v>
      </c>
      <c r="AA13" s="324" t="str">
        <f t="shared" si="15"/>
        <v>Q159</v>
      </c>
      <c r="AB13" s="324">
        <f t="shared" si="16"/>
        <v>2.52</v>
      </c>
      <c r="AC13" s="324">
        <f t="shared" si="3"/>
        <v>9.5299999999999994</v>
      </c>
      <c r="AE13" s="343" t="s">
        <v>20706</v>
      </c>
      <c r="AF13" s="324">
        <v>7.57</v>
      </c>
      <c r="AG13" s="365">
        <f t="shared" si="17"/>
        <v>0.02</v>
      </c>
      <c r="AH13" s="321">
        <f t="shared" si="11"/>
        <v>0.15</v>
      </c>
    </row>
    <row r="14" spans="2:39" x14ac:dyDescent="0.25">
      <c r="B14" s="369" t="s">
        <v>20621</v>
      </c>
      <c r="C14" s="324">
        <v>1.5</v>
      </c>
      <c r="D14" s="324">
        <v>0.6</v>
      </c>
      <c r="E14" s="324">
        <f t="shared" si="12"/>
        <v>0.5</v>
      </c>
      <c r="F14" s="324">
        <f t="shared" si="4"/>
        <v>2.1</v>
      </c>
      <c r="G14" s="324">
        <f t="shared" si="0"/>
        <v>0.05</v>
      </c>
      <c r="H14" s="324">
        <f t="shared" si="5"/>
        <v>0.45</v>
      </c>
      <c r="I14" s="324">
        <f t="shared" si="13"/>
        <v>80</v>
      </c>
      <c r="J14" s="324">
        <f t="shared" si="1"/>
        <v>36</v>
      </c>
      <c r="L14" s="369" t="s">
        <v>20652</v>
      </c>
      <c r="M14" s="324">
        <f>0.63+0.7+0.76+2.43+4.32</f>
        <v>8.84</v>
      </c>
      <c r="N14" s="324">
        <v>0.24</v>
      </c>
      <c r="O14" s="324">
        <v>0.5</v>
      </c>
      <c r="P14" s="324">
        <f t="shared" si="6"/>
        <v>0.11</v>
      </c>
      <c r="Q14" s="324">
        <f t="shared" si="7"/>
        <v>8.84</v>
      </c>
      <c r="R14" s="324">
        <f t="shared" si="8"/>
        <v>1.06</v>
      </c>
      <c r="S14" s="324">
        <f t="shared" si="14"/>
        <v>75</v>
      </c>
      <c r="T14" s="324">
        <f t="shared" si="9"/>
        <v>79.5</v>
      </c>
      <c r="V14" s="369" t="s">
        <v>20897</v>
      </c>
      <c r="W14" s="324">
        <v>1.68</v>
      </c>
      <c r="X14" s="324">
        <f t="shared" si="10"/>
        <v>0.08</v>
      </c>
      <c r="Y14" s="324">
        <v>0.1</v>
      </c>
      <c r="Z14" s="324">
        <f t="shared" si="2"/>
        <v>0.17</v>
      </c>
      <c r="AA14" s="324" t="str">
        <f t="shared" si="15"/>
        <v>Q159</v>
      </c>
      <c r="AB14" s="324">
        <f t="shared" si="16"/>
        <v>2.52</v>
      </c>
      <c r="AC14" s="324">
        <f t="shared" si="3"/>
        <v>4.2300000000000004</v>
      </c>
      <c r="AE14" s="343" t="s">
        <v>20704</v>
      </c>
      <c r="AF14" s="324">
        <v>13</v>
      </c>
      <c r="AG14" s="365">
        <f t="shared" si="17"/>
        <v>0.02</v>
      </c>
      <c r="AH14" s="321">
        <f t="shared" si="11"/>
        <v>0.26</v>
      </c>
    </row>
    <row r="15" spans="2:39" x14ac:dyDescent="0.25">
      <c r="B15" s="369" t="s">
        <v>20622</v>
      </c>
      <c r="C15" s="324">
        <v>1.5</v>
      </c>
      <c r="D15" s="324">
        <v>0.6</v>
      </c>
      <c r="E15" s="324">
        <f t="shared" si="12"/>
        <v>0.5</v>
      </c>
      <c r="F15" s="324">
        <f t="shared" si="4"/>
        <v>2.1</v>
      </c>
      <c r="G15" s="324">
        <f t="shared" si="0"/>
        <v>0.05</v>
      </c>
      <c r="H15" s="324">
        <f t="shared" si="5"/>
        <v>0.45</v>
      </c>
      <c r="I15" s="324">
        <f t="shared" si="13"/>
        <v>80</v>
      </c>
      <c r="J15" s="324">
        <f t="shared" si="1"/>
        <v>36</v>
      </c>
      <c r="L15" s="369" t="s">
        <v>20653</v>
      </c>
      <c r="M15" s="324">
        <v>0.65</v>
      </c>
      <c r="N15" s="324">
        <v>0.19</v>
      </c>
      <c r="O15" s="324">
        <v>0.5</v>
      </c>
      <c r="P15" s="324">
        <f t="shared" si="6"/>
        <v>0.01</v>
      </c>
      <c r="Q15" s="324">
        <f t="shared" si="7"/>
        <v>0.65</v>
      </c>
      <c r="R15" s="324">
        <f t="shared" si="8"/>
        <v>0.06</v>
      </c>
      <c r="S15" s="324">
        <f t="shared" si="14"/>
        <v>75</v>
      </c>
      <c r="T15" s="324">
        <f t="shared" si="9"/>
        <v>4.5</v>
      </c>
      <c r="V15" s="369" t="s">
        <v>20898</v>
      </c>
      <c r="W15" s="324">
        <v>4.9000000000000004</v>
      </c>
      <c r="X15" s="324">
        <f t="shared" si="10"/>
        <v>0.25</v>
      </c>
      <c r="Y15" s="324">
        <v>0.1</v>
      </c>
      <c r="Z15" s="324">
        <f t="shared" si="2"/>
        <v>0.49</v>
      </c>
      <c r="AA15" s="324" t="str">
        <f t="shared" si="15"/>
        <v>Q159</v>
      </c>
      <c r="AB15" s="324">
        <f t="shared" si="16"/>
        <v>2.52</v>
      </c>
      <c r="AC15" s="324">
        <f t="shared" si="3"/>
        <v>12.35</v>
      </c>
      <c r="AE15" s="343" t="s">
        <v>20698</v>
      </c>
      <c r="AF15" s="324">
        <v>9</v>
      </c>
      <c r="AG15" s="365">
        <f t="shared" si="17"/>
        <v>0.02</v>
      </c>
      <c r="AH15" s="321">
        <f t="shared" si="11"/>
        <v>0.18</v>
      </c>
    </row>
    <row r="16" spans="2:39" x14ac:dyDescent="0.25">
      <c r="B16" s="369" t="s">
        <v>20623</v>
      </c>
      <c r="C16" s="324">
        <v>0.6</v>
      </c>
      <c r="D16" s="324">
        <v>1.5</v>
      </c>
      <c r="E16" s="324">
        <f t="shared" si="12"/>
        <v>0.5</v>
      </c>
      <c r="F16" s="324">
        <f t="shared" si="4"/>
        <v>2.1</v>
      </c>
      <c r="G16" s="324">
        <f t="shared" si="0"/>
        <v>0.05</v>
      </c>
      <c r="H16" s="324">
        <f t="shared" si="5"/>
        <v>0.45</v>
      </c>
      <c r="I16" s="324">
        <f t="shared" si="13"/>
        <v>80</v>
      </c>
      <c r="J16" s="324">
        <f t="shared" si="1"/>
        <v>36</v>
      </c>
      <c r="L16" s="369" t="s">
        <v>20654</v>
      </c>
      <c r="M16" s="324">
        <f>0.91+2.89</f>
        <v>3.8000000000000003</v>
      </c>
      <c r="N16" s="324">
        <v>0.24</v>
      </c>
      <c r="O16" s="324">
        <v>0.5</v>
      </c>
      <c r="P16" s="324">
        <f t="shared" si="6"/>
        <v>0.05</v>
      </c>
      <c r="Q16" s="324">
        <f t="shared" si="7"/>
        <v>3.8</v>
      </c>
      <c r="R16" s="324">
        <f t="shared" si="8"/>
        <v>0.46</v>
      </c>
      <c r="S16" s="324">
        <f t="shared" si="14"/>
        <v>75</v>
      </c>
      <c r="T16" s="324">
        <f t="shared" si="9"/>
        <v>34.5</v>
      </c>
      <c r="V16" s="369" t="s">
        <v>20899</v>
      </c>
      <c r="W16" s="324">
        <v>11.9</v>
      </c>
      <c r="X16" s="324">
        <f t="shared" si="10"/>
        <v>0.6</v>
      </c>
      <c r="Y16" s="324">
        <v>0.1</v>
      </c>
      <c r="Z16" s="324">
        <f t="shared" si="2"/>
        <v>1.19</v>
      </c>
      <c r="AA16" s="324" t="str">
        <f t="shared" si="15"/>
        <v>Q159</v>
      </c>
      <c r="AB16" s="324">
        <f t="shared" si="16"/>
        <v>2.52</v>
      </c>
      <c r="AC16" s="324">
        <f t="shared" si="3"/>
        <v>29.99</v>
      </c>
      <c r="AE16" s="343" t="s">
        <v>20917</v>
      </c>
      <c r="AF16" s="324">
        <v>6.86</v>
      </c>
      <c r="AG16" s="365">
        <f t="shared" si="17"/>
        <v>0.02</v>
      </c>
      <c r="AH16" s="321">
        <f t="shared" si="11"/>
        <v>0.14000000000000001</v>
      </c>
    </row>
    <row r="17" spans="2:34" x14ac:dyDescent="0.25">
      <c r="B17" s="369" t="s">
        <v>20624</v>
      </c>
      <c r="C17" s="324">
        <v>0.6</v>
      </c>
      <c r="D17" s="324">
        <v>1.5</v>
      </c>
      <c r="E17" s="324">
        <f t="shared" si="12"/>
        <v>0.5</v>
      </c>
      <c r="F17" s="324">
        <f t="shared" si="4"/>
        <v>2.1</v>
      </c>
      <c r="G17" s="324">
        <f t="shared" si="0"/>
        <v>0.05</v>
      </c>
      <c r="H17" s="324">
        <f t="shared" si="5"/>
        <v>0.45</v>
      </c>
      <c r="I17" s="324">
        <f t="shared" si="13"/>
        <v>80</v>
      </c>
      <c r="J17" s="324">
        <f t="shared" si="1"/>
        <v>36</v>
      </c>
      <c r="L17" s="369" t="s">
        <v>20655</v>
      </c>
      <c r="M17" s="324">
        <v>0.65</v>
      </c>
      <c r="N17" s="324">
        <v>0.19</v>
      </c>
      <c r="O17" s="324">
        <v>0.5</v>
      </c>
      <c r="P17" s="324">
        <f t="shared" si="6"/>
        <v>0.01</v>
      </c>
      <c r="Q17" s="324">
        <f t="shared" si="7"/>
        <v>0.65</v>
      </c>
      <c r="R17" s="324">
        <f t="shared" si="8"/>
        <v>0.06</v>
      </c>
      <c r="S17" s="324">
        <f t="shared" si="14"/>
        <v>75</v>
      </c>
      <c r="T17" s="324">
        <f t="shared" si="9"/>
        <v>4.5</v>
      </c>
      <c r="V17" s="369" t="s">
        <v>20900</v>
      </c>
      <c r="W17" s="324">
        <v>4.0999999999999996</v>
      </c>
      <c r="X17" s="324">
        <f t="shared" si="10"/>
        <v>0.21</v>
      </c>
      <c r="Y17" s="324">
        <v>0.1</v>
      </c>
      <c r="Z17" s="324">
        <f t="shared" si="2"/>
        <v>0.41</v>
      </c>
      <c r="AA17" s="324" t="str">
        <f t="shared" si="15"/>
        <v>Q159</v>
      </c>
      <c r="AB17" s="324">
        <f t="shared" si="16"/>
        <v>2.52</v>
      </c>
      <c r="AC17" s="324">
        <f t="shared" si="3"/>
        <v>10.33</v>
      </c>
      <c r="AE17" s="343" t="s">
        <v>20705</v>
      </c>
      <c r="AF17" s="324">
        <v>4.55</v>
      </c>
      <c r="AG17" s="365">
        <f t="shared" si="17"/>
        <v>0.02</v>
      </c>
      <c r="AH17" s="321">
        <f t="shared" si="11"/>
        <v>0.09</v>
      </c>
    </row>
    <row r="18" spans="2:34" x14ac:dyDescent="0.25">
      <c r="B18" s="369" t="s">
        <v>20625</v>
      </c>
      <c r="C18" s="324">
        <v>0.6</v>
      </c>
      <c r="D18" s="324">
        <v>0.6</v>
      </c>
      <c r="E18" s="324">
        <f t="shared" si="12"/>
        <v>0.5</v>
      </c>
      <c r="F18" s="324">
        <f t="shared" si="4"/>
        <v>1.2</v>
      </c>
      <c r="G18" s="324">
        <f t="shared" si="0"/>
        <v>0.02</v>
      </c>
      <c r="H18" s="324">
        <f t="shared" si="5"/>
        <v>0.18</v>
      </c>
      <c r="I18" s="324">
        <f t="shared" si="13"/>
        <v>80</v>
      </c>
      <c r="J18" s="324">
        <f t="shared" si="1"/>
        <v>14.4</v>
      </c>
      <c r="L18" s="369" t="s">
        <v>20656</v>
      </c>
      <c r="M18" s="324">
        <f>1.3+2.04</f>
        <v>3.34</v>
      </c>
      <c r="N18" s="324">
        <v>0.19</v>
      </c>
      <c r="O18" s="324">
        <v>0.5</v>
      </c>
      <c r="P18" s="324">
        <f t="shared" si="6"/>
        <v>0.03</v>
      </c>
      <c r="Q18" s="324">
        <f t="shared" si="7"/>
        <v>3.34</v>
      </c>
      <c r="R18" s="324">
        <f t="shared" si="8"/>
        <v>0.32</v>
      </c>
      <c r="S18" s="324">
        <f t="shared" si="14"/>
        <v>75</v>
      </c>
      <c r="T18" s="324">
        <f t="shared" si="9"/>
        <v>24</v>
      </c>
      <c r="V18" s="369" t="s">
        <v>20901</v>
      </c>
      <c r="W18" s="324">
        <v>6.05</v>
      </c>
      <c r="X18" s="324">
        <f t="shared" si="10"/>
        <v>0.3</v>
      </c>
      <c r="Y18" s="324">
        <v>0.1</v>
      </c>
      <c r="Z18" s="324">
        <f t="shared" si="2"/>
        <v>0.61</v>
      </c>
      <c r="AA18" s="324" t="str">
        <f t="shared" si="15"/>
        <v>Q159</v>
      </c>
      <c r="AB18" s="324">
        <f t="shared" si="16"/>
        <v>2.52</v>
      </c>
      <c r="AC18" s="324">
        <f t="shared" si="3"/>
        <v>15.25</v>
      </c>
      <c r="AE18" s="343" t="s">
        <v>20918</v>
      </c>
      <c r="AF18" s="324">
        <v>12.56</v>
      </c>
      <c r="AG18" s="365">
        <f t="shared" si="17"/>
        <v>0.02</v>
      </c>
      <c r="AH18" s="321">
        <f t="shared" si="11"/>
        <v>0.25</v>
      </c>
    </row>
    <row r="19" spans="2:34" x14ac:dyDescent="0.25">
      <c r="B19" s="369" t="s">
        <v>20626</v>
      </c>
      <c r="C19" s="324">
        <v>1.5</v>
      </c>
      <c r="D19" s="324">
        <v>0.6</v>
      </c>
      <c r="E19" s="324">
        <f t="shared" si="12"/>
        <v>0.5</v>
      </c>
      <c r="F19" s="324">
        <f t="shared" si="4"/>
        <v>2.1</v>
      </c>
      <c r="G19" s="324">
        <f t="shared" si="0"/>
        <v>0.05</v>
      </c>
      <c r="H19" s="324">
        <f t="shared" si="5"/>
        <v>0.45</v>
      </c>
      <c r="I19" s="324">
        <f t="shared" si="13"/>
        <v>80</v>
      </c>
      <c r="J19" s="324">
        <f t="shared" si="1"/>
        <v>36</v>
      </c>
      <c r="L19" s="369" t="s">
        <v>20657</v>
      </c>
      <c r="M19" s="324">
        <f>0.65+0.7</f>
        <v>1.35</v>
      </c>
      <c r="N19" s="324">
        <v>0.19</v>
      </c>
      <c r="O19" s="324">
        <v>0.5</v>
      </c>
      <c r="P19" s="324">
        <f t="shared" si="6"/>
        <v>0.01</v>
      </c>
      <c r="Q19" s="324">
        <f t="shared" si="7"/>
        <v>1.35</v>
      </c>
      <c r="R19" s="324">
        <f t="shared" si="8"/>
        <v>0.13</v>
      </c>
      <c r="S19" s="324">
        <f t="shared" si="14"/>
        <v>75</v>
      </c>
      <c r="T19" s="324">
        <f t="shared" si="9"/>
        <v>9.75</v>
      </c>
      <c r="V19" s="369" t="s">
        <v>20902</v>
      </c>
      <c r="W19" s="324">
        <v>3.95</v>
      </c>
      <c r="X19" s="324">
        <f t="shared" si="10"/>
        <v>0.2</v>
      </c>
      <c r="Y19" s="324">
        <v>0.1</v>
      </c>
      <c r="Z19" s="324">
        <f t="shared" si="2"/>
        <v>0.4</v>
      </c>
      <c r="AA19" s="324" t="str">
        <f t="shared" si="15"/>
        <v>Q159</v>
      </c>
      <c r="AB19" s="324">
        <f t="shared" si="16"/>
        <v>2.52</v>
      </c>
      <c r="AC19" s="324">
        <f t="shared" si="3"/>
        <v>9.9499999999999993</v>
      </c>
      <c r="AE19" s="343" t="s">
        <v>20701</v>
      </c>
      <c r="AF19" s="324">
        <v>5.85</v>
      </c>
      <c r="AG19" s="365">
        <f t="shared" si="17"/>
        <v>0.02</v>
      </c>
      <c r="AH19" s="321">
        <f t="shared" si="11"/>
        <v>0.12</v>
      </c>
    </row>
    <row r="20" spans="2:34" x14ac:dyDescent="0.25">
      <c r="B20" s="369" t="s">
        <v>20627</v>
      </c>
      <c r="C20" s="324">
        <v>0.6</v>
      </c>
      <c r="D20" s="324">
        <v>0.6</v>
      </c>
      <c r="E20" s="324">
        <f t="shared" si="12"/>
        <v>0.5</v>
      </c>
      <c r="F20" s="324">
        <f t="shared" si="4"/>
        <v>1.2</v>
      </c>
      <c r="G20" s="324">
        <f t="shared" si="0"/>
        <v>0.02</v>
      </c>
      <c r="H20" s="324">
        <f t="shared" si="5"/>
        <v>0.18</v>
      </c>
      <c r="I20" s="324">
        <f t="shared" si="13"/>
        <v>80</v>
      </c>
      <c r="J20" s="324">
        <f t="shared" si="1"/>
        <v>14.4</v>
      </c>
      <c r="L20" s="369" t="s">
        <v>20658</v>
      </c>
      <c r="M20" s="324">
        <f>4.63+4.37</f>
        <v>9</v>
      </c>
      <c r="N20" s="324">
        <v>0.2</v>
      </c>
      <c r="O20" s="324">
        <v>0.4</v>
      </c>
      <c r="P20" s="324">
        <f t="shared" si="6"/>
        <v>0.09</v>
      </c>
      <c r="Q20" s="324">
        <f t="shared" si="7"/>
        <v>7.2</v>
      </c>
      <c r="R20" s="324">
        <f t="shared" si="8"/>
        <v>0.72</v>
      </c>
      <c r="S20" s="324">
        <f t="shared" si="14"/>
        <v>75</v>
      </c>
      <c r="T20" s="324">
        <f t="shared" si="9"/>
        <v>54</v>
      </c>
      <c r="V20" s="369" t="s">
        <v>20903</v>
      </c>
      <c r="W20" s="324">
        <v>3.41</v>
      </c>
      <c r="X20" s="324">
        <f t="shared" si="10"/>
        <v>0.17</v>
      </c>
      <c r="Y20" s="324">
        <v>0.1</v>
      </c>
      <c r="Z20" s="324">
        <f t="shared" si="2"/>
        <v>0.34</v>
      </c>
      <c r="AA20" s="324" t="str">
        <f t="shared" si="15"/>
        <v>Q159</v>
      </c>
      <c r="AB20" s="324">
        <f t="shared" si="16"/>
        <v>2.52</v>
      </c>
      <c r="AC20" s="324">
        <f t="shared" si="3"/>
        <v>8.59</v>
      </c>
      <c r="AE20" s="343" t="s">
        <v>20691</v>
      </c>
      <c r="AF20" s="324">
        <v>12.81</v>
      </c>
      <c r="AG20" s="365">
        <f t="shared" si="17"/>
        <v>0.02</v>
      </c>
      <c r="AH20" s="321">
        <f t="shared" si="11"/>
        <v>0.26</v>
      </c>
    </row>
    <row r="21" spans="2:34" x14ac:dyDescent="0.25">
      <c r="B21" s="369" t="s">
        <v>20628</v>
      </c>
      <c r="C21" s="324">
        <v>1.5</v>
      </c>
      <c r="D21" s="324">
        <v>0.6</v>
      </c>
      <c r="E21" s="324">
        <f t="shared" si="12"/>
        <v>0.5</v>
      </c>
      <c r="F21" s="324">
        <f t="shared" si="4"/>
        <v>2.1</v>
      </c>
      <c r="G21" s="324">
        <f t="shared" si="0"/>
        <v>0.05</v>
      </c>
      <c r="H21" s="324">
        <f t="shared" si="5"/>
        <v>0.45</v>
      </c>
      <c r="I21" s="324">
        <f t="shared" si="13"/>
        <v>80</v>
      </c>
      <c r="J21" s="324">
        <f t="shared" si="1"/>
        <v>36</v>
      </c>
      <c r="L21" s="369" t="s">
        <v>20876</v>
      </c>
      <c r="M21" s="324">
        <f>0.65+1.1+0.53</f>
        <v>2.2800000000000002</v>
      </c>
      <c r="N21" s="324">
        <v>0.19</v>
      </c>
      <c r="O21" s="324">
        <v>0.5</v>
      </c>
      <c r="P21" s="324">
        <f t="shared" si="6"/>
        <v>0.02</v>
      </c>
      <c r="Q21" s="324">
        <f t="shared" si="7"/>
        <v>2.2799999999999998</v>
      </c>
      <c r="R21" s="324">
        <f t="shared" si="8"/>
        <v>0.22</v>
      </c>
      <c r="S21" s="324">
        <f t="shared" si="14"/>
        <v>75</v>
      </c>
      <c r="T21" s="324">
        <f t="shared" si="9"/>
        <v>16.5</v>
      </c>
      <c r="V21" s="369" t="s">
        <v>20904</v>
      </c>
      <c r="W21" s="324">
        <v>11.52</v>
      </c>
      <c r="X21" s="324">
        <f t="shared" si="10"/>
        <v>0.57999999999999996</v>
      </c>
      <c r="Y21" s="324">
        <v>0.1</v>
      </c>
      <c r="Z21" s="324">
        <f t="shared" si="2"/>
        <v>1.1499999999999999</v>
      </c>
      <c r="AA21" s="324" t="str">
        <f t="shared" si="15"/>
        <v>Q159</v>
      </c>
      <c r="AB21" s="324">
        <f t="shared" si="16"/>
        <v>2.52</v>
      </c>
      <c r="AC21" s="324">
        <f t="shared" si="3"/>
        <v>29.03</v>
      </c>
      <c r="AE21" s="343" t="s">
        <v>20719</v>
      </c>
      <c r="AF21" s="324">
        <v>2.8</v>
      </c>
      <c r="AG21" s="365">
        <f t="shared" si="17"/>
        <v>0.02</v>
      </c>
      <c r="AH21" s="321">
        <f t="shared" si="11"/>
        <v>0.06</v>
      </c>
    </row>
    <row r="22" spans="2:34" x14ac:dyDescent="0.25">
      <c r="B22" s="369" t="s">
        <v>20629</v>
      </c>
      <c r="C22" s="324">
        <v>1.5</v>
      </c>
      <c r="D22" s="324">
        <v>0.6</v>
      </c>
      <c r="E22" s="324">
        <f t="shared" si="12"/>
        <v>0.5</v>
      </c>
      <c r="F22" s="324">
        <f t="shared" si="4"/>
        <v>2.1</v>
      </c>
      <c r="G22" s="324">
        <f t="shared" si="0"/>
        <v>0.05</v>
      </c>
      <c r="H22" s="324">
        <f t="shared" si="5"/>
        <v>0.45</v>
      </c>
      <c r="I22" s="324">
        <f t="shared" si="13"/>
        <v>80</v>
      </c>
      <c r="J22" s="324">
        <f t="shared" si="1"/>
        <v>36</v>
      </c>
      <c r="L22" s="369" t="s">
        <v>20876</v>
      </c>
      <c r="M22" s="324">
        <f>1.37+0.95+1.48+1.47+0.96+2.6+0.95+1.56+0.91</f>
        <v>12.25</v>
      </c>
      <c r="N22" s="324">
        <v>0.24</v>
      </c>
      <c r="O22" s="324">
        <v>0.5</v>
      </c>
      <c r="P22" s="324">
        <f t="shared" si="6"/>
        <v>0.15</v>
      </c>
      <c r="Q22" s="324">
        <f t="shared" si="7"/>
        <v>12.25</v>
      </c>
      <c r="R22" s="324">
        <f t="shared" si="8"/>
        <v>1.47</v>
      </c>
      <c r="S22" s="324">
        <f t="shared" si="14"/>
        <v>75</v>
      </c>
      <c r="T22" s="324">
        <f t="shared" si="9"/>
        <v>110.25</v>
      </c>
      <c r="V22" s="369" t="s">
        <v>20905</v>
      </c>
      <c r="W22" s="324">
        <v>5.22</v>
      </c>
      <c r="X22" s="324">
        <f t="shared" si="10"/>
        <v>0.26</v>
      </c>
      <c r="Y22" s="324">
        <v>0.1</v>
      </c>
      <c r="Z22" s="324">
        <f t="shared" si="2"/>
        <v>0.52</v>
      </c>
      <c r="AA22" s="324" t="str">
        <f t="shared" si="15"/>
        <v>Q159</v>
      </c>
      <c r="AB22" s="324">
        <f t="shared" si="16"/>
        <v>2.52</v>
      </c>
      <c r="AC22" s="324">
        <f t="shared" si="3"/>
        <v>13.15</v>
      </c>
      <c r="AE22" s="343" t="s">
        <v>20919</v>
      </c>
      <c r="AF22" s="324">
        <v>4</v>
      </c>
      <c r="AG22" s="365">
        <f t="shared" si="17"/>
        <v>0.02</v>
      </c>
      <c r="AH22" s="321">
        <f t="shared" si="11"/>
        <v>0.08</v>
      </c>
    </row>
    <row r="23" spans="2:34" x14ac:dyDescent="0.25">
      <c r="B23" s="369" t="s">
        <v>20630</v>
      </c>
      <c r="C23" s="324">
        <v>0.6</v>
      </c>
      <c r="D23" s="324">
        <v>1.5</v>
      </c>
      <c r="E23" s="324">
        <f t="shared" si="12"/>
        <v>0.5</v>
      </c>
      <c r="F23" s="324">
        <f t="shared" si="4"/>
        <v>2.1</v>
      </c>
      <c r="G23" s="324">
        <f t="shared" si="0"/>
        <v>0.05</v>
      </c>
      <c r="H23" s="324">
        <f t="shared" si="5"/>
        <v>0.45</v>
      </c>
      <c r="I23" s="324">
        <f t="shared" si="13"/>
        <v>80</v>
      </c>
      <c r="J23" s="324">
        <f t="shared" si="1"/>
        <v>36</v>
      </c>
      <c r="L23" s="369" t="s">
        <v>20877</v>
      </c>
      <c r="M23" s="324">
        <f>1.55+1.55+0.98</f>
        <v>4.08</v>
      </c>
      <c r="N23" s="324">
        <v>0.19</v>
      </c>
      <c r="O23" s="324">
        <v>0.5</v>
      </c>
      <c r="P23" s="324">
        <f t="shared" si="6"/>
        <v>0.04</v>
      </c>
      <c r="Q23" s="324">
        <f t="shared" ref="Q23:Q26" si="18">ROUND(2*M23*O23,2)</f>
        <v>4.08</v>
      </c>
      <c r="R23" s="324">
        <f t="shared" ref="R23:R26" si="19">ROUND(M23*N23*O23,2)</f>
        <v>0.39</v>
      </c>
      <c r="S23" s="324">
        <f t="shared" si="14"/>
        <v>75</v>
      </c>
      <c r="T23" s="324">
        <f t="shared" ref="T23:T26" si="20">ROUND(R23*S23,2)</f>
        <v>29.25</v>
      </c>
      <c r="V23" s="369" t="s">
        <v>20906</v>
      </c>
      <c r="W23" s="324">
        <v>2.08</v>
      </c>
      <c r="X23" s="324">
        <f t="shared" si="10"/>
        <v>0.1</v>
      </c>
      <c r="Y23" s="324">
        <v>0.1</v>
      </c>
      <c r="Z23" s="324">
        <f t="shared" si="2"/>
        <v>0.21</v>
      </c>
      <c r="AA23" s="324" t="str">
        <f t="shared" si="15"/>
        <v>Q159</v>
      </c>
      <c r="AB23" s="324">
        <f t="shared" si="16"/>
        <v>2.52</v>
      </c>
      <c r="AC23" s="324">
        <f t="shared" si="3"/>
        <v>5.24</v>
      </c>
      <c r="AE23" s="343" t="s">
        <v>20697</v>
      </c>
      <c r="AF23" s="324">
        <v>4</v>
      </c>
      <c r="AG23" s="365">
        <f t="shared" si="17"/>
        <v>0.02</v>
      </c>
      <c r="AH23" s="321">
        <f t="shared" si="11"/>
        <v>0.08</v>
      </c>
    </row>
    <row r="24" spans="2:34" x14ac:dyDescent="0.25">
      <c r="B24" s="369" t="s">
        <v>20631</v>
      </c>
      <c r="C24" s="324">
        <v>0.6</v>
      </c>
      <c r="D24" s="324">
        <v>1.5</v>
      </c>
      <c r="E24" s="324">
        <f t="shared" si="12"/>
        <v>0.5</v>
      </c>
      <c r="F24" s="324">
        <f t="shared" ref="F24:F33" si="21">ROUND(2*C24*E24+2*D24*E24,2)</f>
        <v>2.1</v>
      </c>
      <c r="G24" s="324">
        <f t="shared" si="0"/>
        <v>0.05</v>
      </c>
      <c r="H24" s="324">
        <f t="shared" ref="H24:H33" si="22">ROUND(C24*D24*E24,2)</f>
        <v>0.45</v>
      </c>
      <c r="I24" s="324">
        <f t="shared" si="13"/>
        <v>80</v>
      </c>
      <c r="J24" s="324">
        <f t="shared" si="1"/>
        <v>36</v>
      </c>
      <c r="L24" s="369" t="s">
        <v>20878</v>
      </c>
      <c r="M24" s="324">
        <f>0.9+1.58</f>
        <v>2.48</v>
      </c>
      <c r="N24" s="324">
        <v>0.19</v>
      </c>
      <c r="O24" s="324">
        <v>0.5</v>
      </c>
      <c r="P24" s="324">
        <f t="shared" si="6"/>
        <v>0.02</v>
      </c>
      <c r="Q24" s="324">
        <f t="shared" si="18"/>
        <v>2.48</v>
      </c>
      <c r="R24" s="324">
        <f t="shared" si="19"/>
        <v>0.24</v>
      </c>
      <c r="S24" s="324">
        <f t="shared" si="14"/>
        <v>75</v>
      </c>
      <c r="T24" s="324">
        <f t="shared" si="20"/>
        <v>18</v>
      </c>
      <c r="V24" s="369" t="s">
        <v>20907</v>
      </c>
      <c r="W24" s="324">
        <v>11.46</v>
      </c>
      <c r="X24" s="324">
        <f t="shared" si="10"/>
        <v>0.56999999999999995</v>
      </c>
      <c r="Y24" s="324">
        <v>0.1</v>
      </c>
      <c r="Z24" s="324">
        <f t="shared" si="2"/>
        <v>1.1499999999999999</v>
      </c>
      <c r="AA24" s="324" t="str">
        <f t="shared" si="15"/>
        <v>Q159</v>
      </c>
      <c r="AB24" s="324">
        <f t="shared" si="16"/>
        <v>2.52</v>
      </c>
      <c r="AC24" s="324">
        <f t="shared" si="3"/>
        <v>28.88</v>
      </c>
      <c r="AE24" s="343" t="s">
        <v>20695</v>
      </c>
      <c r="AF24" s="324">
        <v>4.03</v>
      </c>
      <c r="AG24" s="365">
        <f t="shared" si="17"/>
        <v>0.02</v>
      </c>
      <c r="AH24" s="321">
        <f t="shared" si="11"/>
        <v>0.08</v>
      </c>
    </row>
    <row r="25" spans="2:34" x14ac:dyDescent="0.25">
      <c r="B25" s="369" t="s">
        <v>20632</v>
      </c>
      <c r="C25" s="324">
        <v>0.6</v>
      </c>
      <c r="D25" s="324">
        <v>0.6</v>
      </c>
      <c r="E25" s="324">
        <f t="shared" si="12"/>
        <v>0.5</v>
      </c>
      <c r="F25" s="324">
        <f t="shared" si="21"/>
        <v>1.2</v>
      </c>
      <c r="G25" s="324">
        <f t="shared" si="0"/>
        <v>0.02</v>
      </c>
      <c r="H25" s="324">
        <f t="shared" si="22"/>
        <v>0.18</v>
      </c>
      <c r="I25" s="324">
        <f t="shared" si="13"/>
        <v>80</v>
      </c>
      <c r="J25" s="324">
        <f t="shared" si="1"/>
        <v>14.4</v>
      </c>
      <c r="L25" s="369" t="s">
        <v>20879</v>
      </c>
      <c r="M25" s="324">
        <f>1.37+0.5+2.65+0.51+1.7</f>
        <v>6.7299999999999995</v>
      </c>
      <c r="N25" s="324">
        <v>0.19</v>
      </c>
      <c r="O25" s="324">
        <v>0.5</v>
      </c>
      <c r="P25" s="324">
        <f t="shared" si="6"/>
        <v>0.06</v>
      </c>
      <c r="Q25" s="324">
        <f t="shared" si="18"/>
        <v>6.73</v>
      </c>
      <c r="R25" s="324">
        <f t="shared" si="19"/>
        <v>0.64</v>
      </c>
      <c r="S25" s="324">
        <f t="shared" si="14"/>
        <v>75</v>
      </c>
      <c r="T25" s="324">
        <f t="shared" si="20"/>
        <v>48</v>
      </c>
      <c r="V25" s="369" t="s">
        <v>20908</v>
      </c>
      <c r="W25" s="324">
        <v>3.22</v>
      </c>
      <c r="X25" s="324">
        <f t="shared" si="10"/>
        <v>0.16</v>
      </c>
      <c r="Y25" s="324">
        <v>0.1</v>
      </c>
      <c r="Z25" s="324">
        <f t="shared" si="2"/>
        <v>0.32</v>
      </c>
      <c r="AA25" s="324" t="str">
        <f t="shared" si="15"/>
        <v>Q159</v>
      </c>
      <c r="AB25" s="324">
        <f t="shared" si="16"/>
        <v>2.52</v>
      </c>
      <c r="AC25" s="324">
        <f t="shared" si="3"/>
        <v>8.11</v>
      </c>
      <c r="AE25" s="343" t="s">
        <v>20692</v>
      </c>
      <c r="AF25" s="324">
        <v>10.5</v>
      </c>
      <c r="AG25" s="365">
        <f t="shared" si="17"/>
        <v>0.02</v>
      </c>
      <c r="AH25" s="321">
        <f t="shared" si="11"/>
        <v>0.21</v>
      </c>
    </row>
    <row r="26" spans="2:34" x14ac:dyDescent="0.25">
      <c r="B26" s="369" t="s">
        <v>20633</v>
      </c>
      <c r="C26" s="324">
        <v>0.6</v>
      </c>
      <c r="D26" s="324">
        <v>0.6</v>
      </c>
      <c r="E26" s="324">
        <f t="shared" si="12"/>
        <v>0.5</v>
      </c>
      <c r="F26" s="324">
        <f t="shared" si="21"/>
        <v>1.2</v>
      </c>
      <c r="G26" s="324">
        <f t="shared" si="0"/>
        <v>0.02</v>
      </c>
      <c r="H26" s="324">
        <f t="shared" si="22"/>
        <v>0.18</v>
      </c>
      <c r="I26" s="324">
        <f t="shared" si="13"/>
        <v>80</v>
      </c>
      <c r="J26" s="324">
        <f t="shared" si="1"/>
        <v>14.4</v>
      </c>
      <c r="L26" s="369" t="s">
        <v>20880</v>
      </c>
      <c r="M26" s="324">
        <f>2.47+2.65+2.81+1.95+1.64+0.19</f>
        <v>11.709999999999999</v>
      </c>
      <c r="N26" s="324">
        <v>0.19</v>
      </c>
      <c r="O26" s="324">
        <v>0.5</v>
      </c>
      <c r="P26" s="324">
        <f t="shared" si="6"/>
        <v>0.11</v>
      </c>
      <c r="Q26" s="324">
        <f t="shared" si="18"/>
        <v>11.71</v>
      </c>
      <c r="R26" s="324">
        <f t="shared" si="19"/>
        <v>1.1100000000000001</v>
      </c>
      <c r="S26" s="324">
        <f t="shared" si="14"/>
        <v>75</v>
      </c>
      <c r="T26" s="324">
        <f t="shared" si="20"/>
        <v>83.25</v>
      </c>
      <c r="V26" s="369" t="s">
        <v>20909</v>
      </c>
      <c r="W26" s="324">
        <v>9.16</v>
      </c>
      <c r="X26" s="324">
        <f t="shared" si="10"/>
        <v>0.46</v>
      </c>
      <c r="Y26" s="324">
        <v>0.1</v>
      </c>
      <c r="Z26" s="324">
        <f t="shared" si="2"/>
        <v>0.92</v>
      </c>
      <c r="AA26" s="324" t="str">
        <f t="shared" si="15"/>
        <v>Q159</v>
      </c>
      <c r="AB26" s="324">
        <f t="shared" si="16"/>
        <v>2.52</v>
      </c>
      <c r="AC26" s="324">
        <f t="shared" si="3"/>
        <v>23.08</v>
      </c>
      <c r="AE26" s="343" t="s">
        <v>20693</v>
      </c>
      <c r="AF26" s="324">
        <v>7.87</v>
      </c>
      <c r="AG26" s="365">
        <f t="shared" si="17"/>
        <v>0.02</v>
      </c>
      <c r="AH26" s="321">
        <f t="shared" si="11"/>
        <v>0.16</v>
      </c>
    </row>
    <row r="27" spans="2:34" x14ac:dyDescent="0.25">
      <c r="B27" s="369" t="s">
        <v>20634</v>
      </c>
      <c r="C27" s="324">
        <v>0.6</v>
      </c>
      <c r="D27" s="324">
        <v>0.6</v>
      </c>
      <c r="E27" s="324">
        <f t="shared" si="12"/>
        <v>0.5</v>
      </c>
      <c r="F27" s="324">
        <f t="shared" si="21"/>
        <v>1.2</v>
      </c>
      <c r="G27" s="324">
        <f t="shared" si="0"/>
        <v>0.02</v>
      </c>
      <c r="H27" s="324">
        <f t="shared" si="22"/>
        <v>0.18</v>
      </c>
      <c r="I27" s="324">
        <f t="shared" si="13"/>
        <v>80</v>
      </c>
      <c r="J27" s="324">
        <f t="shared" si="1"/>
        <v>14.4</v>
      </c>
      <c r="L27" s="369" t="s">
        <v>20881</v>
      </c>
      <c r="M27" s="324">
        <v>1.8</v>
      </c>
      <c r="N27" s="324">
        <v>0.19</v>
      </c>
      <c r="O27" s="324">
        <v>0.5</v>
      </c>
      <c r="P27" s="324">
        <f t="shared" si="6"/>
        <v>0.02</v>
      </c>
      <c r="Q27" s="324">
        <f t="shared" ref="Q27:Q28" si="23">ROUND(2*M27*O27,2)</f>
        <v>1.8</v>
      </c>
      <c r="R27" s="324">
        <f t="shared" ref="R27:R28" si="24">ROUND(M27*N27*O27,2)</f>
        <v>0.17</v>
      </c>
      <c r="S27" s="324">
        <f t="shared" si="14"/>
        <v>75</v>
      </c>
      <c r="T27" s="324">
        <f t="shared" ref="T27:T28" si="25">ROUND(R27*S27,2)</f>
        <v>12.75</v>
      </c>
      <c r="V27" s="369" t="s">
        <v>20910</v>
      </c>
      <c r="W27" s="324">
        <v>3.48</v>
      </c>
      <c r="X27" s="324">
        <f t="shared" si="10"/>
        <v>0.17</v>
      </c>
      <c r="Y27" s="324">
        <v>0.1</v>
      </c>
      <c r="Z27" s="324">
        <f t="shared" si="2"/>
        <v>0.35</v>
      </c>
      <c r="AA27" s="324" t="str">
        <f t="shared" si="15"/>
        <v>Q159</v>
      </c>
      <c r="AB27" s="324">
        <f t="shared" si="16"/>
        <v>2.52</v>
      </c>
      <c r="AC27" s="324">
        <f t="shared" si="3"/>
        <v>8.77</v>
      </c>
      <c r="AE27" s="343" t="s">
        <v>20920</v>
      </c>
      <c r="AF27" s="324">
        <v>26.41</v>
      </c>
      <c r="AG27" s="365">
        <f t="shared" si="17"/>
        <v>0.02</v>
      </c>
      <c r="AH27" s="321">
        <f t="shared" si="11"/>
        <v>0.53</v>
      </c>
    </row>
    <row r="28" spans="2:34" x14ac:dyDescent="0.25">
      <c r="B28" s="369" t="s">
        <v>20635</v>
      </c>
      <c r="C28" s="324">
        <v>1.5</v>
      </c>
      <c r="D28" s="324">
        <v>0.6</v>
      </c>
      <c r="E28" s="324">
        <f t="shared" si="12"/>
        <v>0.5</v>
      </c>
      <c r="F28" s="324">
        <f t="shared" si="21"/>
        <v>2.1</v>
      </c>
      <c r="G28" s="324">
        <f t="shared" si="0"/>
        <v>0.05</v>
      </c>
      <c r="H28" s="324">
        <f t="shared" si="22"/>
        <v>0.45</v>
      </c>
      <c r="I28" s="324">
        <f t="shared" si="13"/>
        <v>80</v>
      </c>
      <c r="J28" s="324">
        <f t="shared" si="1"/>
        <v>36</v>
      </c>
      <c r="L28" s="369" t="s">
        <v>20882</v>
      </c>
      <c r="M28" s="324">
        <f>0.82+1.58+1.61+2.02+1.36+1.59+1.81+1.75+1.95+2.98</f>
        <v>17.47</v>
      </c>
      <c r="N28" s="324">
        <v>0.24</v>
      </c>
      <c r="O28" s="324">
        <v>0.5</v>
      </c>
      <c r="P28" s="324">
        <f t="shared" si="6"/>
        <v>0.21</v>
      </c>
      <c r="Q28" s="324">
        <f t="shared" si="23"/>
        <v>17.47</v>
      </c>
      <c r="R28" s="324">
        <f t="shared" si="24"/>
        <v>2.1</v>
      </c>
      <c r="S28" s="324">
        <f t="shared" si="14"/>
        <v>75</v>
      </c>
      <c r="T28" s="324">
        <f t="shared" si="25"/>
        <v>157.5</v>
      </c>
      <c r="V28" s="369" t="s">
        <v>20911</v>
      </c>
      <c r="W28" s="324">
        <v>3.12</v>
      </c>
      <c r="X28" s="324">
        <f t="shared" si="10"/>
        <v>0.16</v>
      </c>
      <c r="Y28" s="324">
        <v>0.1</v>
      </c>
      <c r="Z28" s="324">
        <f t="shared" si="2"/>
        <v>0.31</v>
      </c>
      <c r="AA28" s="324" t="str">
        <f t="shared" si="15"/>
        <v>Q159</v>
      </c>
      <c r="AB28" s="324">
        <f t="shared" si="16"/>
        <v>2.52</v>
      </c>
      <c r="AC28" s="324">
        <f t="shared" si="3"/>
        <v>7.86</v>
      </c>
      <c r="AE28" s="775" t="s">
        <v>7</v>
      </c>
      <c r="AF28" s="776"/>
      <c r="AG28" s="777"/>
      <c r="AH28" s="330">
        <f>SUM(AH4:AH27)</f>
        <v>4.3400000000000007</v>
      </c>
    </row>
    <row r="29" spans="2:34" x14ac:dyDescent="0.25">
      <c r="B29" s="369" t="s">
        <v>20636</v>
      </c>
      <c r="C29" s="324">
        <v>1.5</v>
      </c>
      <c r="D29" s="324">
        <v>0.6</v>
      </c>
      <c r="E29" s="324">
        <f t="shared" si="12"/>
        <v>0.5</v>
      </c>
      <c r="F29" s="324">
        <f t="shared" si="21"/>
        <v>2.1</v>
      </c>
      <c r="G29" s="324">
        <f t="shared" si="0"/>
        <v>0.05</v>
      </c>
      <c r="H29" s="324">
        <f t="shared" si="22"/>
        <v>0.45</v>
      </c>
      <c r="I29" s="324">
        <f t="shared" si="13"/>
        <v>80</v>
      </c>
      <c r="J29" s="324">
        <f t="shared" si="1"/>
        <v>36</v>
      </c>
      <c r="L29" s="778" t="s">
        <v>7</v>
      </c>
      <c r="M29" s="778"/>
      <c r="N29" s="778"/>
      <c r="O29" s="778"/>
      <c r="P29" s="330">
        <f>SUM(P4:P28)</f>
        <v>1.26</v>
      </c>
      <c r="Q29" s="330">
        <f>SUM(Q4:Q28)</f>
        <v>114.36</v>
      </c>
      <c r="R29" s="330">
        <f>SUM(R4:R28)</f>
        <v>12.239999999999998</v>
      </c>
      <c r="S29" s="330"/>
      <c r="T29" s="330">
        <f>SUM(T4:T28)</f>
        <v>918</v>
      </c>
      <c r="V29" s="369" t="s">
        <v>20912</v>
      </c>
      <c r="W29" s="324">
        <v>6</v>
      </c>
      <c r="X29" s="324">
        <f t="shared" si="10"/>
        <v>0.3</v>
      </c>
      <c r="Y29" s="324">
        <v>0.1</v>
      </c>
      <c r="Z29" s="324">
        <f t="shared" si="2"/>
        <v>0.6</v>
      </c>
      <c r="AA29" s="324" t="str">
        <f t="shared" si="15"/>
        <v>Q159</v>
      </c>
      <c r="AB29" s="324">
        <f t="shared" si="16"/>
        <v>2.52</v>
      </c>
      <c r="AC29" s="324">
        <f t="shared" si="3"/>
        <v>15.12</v>
      </c>
      <c r="AF29" s="316"/>
    </row>
    <row r="30" spans="2:34" x14ac:dyDescent="0.25">
      <c r="B30" s="369" t="s">
        <v>20637</v>
      </c>
      <c r="C30" s="324">
        <v>0.6</v>
      </c>
      <c r="D30" s="324">
        <v>1.5</v>
      </c>
      <c r="E30" s="324">
        <f t="shared" si="12"/>
        <v>0.5</v>
      </c>
      <c r="F30" s="324">
        <f t="shared" si="21"/>
        <v>2.1</v>
      </c>
      <c r="G30" s="324">
        <f t="shared" si="0"/>
        <v>0.05</v>
      </c>
      <c r="H30" s="324">
        <f t="shared" si="22"/>
        <v>0.45</v>
      </c>
      <c r="I30" s="324">
        <f t="shared" si="13"/>
        <v>80</v>
      </c>
      <c r="J30" s="324">
        <f t="shared" si="1"/>
        <v>36</v>
      </c>
      <c r="V30" s="369" t="s">
        <v>20913</v>
      </c>
      <c r="W30" s="324">
        <v>26.3</v>
      </c>
      <c r="X30" s="324">
        <f t="shared" si="10"/>
        <v>1.32</v>
      </c>
      <c r="Y30" s="324">
        <v>0.1</v>
      </c>
      <c r="Z30" s="324">
        <f t="shared" si="2"/>
        <v>2.63</v>
      </c>
      <c r="AA30" s="324" t="str">
        <f t="shared" si="15"/>
        <v>Q159</v>
      </c>
      <c r="AB30" s="324">
        <f t="shared" si="16"/>
        <v>2.52</v>
      </c>
      <c r="AC30" s="324">
        <f t="shared" si="3"/>
        <v>66.28</v>
      </c>
      <c r="AF30" s="316"/>
    </row>
    <row r="31" spans="2:34" x14ac:dyDescent="0.25">
      <c r="B31" s="369" t="s">
        <v>20638</v>
      </c>
      <c r="C31" s="324">
        <v>0.6</v>
      </c>
      <c r="D31" s="324">
        <v>1.5</v>
      </c>
      <c r="E31" s="324">
        <f t="shared" si="12"/>
        <v>0.5</v>
      </c>
      <c r="F31" s="324">
        <f t="shared" si="21"/>
        <v>2.1</v>
      </c>
      <c r="G31" s="324">
        <f t="shared" si="0"/>
        <v>0.05</v>
      </c>
      <c r="H31" s="324">
        <f t="shared" si="22"/>
        <v>0.45</v>
      </c>
      <c r="I31" s="324">
        <f t="shared" si="13"/>
        <v>80</v>
      </c>
      <c r="J31" s="324">
        <f t="shared" si="1"/>
        <v>36</v>
      </c>
      <c r="Q31" s="456">
        <f>F55+Q29</f>
        <v>202.56000000000003</v>
      </c>
      <c r="R31" s="456">
        <f>H55+R29</f>
        <v>29.519999999999985</v>
      </c>
      <c r="V31" s="369" t="s">
        <v>21586</v>
      </c>
      <c r="W31" s="324">
        <v>18.2</v>
      </c>
      <c r="X31" s="324">
        <f t="shared" ref="X31" si="26">ROUND(0.05*W31,2)</f>
        <v>0.91</v>
      </c>
      <c r="Y31" s="324">
        <v>0.1</v>
      </c>
      <c r="Z31" s="324">
        <f t="shared" ref="Z31" si="27">ROUND(W31*Y31,2)</f>
        <v>1.82</v>
      </c>
      <c r="AA31" s="324" t="str">
        <f t="shared" si="15"/>
        <v>Q159</v>
      </c>
      <c r="AB31" s="324">
        <f t="shared" si="16"/>
        <v>2.52</v>
      </c>
      <c r="AC31" s="324">
        <f t="shared" ref="AC31" si="28">ROUND(W31*AB31,2)</f>
        <v>45.86</v>
      </c>
      <c r="AF31" s="316"/>
    </row>
    <row r="32" spans="2:34" x14ac:dyDescent="0.25">
      <c r="B32" s="369" t="s">
        <v>20639</v>
      </c>
      <c r="C32" s="324">
        <v>0.6</v>
      </c>
      <c r="D32" s="324">
        <v>0.6</v>
      </c>
      <c r="E32" s="324">
        <f t="shared" si="12"/>
        <v>0.5</v>
      </c>
      <c r="F32" s="324">
        <f t="shared" si="21"/>
        <v>1.2</v>
      </c>
      <c r="G32" s="324">
        <f t="shared" si="0"/>
        <v>0.02</v>
      </c>
      <c r="H32" s="324">
        <f t="shared" si="22"/>
        <v>0.18</v>
      </c>
      <c r="I32" s="324">
        <f t="shared" si="13"/>
        <v>80</v>
      </c>
      <c r="J32" s="324">
        <f t="shared" si="1"/>
        <v>14.4</v>
      </c>
      <c r="V32" s="315" t="s">
        <v>7</v>
      </c>
      <c r="W32" s="330">
        <f>SUM(W4:W30)</f>
        <v>192.43</v>
      </c>
      <c r="X32" s="330">
        <f>SUM(X4:X30)</f>
        <v>9.6300000000000008</v>
      </c>
      <c r="Y32" s="328"/>
      <c r="Z32" s="330">
        <f>SUM(Z4:Z30)</f>
        <v>19.27</v>
      </c>
      <c r="AA32" s="370"/>
      <c r="AB32" s="370"/>
      <c r="AC32" s="330">
        <f>SUM(AC4:AC30)</f>
        <v>484.91999999999996</v>
      </c>
    </row>
    <row r="33" spans="2:26" x14ac:dyDescent="0.25">
      <c r="B33" s="369" t="s">
        <v>20640</v>
      </c>
      <c r="C33" s="324">
        <v>0.6</v>
      </c>
      <c r="D33" s="324">
        <v>0.6</v>
      </c>
      <c r="E33" s="324">
        <f t="shared" si="12"/>
        <v>0.5</v>
      </c>
      <c r="F33" s="324">
        <f t="shared" si="21"/>
        <v>1.2</v>
      </c>
      <c r="G33" s="324">
        <f t="shared" si="0"/>
        <v>0.02</v>
      </c>
      <c r="H33" s="324">
        <f t="shared" si="22"/>
        <v>0.18</v>
      </c>
      <c r="I33" s="324">
        <f t="shared" si="13"/>
        <v>80</v>
      </c>
      <c r="J33" s="324">
        <f t="shared" si="1"/>
        <v>14.4</v>
      </c>
      <c r="L33" s="316" t="s">
        <v>20688</v>
      </c>
      <c r="O33" s="316">
        <f>180+45</f>
        <v>225</v>
      </c>
    </row>
    <row r="34" spans="2:26" x14ac:dyDescent="0.25">
      <c r="B34" s="369" t="s">
        <v>20855</v>
      </c>
      <c r="C34" s="324">
        <v>0.6</v>
      </c>
      <c r="D34" s="324">
        <v>0.6</v>
      </c>
      <c r="E34" s="324">
        <f t="shared" si="12"/>
        <v>0.5</v>
      </c>
      <c r="F34" s="324">
        <f t="shared" ref="F34:F54" si="29">ROUND(2*C34*E34+2*D34*E34,2)</f>
        <v>1.2</v>
      </c>
      <c r="G34" s="324">
        <f t="shared" si="0"/>
        <v>0.02</v>
      </c>
      <c r="H34" s="324">
        <f t="shared" ref="H34:H54" si="30">ROUND(C34*D34*E34,2)</f>
        <v>0.18</v>
      </c>
      <c r="I34" s="324">
        <f t="shared" si="13"/>
        <v>80</v>
      </c>
      <c r="J34" s="324">
        <f t="shared" ref="J34:J54" si="31">ROUND(H34*I34,2)</f>
        <v>14.4</v>
      </c>
    </row>
    <row r="35" spans="2:26" x14ac:dyDescent="0.25">
      <c r="B35" s="369" t="s">
        <v>20856</v>
      </c>
      <c r="C35" s="324">
        <v>1.5</v>
      </c>
      <c r="D35" s="324">
        <v>0.6</v>
      </c>
      <c r="E35" s="324">
        <f t="shared" si="12"/>
        <v>0.5</v>
      </c>
      <c r="F35" s="324">
        <f t="shared" si="29"/>
        <v>2.1</v>
      </c>
      <c r="G35" s="324">
        <f t="shared" si="0"/>
        <v>0.05</v>
      </c>
      <c r="H35" s="324">
        <f t="shared" si="30"/>
        <v>0.45</v>
      </c>
      <c r="I35" s="324">
        <f t="shared" si="13"/>
        <v>80</v>
      </c>
      <c r="J35" s="324">
        <f t="shared" si="31"/>
        <v>36</v>
      </c>
      <c r="Z35" s="456">
        <f>H55+R29+Z32</f>
        <v>48.789999999999985</v>
      </c>
    </row>
    <row r="36" spans="2:26" x14ac:dyDescent="0.25">
      <c r="B36" s="369" t="s">
        <v>20857</v>
      </c>
      <c r="C36" s="324">
        <v>0.6</v>
      </c>
      <c r="D36" s="324">
        <v>0.6</v>
      </c>
      <c r="E36" s="324">
        <f t="shared" si="12"/>
        <v>0.5</v>
      </c>
      <c r="F36" s="324">
        <f t="shared" si="29"/>
        <v>1.2</v>
      </c>
      <c r="G36" s="324">
        <f t="shared" ref="G36:G54" si="32">ROUND(0.05*C36*D36,2)</f>
        <v>0.02</v>
      </c>
      <c r="H36" s="324">
        <f t="shared" si="30"/>
        <v>0.18</v>
      </c>
      <c r="I36" s="324">
        <f t="shared" si="13"/>
        <v>80</v>
      </c>
      <c r="J36" s="324">
        <f t="shared" si="31"/>
        <v>14.4</v>
      </c>
      <c r="P36" s="316">
        <f>1.92+1.26+9.63</f>
        <v>12.81</v>
      </c>
    </row>
    <row r="37" spans="2:26" x14ac:dyDescent="0.25">
      <c r="B37" s="369" t="s">
        <v>20858</v>
      </c>
      <c r="C37" s="324">
        <v>1.5</v>
      </c>
      <c r="D37" s="324">
        <v>0.6</v>
      </c>
      <c r="E37" s="324">
        <f t="shared" si="12"/>
        <v>0.5</v>
      </c>
      <c r="F37" s="324">
        <f t="shared" si="29"/>
        <v>2.1</v>
      </c>
      <c r="G37" s="324">
        <f t="shared" si="32"/>
        <v>0.05</v>
      </c>
      <c r="H37" s="324">
        <f t="shared" si="30"/>
        <v>0.45</v>
      </c>
      <c r="I37" s="324">
        <f t="shared" si="13"/>
        <v>80</v>
      </c>
      <c r="J37" s="324">
        <f t="shared" si="31"/>
        <v>36</v>
      </c>
    </row>
    <row r="38" spans="2:26" x14ac:dyDescent="0.25">
      <c r="B38" s="369" t="s">
        <v>20859</v>
      </c>
      <c r="C38" s="324">
        <v>0.6</v>
      </c>
      <c r="D38" s="324">
        <v>1.5</v>
      </c>
      <c r="E38" s="324">
        <f t="shared" si="12"/>
        <v>0.5</v>
      </c>
      <c r="F38" s="324">
        <f t="shared" si="29"/>
        <v>2.1</v>
      </c>
      <c r="G38" s="324">
        <f t="shared" si="32"/>
        <v>0.05</v>
      </c>
      <c r="H38" s="324">
        <f t="shared" si="30"/>
        <v>0.45</v>
      </c>
      <c r="I38" s="324">
        <f t="shared" si="13"/>
        <v>80</v>
      </c>
      <c r="J38" s="324">
        <f t="shared" si="31"/>
        <v>36</v>
      </c>
    </row>
    <row r="39" spans="2:26" x14ac:dyDescent="0.25">
      <c r="B39" s="369" t="s">
        <v>20860</v>
      </c>
      <c r="C39" s="324">
        <v>1.5</v>
      </c>
      <c r="D39" s="324">
        <v>0.6</v>
      </c>
      <c r="E39" s="324">
        <f t="shared" si="12"/>
        <v>0.5</v>
      </c>
      <c r="F39" s="324">
        <f t="shared" si="29"/>
        <v>2.1</v>
      </c>
      <c r="G39" s="324">
        <f t="shared" si="32"/>
        <v>0.05</v>
      </c>
      <c r="H39" s="324">
        <f t="shared" si="30"/>
        <v>0.45</v>
      </c>
      <c r="I39" s="324">
        <f t="shared" si="13"/>
        <v>80</v>
      </c>
      <c r="J39" s="324">
        <f t="shared" si="31"/>
        <v>36</v>
      </c>
    </row>
    <row r="40" spans="2:26" x14ac:dyDescent="0.25">
      <c r="B40" s="369" t="s">
        <v>20861</v>
      </c>
      <c r="C40" s="324">
        <v>0.6</v>
      </c>
      <c r="D40" s="324">
        <v>1.5</v>
      </c>
      <c r="E40" s="324">
        <f t="shared" si="12"/>
        <v>0.5</v>
      </c>
      <c r="F40" s="324">
        <f t="shared" si="29"/>
        <v>2.1</v>
      </c>
      <c r="G40" s="324">
        <f t="shared" si="32"/>
        <v>0.05</v>
      </c>
      <c r="H40" s="324">
        <f t="shared" si="30"/>
        <v>0.45</v>
      </c>
      <c r="I40" s="324">
        <f t="shared" si="13"/>
        <v>80</v>
      </c>
      <c r="J40" s="324">
        <f t="shared" si="31"/>
        <v>36</v>
      </c>
    </row>
    <row r="41" spans="2:26" x14ac:dyDescent="0.25">
      <c r="B41" s="369" t="s">
        <v>20862</v>
      </c>
      <c r="C41" s="324">
        <v>0.6</v>
      </c>
      <c r="D41" s="324">
        <v>1.5</v>
      </c>
      <c r="E41" s="324">
        <f t="shared" si="12"/>
        <v>0.5</v>
      </c>
      <c r="F41" s="324">
        <f t="shared" si="29"/>
        <v>2.1</v>
      </c>
      <c r="G41" s="324">
        <f t="shared" si="32"/>
        <v>0.05</v>
      </c>
      <c r="H41" s="324">
        <f t="shared" si="30"/>
        <v>0.45</v>
      </c>
      <c r="I41" s="324">
        <f t="shared" si="13"/>
        <v>80</v>
      </c>
      <c r="J41" s="324">
        <f t="shared" si="31"/>
        <v>36</v>
      </c>
    </row>
    <row r="42" spans="2:26" x14ac:dyDescent="0.25">
      <c r="B42" s="369" t="s">
        <v>20863</v>
      </c>
      <c r="C42" s="324">
        <v>1.5</v>
      </c>
      <c r="D42" s="324">
        <v>0.6</v>
      </c>
      <c r="E42" s="324">
        <f t="shared" si="12"/>
        <v>0.5</v>
      </c>
      <c r="F42" s="324">
        <f t="shared" si="29"/>
        <v>2.1</v>
      </c>
      <c r="G42" s="324">
        <f t="shared" si="32"/>
        <v>0.05</v>
      </c>
      <c r="H42" s="324">
        <f t="shared" si="30"/>
        <v>0.45</v>
      </c>
      <c r="I42" s="324">
        <f t="shared" si="13"/>
        <v>80</v>
      </c>
      <c r="J42" s="324">
        <f t="shared" si="31"/>
        <v>36</v>
      </c>
    </row>
    <row r="43" spans="2:26" x14ac:dyDescent="0.25">
      <c r="B43" s="369" t="s">
        <v>20864</v>
      </c>
      <c r="C43" s="324">
        <v>0.6</v>
      </c>
      <c r="D43" s="324">
        <v>0.6</v>
      </c>
      <c r="E43" s="324">
        <f t="shared" si="12"/>
        <v>0.5</v>
      </c>
      <c r="F43" s="324">
        <f t="shared" si="29"/>
        <v>1.2</v>
      </c>
      <c r="G43" s="324">
        <f t="shared" si="32"/>
        <v>0.02</v>
      </c>
      <c r="H43" s="324">
        <f t="shared" si="30"/>
        <v>0.18</v>
      </c>
      <c r="I43" s="324">
        <f t="shared" si="13"/>
        <v>80</v>
      </c>
      <c r="J43" s="324">
        <f t="shared" si="31"/>
        <v>14.4</v>
      </c>
    </row>
    <row r="44" spans="2:26" x14ac:dyDescent="0.25">
      <c r="B44" s="369" t="s">
        <v>20865</v>
      </c>
      <c r="C44" s="324">
        <v>1.5</v>
      </c>
      <c r="D44" s="324">
        <v>0.6</v>
      </c>
      <c r="E44" s="324">
        <f t="shared" si="12"/>
        <v>0.5</v>
      </c>
      <c r="F44" s="324">
        <f t="shared" si="29"/>
        <v>2.1</v>
      </c>
      <c r="G44" s="324">
        <f t="shared" si="32"/>
        <v>0.05</v>
      </c>
      <c r="H44" s="324">
        <f t="shared" si="30"/>
        <v>0.45</v>
      </c>
      <c r="I44" s="324">
        <f t="shared" si="13"/>
        <v>80</v>
      </c>
      <c r="J44" s="324">
        <f t="shared" si="31"/>
        <v>36</v>
      </c>
    </row>
    <row r="45" spans="2:26" x14ac:dyDescent="0.25">
      <c r="B45" s="369" t="s">
        <v>20866</v>
      </c>
      <c r="C45" s="324">
        <v>0.6</v>
      </c>
      <c r="D45" s="324">
        <v>0.6</v>
      </c>
      <c r="E45" s="324">
        <f t="shared" si="12"/>
        <v>0.5</v>
      </c>
      <c r="F45" s="324">
        <f t="shared" si="29"/>
        <v>1.2</v>
      </c>
      <c r="G45" s="324">
        <f t="shared" si="32"/>
        <v>0.02</v>
      </c>
      <c r="H45" s="324">
        <f t="shared" si="30"/>
        <v>0.18</v>
      </c>
      <c r="I45" s="324">
        <f t="shared" si="13"/>
        <v>80</v>
      </c>
      <c r="J45" s="324">
        <f t="shared" si="31"/>
        <v>14.4</v>
      </c>
    </row>
    <row r="46" spans="2:26" x14ac:dyDescent="0.25">
      <c r="B46" s="369" t="s">
        <v>20867</v>
      </c>
      <c r="C46" s="324">
        <v>1.5</v>
      </c>
      <c r="D46" s="324">
        <v>0.6</v>
      </c>
      <c r="E46" s="324">
        <f t="shared" si="12"/>
        <v>0.5</v>
      </c>
      <c r="F46" s="324">
        <f t="shared" si="29"/>
        <v>2.1</v>
      </c>
      <c r="G46" s="324">
        <f t="shared" si="32"/>
        <v>0.05</v>
      </c>
      <c r="H46" s="324">
        <f t="shared" si="30"/>
        <v>0.45</v>
      </c>
      <c r="I46" s="324">
        <f t="shared" si="13"/>
        <v>80</v>
      </c>
      <c r="J46" s="324">
        <f t="shared" si="31"/>
        <v>36</v>
      </c>
    </row>
    <row r="47" spans="2:26" x14ac:dyDescent="0.25">
      <c r="B47" s="369" t="s">
        <v>20868</v>
      </c>
      <c r="C47" s="324">
        <v>0.6</v>
      </c>
      <c r="D47" s="324">
        <v>0.6</v>
      </c>
      <c r="E47" s="324">
        <f t="shared" si="12"/>
        <v>0.5</v>
      </c>
      <c r="F47" s="324">
        <f t="shared" si="29"/>
        <v>1.2</v>
      </c>
      <c r="G47" s="324">
        <f t="shared" si="32"/>
        <v>0.02</v>
      </c>
      <c r="H47" s="324">
        <f t="shared" si="30"/>
        <v>0.18</v>
      </c>
      <c r="I47" s="324">
        <f t="shared" si="13"/>
        <v>80</v>
      </c>
      <c r="J47" s="324">
        <f t="shared" si="31"/>
        <v>14.4</v>
      </c>
    </row>
    <row r="48" spans="2:26" x14ac:dyDescent="0.25">
      <c r="B48" s="369" t="s">
        <v>20869</v>
      </c>
      <c r="C48" s="324">
        <v>0.6</v>
      </c>
      <c r="D48" s="324">
        <v>0.6</v>
      </c>
      <c r="E48" s="324">
        <f t="shared" si="12"/>
        <v>0.5</v>
      </c>
      <c r="F48" s="324">
        <f t="shared" si="29"/>
        <v>1.2</v>
      </c>
      <c r="G48" s="324">
        <f t="shared" si="32"/>
        <v>0.02</v>
      </c>
      <c r="H48" s="324">
        <f t="shared" si="30"/>
        <v>0.18</v>
      </c>
      <c r="I48" s="324">
        <f t="shared" si="13"/>
        <v>80</v>
      </c>
      <c r="J48" s="324">
        <f t="shared" si="31"/>
        <v>14.4</v>
      </c>
    </row>
    <row r="49" spans="2:29" x14ac:dyDescent="0.25">
      <c r="B49" s="369" t="s">
        <v>20870</v>
      </c>
      <c r="C49" s="324">
        <v>1.5</v>
      </c>
      <c r="D49" s="324">
        <v>0.6</v>
      </c>
      <c r="E49" s="324">
        <f t="shared" si="12"/>
        <v>0.5</v>
      </c>
      <c r="F49" s="324">
        <f t="shared" si="29"/>
        <v>2.1</v>
      </c>
      <c r="G49" s="324">
        <f t="shared" si="32"/>
        <v>0.05</v>
      </c>
      <c r="H49" s="324">
        <f t="shared" si="30"/>
        <v>0.45</v>
      </c>
      <c r="I49" s="324">
        <f t="shared" si="13"/>
        <v>80</v>
      </c>
      <c r="J49" s="324">
        <f t="shared" si="31"/>
        <v>36</v>
      </c>
    </row>
    <row r="50" spans="2:29" x14ac:dyDescent="0.25">
      <c r="B50" s="369" t="s">
        <v>20871</v>
      </c>
      <c r="C50" s="324">
        <v>0.6</v>
      </c>
      <c r="D50" s="324">
        <v>0.6</v>
      </c>
      <c r="E50" s="324">
        <f t="shared" si="12"/>
        <v>0.5</v>
      </c>
      <c r="F50" s="324">
        <f t="shared" si="29"/>
        <v>1.2</v>
      </c>
      <c r="G50" s="324">
        <f t="shared" si="32"/>
        <v>0.02</v>
      </c>
      <c r="H50" s="324">
        <f t="shared" si="30"/>
        <v>0.18</v>
      </c>
      <c r="I50" s="324">
        <f t="shared" si="13"/>
        <v>80</v>
      </c>
      <c r="J50" s="324">
        <f t="shared" si="31"/>
        <v>14.4</v>
      </c>
    </row>
    <row r="51" spans="2:29" x14ac:dyDescent="0.25">
      <c r="B51" s="369" t="s">
        <v>20872</v>
      </c>
      <c r="C51" s="324">
        <v>0.6</v>
      </c>
      <c r="D51" s="324">
        <v>0.6</v>
      </c>
      <c r="E51" s="324">
        <f t="shared" si="12"/>
        <v>0.5</v>
      </c>
      <c r="F51" s="324">
        <f t="shared" si="29"/>
        <v>1.2</v>
      </c>
      <c r="G51" s="324">
        <f t="shared" si="32"/>
        <v>0.02</v>
      </c>
      <c r="H51" s="324">
        <f t="shared" si="30"/>
        <v>0.18</v>
      </c>
      <c r="I51" s="324">
        <f t="shared" si="13"/>
        <v>80</v>
      </c>
      <c r="J51" s="324">
        <f t="shared" si="31"/>
        <v>14.4</v>
      </c>
    </row>
    <row r="52" spans="2:29" x14ac:dyDescent="0.25">
      <c r="B52" s="369" t="s">
        <v>20873</v>
      </c>
      <c r="C52" s="324">
        <v>0.6</v>
      </c>
      <c r="D52" s="324">
        <v>0.6</v>
      </c>
      <c r="E52" s="324">
        <f t="shared" si="12"/>
        <v>0.5</v>
      </c>
      <c r="F52" s="324">
        <f t="shared" si="29"/>
        <v>1.2</v>
      </c>
      <c r="G52" s="324">
        <f t="shared" si="32"/>
        <v>0.02</v>
      </c>
      <c r="H52" s="324">
        <f t="shared" si="30"/>
        <v>0.18</v>
      </c>
      <c r="I52" s="324">
        <f t="shared" si="13"/>
        <v>80</v>
      </c>
      <c r="J52" s="324">
        <f t="shared" si="31"/>
        <v>14.4</v>
      </c>
    </row>
    <row r="53" spans="2:29" x14ac:dyDescent="0.25">
      <c r="B53" s="369" t="s">
        <v>20874</v>
      </c>
      <c r="C53" s="324">
        <v>0.6</v>
      </c>
      <c r="D53" s="324">
        <v>0.6</v>
      </c>
      <c r="E53" s="324">
        <f t="shared" si="12"/>
        <v>0.5</v>
      </c>
      <c r="F53" s="324">
        <f t="shared" si="29"/>
        <v>1.2</v>
      </c>
      <c r="G53" s="324">
        <f t="shared" si="32"/>
        <v>0.02</v>
      </c>
      <c r="H53" s="324">
        <f t="shared" si="30"/>
        <v>0.18</v>
      </c>
      <c r="I53" s="324">
        <f t="shared" si="13"/>
        <v>80</v>
      </c>
      <c r="J53" s="324">
        <f t="shared" si="31"/>
        <v>14.4</v>
      </c>
    </row>
    <row r="54" spans="2:29" x14ac:dyDescent="0.25">
      <c r="B54" s="369" t="s">
        <v>20875</v>
      </c>
      <c r="C54" s="324">
        <v>0.6</v>
      </c>
      <c r="D54" s="324">
        <v>0.6</v>
      </c>
      <c r="E54" s="324">
        <f t="shared" si="12"/>
        <v>0.5</v>
      </c>
      <c r="F54" s="324">
        <f t="shared" si="29"/>
        <v>1.2</v>
      </c>
      <c r="G54" s="324">
        <f t="shared" si="32"/>
        <v>0.02</v>
      </c>
      <c r="H54" s="324">
        <f t="shared" si="30"/>
        <v>0.18</v>
      </c>
      <c r="I54" s="324">
        <f t="shared" si="13"/>
        <v>80</v>
      </c>
      <c r="J54" s="324">
        <f t="shared" si="31"/>
        <v>14.4</v>
      </c>
    </row>
    <row r="55" spans="2:29" x14ac:dyDescent="0.25">
      <c r="B55" s="778" t="s">
        <v>7</v>
      </c>
      <c r="C55" s="778"/>
      <c r="D55" s="778"/>
      <c r="E55" s="778"/>
      <c r="F55" s="371">
        <f>SUBTOTAL(9,F4:F54)</f>
        <v>88.200000000000031</v>
      </c>
      <c r="G55" s="371">
        <f>SUBTOTAL(9,G4:G54)</f>
        <v>1.9200000000000013</v>
      </c>
      <c r="H55" s="371">
        <f>SUBTOTAL(9,H4:H54)</f>
        <v>17.279999999999987</v>
      </c>
      <c r="I55" s="371"/>
      <c r="J55" s="371">
        <f>SUBTOTAL(9,J4:J54)</f>
        <v>1382.4000000000005</v>
      </c>
    </row>
    <row r="58" spans="2:29" x14ac:dyDescent="0.25">
      <c r="B58" s="771" t="s">
        <v>21038</v>
      </c>
      <c r="C58" s="771"/>
      <c r="D58" s="771"/>
      <c r="E58" s="771"/>
      <c r="F58" s="771"/>
      <c r="G58" s="374"/>
      <c r="I58" s="775" t="s">
        <v>21039</v>
      </c>
      <c r="J58" s="777"/>
      <c r="V58" s="775" t="s">
        <v>20884</v>
      </c>
      <c r="W58" s="776"/>
      <c r="X58" s="776"/>
      <c r="Y58" s="776"/>
      <c r="Z58" s="776"/>
      <c r="AA58" s="776"/>
      <c r="AB58" s="776"/>
      <c r="AC58" s="777"/>
    </row>
    <row r="59" spans="2:29" ht="60" x14ac:dyDescent="0.25">
      <c r="B59" s="341" t="s">
        <v>107</v>
      </c>
      <c r="C59" s="342" t="s">
        <v>20604</v>
      </c>
      <c r="D59" s="342" t="s">
        <v>21256</v>
      </c>
      <c r="E59" s="342" t="s">
        <v>21258</v>
      </c>
      <c r="F59" s="342" t="s">
        <v>21257</v>
      </c>
      <c r="G59" s="375"/>
      <c r="I59" s="341" t="s">
        <v>107</v>
      </c>
      <c r="J59" s="342" t="s">
        <v>20604</v>
      </c>
      <c r="V59" s="341" t="s">
        <v>107</v>
      </c>
      <c r="W59" s="342" t="s">
        <v>88</v>
      </c>
      <c r="X59" s="342" t="s">
        <v>21255</v>
      </c>
      <c r="Y59" s="342" t="s">
        <v>87</v>
      </c>
      <c r="Z59" s="342" t="s">
        <v>20361</v>
      </c>
      <c r="AA59" s="342" t="s">
        <v>20883</v>
      </c>
      <c r="AB59" s="342" t="s">
        <v>20885</v>
      </c>
      <c r="AC59" s="342" t="s">
        <v>20587</v>
      </c>
    </row>
    <row r="60" spans="2:29" x14ac:dyDescent="0.25">
      <c r="B60" s="369" t="s">
        <v>20748</v>
      </c>
      <c r="C60" s="324">
        <v>5</v>
      </c>
      <c r="D60" s="324">
        <f>C60*6</f>
        <v>30</v>
      </c>
      <c r="E60" s="324">
        <f>ROUND(20*1.67,2)</f>
        <v>33.4</v>
      </c>
      <c r="F60" s="324">
        <f>ROUND(0.62*D60+0.25*E60,2)</f>
        <v>26.95</v>
      </c>
      <c r="G60" s="368"/>
      <c r="I60" s="369" t="s">
        <v>20832</v>
      </c>
      <c r="J60" s="324">
        <v>3</v>
      </c>
      <c r="L60" s="316">
        <f>0.28*0.0015*100*100</f>
        <v>4.2000000000000011</v>
      </c>
      <c r="M60" s="316">
        <f>PI()*0.5*0.5</f>
        <v>0.78539816339744828</v>
      </c>
      <c r="N60" s="316">
        <f>L60/M60</f>
        <v>5.3476060878876845</v>
      </c>
      <c r="V60" s="369" t="s">
        <v>20912</v>
      </c>
      <c r="W60" s="324">
        <v>6</v>
      </c>
      <c r="X60" s="324">
        <f t="shared" ref="X60:X61" si="33">ROUND(0.05*W60,2)</f>
        <v>0.3</v>
      </c>
      <c r="Y60" s="324">
        <v>0.1</v>
      </c>
      <c r="Z60" s="324">
        <f t="shared" ref="Z60:Z61" si="34">ROUND(W60*Y60,2)</f>
        <v>0.6</v>
      </c>
      <c r="AA60" s="324" t="str">
        <f t="shared" ref="AA60:AA61" si="35">$AA$4</f>
        <v>Q159</v>
      </c>
      <c r="AB60" s="324">
        <f t="shared" ref="AB60:AB61" si="36">$AB$4</f>
        <v>2.52</v>
      </c>
      <c r="AC60" s="324">
        <f t="shared" ref="AC60:AC61" si="37">ROUND(W60*AB60,2)</f>
        <v>15.12</v>
      </c>
    </row>
    <row r="61" spans="2:29" x14ac:dyDescent="0.25">
      <c r="B61" s="369" t="s">
        <v>21808</v>
      </c>
      <c r="C61" s="324">
        <v>5</v>
      </c>
      <c r="D61" s="324">
        <f t="shared" ref="D61:D97" si="38">C61*6</f>
        <v>30</v>
      </c>
      <c r="E61" s="324">
        <f t="shared" ref="E61:E97" si="39">ROUND(20*1.67,2)</f>
        <v>33.4</v>
      </c>
      <c r="F61" s="324">
        <f t="shared" ref="F61:F124" si="40">ROUND(0.62*D61+0.25*E61,2)</f>
        <v>26.95</v>
      </c>
      <c r="G61" s="368"/>
      <c r="I61" s="369" t="s">
        <v>20833</v>
      </c>
      <c r="J61" s="324">
        <f t="shared" ref="J61" si="41">$J$60</f>
        <v>3</v>
      </c>
      <c r="M61" s="316">
        <f>PI()*1.25*1.25/4</f>
        <v>1.227184630308513</v>
      </c>
      <c r="N61" s="316">
        <f>L60/M61</f>
        <v>3.4224678962481181</v>
      </c>
      <c r="V61" s="369" t="s">
        <v>20913</v>
      </c>
      <c r="W61" s="324">
        <v>26.3</v>
      </c>
      <c r="X61" s="324">
        <f t="shared" si="33"/>
        <v>1.32</v>
      </c>
      <c r="Y61" s="324">
        <v>0.1</v>
      </c>
      <c r="Z61" s="324">
        <f t="shared" si="34"/>
        <v>2.63</v>
      </c>
      <c r="AA61" s="324" t="str">
        <f t="shared" si="35"/>
        <v>Q159</v>
      </c>
      <c r="AB61" s="324">
        <f t="shared" si="36"/>
        <v>2.52</v>
      </c>
      <c r="AC61" s="324">
        <f t="shared" si="37"/>
        <v>66.28</v>
      </c>
    </row>
    <row r="62" spans="2:29" x14ac:dyDescent="0.25">
      <c r="B62" s="369" t="s">
        <v>20749</v>
      </c>
      <c r="C62" s="324">
        <v>5</v>
      </c>
      <c r="D62" s="324">
        <f t="shared" si="38"/>
        <v>30</v>
      </c>
      <c r="E62" s="324">
        <f t="shared" si="39"/>
        <v>33.4</v>
      </c>
      <c r="F62" s="324">
        <f t="shared" si="40"/>
        <v>26.95</v>
      </c>
      <c r="G62" s="368"/>
      <c r="I62" s="315" t="s">
        <v>7</v>
      </c>
      <c r="J62" s="330">
        <f>SUM(J60:J61)</f>
        <v>6</v>
      </c>
      <c r="N62" s="316">
        <f>360/5</f>
        <v>72</v>
      </c>
      <c r="V62" s="315" t="s">
        <v>7</v>
      </c>
      <c r="W62" s="330">
        <f>SUM(W40:W61)</f>
        <v>32.299999999999997</v>
      </c>
      <c r="X62" s="330">
        <f>SUM(X40:X61)</f>
        <v>1.62</v>
      </c>
      <c r="Y62" s="328"/>
      <c r="Z62" s="330">
        <f>SUM(Z40:Z61)</f>
        <v>3.23</v>
      </c>
      <c r="AA62" s="370"/>
      <c r="AB62" s="370"/>
      <c r="AC62" s="330">
        <f>SUM(AC40:AC61)</f>
        <v>81.400000000000006</v>
      </c>
    </row>
    <row r="63" spans="2:29" x14ac:dyDescent="0.25">
      <c r="B63" s="369" t="s">
        <v>20750</v>
      </c>
      <c r="C63" s="324">
        <v>5</v>
      </c>
      <c r="D63" s="324">
        <f t="shared" si="38"/>
        <v>30</v>
      </c>
      <c r="E63" s="324">
        <f t="shared" si="39"/>
        <v>33.4</v>
      </c>
      <c r="F63" s="324">
        <f t="shared" si="40"/>
        <v>26.95</v>
      </c>
      <c r="G63" s="368"/>
      <c r="I63"/>
      <c r="J63"/>
    </row>
    <row r="64" spans="2:29" x14ac:dyDescent="0.25">
      <c r="B64" s="369" t="s">
        <v>20751</v>
      </c>
      <c r="C64" s="324">
        <v>5</v>
      </c>
      <c r="D64" s="324">
        <f t="shared" si="38"/>
        <v>30</v>
      </c>
      <c r="E64" s="324">
        <f t="shared" si="39"/>
        <v>33.4</v>
      </c>
      <c r="F64" s="324">
        <f t="shared" si="40"/>
        <v>26.95</v>
      </c>
      <c r="G64" s="368"/>
      <c r="I64"/>
      <c r="J64"/>
    </row>
    <row r="65" spans="2:11" x14ac:dyDescent="0.25">
      <c r="B65" s="369" t="s">
        <v>20752</v>
      </c>
      <c r="C65" s="324">
        <v>5</v>
      </c>
      <c r="D65" s="324">
        <f t="shared" si="38"/>
        <v>30</v>
      </c>
      <c r="E65" s="324">
        <f t="shared" si="39"/>
        <v>33.4</v>
      </c>
      <c r="F65" s="324">
        <f t="shared" si="40"/>
        <v>26.95</v>
      </c>
      <c r="G65" s="368"/>
      <c r="I65"/>
      <c r="J65"/>
    </row>
    <row r="66" spans="2:11" x14ac:dyDescent="0.25">
      <c r="B66" s="369" t="s">
        <v>20753</v>
      </c>
      <c r="C66" s="324">
        <v>5</v>
      </c>
      <c r="D66" s="324">
        <f t="shared" si="38"/>
        <v>30</v>
      </c>
      <c r="E66" s="324">
        <f t="shared" si="39"/>
        <v>33.4</v>
      </c>
      <c r="F66" s="324">
        <f t="shared" si="40"/>
        <v>26.95</v>
      </c>
      <c r="G66" s="368"/>
      <c r="I66"/>
      <c r="J66"/>
    </row>
    <row r="67" spans="2:11" x14ac:dyDescent="0.25">
      <c r="B67" s="369" t="s">
        <v>20754</v>
      </c>
      <c r="C67" s="324">
        <v>5</v>
      </c>
      <c r="D67" s="324">
        <f t="shared" si="38"/>
        <v>30</v>
      </c>
      <c r="E67" s="324">
        <f t="shared" si="39"/>
        <v>33.4</v>
      </c>
      <c r="F67" s="324">
        <f t="shared" si="40"/>
        <v>26.95</v>
      </c>
      <c r="G67" s="368"/>
      <c r="I67"/>
      <c r="J67"/>
    </row>
    <row r="68" spans="2:11" x14ac:dyDescent="0.25">
      <c r="B68" s="369" t="s">
        <v>20755</v>
      </c>
      <c r="C68" s="324">
        <v>5</v>
      </c>
      <c r="D68" s="324">
        <f t="shared" si="38"/>
        <v>30</v>
      </c>
      <c r="E68" s="324">
        <f t="shared" si="39"/>
        <v>33.4</v>
      </c>
      <c r="F68" s="324">
        <f t="shared" si="40"/>
        <v>26.95</v>
      </c>
      <c r="G68" s="368"/>
      <c r="I68"/>
      <c r="J68"/>
    </row>
    <row r="69" spans="2:11" x14ac:dyDescent="0.25">
      <c r="B69" s="369" t="s">
        <v>20756</v>
      </c>
      <c r="C69" s="324">
        <v>5</v>
      </c>
      <c r="D69" s="324">
        <f t="shared" si="38"/>
        <v>30</v>
      </c>
      <c r="E69" s="324">
        <f t="shared" si="39"/>
        <v>33.4</v>
      </c>
      <c r="F69" s="324">
        <f t="shared" si="40"/>
        <v>26.95</v>
      </c>
      <c r="G69" s="368"/>
      <c r="I69"/>
      <c r="J69"/>
    </row>
    <row r="70" spans="2:11" x14ac:dyDescent="0.25">
      <c r="B70" s="369" t="s">
        <v>20757</v>
      </c>
      <c r="C70" s="324">
        <v>5</v>
      </c>
      <c r="D70" s="324">
        <f t="shared" si="38"/>
        <v>30</v>
      </c>
      <c r="E70" s="324">
        <f t="shared" si="39"/>
        <v>33.4</v>
      </c>
      <c r="F70" s="324">
        <f t="shared" si="40"/>
        <v>26.95</v>
      </c>
      <c r="G70" s="368"/>
      <c r="I70"/>
      <c r="J70"/>
      <c r="K70" s="316">
        <f>161-124</f>
        <v>37</v>
      </c>
    </row>
    <row r="71" spans="2:11" x14ac:dyDescent="0.25">
      <c r="B71" s="369" t="s">
        <v>20758</v>
      </c>
      <c r="C71" s="324">
        <v>5</v>
      </c>
      <c r="D71" s="324">
        <f t="shared" si="38"/>
        <v>30</v>
      </c>
      <c r="E71" s="324">
        <f t="shared" si="39"/>
        <v>33.4</v>
      </c>
      <c r="F71" s="324">
        <f t="shared" si="40"/>
        <v>26.95</v>
      </c>
      <c r="G71" s="368"/>
      <c r="I71"/>
      <c r="J71"/>
    </row>
    <row r="72" spans="2:11" x14ac:dyDescent="0.25">
      <c r="B72" s="369" t="s">
        <v>20759</v>
      </c>
      <c r="C72" s="324">
        <v>5</v>
      </c>
      <c r="D72" s="324">
        <f t="shared" si="38"/>
        <v>30</v>
      </c>
      <c r="E72" s="324">
        <f t="shared" si="39"/>
        <v>33.4</v>
      </c>
      <c r="F72" s="324">
        <f t="shared" si="40"/>
        <v>26.95</v>
      </c>
      <c r="G72" s="368"/>
      <c r="I72"/>
      <c r="J72"/>
    </row>
    <row r="73" spans="2:11" x14ac:dyDescent="0.25">
      <c r="B73" s="369" t="s">
        <v>20760</v>
      </c>
      <c r="C73" s="324">
        <v>5</v>
      </c>
      <c r="D73" s="324">
        <f t="shared" si="38"/>
        <v>30</v>
      </c>
      <c r="E73" s="324">
        <f t="shared" si="39"/>
        <v>33.4</v>
      </c>
      <c r="F73" s="324">
        <f t="shared" si="40"/>
        <v>26.95</v>
      </c>
      <c r="G73" s="368"/>
      <c r="I73"/>
      <c r="J73"/>
    </row>
    <row r="74" spans="2:11" x14ac:dyDescent="0.25">
      <c r="B74" s="369" t="s">
        <v>20761</v>
      </c>
      <c r="C74" s="324">
        <v>5</v>
      </c>
      <c r="D74" s="324">
        <f t="shared" si="38"/>
        <v>30</v>
      </c>
      <c r="E74" s="324">
        <f t="shared" si="39"/>
        <v>33.4</v>
      </c>
      <c r="F74" s="324">
        <f t="shared" si="40"/>
        <v>26.95</v>
      </c>
      <c r="G74" s="368"/>
      <c r="I74"/>
      <c r="J74"/>
    </row>
    <row r="75" spans="2:11" x14ac:dyDescent="0.25">
      <c r="B75" s="369" t="s">
        <v>20762</v>
      </c>
      <c r="C75" s="324">
        <v>5</v>
      </c>
      <c r="D75" s="324">
        <f t="shared" si="38"/>
        <v>30</v>
      </c>
      <c r="E75" s="324">
        <f t="shared" si="39"/>
        <v>33.4</v>
      </c>
      <c r="F75" s="324">
        <f t="shared" si="40"/>
        <v>26.95</v>
      </c>
      <c r="G75" s="368"/>
      <c r="I75"/>
      <c r="J75"/>
    </row>
    <row r="76" spans="2:11" x14ac:dyDescent="0.25">
      <c r="B76" s="369" t="s">
        <v>20663</v>
      </c>
      <c r="C76" s="324">
        <v>5</v>
      </c>
      <c r="D76" s="324">
        <f t="shared" si="38"/>
        <v>30</v>
      </c>
      <c r="E76" s="324">
        <f t="shared" si="39"/>
        <v>33.4</v>
      </c>
      <c r="F76" s="324">
        <f t="shared" si="40"/>
        <v>26.95</v>
      </c>
      <c r="G76" s="368"/>
      <c r="I76"/>
      <c r="J76"/>
    </row>
    <row r="77" spans="2:11" x14ac:dyDescent="0.25">
      <c r="B77" s="369" t="s">
        <v>20763</v>
      </c>
      <c r="C77" s="324">
        <v>5</v>
      </c>
      <c r="D77" s="324">
        <f t="shared" si="38"/>
        <v>30</v>
      </c>
      <c r="E77" s="324">
        <f t="shared" si="39"/>
        <v>33.4</v>
      </c>
      <c r="F77" s="324">
        <f t="shared" si="40"/>
        <v>26.95</v>
      </c>
      <c r="G77" s="368"/>
      <c r="I77"/>
      <c r="J77"/>
    </row>
    <row r="78" spans="2:11" x14ac:dyDescent="0.25">
      <c r="B78" s="369" t="s">
        <v>20764</v>
      </c>
      <c r="C78" s="324">
        <v>5</v>
      </c>
      <c r="D78" s="324">
        <f t="shared" si="38"/>
        <v>30</v>
      </c>
      <c r="E78" s="324">
        <f t="shared" si="39"/>
        <v>33.4</v>
      </c>
      <c r="F78" s="324">
        <f t="shared" si="40"/>
        <v>26.95</v>
      </c>
      <c r="G78" s="368"/>
      <c r="I78"/>
      <c r="J78"/>
    </row>
    <row r="79" spans="2:11" x14ac:dyDescent="0.25">
      <c r="B79" s="369" t="s">
        <v>20765</v>
      </c>
      <c r="C79" s="324">
        <v>5</v>
      </c>
      <c r="D79" s="324">
        <f t="shared" si="38"/>
        <v>30</v>
      </c>
      <c r="E79" s="324">
        <f t="shared" si="39"/>
        <v>33.4</v>
      </c>
      <c r="F79" s="324">
        <f t="shared" si="40"/>
        <v>26.95</v>
      </c>
      <c r="G79" s="368"/>
      <c r="I79"/>
      <c r="J79"/>
    </row>
    <row r="80" spans="2:11" x14ac:dyDescent="0.25">
      <c r="B80" s="369" t="s">
        <v>20766</v>
      </c>
      <c r="C80" s="324">
        <v>5</v>
      </c>
      <c r="D80" s="324">
        <f t="shared" si="38"/>
        <v>30</v>
      </c>
      <c r="E80" s="324">
        <f t="shared" si="39"/>
        <v>33.4</v>
      </c>
      <c r="F80" s="324">
        <f t="shared" si="40"/>
        <v>26.95</v>
      </c>
      <c r="G80" s="368"/>
      <c r="I80"/>
      <c r="J80"/>
    </row>
    <row r="81" spans="2:10" x14ac:dyDescent="0.25">
      <c r="B81" s="369" t="s">
        <v>20767</v>
      </c>
      <c r="C81" s="324">
        <v>5</v>
      </c>
      <c r="D81" s="324">
        <f t="shared" si="38"/>
        <v>30</v>
      </c>
      <c r="E81" s="324">
        <f t="shared" si="39"/>
        <v>33.4</v>
      </c>
      <c r="F81" s="324">
        <f t="shared" si="40"/>
        <v>26.95</v>
      </c>
      <c r="G81" s="368"/>
      <c r="I81"/>
      <c r="J81"/>
    </row>
    <row r="82" spans="2:10" x14ac:dyDescent="0.25">
      <c r="B82" s="369" t="s">
        <v>20768</v>
      </c>
      <c r="C82" s="324">
        <v>5</v>
      </c>
      <c r="D82" s="324">
        <f t="shared" si="38"/>
        <v>30</v>
      </c>
      <c r="E82" s="324">
        <f t="shared" si="39"/>
        <v>33.4</v>
      </c>
      <c r="F82" s="324">
        <f t="shared" si="40"/>
        <v>26.95</v>
      </c>
      <c r="G82" s="368"/>
      <c r="I82"/>
      <c r="J82"/>
    </row>
    <row r="83" spans="2:10" x14ac:dyDescent="0.25">
      <c r="B83" s="369" t="s">
        <v>20769</v>
      </c>
      <c r="C83" s="324">
        <v>5</v>
      </c>
      <c r="D83" s="324">
        <f t="shared" si="38"/>
        <v>30</v>
      </c>
      <c r="E83" s="324">
        <f t="shared" si="39"/>
        <v>33.4</v>
      </c>
      <c r="F83" s="324">
        <f t="shared" si="40"/>
        <v>26.95</v>
      </c>
      <c r="G83" s="368"/>
      <c r="I83"/>
      <c r="J83"/>
    </row>
    <row r="84" spans="2:10" x14ac:dyDescent="0.25">
      <c r="B84" s="369" t="s">
        <v>20770</v>
      </c>
      <c r="C84" s="324">
        <v>5</v>
      </c>
      <c r="D84" s="324">
        <f t="shared" si="38"/>
        <v>30</v>
      </c>
      <c r="E84" s="324">
        <f t="shared" si="39"/>
        <v>33.4</v>
      </c>
      <c r="F84" s="324">
        <f t="shared" si="40"/>
        <v>26.95</v>
      </c>
      <c r="G84" s="368"/>
      <c r="I84"/>
      <c r="J84"/>
    </row>
    <row r="85" spans="2:10" x14ac:dyDescent="0.25">
      <c r="B85" s="369" t="s">
        <v>20771</v>
      </c>
      <c r="C85" s="324">
        <v>5</v>
      </c>
      <c r="D85" s="324">
        <f t="shared" si="38"/>
        <v>30</v>
      </c>
      <c r="E85" s="324">
        <f t="shared" si="39"/>
        <v>33.4</v>
      </c>
      <c r="F85" s="324">
        <f t="shared" si="40"/>
        <v>26.95</v>
      </c>
      <c r="G85" s="368"/>
      <c r="I85"/>
      <c r="J85"/>
    </row>
    <row r="86" spans="2:10" x14ac:dyDescent="0.25">
      <c r="B86" s="369" t="s">
        <v>20772</v>
      </c>
      <c r="C86" s="324">
        <v>5</v>
      </c>
      <c r="D86" s="324">
        <f t="shared" si="38"/>
        <v>30</v>
      </c>
      <c r="E86" s="324">
        <f t="shared" si="39"/>
        <v>33.4</v>
      </c>
      <c r="F86" s="324">
        <f t="shared" si="40"/>
        <v>26.95</v>
      </c>
      <c r="G86" s="368"/>
      <c r="I86"/>
      <c r="J86"/>
    </row>
    <row r="87" spans="2:10" x14ac:dyDescent="0.25">
      <c r="B87" s="369" t="s">
        <v>20773</v>
      </c>
      <c r="C87" s="324">
        <v>5</v>
      </c>
      <c r="D87" s="324">
        <f t="shared" si="38"/>
        <v>30</v>
      </c>
      <c r="E87" s="324">
        <f t="shared" si="39"/>
        <v>33.4</v>
      </c>
      <c r="F87" s="324">
        <f t="shared" si="40"/>
        <v>26.95</v>
      </c>
      <c r="G87" s="368"/>
      <c r="I87"/>
      <c r="J87"/>
    </row>
    <row r="88" spans="2:10" x14ac:dyDescent="0.25">
      <c r="B88" s="369" t="s">
        <v>20774</v>
      </c>
      <c r="C88" s="324">
        <v>5</v>
      </c>
      <c r="D88" s="324">
        <f t="shared" si="38"/>
        <v>30</v>
      </c>
      <c r="E88" s="324">
        <f t="shared" si="39"/>
        <v>33.4</v>
      </c>
      <c r="F88" s="324">
        <f t="shared" si="40"/>
        <v>26.95</v>
      </c>
      <c r="G88" s="368"/>
      <c r="I88"/>
      <c r="J88"/>
    </row>
    <row r="89" spans="2:10" x14ac:dyDescent="0.25">
      <c r="B89" s="369" t="s">
        <v>20775</v>
      </c>
      <c r="C89" s="324">
        <v>5</v>
      </c>
      <c r="D89" s="324">
        <f t="shared" si="38"/>
        <v>30</v>
      </c>
      <c r="E89" s="324">
        <f t="shared" si="39"/>
        <v>33.4</v>
      </c>
      <c r="F89" s="324">
        <f t="shared" si="40"/>
        <v>26.95</v>
      </c>
      <c r="G89" s="368"/>
      <c r="I89"/>
      <c r="J89"/>
    </row>
    <row r="90" spans="2:10" x14ac:dyDescent="0.25">
      <c r="B90" s="369" t="s">
        <v>20776</v>
      </c>
      <c r="C90" s="324">
        <v>5</v>
      </c>
      <c r="D90" s="324">
        <f t="shared" si="38"/>
        <v>30</v>
      </c>
      <c r="E90" s="324">
        <f t="shared" si="39"/>
        <v>33.4</v>
      </c>
      <c r="F90" s="324">
        <f t="shared" si="40"/>
        <v>26.95</v>
      </c>
      <c r="G90" s="368"/>
      <c r="I90"/>
      <c r="J90"/>
    </row>
    <row r="91" spans="2:10" x14ac:dyDescent="0.25">
      <c r="B91" s="369" t="s">
        <v>20777</v>
      </c>
      <c r="C91" s="324">
        <v>5</v>
      </c>
      <c r="D91" s="324">
        <f t="shared" si="38"/>
        <v>30</v>
      </c>
      <c r="E91" s="324">
        <f t="shared" si="39"/>
        <v>33.4</v>
      </c>
      <c r="F91" s="324">
        <f t="shared" si="40"/>
        <v>26.95</v>
      </c>
      <c r="G91" s="368"/>
      <c r="I91"/>
      <c r="J91"/>
    </row>
    <row r="92" spans="2:10" x14ac:dyDescent="0.25">
      <c r="B92" s="369" t="s">
        <v>20778</v>
      </c>
      <c r="C92" s="324">
        <v>5</v>
      </c>
      <c r="D92" s="324">
        <f t="shared" si="38"/>
        <v>30</v>
      </c>
      <c r="E92" s="324">
        <f t="shared" si="39"/>
        <v>33.4</v>
      </c>
      <c r="F92" s="324">
        <f t="shared" si="40"/>
        <v>26.95</v>
      </c>
      <c r="G92" s="368"/>
      <c r="I92"/>
      <c r="J92"/>
    </row>
    <row r="93" spans="2:10" x14ac:dyDescent="0.25">
      <c r="B93" s="369" t="s">
        <v>20779</v>
      </c>
      <c r="C93" s="324">
        <v>5</v>
      </c>
      <c r="D93" s="324">
        <f t="shared" si="38"/>
        <v>30</v>
      </c>
      <c r="E93" s="324">
        <f t="shared" si="39"/>
        <v>33.4</v>
      </c>
      <c r="F93" s="324">
        <f t="shared" si="40"/>
        <v>26.95</v>
      </c>
      <c r="G93" s="368"/>
      <c r="I93"/>
      <c r="J93"/>
    </row>
    <row r="94" spans="2:10" x14ac:dyDescent="0.25">
      <c r="B94" s="369" t="s">
        <v>20780</v>
      </c>
      <c r="C94" s="324">
        <v>5</v>
      </c>
      <c r="D94" s="324">
        <f t="shared" si="38"/>
        <v>30</v>
      </c>
      <c r="E94" s="324">
        <f t="shared" si="39"/>
        <v>33.4</v>
      </c>
      <c r="F94" s="324">
        <f t="shared" si="40"/>
        <v>26.95</v>
      </c>
      <c r="G94" s="368"/>
      <c r="I94"/>
      <c r="J94"/>
    </row>
    <row r="95" spans="2:10" x14ac:dyDescent="0.25">
      <c r="B95" s="369" t="s">
        <v>20781</v>
      </c>
      <c r="C95" s="324">
        <v>5</v>
      </c>
      <c r="D95" s="324">
        <f t="shared" si="38"/>
        <v>30</v>
      </c>
      <c r="E95" s="324">
        <f t="shared" si="39"/>
        <v>33.4</v>
      </c>
      <c r="F95" s="324">
        <f t="shared" si="40"/>
        <v>26.95</v>
      </c>
      <c r="G95" s="368"/>
      <c r="I95"/>
      <c r="J95"/>
    </row>
    <row r="96" spans="2:10" x14ac:dyDescent="0.25">
      <c r="B96" s="369" t="s">
        <v>20782</v>
      </c>
      <c r="C96" s="324">
        <v>5</v>
      </c>
      <c r="D96" s="324">
        <f t="shared" si="38"/>
        <v>30</v>
      </c>
      <c r="E96" s="324">
        <f t="shared" si="39"/>
        <v>33.4</v>
      </c>
      <c r="F96" s="324">
        <f t="shared" si="40"/>
        <v>26.95</v>
      </c>
      <c r="G96" s="368"/>
      <c r="I96"/>
      <c r="J96"/>
    </row>
    <row r="97" spans="2:10" x14ac:dyDescent="0.25">
      <c r="B97" s="369" t="s">
        <v>20783</v>
      </c>
      <c r="C97" s="324">
        <v>5</v>
      </c>
      <c r="D97" s="324">
        <f t="shared" si="38"/>
        <v>30</v>
      </c>
      <c r="E97" s="324">
        <f t="shared" si="39"/>
        <v>33.4</v>
      </c>
      <c r="F97" s="324">
        <f t="shared" si="40"/>
        <v>26.95</v>
      </c>
      <c r="G97" s="376"/>
      <c r="I97"/>
      <c r="J97"/>
    </row>
    <row r="98" spans="2:10" x14ac:dyDescent="0.25">
      <c r="B98" s="372" t="s">
        <v>20664</v>
      </c>
      <c r="C98" s="373">
        <v>3</v>
      </c>
      <c r="D98" s="373">
        <f>C98*6</f>
        <v>18</v>
      </c>
      <c r="E98" s="373">
        <f t="shared" ref="E98" si="42">ROUND(15*1.67,2)</f>
        <v>25.05</v>
      </c>
      <c r="F98" s="373">
        <f t="shared" si="40"/>
        <v>17.420000000000002</v>
      </c>
      <c r="G98" s="368"/>
      <c r="I98"/>
      <c r="J98"/>
    </row>
    <row r="99" spans="2:10" x14ac:dyDescent="0.25">
      <c r="B99" s="369" t="s">
        <v>20665</v>
      </c>
      <c r="C99" s="324">
        <v>5</v>
      </c>
      <c r="D99" s="324">
        <f>C99*6</f>
        <v>30</v>
      </c>
      <c r="E99" s="324">
        <f>ROUND(20*1.67,2)</f>
        <v>33.4</v>
      </c>
      <c r="F99" s="324">
        <f t="shared" si="40"/>
        <v>26.95</v>
      </c>
      <c r="G99" s="368"/>
      <c r="I99"/>
      <c r="J99"/>
    </row>
    <row r="100" spans="2:10" x14ac:dyDescent="0.25">
      <c r="B100" s="369" t="s">
        <v>20784</v>
      </c>
      <c r="C100" s="324">
        <v>5</v>
      </c>
      <c r="D100" s="324">
        <f t="shared" ref="D100:D139" si="43">C100*6</f>
        <v>30</v>
      </c>
      <c r="E100" s="324">
        <f t="shared" ref="E100:E139" si="44">ROUND(20*1.67,2)</f>
        <v>33.4</v>
      </c>
      <c r="F100" s="324">
        <f t="shared" si="40"/>
        <v>26.95</v>
      </c>
      <c r="G100" s="368"/>
      <c r="I100"/>
      <c r="J100"/>
    </row>
    <row r="101" spans="2:10" x14ac:dyDescent="0.25">
      <c r="B101" s="369" t="s">
        <v>20785</v>
      </c>
      <c r="C101" s="324">
        <v>5</v>
      </c>
      <c r="D101" s="324">
        <f t="shared" si="43"/>
        <v>30</v>
      </c>
      <c r="E101" s="324">
        <f t="shared" si="44"/>
        <v>33.4</v>
      </c>
      <c r="F101" s="324">
        <f t="shared" si="40"/>
        <v>26.95</v>
      </c>
      <c r="G101" s="368"/>
      <c r="I101"/>
      <c r="J101"/>
    </row>
    <row r="102" spans="2:10" x14ac:dyDescent="0.25">
      <c r="B102" s="369" t="s">
        <v>20786</v>
      </c>
      <c r="C102" s="324">
        <v>5</v>
      </c>
      <c r="D102" s="324">
        <f t="shared" si="43"/>
        <v>30</v>
      </c>
      <c r="E102" s="324">
        <f t="shared" si="44"/>
        <v>33.4</v>
      </c>
      <c r="F102" s="324">
        <f t="shared" si="40"/>
        <v>26.95</v>
      </c>
      <c r="G102" s="368"/>
      <c r="I102"/>
      <c r="J102"/>
    </row>
    <row r="103" spans="2:10" x14ac:dyDescent="0.25">
      <c r="B103" s="369" t="s">
        <v>20787</v>
      </c>
      <c r="C103" s="324">
        <v>5</v>
      </c>
      <c r="D103" s="324">
        <f t="shared" si="43"/>
        <v>30</v>
      </c>
      <c r="E103" s="324">
        <f t="shared" si="44"/>
        <v>33.4</v>
      </c>
      <c r="F103" s="324">
        <f t="shared" si="40"/>
        <v>26.95</v>
      </c>
      <c r="G103" s="368"/>
      <c r="I103"/>
      <c r="J103"/>
    </row>
    <row r="104" spans="2:10" x14ac:dyDescent="0.25">
      <c r="B104" s="369" t="s">
        <v>20788</v>
      </c>
      <c r="C104" s="324">
        <v>5</v>
      </c>
      <c r="D104" s="324">
        <f t="shared" si="43"/>
        <v>30</v>
      </c>
      <c r="E104" s="324">
        <f t="shared" si="44"/>
        <v>33.4</v>
      </c>
      <c r="F104" s="324">
        <f t="shared" si="40"/>
        <v>26.95</v>
      </c>
      <c r="G104" s="368"/>
      <c r="I104"/>
      <c r="J104"/>
    </row>
    <row r="105" spans="2:10" x14ac:dyDescent="0.25">
      <c r="B105" s="369" t="s">
        <v>20789</v>
      </c>
      <c r="C105" s="324">
        <v>5</v>
      </c>
      <c r="D105" s="324">
        <f t="shared" si="43"/>
        <v>30</v>
      </c>
      <c r="E105" s="324">
        <f t="shared" si="44"/>
        <v>33.4</v>
      </c>
      <c r="F105" s="324">
        <f t="shared" si="40"/>
        <v>26.95</v>
      </c>
      <c r="G105" s="368"/>
      <c r="I105"/>
      <c r="J105"/>
    </row>
    <row r="106" spans="2:10" x14ac:dyDescent="0.25">
      <c r="B106" s="369" t="s">
        <v>20790</v>
      </c>
      <c r="C106" s="324">
        <v>5</v>
      </c>
      <c r="D106" s="324">
        <f t="shared" si="43"/>
        <v>30</v>
      </c>
      <c r="E106" s="324">
        <f t="shared" si="44"/>
        <v>33.4</v>
      </c>
      <c r="F106" s="324">
        <f t="shared" si="40"/>
        <v>26.95</v>
      </c>
      <c r="G106" s="368"/>
      <c r="I106"/>
      <c r="J106"/>
    </row>
    <row r="107" spans="2:10" x14ac:dyDescent="0.25">
      <c r="B107" s="369" t="s">
        <v>20791</v>
      </c>
      <c r="C107" s="324">
        <v>5</v>
      </c>
      <c r="D107" s="324">
        <f t="shared" si="43"/>
        <v>30</v>
      </c>
      <c r="E107" s="324">
        <f t="shared" si="44"/>
        <v>33.4</v>
      </c>
      <c r="F107" s="324">
        <f t="shared" si="40"/>
        <v>26.95</v>
      </c>
      <c r="G107" s="377"/>
      <c r="I107"/>
      <c r="J107"/>
    </row>
    <row r="108" spans="2:10" x14ac:dyDescent="0.25">
      <c r="B108" s="369" t="s">
        <v>20792</v>
      </c>
      <c r="C108" s="324">
        <v>5</v>
      </c>
      <c r="D108" s="324">
        <f t="shared" si="43"/>
        <v>30</v>
      </c>
      <c r="E108" s="324">
        <f t="shared" si="44"/>
        <v>33.4</v>
      </c>
      <c r="F108" s="324">
        <f t="shared" si="40"/>
        <v>26.95</v>
      </c>
      <c r="I108"/>
      <c r="J108"/>
    </row>
    <row r="109" spans="2:10" x14ac:dyDescent="0.25">
      <c r="B109" s="369" t="s">
        <v>20793</v>
      </c>
      <c r="C109" s="324">
        <v>5</v>
      </c>
      <c r="D109" s="324">
        <f t="shared" si="43"/>
        <v>30</v>
      </c>
      <c r="E109" s="324">
        <f t="shared" si="44"/>
        <v>33.4</v>
      </c>
      <c r="F109" s="324">
        <f t="shared" si="40"/>
        <v>26.95</v>
      </c>
    </row>
    <row r="110" spans="2:10" x14ac:dyDescent="0.25">
      <c r="B110" s="369" t="s">
        <v>20794</v>
      </c>
      <c r="C110" s="324">
        <v>5</v>
      </c>
      <c r="D110" s="324">
        <f t="shared" si="43"/>
        <v>30</v>
      </c>
      <c r="E110" s="324">
        <f t="shared" si="44"/>
        <v>33.4</v>
      </c>
      <c r="F110" s="324">
        <f t="shared" si="40"/>
        <v>26.95</v>
      </c>
    </row>
    <row r="111" spans="2:10" x14ac:dyDescent="0.25">
      <c r="B111" s="369" t="s">
        <v>20795</v>
      </c>
      <c r="C111" s="324">
        <v>5</v>
      </c>
      <c r="D111" s="324">
        <f t="shared" si="43"/>
        <v>30</v>
      </c>
      <c r="E111" s="324">
        <f t="shared" si="44"/>
        <v>33.4</v>
      </c>
      <c r="F111" s="324">
        <f t="shared" si="40"/>
        <v>26.95</v>
      </c>
    </row>
    <row r="112" spans="2:10" x14ac:dyDescent="0.25">
      <c r="B112" s="369" t="s">
        <v>20796</v>
      </c>
      <c r="C112" s="324">
        <v>5</v>
      </c>
      <c r="D112" s="324">
        <f t="shared" si="43"/>
        <v>30</v>
      </c>
      <c r="E112" s="324">
        <f t="shared" si="44"/>
        <v>33.4</v>
      </c>
      <c r="F112" s="324">
        <f t="shared" si="40"/>
        <v>26.95</v>
      </c>
    </row>
    <row r="113" spans="2:6" x14ac:dyDescent="0.25">
      <c r="B113" s="369" t="s">
        <v>20797</v>
      </c>
      <c r="C113" s="324">
        <v>5</v>
      </c>
      <c r="D113" s="324">
        <f t="shared" si="43"/>
        <v>30</v>
      </c>
      <c r="E113" s="324">
        <f t="shared" si="44"/>
        <v>33.4</v>
      </c>
      <c r="F113" s="324">
        <f t="shared" si="40"/>
        <v>26.95</v>
      </c>
    </row>
    <row r="114" spans="2:6" x14ac:dyDescent="0.25">
      <c r="B114" s="369" t="s">
        <v>20798</v>
      </c>
      <c r="C114" s="324">
        <v>5</v>
      </c>
      <c r="D114" s="324">
        <f t="shared" si="43"/>
        <v>30</v>
      </c>
      <c r="E114" s="324">
        <f t="shared" si="44"/>
        <v>33.4</v>
      </c>
      <c r="F114" s="324">
        <f t="shared" si="40"/>
        <v>26.95</v>
      </c>
    </row>
    <row r="115" spans="2:6" x14ac:dyDescent="0.25">
      <c r="B115" s="369" t="s">
        <v>20799</v>
      </c>
      <c r="C115" s="324">
        <v>5</v>
      </c>
      <c r="D115" s="324">
        <f t="shared" si="43"/>
        <v>30</v>
      </c>
      <c r="E115" s="324">
        <f t="shared" si="44"/>
        <v>33.4</v>
      </c>
      <c r="F115" s="324">
        <f t="shared" si="40"/>
        <v>26.95</v>
      </c>
    </row>
    <row r="116" spans="2:6" x14ac:dyDescent="0.25">
      <c r="B116" s="369" t="s">
        <v>20800</v>
      </c>
      <c r="C116" s="324">
        <v>5</v>
      </c>
      <c r="D116" s="324">
        <f t="shared" si="43"/>
        <v>30</v>
      </c>
      <c r="E116" s="324">
        <f t="shared" si="44"/>
        <v>33.4</v>
      </c>
      <c r="F116" s="324">
        <f t="shared" si="40"/>
        <v>26.95</v>
      </c>
    </row>
    <row r="117" spans="2:6" x14ac:dyDescent="0.25">
      <c r="B117" s="369" t="s">
        <v>20801</v>
      </c>
      <c r="C117" s="324">
        <v>5</v>
      </c>
      <c r="D117" s="324">
        <f t="shared" si="43"/>
        <v>30</v>
      </c>
      <c r="E117" s="324">
        <f t="shared" si="44"/>
        <v>33.4</v>
      </c>
      <c r="F117" s="324">
        <f t="shared" si="40"/>
        <v>26.95</v>
      </c>
    </row>
    <row r="118" spans="2:6" x14ac:dyDescent="0.25">
      <c r="B118" s="369" t="s">
        <v>20802</v>
      </c>
      <c r="C118" s="324">
        <v>5</v>
      </c>
      <c r="D118" s="324">
        <f t="shared" si="43"/>
        <v>30</v>
      </c>
      <c r="E118" s="324">
        <f t="shared" si="44"/>
        <v>33.4</v>
      </c>
      <c r="F118" s="324">
        <f t="shared" si="40"/>
        <v>26.95</v>
      </c>
    </row>
    <row r="119" spans="2:6" x14ac:dyDescent="0.25">
      <c r="B119" s="369" t="s">
        <v>20803</v>
      </c>
      <c r="C119" s="324">
        <v>5</v>
      </c>
      <c r="D119" s="324">
        <f t="shared" si="43"/>
        <v>30</v>
      </c>
      <c r="E119" s="324">
        <f t="shared" si="44"/>
        <v>33.4</v>
      </c>
      <c r="F119" s="324">
        <f t="shared" si="40"/>
        <v>26.95</v>
      </c>
    </row>
    <row r="120" spans="2:6" x14ac:dyDescent="0.25">
      <c r="B120" s="369" t="s">
        <v>20804</v>
      </c>
      <c r="C120" s="324">
        <v>5</v>
      </c>
      <c r="D120" s="324">
        <f t="shared" si="43"/>
        <v>30</v>
      </c>
      <c r="E120" s="324">
        <f t="shared" si="44"/>
        <v>33.4</v>
      </c>
      <c r="F120" s="324">
        <f t="shared" si="40"/>
        <v>26.95</v>
      </c>
    </row>
    <row r="121" spans="2:6" x14ac:dyDescent="0.25">
      <c r="B121" s="369" t="s">
        <v>20805</v>
      </c>
      <c r="C121" s="324">
        <v>5</v>
      </c>
      <c r="D121" s="324">
        <f t="shared" si="43"/>
        <v>30</v>
      </c>
      <c r="E121" s="324">
        <f t="shared" si="44"/>
        <v>33.4</v>
      </c>
      <c r="F121" s="324">
        <f t="shared" si="40"/>
        <v>26.95</v>
      </c>
    </row>
    <row r="122" spans="2:6" x14ac:dyDescent="0.25">
      <c r="B122" s="369" t="s">
        <v>20806</v>
      </c>
      <c r="C122" s="324">
        <v>5</v>
      </c>
      <c r="D122" s="324">
        <f t="shared" si="43"/>
        <v>30</v>
      </c>
      <c r="E122" s="324">
        <f t="shared" si="44"/>
        <v>33.4</v>
      </c>
      <c r="F122" s="324">
        <f t="shared" si="40"/>
        <v>26.95</v>
      </c>
    </row>
    <row r="123" spans="2:6" x14ac:dyDescent="0.25">
      <c r="B123" s="369" t="s">
        <v>20807</v>
      </c>
      <c r="C123" s="324">
        <v>5</v>
      </c>
      <c r="D123" s="324">
        <f t="shared" si="43"/>
        <v>30</v>
      </c>
      <c r="E123" s="324">
        <f t="shared" si="44"/>
        <v>33.4</v>
      </c>
      <c r="F123" s="324">
        <f t="shared" si="40"/>
        <v>26.95</v>
      </c>
    </row>
    <row r="124" spans="2:6" x14ac:dyDescent="0.25">
      <c r="B124" s="369" t="s">
        <v>20808</v>
      </c>
      <c r="C124" s="324">
        <v>5</v>
      </c>
      <c r="D124" s="324">
        <f t="shared" si="43"/>
        <v>30</v>
      </c>
      <c r="E124" s="324">
        <f t="shared" si="44"/>
        <v>33.4</v>
      </c>
      <c r="F124" s="324">
        <f t="shared" si="40"/>
        <v>26.95</v>
      </c>
    </row>
    <row r="125" spans="2:6" x14ac:dyDescent="0.25">
      <c r="B125" s="369" t="s">
        <v>20809</v>
      </c>
      <c r="C125" s="324">
        <v>5</v>
      </c>
      <c r="D125" s="324">
        <f t="shared" si="43"/>
        <v>30</v>
      </c>
      <c r="E125" s="324">
        <f t="shared" si="44"/>
        <v>33.4</v>
      </c>
      <c r="F125" s="324">
        <f t="shared" ref="F125:F141" si="45">ROUND(0.62*D125+0.25*E125,2)</f>
        <v>26.95</v>
      </c>
    </row>
    <row r="126" spans="2:6" x14ac:dyDescent="0.25">
      <c r="B126" s="369" t="s">
        <v>20810</v>
      </c>
      <c r="C126" s="324">
        <v>5</v>
      </c>
      <c r="D126" s="324">
        <f t="shared" si="43"/>
        <v>30</v>
      </c>
      <c r="E126" s="324">
        <f t="shared" si="44"/>
        <v>33.4</v>
      </c>
      <c r="F126" s="324">
        <f t="shared" si="45"/>
        <v>26.95</v>
      </c>
    </row>
    <row r="127" spans="2:6" x14ac:dyDescent="0.25">
      <c r="B127" s="369" t="s">
        <v>20811</v>
      </c>
      <c r="C127" s="324">
        <v>5</v>
      </c>
      <c r="D127" s="324">
        <f t="shared" si="43"/>
        <v>30</v>
      </c>
      <c r="E127" s="324">
        <f t="shared" si="44"/>
        <v>33.4</v>
      </c>
      <c r="F127" s="324">
        <f t="shared" si="45"/>
        <v>26.95</v>
      </c>
    </row>
    <row r="128" spans="2:6" x14ac:dyDescent="0.25">
      <c r="B128" s="369" t="s">
        <v>20812</v>
      </c>
      <c r="C128" s="324">
        <v>5</v>
      </c>
      <c r="D128" s="324">
        <f t="shared" si="43"/>
        <v>30</v>
      </c>
      <c r="E128" s="324">
        <f t="shared" si="44"/>
        <v>33.4</v>
      </c>
      <c r="F128" s="324">
        <f t="shared" si="45"/>
        <v>26.95</v>
      </c>
    </row>
    <row r="129" spans="2:6" x14ac:dyDescent="0.25">
      <c r="B129" s="369" t="s">
        <v>20813</v>
      </c>
      <c r="C129" s="324">
        <v>5</v>
      </c>
      <c r="D129" s="324">
        <f t="shared" si="43"/>
        <v>30</v>
      </c>
      <c r="E129" s="324">
        <f t="shared" si="44"/>
        <v>33.4</v>
      </c>
      <c r="F129" s="324">
        <f t="shared" si="45"/>
        <v>26.95</v>
      </c>
    </row>
    <row r="130" spans="2:6" x14ac:dyDescent="0.25">
      <c r="B130" s="369" t="s">
        <v>20814</v>
      </c>
      <c r="C130" s="324">
        <v>5</v>
      </c>
      <c r="D130" s="324">
        <f t="shared" si="43"/>
        <v>30</v>
      </c>
      <c r="E130" s="324">
        <f t="shared" si="44"/>
        <v>33.4</v>
      </c>
      <c r="F130" s="324">
        <f t="shared" si="45"/>
        <v>26.95</v>
      </c>
    </row>
    <row r="131" spans="2:6" x14ac:dyDescent="0.25">
      <c r="B131" s="369" t="s">
        <v>20815</v>
      </c>
      <c r="C131" s="324">
        <v>5</v>
      </c>
      <c r="D131" s="324">
        <f t="shared" si="43"/>
        <v>30</v>
      </c>
      <c r="E131" s="324">
        <f t="shared" si="44"/>
        <v>33.4</v>
      </c>
      <c r="F131" s="324">
        <f t="shared" si="45"/>
        <v>26.95</v>
      </c>
    </row>
    <row r="132" spans="2:6" x14ac:dyDescent="0.25">
      <c r="B132" s="369" t="s">
        <v>20816</v>
      </c>
      <c r="C132" s="324">
        <v>5</v>
      </c>
      <c r="D132" s="324">
        <f t="shared" si="43"/>
        <v>30</v>
      </c>
      <c r="E132" s="324">
        <f t="shared" si="44"/>
        <v>33.4</v>
      </c>
      <c r="F132" s="324">
        <f t="shared" si="45"/>
        <v>26.95</v>
      </c>
    </row>
    <row r="133" spans="2:6" x14ac:dyDescent="0.25">
      <c r="B133" s="369" t="s">
        <v>20817</v>
      </c>
      <c r="C133" s="324">
        <v>5</v>
      </c>
      <c r="D133" s="324">
        <f t="shared" si="43"/>
        <v>30</v>
      </c>
      <c r="E133" s="324">
        <f t="shared" si="44"/>
        <v>33.4</v>
      </c>
      <c r="F133" s="324">
        <f t="shared" si="45"/>
        <v>26.95</v>
      </c>
    </row>
    <row r="134" spans="2:6" x14ac:dyDescent="0.25">
      <c r="B134" s="369" t="s">
        <v>20818</v>
      </c>
      <c r="C134" s="324">
        <v>5</v>
      </c>
      <c r="D134" s="324">
        <f t="shared" si="43"/>
        <v>30</v>
      </c>
      <c r="E134" s="324">
        <f t="shared" si="44"/>
        <v>33.4</v>
      </c>
      <c r="F134" s="324">
        <f t="shared" si="45"/>
        <v>26.95</v>
      </c>
    </row>
    <row r="135" spans="2:6" x14ac:dyDescent="0.25">
      <c r="B135" s="369" t="s">
        <v>20819</v>
      </c>
      <c r="C135" s="324">
        <v>5</v>
      </c>
      <c r="D135" s="324">
        <f t="shared" si="43"/>
        <v>30</v>
      </c>
      <c r="E135" s="324">
        <f t="shared" si="44"/>
        <v>33.4</v>
      </c>
      <c r="F135" s="324">
        <f t="shared" si="45"/>
        <v>26.95</v>
      </c>
    </row>
    <row r="136" spans="2:6" x14ac:dyDescent="0.25">
      <c r="B136" s="369" t="s">
        <v>20820</v>
      </c>
      <c r="C136" s="324">
        <v>5</v>
      </c>
      <c r="D136" s="324">
        <f t="shared" si="43"/>
        <v>30</v>
      </c>
      <c r="E136" s="324">
        <f t="shared" si="44"/>
        <v>33.4</v>
      </c>
      <c r="F136" s="324">
        <f t="shared" si="45"/>
        <v>26.95</v>
      </c>
    </row>
    <row r="137" spans="2:6" x14ac:dyDescent="0.25">
      <c r="B137" s="369" t="s">
        <v>20821</v>
      </c>
      <c r="C137" s="324">
        <v>5</v>
      </c>
      <c r="D137" s="324">
        <f t="shared" si="43"/>
        <v>30</v>
      </c>
      <c r="E137" s="324">
        <f t="shared" si="44"/>
        <v>33.4</v>
      </c>
      <c r="F137" s="324">
        <f t="shared" si="45"/>
        <v>26.95</v>
      </c>
    </row>
    <row r="138" spans="2:6" x14ac:dyDescent="0.25">
      <c r="B138" s="369" t="s">
        <v>20822</v>
      </c>
      <c r="C138" s="324">
        <v>5</v>
      </c>
      <c r="D138" s="324">
        <f t="shared" si="43"/>
        <v>30</v>
      </c>
      <c r="E138" s="324">
        <f t="shared" si="44"/>
        <v>33.4</v>
      </c>
      <c r="F138" s="324">
        <f t="shared" si="45"/>
        <v>26.95</v>
      </c>
    </row>
    <row r="139" spans="2:6" x14ac:dyDescent="0.25">
      <c r="B139" s="369" t="s">
        <v>20823</v>
      </c>
      <c r="C139" s="324">
        <v>5</v>
      </c>
      <c r="D139" s="324">
        <f t="shared" si="43"/>
        <v>30</v>
      </c>
      <c r="E139" s="324">
        <f t="shared" si="44"/>
        <v>33.4</v>
      </c>
      <c r="F139" s="324">
        <f t="shared" si="45"/>
        <v>26.95</v>
      </c>
    </row>
    <row r="140" spans="2:6" x14ac:dyDescent="0.25">
      <c r="B140" s="369" t="s">
        <v>21685</v>
      </c>
      <c r="C140" s="324">
        <v>5</v>
      </c>
      <c r="D140" s="324">
        <f>C140*6</f>
        <v>30</v>
      </c>
      <c r="E140" s="324">
        <f>ROUND(20*1.67,2)</f>
        <v>33.4</v>
      </c>
      <c r="F140" s="324">
        <f t="shared" si="45"/>
        <v>26.95</v>
      </c>
    </row>
    <row r="141" spans="2:6" x14ac:dyDescent="0.25">
      <c r="B141" s="369" t="s">
        <v>21686</v>
      </c>
      <c r="C141" s="324">
        <v>5</v>
      </c>
      <c r="D141" s="324">
        <f>C141*6</f>
        <v>30</v>
      </c>
      <c r="E141" s="324">
        <f>ROUND(20*1.67,2)</f>
        <v>33.4</v>
      </c>
      <c r="F141" s="324">
        <f t="shared" si="45"/>
        <v>26.95</v>
      </c>
    </row>
    <row r="142" spans="2:6" x14ac:dyDescent="0.25">
      <c r="B142" s="315" t="s">
        <v>7</v>
      </c>
      <c r="C142" s="330">
        <f>SUM(C60:C141)</f>
        <v>408</v>
      </c>
      <c r="D142" s="371">
        <f>SUM(D60:D141)</f>
        <v>2448</v>
      </c>
      <c r="E142" s="371">
        <f>SUM(E60:E141)</f>
        <v>2730.4500000000039</v>
      </c>
      <c r="F142" s="371">
        <f>SUM(F60:F141)</f>
        <v>2200.3700000000013</v>
      </c>
    </row>
  </sheetData>
  <mergeCells count="12">
    <mergeCell ref="V58:AC58"/>
    <mergeCell ref="I58:J58"/>
    <mergeCell ref="B55:E55"/>
    <mergeCell ref="L29:O29"/>
    <mergeCell ref="L2:T2"/>
    <mergeCell ref="B2:J2"/>
    <mergeCell ref="B58:F58"/>
    <mergeCell ref="AJ2:AM2"/>
    <mergeCell ref="AJ7:AL7"/>
    <mergeCell ref="AE2:AH2"/>
    <mergeCell ref="AE28:AG28"/>
    <mergeCell ref="V2:AC2"/>
  </mergeCells>
  <phoneticPr fontId="82" type="noConversion"/>
  <printOptions horizontalCentered="1" verticalCentered="1"/>
  <pageMargins left="0" right="0" top="0" bottom="0" header="0" footer="0"/>
  <pageSetup paperSize="9" scale="32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1" tint="0.14999847407452621"/>
  </sheetPr>
  <dimension ref="B2:AD19"/>
  <sheetViews>
    <sheetView workbookViewId="0">
      <selection activeCell="M24" sqref="M24"/>
    </sheetView>
  </sheetViews>
  <sheetFormatPr defaultRowHeight="12.75" x14ac:dyDescent="0.2"/>
  <cols>
    <col min="3" max="3" width="8.28515625" customWidth="1"/>
    <col min="4" max="4" width="7.42578125" bestFit="1" customWidth="1"/>
    <col min="5" max="5" width="6.42578125" bestFit="1" customWidth="1"/>
    <col min="6" max="6" width="7.42578125" bestFit="1" customWidth="1"/>
    <col min="7" max="7" width="7.85546875" bestFit="1" customWidth="1"/>
    <col min="8" max="8" width="9" bestFit="1" customWidth="1"/>
    <col min="9" max="9" width="8.7109375" bestFit="1" customWidth="1"/>
    <col min="10" max="10" width="7.85546875" bestFit="1" customWidth="1"/>
    <col min="11" max="11" width="2.28515625" customWidth="1"/>
    <col min="13" max="13" width="6.7109375" bestFit="1" customWidth="1"/>
    <col min="14" max="14" width="9.140625" bestFit="1" customWidth="1"/>
    <col min="15" max="15" width="11" customWidth="1"/>
    <col min="16" max="16" width="8.140625" customWidth="1"/>
    <col min="17" max="17" width="3.5703125" customWidth="1"/>
    <col min="18" max="18" width="9.85546875" customWidth="1"/>
    <col min="21" max="21" width="7.42578125" customWidth="1"/>
    <col min="22" max="22" width="7.42578125" hidden="1" customWidth="1"/>
    <col min="23" max="23" width="9" bestFit="1" customWidth="1"/>
    <col min="24" max="24" width="8.7109375" bestFit="1" customWidth="1"/>
    <col min="25" max="25" width="7.85546875" bestFit="1" customWidth="1"/>
    <col min="26" max="26" width="2.5703125" customWidth="1"/>
    <col min="27" max="27" width="11.140625" customWidth="1"/>
    <col min="29" max="29" width="8.5703125" customWidth="1"/>
    <col min="30" max="30" width="8.42578125" customWidth="1"/>
  </cols>
  <sheetData>
    <row r="2" spans="2:30" ht="15" x14ac:dyDescent="0.25">
      <c r="B2" s="778" t="s">
        <v>20606</v>
      </c>
      <c r="C2" s="778"/>
      <c r="D2" s="778"/>
      <c r="E2" s="778"/>
      <c r="F2" s="778"/>
      <c r="G2" s="778"/>
      <c r="H2" s="778"/>
      <c r="I2" s="778"/>
      <c r="J2" s="778"/>
      <c r="L2" s="771" t="s">
        <v>21038</v>
      </c>
      <c r="M2" s="771"/>
      <c r="N2" s="771"/>
      <c r="O2" s="771"/>
      <c r="P2" s="771"/>
      <c r="R2" s="779" t="s">
        <v>21822</v>
      </c>
      <c r="S2" s="779"/>
      <c r="T2" s="779"/>
      <c r="U2" s="779"/>
      <c r="V2" s="779"/>
      <c r="W2" s="779"/>
      <c r="X2" s="779"/>
      <c r="Y2" s="779"/>
      <c r="AA2" s="779" t="s">
        <v>21833</v>
      </c>
      <c r="AB2" s="779"/>
      <c r="AC2" s="779"/>
      <c r="AD2" s="779"/>
    </row>
    <row r="3" spans="2:30" ht="30" x14ac:dyDescent="0.2">
      <c r="B3" s="341" t="s">
        <v>107</v>
      </c>
      <c r="C3" s="342" t="s">
        <v>20604</v>
      </c>
      <c r="D3" s="342" t="s">
        <v>89</v>
      </c>
      <c r="E3" s="342" t="s">
        <v>87</v>
      </c>
      <c r="F3" s="342" t="s">
        <v>20605</v>
      </c>
      <c r="G3" s="342" t="s">
        <v>21255</v>
      </c>
      <c r="H3" s="342" t="s">
        <v>20361</v>
      </c>
      <c r="I3" s="342" t="s">
        <v>20659</v>
      </c>
      <c r="J3" s="342" t="s">
        <v>20660</v>
      </c>
      <c r="L3" s="341" t="s">
        <v>107</v>
      </c>
      <c r="M3" s="342" t="s">
        <v>20604</v>
      </c>
      <c r="N3" s="342" t="s">
        <v>21256</v>
      </c>
      <c r="O3" s="342" t="s">
        <v>21258</v>
      </c>
      <c r="P3" s="342" t="s">
        <v>21257</v>
      </c>
      <c r="R3" s="341" t="s">
        <v>107</v>
      </c>
      <c r="S3" s="342" t="s">
        <v>20604</v>
      </c>
      <c r="T3" s="342" t="s">
        <v>89</v>
      </c>
      <c r="U3" s="342" t="s">
        <v>87</v>
      </c>
      <c r="V3" s="342" t="s">
        <v>20605</v>
      </c>
      <c r="W3" s="342" t="s">
        <v>20361</v>
      </c>
      <c r="X3" s="342" t="s">
        <v>20659</v>
      </c>
      <c r="Y3" s="342" t="s">
        <v>20660</v>
      </c>
      <c r="AA3" s="341" t="s">
        <v>107</v>
      </c>
      <c r="AB3" s="342" t="s">
        <v>20604</v>
      </c>
      <c r="AC3" s="342" t="s">
        <v>87</v>
      </c>
      <c r="AD3" s="342" t="s">
        <v>88</v>
      </c>
    </row>
    <row r="4" spans="2:30" ht="15" x14ac:dyDescent="0.25">
      <c r="B4" s="369" t="s">
        <v>20607</v>
      </c>
      <c r="C4" s="324">
        <v>0.5</v>
      </c>
      <c r="D4" s="324">
        <v>0.5</v>
      </c>
      <c r="E4" s="324">
        <v>0.5</v>
      </c>
      <c r="F4" s="324">
        <f>ROUND(2*C4*E4+2*D4*E4,2)</f>
        <v>1</v>
      </c>
      <c r="G4" s="324">
        <f>ROUND(0.05*C4*D4,2)</f>
        <v>0.01</v>
      </c>
      <c r="H4" s="324">
        <f>ROUND(C4*D4*E4,2)</f>
        <v>0.13</v>
      </c>
      <c r="I4" s="324">
        <v>80</v>
      </c>
      <c r="J4" s="324">
        <f>ROUND(H4*I4,2)</f>
        <v>10.4</v>
      </c>
      <c r="L4" s="369" t="s">
        <v>20824</v>
      </c>
      <c r="M4" s="324">
        <v>3</v>
      </c>
      <c r="N4" s="324">
        <f>M4*6</f>
        <v>18</v>
      </c>
      <c r="O4" s="324">
        <f t="shared" ref="O4" si="0">ROUND(20*1.67,2)</f>
        <v>33.4</v>
      </c>
      <c r="P4" s="324">
        <f t="shared" ref="P4:P9" si="1">ROUND(0.62*N4+0.25*O4,2)</f>
        <v>19.510000000000002</v>
      </c>
      <c r="R4" s="369" t="s">
        <v>21816</v>
      </c>
      <c r="S4" s="324">
        <v>0.5</v>
      </c>
      <c r="T4" s="324">
        <v>0.2</v>
      </c>
      <c r="U4" s="324">
        <v>2.8</v>
      </c>
      <c r="V4" s="324">
        <f t="shared" ref="V4:V9" si="2">ROUND((2*S4+2*T4)*U4,2)</f>
        <v>3.92</v>
      </c>
      <c r="W4" s="324">
        <f t="shared" ref="W4:W9" si="3">ROUND(S4*T4*U4,2)</f>
        <v>0.28000000000000003</v>
      </c>
      <c r="X4" s="324">
        <v>75</v>
      </c>
      <c r="Y4" s="324">
        <f>ROUND(W4*X4,2)</f>
        <v>21</v>
      </c>
      <c r="AA4" s="369" t="s">
        <v>21834</v>
      </c>
      <c r="AB4" s="324">
        <v>1.8</v>
      </c>
      <c r="AC4" s="324">
        <v>0.6</v>
      </c>
      <c r="AD4" s="324">
        <f>ROUND(AB4*AC4,2)</f>
        <v>1.08</v>
      </c>
    </row>
    <row r="5" spans="2:30" ht="15" x14ac:dyDescent="0.25">
      <c r="B5" s="369" t="s">
        <v>20608</v>
      </c>
      <c r="C5" s="324">
        <v>0.5</v>
      </c>
      <c r="D5" s="324">
        <v>0.5</v>
      </c>
      <c r="E5" s="324">
        <f>$E$4</f>
        <v>0.5</v>
      </c>
      <c r="F5" s="324">
        <f t="shared" ref="F5:F7" si="4">ROUND(2*C5*E5+2*D5*E5,2)</f>
        <v>1</v>
      </c>
      <c r="G5" s="324">
        <f t="shared" ref="G5:G9" si="5">ROUND(0.05*C5*D5,2)</f>
        <v>0.01</v>
      </c>
      <c r="H5" s="324">
        <f t="shared" ref="H5:H7" si="6">ROUND(C5*D5*E5,2)</f>
        <v>0.13</v>
      </c>
      <c r="I5" s="324">
        <f>$I$4</f>
        <v>80</v>
      </c>
      <c r="J5" s="324">
        <f t="shared" ref="J5:J7" si="7">ROUND(H5*I5,2)</f>
        <v>10.4</v>
      </c>
      <c r="L5" s="369" t="s">
        <v>20661</v>
      </c>
      <c r="M5" s="324">
        <v>3</v>
      </c>
      <c r="N5" s="324">
        <f t="shared" ref="N5:N9" si="8">M5*6</f>
        <v>18</v>
      </c>
      <c r="O5" s="324">
        <f t="shared" ref="O5:O9" si="9">ROUND(15*1.67,2)</f>
        <v>25.05</v>
      </c>
      <c r="P5" s="324">
        <f t="shared" si="1"/>
        <v>17.420000000000002</v>
      </c>
      <c r="R5" s="369" t="s">
        <v>21817</v>
      </c>
      <c r="S5" s="324">
        <v>0.5</v>
      </c>
      <c r="T5" s="324">
        <v>0.2</v>
      </c>
      <c r="U5" s="324">
        <v>2.8</v>
      </c>
      <c r="V5" s="324">
        <f t="shared" si="2"/>
        <v>3.92</v>
      </c>
      <c r="W5" s="324">
        <f t="shared" si="3"/>
        <v>0.28000000000000003</v>
      </c>
      <c r="X5" s="324">
        <v>75</v>
      </c>
      <c r="Y5" s="324">
        <f t="shared" ref="Y5:Y9" si="10">ROUND(W5*X5,2)</f>
        <v>21</v>
      </c>
      <c r="AA5" s="369" t="s">
        <v>21835</v>
      </c>
      <c r="AB5" s="324">
        <v>1.8</v>
      </c>
      <c r="AC5" s="324">
        <v>0.6</v>
      </c>
      <c r="AD5" s="324">
        <f t="shared" ref="AD5:AD8" si="11">ROUND(AB5*AC5,2)</f>
        <v>1.08</v>
      </c>
    </row>
    <row r="6" spans="2:30" ht="15" x14ac:dyDescent="0.25">
      <c r="B6" s="369" t="s">
        <v>20609</v>
      </c>
      <c r="C6" s="324">
        <v>0.5</v>
      </c>
      <c r="D6" s="324">
        <v>0.5</v>
      </c>
      <c r="E6" s="324">
        <f t="shared" ref="E6:E7" si="12">$E$4</f>
        <v>0.5</v>
      </c>
      <c r="F6" s="324">
        <f t="shared" si="4"/>
        <v>1</v>
      </c>
      <c r="G6" s="324">
        <f t="shared" si="5"/>
        <v>0.01</v>
      </c>
      <c r="H6" s="324">
        <f t="shared" si="6"/>
        <v>0.13</v>
      </c>
      <c r="I6" s="324">
        <f t="shared" ref="I6:I9" si="13">$I$4</f>
        <v>80</v>
      </c>
      <c r="J6" s="324">
        <f t="shared" si="7"/>
        <v>10.4</v>
      </c>
      <c r="L6" s="369" t="s">
        <v>20825</v>
      </c>
      <c r="M6" s="324">
        <v>3</v>
      </c>
      <c r="N6" s="324">
        <f t="shared" si="8"/>
        <v>18</v>
      </c>
      <c r="O6" s="324">
        <f t="shared" si="9"/>
        <v>25.05</v>
      </c>
      <c r="P6" s="324">
        <f t="shared" si="1"/>
        <v>17.420000000000002</v>
      </c>
      <c r="R6" s="369" t="s">
        <v>21818</v>
      </c>
      <c r="S6" s="324">
        <v>0.5</v>
      </c>
      <c r="T6" s="324">
        <v>0.2</v>
      </c>
      <c r="U6" s="324">
        <v>2.8</v>
      </c>
      <c r="V6" s="324">
        <f t="shared" si="2"/>
        <v>3.92</v>
      </c>
      <c r="W6" s="324">
        <f t="shared" si="3"/>
        <v>0.28000000000000003</v>
      </c>
      <c r="X6" s="324">
        <v>75</v>
      </c>
      <c r="Y6" s="324">
        <f t="shared" si="10"/>
        <v>21</v>
      </c>
      <c r="AA6" s="369" t="s">
        <v>21836</v>
      </c>
      <c r="AB6" s="324">
        <v>1.8</v>
      </c>
      <c r="AC6" s="324">
        <v>0.6</v>
      </c>
      <c r="AD6" s="324">
        <f t="shared" si="11"/>
        <v>1.08</v>
      </c>
    </row>
    <row r="7" spans="2:30" ht="15" x14ac:dyDescent="0.25">
      <c r="B7" s="369" t="s">
        <v>20610</v>
      </c>
      <c r="C7" s="324">
        <v>0.5</v>
      </c>
      <c r="D7" s="324">
        <v>0.5</v>
      </c>
      <c r="E7" s="324">
        <f t="shared" si="12"/>
        <v>0.5</v>
      </c>
      <c r="F7" s="324">
        <f t="shared" si="4"/>
        <v>1</v>
      </c>
      <c r="G7" s="324">
        <f t="shared" si="5"/>
        <v>0.01</v>
      </c>
      <c r="H7" s="324">
        <f t="shared" si="6"/>
        <v>0.13</v>
      </c>
      <c r="I7" s="324">
        <f t="shared" si="13"/>
        <v>80</v>
      </c>
      <c r="J7" s="324">
        <f t="shared" si="7"/>
        <v>10.4</v>
      </c>
      <c r="L7" s="369" t="s">
        <v>20662</v>
      </c>
      <c r="M7" s="324">
        <v>3</v>
      </c>
      <c r="N7" s="324">
        <f t="shared" si="8"/>
        <v>18</v>
      </c>
      <c r="O7" s="324">
        <f t="shared" si="9"/>
        <v>25.05</v>
      </c>
      <c r="P7" s="324">
        <f t="shared" si="1"/>
        <v>17.420000000000002</v>
      </c>
      <c r="R7" s="369" t="s">
        <v>21819</v>
      </c>
      <c r="S7" s="324">
        <v>0.5</v>
      </c>
      <c r="T7" s="324">
        <v>0.2</v>
      </c>
      <c r="U7" s="324">
        <v>2.8</v>
      </c>
      <c r="V7" s="324">
        <f t="shared" si="2"/>
        <v>3.92</v>
      </c>
      <c r="W7" s="324">
        <f t="shared" si="3"/>
        <v>0.28000000000000003</v>
      </c>
      <c r="X7" s="324">
        <v>75</v>
      </c>
      <c r="Y7" s="324">
        <f t="shared" si="10"/>
        <v>21</v>
      </c>
      <c r="AA7" s="369" t="s">
        <v>21837</v>
      </c>
      <c r="AB7" s="324">
        <v>1.8</v>
      </c>
      <c r="AC7" s="324">
        <v>0.5</v>
      </c>
      <c r="AD7" s="324">
        <f t="shared" si="11"/>
        <v>0.9</v>
      </c>
    </row>
    <row r="8" spans="2:30" ht="15" x14ac:dyDescent="0.25">
      <c r="B8" s="369" t="s">
        <v>20689</v>
      </c>
      <c r="C8" s="324">
        <v>0.5</v>
      </c>
      <c r="D8" s="324">
        <v>0.5</v>
      </c>
      <c r="E8" s="324">
        <v>0.5</v>
      </c>
      <c r="F8" s="324">
        <f>ROUND(2*C8*E8+2*D8*E8,2)</f>
        <v>1</v>
      </c>
      <c r="G8" s="324">
        <f t="shared" si="5"/>
        <v>0.01</v>
      </c>
      <c r="H8" s="324">
        <f>ROUND(C8*D8*E8,2)</f>
        <v>0.13</v>
      </c>
      <c r="I8" s="324">
        <f t="shared" si="13"/>
        <v>80</v>
      </c>
      <c r="J8" s="324">
        <f>ROUND(H8*I8,2)</f>
        <v>10.4</v>
      </c>
      <c r="L8" s="369" t="s">
        <v>20826</v>
      </c>
      <c r="M8" s="324">
        <v>3</v>
      </c>
      <c r="N8" s="324">
        <f t="shared" si="8"/>
        <v>18</v>
      </c>
      <c r="O8" s="324">
        <f t="shared" si="9"/>
        <v>25.05</v>
      </c>
      <c r="P8" s="324">
        <f t="shared" si="1"/>
        <v>17.420000000000002</v>
      </c>
      <c r="R8" s="369" t="s">
        <v>21820</v>
      </c>
      <c r="S8" s="324">
        <v>0.5</v>
      </c>
      <c r="T8" s="324">
        <v>0.2</v>
      </c>
      <c r="U8" s="324">
        <v>2.8</v>
      </c>
      <c r="V8" s="324">
        <f t="shared" si="2"/>
        <v>3.92</v>
      </c>
      <c r="W8" s="324">
        <f t="shared" si="3"/>
        <v>0.28000000000000003</v>
      </c>
      <c r="X8" s="324">
        <v>75</v>
      </c>
      <c r="Y8" s="324">
        <f t="shared" si="10"/>
        <v>21</v>
      </c>
      <c r="AA8" s="369" t="s">
        <v>21838</v>
      </c>
      <c r="AB8" s="324">
        <v>1.3</v>
      </c>
      <c r="AC8" s="324">
        <v>0.5</v>
      </c>
      <c r="AD8" s="324">
        <f t="shared" si="11"/>
        <v>0.65</v>
      </c>
    </row>
    <row r="9" spans="2:30" ht="15" x14ac:dyDescent="0.25">
      <c r="B9" s="369" t="s">
        <v>20690</v>
      </c>
      <c r="C9" s="324">
        <v>0.5</v>
      </c>
      <c r="D9" s="324">
        <v>0.5</v>
      </c>
      <c r="E9" s="324">
        <v>0.5</v>
      </c>
      <c r="F9" s="324">
        <f>ROUND(2*C9*E9+2*D9*E9,2)</f>
        <v>1</v>
      </c>
      <c r="G9" s="324">
        <f t="shared" si="5"/>
        <v>0.01</v>
      </c>
      <c r="H9" s="324">
        <f>ROUND(C9*D9*E9,2)</f>
        <v>0.13</v>
      </c>
      <c r="I9" s="324">
        <f t="shared" si="13"/>
        <v>80</v>
      </c>
      <c r="J9" s="324">
        <f>ROUND(H9*I9,2)</f>
        <v>10.4</v>
      </c>
      <c r="L9" s="369" t="s">
        <v>20827</v>
      </c>
      <c r="M9" s="324">
        <v>3</v>
      </c>
      <c r="N9" s="324">
        <f t="shared" si="8"/>
        <v>18</v>
      </c>
      <c r="O9" s="324">
        <f t="shared" si="9"/>
        <v>25.05</v>
      </c>
      <c r="P9" s="324">
        <f t="shared" si="1"/>
        <v>17.420000000000002</v>
      </c>
      <c r="R9" s="369" t="s">
        <v>21821</v>
      </c>
      <c r="S9" s="324">
        <v>0.5</v>
      </c>
      <c r="T9" s="324">
        <v>0.2</v>
      </c>
      <c r="U9" s="324">
        <v>2.8</v>
      </c>
      <c r="V9" s="324">
        <f t="shared" si="2"/>
        <v>3.92</v>
      </c>
      <c r="W9" s="324">
        <f t="shared" si="3"/>
        <v>0.28000000000000003</v>
      </c>
      <c r="X9" s="324">
        <v>75</v>
      </c>
      <c r="Y9" s="324">
        <f t="shared" si="10"/>
        <v>21</v>
      </c>
      <c r="AA9" s="780" t="s">
        <v>7</v>
      </c>
      <c r="AB9" s="781"/>
      <c r="AC9" s="782"/>
      <c r="AD9" s="398">
        <f>SUM(AD4:AD8)</f>
        <v>4.7900000000000009</v>
      </c>
    </row>
    <row r="10" spans="2:30" ht="15" x14ac:dyDescent="0.25">
      <c r="B10" s="778" t="s">
        <v>7</v>
      </c>
      <c r="C10" s="778"/>
      <c r="D10" s="778"/>
      <c r="E10" s="778"/>
      <c r="F10" s="371">
        <f>SUM(F4:F9)</f>
        <v>6</v>
      </c>
      <c r="G10" s="371">
        <f>SUM(G4:G9)</f>
        <v>6.0000000000000005E-2</v>
      </c>
      <c r="H10" s="371">
        <f>SUM(H4:H9)</f>
        <v>0.78</v>
      </c>
      <c r="I10" s="371"/>
      <c r="J10" s="371">
        <f>SUM(J4:J9)</f>
        <v>62.4</v>
      </c>
      <c r="L10" s="371" t="s">
        <v>7</v>
      </c>
      <c r="M10" s="371">
        <f>SUM(M4:M9)</f>
        <v>18</v>
      </c>
      <c r="N10" s="371">
        <f>SUM(N4:N9)</f>
        <v>108</v>
      </c>
      <c r="O10" s="371">
        <f>SUM(O4:O9)</f>
        <v>158.65</v>
      </c>
      <c r="P10" s="371">
        <f>SUM(P4:P9)</f>
        <v>106.61000000000001</v>
      </c>
      <c r="R10" s="780" t="s">
        <v>7</v>
      </c>
      <c r="S10" s="781"/>
      <c r="T10" s="781"/>
      <c r="U10" s="782"/>
      <c r="V10" s="371">
        <f>SUM(V4:V9)</f>
        <v>23.520000000000003</v>
      </c>
      <c r="W10" s="371">
        <f>SUM(W4:W9)</f>
        <v>1.6800000000000002</v>
      </c>
      <c r="X10" s="371"/>
      <c r="Y10" s="371">
        <f>SUM(Y4:Y9)</f>
        <v>126</v>
      </c>
    </row>
    <row r="13" spans="2:30" ht="26.1" customHeight="1" x14ac:dyDescent="0.2">
      <c r="AA13" s="783" t="s">
        <v>21839</v>
      </c>
      <c r="AB13" s="784"/>
    </row>
    <row r="14" spans="2:30" ht="30" x14ac:dyDescent="0.2">
      <c r="AA14" s="341" t="s">
        <v>107</v>
      </c>
      <c r="AB14" s="342" t="s">
        <v>20604</v>
      </c>
    </row>
    <row r="15" spans="2:30" ht="15" x14ac:dyDescent="0.25">
      <c r="AA15" s="369" t="s">
        <v>21840</v>
      </c>
      <c r="AB15" s="324">
        <v>15.7</v>
      </c>
    </row>
    <row r="16" spans="2:30" ht="15" x14ac:dyDescent="0.25">
      <c r="AA16" s="369" t="s">
        <v>21841</v>
      </c>
      <c r="AB16" s="324">
        <v>3.1</v>
      </c>
    </row>
    <row r="17" spans="27:28" ht="15" x14ac:dyDescent="0.25">
      <c r="AA17" s="369" t="s">
        <v>21842</v>
      </c>
      <c r="AB17" s="324">
        <v>2.17</v>
      </c>
    </row>
    <row r="18" spans="27:28" ht="15" x14ac:dyDescent="0.25">
      <c r="AA18" s="369" t="s">
        <v>21843</v>
      </c>
      <c r="AB18" s="324">
        <f>4.35+0.45</f>
        <v>4.8</v>
      </c>
    </row>
    <row r="19" spans="27:28" x14ac:dyDescent="0.2">
      <c r="AA19" s="398" t="s">
        <v>7</v>
      </c>
      <c r="AB19" s="398">
        <f>SUM(AB15:AB18)</f>
        <v>25.77</v>
      </c>
    </row>
  </sheetData>
  <mergeCells count="8">
    <mergeCell ref="AA2:AD2"/>
    <mergeCell ref="AA9:AC9"/>
    <mergeCell ref="AA13:AB13"/>
    <mergeCell ref="B2:J2"/>
    <mergeCell ref="L2:P2"/>
    <mergeCell ref="B10:E10"/>
    <mergeCell ref="R2:Y2"/>
    <mergeCell ref="R10:U10"/>
  </mergeCells>
  <phoneticPr fontId="82" type="noConversion"/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1" tint="0.14999847407452621"/>
  </sheetPr>
  <dimension ref="B2:K150"/>
  <sheetViews>
    <sheetView topLeftCell="A86" workbookViewId="0">
      <selection activeCell="G55" sqref="G55:K150"/>
    </sheetView>
  </sheetViews>
  <sheetFormatPr defaultColWidth="9.140625" defaultRowHeight="15" x14ac:dyDescent="0.25"/>
  <cols>
    <col min="1" max="1" width="9.140625" style="316"/>
    <col min="2" max="2" width="22.42578125" style="316" customWidth="1"/>
    <col min="3" max="3" width="10.7109375" style="316" customWidth="1"/>
    <col min="4" max="4" width="8.7109375" style="316" customWidth="1"/>
    <col min="5" max="5" width="11.140625" style="316" customWidth="1"/>
    <col min="6" max="6" width="9.140625" style="316"/>
    <col min="7" max="7" width="25.7109375" style="316" bestFit="1" customWidth="1"/>
    <col min="8" max="16384" width="9.140625" style="316"/>
  </cols>
  <sheetData>
    <row r="2" spans="2:11" x14ac:dyDescent="0.25">
      <c r="B2" s="785" t="s">
        <v>20933</v>
      </c>
      <c r="C2" s="786"/>
      <c r="D2" s="786"/>
      <c r="E2" s="787"/>
      <c r="G2" s="788" t="s">
        <v>20945</v>
      </c>
      <c r="H2" s="788"/>
      <c r="I2" s="788"/>
      <c r="J2" s="788"/>
      <c r="K2" s="788"/>
    </row>
    <row r="3" spans="2:11" ht="45.6" customHeight="1" x14ac:dyDescent="0.25">
      <c r="B3" s="363" t="s">
        <v>20914</v>
      </c>
      <c r="C3" s="364" t="s">
        <v>20359</v>
      </c>
      <c r="D3" s="364" t="s">
        <v>87</v>
      </c>
      <c r="E3" s="364" t="s">
        <v>20922</v>
      </c>
      <c r="G3" s="363" t="s">
        <v>20914</v>
      </c>
      <c r="H3" s="364" t="s">
        <v>20517</v>
      </c>
      <c r="I3" s="364" t="s">
        <v>20946</v>
      </c>
      <c r="J3" s="364" t="s">
        <v>20604</v>
      </c>
      <c r="K3" s="364" t="s">
        <v>20470</v>
      </c>
    </row>
    <row r="4" spans="2:11" x14ac:dyDescent="0.25">
      <c r="B4" s="343" t="s">
        <v>20921</v>
      </c>
      <c r="C4" s="321">
        <f>0.39+0.39+3.71</f>
        <v>4.49</v>
      </c>
      <c r="D4" s="365">
        <v>2.8</v>
      </c>
      <c r="E4" s="321">
        <f>ROUND(C4*D4,2)</f>
        <v>12.57</v>
      </c>
      <c r="G4" s="343" t="s">
        <v>20947</v>
      </c>
      <c r="H4" s="321">
        <v>10</v>
      </c>
      <c r="I4" s="366">
        <v>2.1899999999999999E-2</v>
      </c>
      <c r="J4" s="324">
        <v>2.2000000000000002</v>
      </c>
      <c r="K4" s="324">
        <f>ROUND(H4*I4*J4,2)</f>
        <v>0.48</v>
      </c>
    </row>
    <row r="5" spans="2:11" x14ac:dyDescent="0.25">
      <c r="B5" s="343" t="s">
        <v>20923</v>
      </c>
      <c r="C5" s="321">
        <f>3.69+0.1</f>
        <v>3.79</v>
      </c>
      <c r="D5" s="365">
        <v>2.8</v>
      </c>
      <c r="E5" s="324">
        <f t="shared" ref="E5" si="0">ROUND(C5*D5,2)</f>
        <v>10.61</v>
      </c>
      <c r="G5" s="343" t="s">
        <v>20947</v>
      </c>
      <c r="H5" s="321">
        <v>4</v>
      </c>
      <c r="I5" s="366">
        <v>2.1899999999999999E-2</v>
      </c>
      <c r="J5" s="324">
        <v>2.8</v>
      </c>
      <c r="K5" s="324">
        <f>ROUND(H5*I5*J5,2)</f>
        <v>0.25</v>
      </c>
    </row>
    <row r="6" spans="2:11" x14ac:dyDescent="0.25">
      <c r="B6" s="343" t="s">
        <v>20938</v>
      </c>
      <c r="C6" s="321" t="s">
        <v>106</v>
      </c>
      <c r="D6" s="321" t="s">
        <v>106</v>
      </c>
      <c r="E6" s="324">
        <f>22.69+9.33+4.25</f>
        <v>36.270000000000003</v>
      </c>
      <c r="G6" s="343" t="s">
        <v>20948</v>
      </c>
      <c r="H6" s="321">
        <v>3</v>
      </c>
      <c r="I6" s="366">
        <v>2.3E-2</v>
      </c>
      <c r="J6" s="324">
        <v>4.07</v>
      </c>
      <c r="K6" s="324">
        <f>ROUND(H6*I6*J6,2)</f>
        <v>0.28000000000000003</v>
      </c>
    </row>
    <row r="7" spans="2:11" x14ac:dyDescent="0.25">
      <c r="B7" s="343" t="s">
        <v>20930</v>
      </c>
      <c r="C7" s="321" t="s">
        <v>106</v>
      </c>
      <c r="D7" s="321" t="s">
        <v>106</v>
      </c>
      <c r="E7" s="324">
        <f>16.5-2.83+10.43+8.9</f>
        <v>33</v>
      </c>
      <c r="G7" s="343" t="s">
        <v>20949</v>
      </c>
      <c r="H7" s="321">
        <v>9</v>
      </c>
      <c r="I7" s="366">
        <v>2.1899999999999999E-2</v>
      </c>
      <c r="J7" s="324">
        <v>2.2000000000000002</v>
      </c>
      <c r="K7" s="324">
        <f t="shared" ref="K7:K8" si="1">ROUND(H7*I7*J7,2)</f>
        <v>0.43</v>
      </c>
    </row>
    <row r="8" spans="2:11" x14ac:dyDescent="0.25">
      <c r="B8" s="343" t="s">
        <v>20940</v>
      </c>
      <c r="C8" s="321" t="s">
        <v>106</v>
      </c>
      <c r="D8" s="321" t="s">
        <v>106</v>
      </c>
      <c r="E8" s="324">
        <f>48.27-2.83+14.48+4.58</f>
        <v>64.5</v>
      </c>
      <c r="G8" s="343" t="s">
        <v>20949</v>
      </c>
      <c r="H8" s="321">
        <v>9</v>
      </c>
      <c r="I8" s="366">
        <v>2.1899999999999999E-2</v>
      </c>
      <c r="J8" s="324">
        <v>1.4</v>
      </c>
      <c r="K8" s="324">
        <f t="shared" si="1"/>
        <v>0.28000000000000003</v>
      </c>
    </row>
    <row r="9" spans="2:11" x14ac:dyDescent="0.25">
      <c r="B9" s="343" t="s">
        <v>20943</v>
      </c>
      <c r="C9" s="321" t="s">
        <v>106</v>
      </c>
      <c r="D9" s="321" t="s">
        <v>106</v>
      </c>
      <c r="E9" s="324">
        <v>7.96</v>
      </c>
      <c r="G9" s="343" t="s">
        <v>20950</v>
      </c>
      <c r="H9" s="321">
        <v>2</v>
      </c>
      <c r="I9" s="366">
        <v>2.3E-2</v>
      </c>
      <c r="J9" s="324">
        <v>3.69</v>
      </c>
      <c r="K9" s="324">
        <f t="shared" ref="K9:K10" si="2">ROUND(H9*I9*J9,2)</f>
        <v>0.17</v>
      </c>
    </row>
    <row r="10" spans="2:11" x14ac:dyDescent="0.25">
      <c r="B10" s="343" t="s">
        <v>20944</v>
      </c>
      <c r="C10" s="321" t="s">
        <v>106</v>
      </c>
      <c r="D10" s="321" t="s">
        <v>106</v>
      </c>
      <c r="E10" s="324">
        <f>(64.29-2.45-2.44)+(27.72-2.91-2.64)</f>
        <v>81.570000000000007</v>
      </c>
      <c r="G10" s="343" t="s">
        <v>20950</v>
      </c>
      <c r="H10" s="321">
        <v>1</v>
      </c>
      <c r="I10" s="366">
        <v>2.3E-2</v>
      </c>
      <c r="J10" s="324">
        <v>5</v>
      </c>
      <c r="K10" s="324">
        <f t="shared" si="2"/>
        <v>0.12</v>
      </c>
    </row>
    <row r="11" spans="2:11" x14ac:dyDescent="0.25">
      <c r="B11" s="785" t="s">
        <v>7</v>
      </c>
      <c r="C11" s="786"/>
      <c r="D11" s="787"/>
      <c r="E11" s="362">
        <f>SUM(E4:E10)</f>
        <v>246.48000000000002</v>
      </c>
      <c r="G11" s="343" t="s">
        <v>20978</v>
      </c>
      <c r="H11" s="321">
        <v>39</v>
      </c>
      <c r="I11" s="366">
        <v>2.1899999999999999E-2</v>
      </c>
      <c r="J11" s="324">
        <v>2.2000000000000002</v>
      </c>
      <c r="K11" s="324">
        <f>ROUND(H11*I11*J11,2)</f>
        <v>1.88</v>
      </c>
    </row>
    <row r="12" spans="2:11" x14ac:dyDescent="0.25">
      <c r="G12" s="343" t="s">
        <v>20979</v>
      </c>
      <c r="H12" s="321">
        <v>1</v>
      </c>
      <c r="I12" s="366">
        <v>2.3E-2</v>
      </c>
      <c r="J12" s="324">
        <v>8.9</v>
      </c>
      <c r="K12" s="324">
        <f>ROUND(H12*I12*J12,2)</f>
        <v>0.2</v>
      </c>
    </row>
    <row r="13" spans="2:11" x14ac:dyDescent="0.25">
      <c r="G13" s="343" t="s">
        <v>20979</v>
      </c>
      <c r="H13" s="321">
        <v>1</v>
      </c>
      <c r="I13" s="366">
        <v>2.3E-2</v>
      </c>
      <c r="J13" s="324">
        <v>1.39</v>
      </c>
      <c r="K13" s="324">
        <f t="shared" ref="K13:K15" si="3">ROUND(H13*I13*J13,2)</f>
        <v>0.03</v>
      </c>
    </row>
    <row r="14" spans="2:11" x14ac:dyDescent="0.25">
      <c r="G14" s="343" t="s">
        <v>20979</v>
      </c>
      <c r="H14" s="321">
        <v>2</v>
      </c>
      <c r="I14" s="366">
        <v>2.3E-2</v>
      </c>
      <c r="J14" s="324">
        <v>3.7</v>
      </c>
      <c r="K14" s="324">
        <f t="shared" si="3"/>
        <v>0.17</v>
      </c>
    </row>
    <row r="15" spans="2:11" x14ac:dyDescent="0.25">
      <c r="G15" s="343" t="s">
        <v>20979</v>
      </c>
      <c r="H15" s="321">
        <v>2</v>
      </c>
      <c r="I15" s="366">
        <v>2.3E-2</v>
      </c>
      <c r="J15" s="324">
        <v>4.1900000000000004</v>
      </c>
      <c r="K15" s="324">
        <f t="shared" si="3"/>
        <v>0.19</v>
      </c>
    </row>
    <row r="16" spans="2:11" x14ac:dyDescent="0.25">
      <c r="G16" s="343" t="s">
        <v>20980</v>
      </c>
      <c r="H16" s="321">
        <v>6</v>
      </c>
      <c r="I16" s="366">
        <v>2.1899999999999999E-2</v>
      </c>
      <c r="J16" s="324">
        <v>2.2000000000000002</v>
      </c>
      <c r="K16" s="324">
        <f>ROUND(H16*I16*J16,2)</f>
        <v>0.28999999999999998</v>
      </c>
    </row>
    <row r="17" spans="7:11" x14ac:dyDescent="0.25">
      <c r="G17" s="343" t="s">
        <v>20981</v>
      </c>
      <c r="H17" s="321">
        <v>2</v>
      </c>
      <c r="I17" s="366">
        <v>2.3E-2</v>
      </c>
      <c r="J17" s="324">
        <v>3.59</v>
      </c>
      <c r="K17" s="324">
        <f t="shared" ref="K17" si="4">ROUND(H17*I17*J17,2)</f>
        <v>0.17</v>
      </c>
    </row>
    <row r="18" spans="7:11" x14ac:dyDescent="0.25">
      <c r="G18" s="343" t="s">
        <v>20982</v>
      </c>
      <c r="H18" s="321">
        <v>4</v>
      </c>
      <c r="I18" s="366">
        <v>2.1899999999999999E-2</v>
      </c>
      <c r="J18" s="324">
        <f>ROUND((0.2+0.8+1.4+1.6)/4,2)</f>
        <v>1</v>
      </c>
      <c r="K18" s="324">
        <f>ROUND(H18*I18*J18,2)</f>
        <v>0.09</v>
      </c>
    </row>
    <row r="19" spans="7:11" x14ac:dyDescent="0.25">
      <c r="G19" s="343" t="s">
        <v>20983</v>
      </c>
      <c r="H19" s="321">
        <v>1</v>
      </c>
      <c r="I19" s="366">
        <v>2.3E-2</v>
      </c>
      <c r="J19" s="324">
        <f>2.19+0.45</f>
        <v>2.64</v>
      </c>
      <c r="K19" s="324">
        <f>ROUND(H19*I19*J19,2)</f>
        <v>0.06</v>
      </c>
    </row>
    <row r="20" spans="7:11" x14ac:dyDescent="0.25">
      <c r="G20" s="343" t="s">
        <v>20990</v>
      </c>
      <c r="H20" s="321">
        <v>18</v>
      </c>
      <c r="I20" s="366">
        <v>2.1899999999999999E-2</v>
      </c>
      <c r="J20" s="324">
        <v>2.2000000000000002</v>
      </c>
      <c r="K20" s="324">
        <f>ROUND(H20*I20*J20,2)</f>
        <v>0.87</v>
      </c>
    </row>
    <row r="21" spans="7:11" x14ac:dyDescent="0.25">
      <c r="G21" s="343" t="s">
        <v>20990</v>
      </c>
      <c r="H21" s="321">
        <v>15</v>
      </c>
      <c r="I21" s="366">
        <v>2.1899999999999999E-2</v>
      </c>
      <c r="J21" s="324">
        <v>0.2</v>
      </c>
      <c r="K21" s="324">
        <f t="shared" ref="K21:K23" si="5">ROUND(H21*I21*J21,2)</f>
        <v>7.0000000000000007E-2</v>
      </c>
    </row>
    <row r="22" spans="7:11" x14ac:dyDescent="0.25">
      <c r="G22" s="343" t="s">
        <v>20990</v>
      </c>
      <c r="H22" s="321">
        <v>10</v>
      </c>
      <c r="I22" s="366">
        <v>2.1899999999999999E-2</v>
      </c>
      <c r="J22" s="324">
        <v>0.6</v>
      </c>
      <c r="K22" s="324">
        <f t="shared" si="5"/>
        <v>0.13</v>
      </c>
    </row>
    <row r="23" spans="7:11" x14ac:dyDescent="0.25">
      <c r="G23" s="343" t="s">
        <v>20991</v>
      </c>
      <c r="H23" s="321">
        <v>1</v>
      </c>
      <c r="I23" s="366">
        <v>2.3E-2</v>
      </c>
      <c r="J23" s="324">
        <v>6.61</v>
      </c>
      <c r="K23" s="324">
        <f t="shared" si="5"/>
        <v>0.15</v>
      </c>
    </row>
    <row r="24" spans="7:11" x14ac:dyDescent="0.25">
      <c r="G24" s="343" t="s">
        <v>20991</v>
      </c>
      <c r="H24" s="321">
        <v>1</v>
      </c>
      <c r="I24" s="366">
        <v>2.3E-2</v>
      </c>
      <c r="J24" s="324">
        <v>1.1499999999999999</v>
      </c>
      <c r="K24" s="324">
        <f t="shared" ref="K24:K29" si="6">ROUND(H24*I24*J24,2)</f>
        <v>0.03</v>
      </c>
    </row>
    <row r="25" spans="7:11" x14ac:dyDescent="0.25">
      <c r="G25" s="343" t="s">
        <v>20991</v>
      </c>
      <c r="H25" s="321">
        <v>2</v>
      </c>
      <c r="I25" s="366">
        <v>2.3E-2</v>
      </c>
      <c r="J25" s="324">
        <v>2.44</v>
      </c>
      <c r="K25" s="324">
        <f t="shared" si="6"/>
        <v>0.11</v>
      </c>
    </row>
    <row r="26" spans="7:11" x14ac:dyDescent="0.25">
      <c r="G26" s="343" t="s">
        <v>20991</v>
      </c>
      <c r="H26" s="321">
        <v>2</v>
      </c>
      <c r="I26" s="366">
        <v>2.3E-2</v>
      </c>
      <c r="J26" s="324">
        <v>2</v>
      </c>
      <c r="K26" s="324">
        <f t="shared" si="6"/>
        <v>0.09</v>
      </c>
    </row>
    <row r="27" spans="7:11" x14ac:dyDescent="0.25">
      <c r="G27" s="343" t="s">
        <v>20991</v>
      </c>
      <c r="H27" s="321">
        <v>2</v>
      </c>
      <c r="I27" s="366">
        <v>2.3E-2</v>
      </c>
      <c r="J27" s="324">
        <v>1.64</v>
      </c>
      <c r="K27" s="324">
        <f t="shared" si="6"/>
        <v>0.08</v>
      </c>
    </row>
    <row r="28" spans="7:11" x14ac:dyDescent="0.25">
      <c r="G28" s="343" t="s">
        <v>20992</v>
      </c>
      <c r="H28" s="321">
        <v>4</v>
      </c>
      <c r="I28" s="366">
        <v>2.1899999999999999E-2</v>
      </c>
      <c r="J28" s="324">
        <v>2.2000000000000002</v>
      </c>
      <c r="K28" s="324">
        <f t="shared" si="6"/>
        <v>0.19</v>
      </c>
    </row>
    <row r="29" spans="7:11" x14ac:dyDescent="0.25">
      <c r="G29" s="343" t="s">
        <v>20992</v>
      </c>
      <c r="H29" s="321">
        <v>20</v>
      </c>
      <c r="I29" s="366">
        <v>2.1899999999999999E-2</v>
      </c>
      <c r="J29" s="324">
        <v>1.2</v>
      </c>
      <c r="K29" s="324">
        <f t="shared" si="6"/>
        <v>0.53</v>
      </c>
    </row>
    <row r="30" spans="7:11" x14ac:dyDescent="0.25">
      <c r="G30" s="343" t="s">
        <v>20992</v>
      </c>
      <c r="H30" s="321">
        <v>3</v>
      </c>
      <c r="I30" s="366">
        <v>1.2200000000000001E-2</v>
      </c>
      <c r="J30" s="324">
        <v>1.2</v>
      </c>
      <c r="K30" s="324">
        <f t="shared" ref="K30:K31" si="7">ROUND(H30*I30*J30,2)</f>
        <v>0.04</v>
      </c>
    </row>
    <row r="31" spans="7:11" x14ac:dyDescent="0.25">
      <c r="G31" s="343" t="s">
        <v>20999</v>
      </c>
      <c r="H31" s="321">
        <v>9</v>
      </c>
      <c r="I31" s="366">
        <v>2.1899999999999999E-2</v>
      </c>
      <c r="J31" s="324">
        <v>2.2000000000000002</v>
      </c>
      <c r="K31" s="324">
        <f t="shared" si="7"/>
        <v>0.43</v>
      </c>
    </row>
    <row r="32" spans="7:11" x14ac:dyDescent="0.25">
      <c r="G32" s="343" t="s">
        <v>20999</v>
      </c>
      <c r="H32" s="321">
        <v>43</v>
      </c>
      <c r="I32" s="366">
        <v>2.1899999999999999E-2</v>
      </c>
      <c r="J32" s="324">
        <v>1.4</v>
      </c>
      <c r="K32" s="324">
        <f t="shared" ref="K32" si="8">ROUND(H32*I32*J32,2)</f>
        <v>1.32</v>
      </c>
    </row>
    <row r="33" spans="7:11" x14ac:dyDescent="0.25">
      <c r="G33" s="343" t="s">
        <v>20999</v>
      </c>
      <c r="H33" s="321">
        <v>10</v>
      </c>
      <c r="I33" s="366">
        <v>2.1899999999999999E-2</v>
      </c>
      <c r="J33" s="324">
        <v>0.8</v>
      </c>
      <c r="K33" s="324">
        <f t="shared" ref="K33:K35" si="9">ROUND(H33*I33*J33,2)</f>
        <v>0.18</v>
      </c>
    </row>
    <row r="34" spans="7:11" x14ac:dyDescent="0.25">
      <c r="G34" s="343" t="s">
        <v>21000</v>
      </c>
      <c r="H34" s="321">
        <v>3</v>
      </c>
      <c r="I34" s="366">
        <v>2.3E-2</v>
      </c>
      <c r="J34" s="324">
        <v>7.4</v>
      </c>
      <c r="K34" s="324">
        <f t="shared" si="9"/>
        <v>0.51</v>
      </c>
    </row>
    <row r="35" spans="7:11" x14ac:dyDescent="0.25">
      <c r="G35" s="343" t="s">
        <v>20962</v>
      </c>
      <c r="H35" s="321">
        <v>5</v>
      </c>
      <c r="I35" s="366">
        <v>2.1899999999999999E-2</v>
      </c>
      <c r="J35" s="324">
        <v>2.2000000000000002</v>
      </c>
      <c r="K35" s="324">
        <f t="shared" si="9"/>
        <v>0.24</v>
      </c>
    </row>
    <row r="36" spans="7:11" x14ac:dyDescent="0.25">
      <c r="G36" s="343" t="s">
        <v>20963</v>
      </c>
      <c r="H36" s="321">
        <v>3</v>
      </c>
      <c r="I36" s="366">
        <v>2.3E-2</v>
      </c>
      <c r="J36" s="324">
        <v>3.69</v>
      </c>
      <c r="K36" s="324">
        <f t="shared" ref="K36" si="10">ROUND(H36*I36*J36,2)</f>
        <v>0.25</v>
      </c>
    </row>
    <row r="37" spans="7:11" x14ac:dyDescent="0.25">
      <c r="G37" s="343" t="s">
        <v>20963</v>
      </c>
      <c r="H37" s="321">
        <v>1</v>
      </c>
      <c r="I37" s="366">
        <v>2.3E-2</v>
      </c>
      <c r="J37" s="324">
        <v>4.1399999999999997</v>
      </c>
      <c r="K37" s="324">
        <f t="shared" ref="K37" si="11">ROUND(H37*I37*J37,2)</f>
        <v>0.1</v>
      </c>
    </row>
    <row r="38" spans="7:11" x14ac:dyDescent="0.25">
      <c r="G38" s="343" t="s">
        <v>21001</v>
      </c>
      <c r="H38" s="321">
        <v>3</v>
      </c>
      <c r="I38" s="366">
        <v>2.1899999999999999E-2</v>
      </c>
      <c r="J38" s="324">
        <v>1.4</v>
      </c>
      <c r="K38" s="324">
        <f t="shared" ref="K38:K39" si="12">ROUND(H38*I38*J38,2)</f>
        <v>0.09</v>
      </c>
    </row>
    <row r="39" spans="7:11" x14ac:dyDescent="0.25">
      <c r="G39" s="343" t="s">
        <v>21002</v>
      </c>
      <c r="H39" s="321">
        <v>1</v>
      </c>
      <c r="I39" s="366">
        <v>2.3E-2</v>
      </c>
      <c r="J39" s="324">
        <v>2.39</v>
      </c>
      <c r="K39" s="324">
        <f t="shared" si="12"/>
        <v>0.05</v>
      </c>
    </row>
    <row r="40" spans="7:11" x14ac:dyDescent="0.25">
      <c r="G40" s="343" t="s">
        <v>21002</v>
      </c>
      <c r="H40" s="321">
        <v>1</v>
      </c>
      <c r="I40" s="366">
        <v>2.3E-2</v>
      </c>
      <c r="J40" s="324">
        <v>0.6</v>
      </c>
      <c r="K40" s="324">
        <f t="shared" ref="K40:K41" si="13">ROUND(H40*I40*J40,2)</f>
        <v>0.01</v>
      </c>
    </row>
    <row r="41" spans="7:11" x14ac:dyDescent="0.25">
      <c r="G41" s="343" t="s">
        <v>21007</v>
      </c>
      <c r="H41" s="321">
        <v>10</v>
      </c>
      <c r="I41" s="366">
        <v>2.1899999999999999E-2</v>
      </c>
      <c r="J41" s="324">
        <v>2.2000000000000002</v>
      </c>
      <c r="K41" s="324">
        <f t="shared" si="13"/>
        <v>0.48</v>
      </c>
    </row>
    <row r="42" spans="7:11" x14ac:dyDescent="0.25">
      <c r="G42" s="343" t="s">
        <v>21008</v>
      </c>
      <c r="H42" s="321">
        <v>3</v>
      </c>
      <c r="I42" s="366">
        <v>2.3E-2</v>
      </c>
      <c r="J42" s="324">
        <v>3.6</v>
      </c>
      <c r="K42" s="324">
        <f t="shared" ref="K42:K43" si="14">ROUND(H42*I42*J42,2)</f>
        <v>0.25</v>
      </c>
    </row>
    <row r="43" spans="7:11" x14ac:dyDescent="0.25">
      <c r="G43" s="343" t="s">
        <v>21009</v>
      </c>
      <c r="H43" s="321">
        <v>29</v>
      </c>
      <c r="I43" s="366">
        <v>2.1899999999999999E-2</v>
      </c>
      <c r="J43" s="324">
        <v>2.2000000000000002</v>
      </c>
      <c r="K43" s="324">
        <f t="shared" si="14"/>
        <v>1.4</v>
      </c>
    </row>
    <row r="44" spans="7:11" x14ac:dyDescent="0.25">
      <c r="G44" s="343" t="s">
        <v>21009</v>
      </c>
      <c r="H44" s="321">
        <v>64</v>
      </c>
      <c r="I44" s="366">
        <v>2.1899999999999999E-2</v>
      </c>
      <c r="J44" s="324">
        <v>1.4</v>
      </c>
      <c r="K44" s="324">
        <f t="shared" ref="K44" si="15">ROUND(H44*I44*J44,2)</f>
        <v>1.96</v>
      </c>
    </row>
    <row r="45" spans="7:11" x14ac:dyDescent="0.25">
      <c r="G45" s="343" t="s">
        <v>21009</v>
      </c>
      <c r="H45" s="321">
        <v>10</v>
      </c>
      <c r="I45" s="366">
        <v>2.1899999999999999E-2</v>
      </c>
      <c r="J45" s="324">
        <v>1.6</v>
      </c>
      <c r="K45" s="324">
        <f t="shared" ref="K45:K47" si="16">ROUND(H45*I45*J45,2)</f>
        <v>0.35</v>
      </c>
    </row>
    <row r="46" spans="7:11" x14ac:dyDescent="0.25">
      <c r="G46" s="343" t="s">
        <v>21010</v>
      </c>
      <c r="H46" s="321">
        <v>3</v>
      </c>
      <c r="I46" s="366">
        <v>2.3E-2</v>
      </c>
      <c r="J46" s="324">
        <v>22.96</v>
      </c>
      <c r="K46" s="324">
        <f t="shared" si="16"/>
        <v>1.58</v>
      </c>
    </row>
    <row r="47" spans="7:11" x14ac:dyDescent="0.25">
      <c r="G47" s="343" t="s">
        <v>21011</v>
      </c>
      <c r="H47" s="321">
        <v>15</v>
      </c>
      <c r="I47" s="366">
        <v>2.1899999999999999E-2</v>
      </c>
      <c r="J47" s="324">
        <v>2.2000000000000002</v>
      </c>
      <c r="K47" s="324">
        <f t="shared" si="16"/>
        <v>0.72</v>
      </c>
    </row>
    <row r="48" spans="7:11" x14ac:dyDescent="0.25">
      <c r="G48" s="343" t="s">
        <v>21012</v>
      </c>
      <c r="H48" s="321">
        <v>1</v>
      </c>
      <c r="I48" s="366">
        <v>2.3E-2</v>
      </c>
      <c r="J48" s="324">
        <v>9.9</v>
      </c>
      <c r="K48" s="324">
        <f t="shared" ref="K48" si="17">ROUND(H48*I48*J48,2)</f>
        <v>0.23</v>
      </c>
    </row>
    <row r="49" spans="2:11" x14ac:dyDescent="0.25">
      <c r="G49" s="343" t="s">
        <v>21012</v>
      </c>
      <c r="H49" s="321">
        <v>2</v>
      </c>
      <c r="I49" s="366">
        <v>2.3E-2</v>
      </c>
      <c r="J49" s="324">
        <v>8.3000000000000007</v>
      </c>
      <c r="K49" s="324">
        <f t="shared" ref="K49" si="18">ROUND(H49*I49*J49,2)</f>
        <v>0.38</v>
      </c>
    </row>
    <row r="50" spans="2:11" x14ac:dyDescent="0.25">
      <c r="G50" s="775" t="s">
        <v>7</v>
      </c>
      <c r="H50" s="776"/>
      <c r="I50" s="776"/>
      <c r="J50" s="777"/>
      <c r="K50" s="330">
        <f>SUM(K4:K49)</f>
        <v>17.91</v>
      </c>
    </row>
    <row r="51" spans="2:11" x14ac:dyDescent="0.25">
      <c r="H51" s="317"/>
      <c r="I51" s="367"/>
      <c r="J51" s="368"/>
      <c r="K51" s="368"/>
    </row>
    <row r="52" spans="2:11" x14ac:dyDescent="0.25">
      <c r="H52" s="317"/>
      <c r="I52" s="367"/>
      <c r="J52" s="368"/>
      <c r="K52" s="368">
        <f>K50+K150</f>
        <v>48.180000000000007</v>
      </c>
    </row>
    <row r="55" spans="2:11" x14ac:dyDescent="0.25">
      <c r="B55" s="772" t="s">
        <v>20934</v>
      </c>
      <c r="C55" s="773"/>
      <c r="D55" s="773"/>
      <c r="E55" s="774"/>
      <c r="G55" s="771" t="s">
        <v>20951</v>
      </c>
      <c r="H55" s="771"/>
      <c r="I55" s="771"/>
      <c r="J55" s="771"/>
      <c r="K55" s="771"/>
    </row>
    <row r="56" spans="2:11" ht="45" x14ac:dyDescent="0.25">
      <c r="B56" s="341" t="s">
        <v>20914</v>
      </c>
      <c r="C56" s="342" t="s">
        <v>20359</v>
      </c>
      <c r="D56" s="342" t="s">
        <v>87</v>
      </c>
      <c r="E56" s="342" t="s">
        <v>20922</v>
      </c>
      <c r="G56" s="341" t="s">
        <v>20914</v>
      </c>
      <c r="H56" s="342" t="s">
        <v>20517</v>
      </c>
      <c r="I56" s="342" t="s">
        <v>20946</v>
      </c>
      <c r="J56" s="342" t="s">
        <v>20604</v>
      </c>
      <c r="K56" s="342" t="s">
        <v>20470</v>
      </c>
    </row>
    <row r="57" spans="2:11" x14ac:dyDescent="0.25">
      <c r="B57" s="343" t="s">
        <v>20924</v>
      </c>
      <c r="C57" s="324">
        <v>3.9</v>
      </c>
      <c r="D57" s="365">
        <v>2.8</v>
      </c>
      <c r="E57" s="324">
        <f t="shared" ref="E57:E65" si="19">ROUND(C57*D57,2)</f>
        <v>10.92</v>
      </c>
      <c r="G57" s="343" t="s">
        <v>20952</v>
      </c>
      <c r="H57" s="321">
        <v>1</v>
      </c>
      <c r="I57" s="366">
        <v>7.9000000000000001E-2</v>
      </c>
      <c r="J57" s="324">
        <v>2.2000000000000002</v>
      </c>
      <c r="K57" s="324">
        <f t="shared" ref="K57:K62" si="20">ROUND(H57*I57*J57,2)</f>
        <v>0.17</v>
      </c>
    </row>
    <row r="58" spans="2:11" x14ac:dyDescent="0.25">
      <c r="B58" s="343" t="s">
        <v>20925</v>
      </c>
      <c r="C58" s="321">
        <f>2.4+0.05+0.81</f>
        <v>3.26</v>
      </c>
      <c r="D58" s="365">
        <v>2.8</v>
      </c>
      <c r="E58" s="324">
        <f t="shared" si="19"/>
        <v>9.1300000000000008</v>
      </c>
      <c r="G58" s="343" t="s">
        <v>20952</v>
      </c>
      <c r="H58" s="321">
        <v>5</v>
      </c>
      <c r="I58" s="366">
        <v>1.4E-2</v>
      </c>
      <c r="J58" s="324">
        <v>2.2000000000000002</v>
      </c>
      <c r="K58" s="324">
        <f t="shared" si="20"/>
        <v>0.15</v>
      </c>
    </row>
    <row r="59" spans="2:11" x14ac:dyDescent="0.25">
      <c r="B59" s="343" t="s">
        <v>20926</v>
      </c>
      <c r="C59" s="321">
        <f>3.26+1.09+0.81+2</f>
        <v>7.16</v>
      </c>
      <c r="D59" s="365">
        <v>2.8</v>
      </c>
      <c r="E59" s="324">
        <f t="shared" si="19"/>
        <v>20.05</v>
      </c>
      <c r="G59" s="343" t="s">
        <v>20953</v>
      </c>
      <c r="H59" s="321">
        <v>3</v>
      </c>
      <c r="I59" s="366">
        <v>1.4800000000000001E-2</v>
      </c>
      <c r="J59" s="324">
        <v>3.9</v>
      </c>
      <c r="K59" s="324">
        <f t="shared" si="20"/>
        <v>0.17</v>
      </c>
    </row>
    <row r="60" spans="2:11" x14ac:dyDescent="0.25">
      <c r="B60" s="343" t="s">
        <v>20927</v>
      </c>
      <c r="C60" s="321">
        <v>3.26</v>
      </c>
      <c r="D60" s="365">
        <v>2.8</v>
      </c>
      <c r="E60" s="324">
        <f t="shared" si="19"/>
        <v>9.1300000000000008</v>
      </c>
      <c r="G60" s="343" t="s">
        <v>20954</v>
      </c>
      <c r="H60" s="321">
        <v>2</v>
      </c>
      <c r="I60" s="366">
        <v>1.4E-2</v>
      </c>
      <c r="J60" s="324">
        <v>2.2000000000000002</v>
      </c>
      <c r="K60" s="324">
        <f t="shared" si="20"/>
        <v>0.06</v>
      </c>
    </row>
    <row r="61" spans="2:11" x14ac:dyDescent="0.25">
      <c r="B61" s="343" t="s">
        <v>20935</v>
      </c>
      <c r="C61" s="321" t="s">
        <v>106</v>
      </c>
      <c r="D61" s="321" t="s">
        <v>106</v>
      </c>
      <c r="E61" s="324">
        <f>9.13+0.96+10.53+6.17+14.73+8.66</f>
        <v>50.179999999999993</v>
      </c>
      <c r="G61" s="343" t="s">
        <v>20954</v>
      </c>
      <c r="H61" s="321">
        <v>1</v>
      </c>
      <c r="I61" s="366">
        <v>1.4E-2</v>
      </c>
      <c r="J61" s="324">
        <v>2</v>
      </c>
      <c r="K61" s="324">
        <f t="shared" si="20"/>
        <v>0.03</v>
      </c>
    </row>
    <row r="62" spans="2:11" x14ac:dyDescent="0.25">
      <c r="B62" s="343" t="s">
        <v>20936</v>
      </c>
      <c r="C62" s="321" t="s">
        <v>106</v>
      </c>
      <c r="D62" s="321" t="s">
        <v>106</v>
      </c>
      <c r="E62" s="324">
        <f>9.13+0.96+10.53+8.84+8.67+4.37</f>
        <v>42.499999999999993</v>
      </c>
      <c r="G62" s="343" t="s">
        <v>20955</v>
      </c>
      <c r="H62" s="321">
        <v>2</v>
      </c>
      <c r="I62" s="366">
        <v>1.4800000000000001E-2</v>
      </c>
      <c r="J62" s="324">
        <v>2.4</v>
      </c>
      <c r="K62" s="324">
        <f t="shared" si="20"/>
        <v>7.0000000000000007E-2</v>
      </c>
    </row>
    <row r="63" spans="2:11" x14ac:dyDescent="0.25">
      <c r="B63" s="343" t="s">
        <v>20937</v>
      </c>
      <c r="C63" s="321" t="s">
        <v>106</v>
      </c>
      <c r="D63" s="321" t="s">
        <v>106</v>
      </c>
      <c r="E63" s="324">
        <f>7.25+8.74+9.48+4.54+4.37</f>
        <v>34.379999999999995</v>
      </c>
      <c r="G63" s="343" t="s">
        <v>20955</v>
      </c>
      <c r="H63" s="321">
        <v>1</v>
      </c>
      <c r="I63" s="366">
        <v>1.4800000000000001E-2</v>
      </c>
      <c r="J63" s="324">
        <v>1.19</v>
      </c>
      <c r="K63" s="324">
        <f t="shared" ref="K63:K64" si="21">ROUND(H63*I63*J63,2)</f>
        <v>0.02</v>
      </c>
    </row>
    <row r="64" spans="2:11" x14ac:dyDescent="0.25">
      <c r="B64" s="343" t="s">
        <v>20928</v>
      </c>
      <c r="C64" s="321">
        <v>3.26</v>
      </c>
      <c r="D64" s="365">
        <v>2.8</v>
      </c>
      <c r="E64" s="324">
        <f t="shared" ref="E64" si="22">ROUND(C64*D64,2)</f>
        <v>9.1300000000000008</v>
      </c>
      <c r="G64" s="343" t="s">
        <v>20955</v>
      </c>
      <c r="H64" s="321">
        <v>1</v>
      </c>
      <c r="I64" s="366">
        <v>1.4800000000000001E-2</v>
      </c>
      <c r="J64" s="324">
        <v>3.4</v>
      </c>
      <c r="K64" s="324">
        <f t="shared" si="21"/>
        <v>0.05</v>
      </c>
    </row>
    <row r="65" spans="2:11" x14ac:dyDescent="0.25">
      <c r="B65" s="343" t="s">
        <v>20929</v>
      </c>
      <c r="C65" s="321">
        <v>2.15</v>
      </c>
      <c r="D65" s="365">
        <v>2.8</v>
      </c>
      <c r="E65" s="324">
        <f t="shared" si="19"/>
        <v>6.02</v>
      </c>
      <c r="G65" s="343" t="s">
        <v>20956</v>
      </c>
      <c r="H65" s="321">
        <v>7</v>
      </c>
      <c r="I65" s="366">
        <v>1.4E-2</v>
      </c>
      <c r="J65" s="324">
        <v>2.2000000000000002</v>
      </c>
      <c r="K65" s="324">
        <f>ROUND(H65*I65*J65,2)</f>
        <v>0.22</v>
      </c>
    </row>
    <row r="66" spans="2:11" x14ac:dyDescent="0.25">
      <c r="B66" s="343" t="s">
        <v>20931</v>
      </c>
      <c r="C66" s="321">
        <v>2.15</v>
      </c>
      <c r="D66" s="365">
        <v>2.8</v>
      </c>
      <c r="E66" s="324">
        <f t="shared" ref="E66" si="23">ROUND(C66*D66,2)</f>
        <v>6.02</v>
      </c>
      <c r="G66" s="343" t="s">
        <v>20956</v>
      </c>
      <c r="H66" s="321">
        <v>1</v>
      </c>
      <c r="I66" s="366">
        <v>7.9000000000000001E-2</v>
      </c>
      <c r="J66" s="324">
        <v>2</v>
      </c>
      <c r="K66" s="324">
        <f>ROUND(H66*I66*J66,2)</f>
        <v>0.16</v>
      </c>
    </row>
    <row r="67" spans="2:11" x14ac:dyDescent="0.25">
      <c r="B67" s="343" t="s">
        <v>20932</v>
      </c>
      <c r="C67" s="321" t="s">
        <v>106</v>
      </c>
      <c r="D67" s="321" t="s">
        <v>106</v>
      </c>
      <c r="E67" s="324">
        <f>11.97-3.25</f>
        <v>8.7200000000000006</v>
      </c>
      <c r="G67" s="343" t="s">
        <v>20956</v>
      </c>
      <c r="H67" s="321">
        <v>2</v>
      </c>
      <c r="I67" s="366">
        <v>1.4E-2</v>
      </c>
      <c r="J67" s="324">
        <v>2</v>
      </c>
      <c r="K67" s="324">
        <f>ROUND(H67*I67*J67,2)</f>
        <v>0.06</v>
      </c>
    </row>
    <row r="68" spans="2:11" x14ac:dyDescent="0.25">
      <c r="B68" s="343" t="s">
        <v>20939</v>
      </c>
      <c r="C68" s="321">
        <v>3.59</v>
      </c>
      <c r="D68" s="365">
        <v>4.8</v>
      </c>
      <c r="E68" s="324">
        <f>ROUND(C68*D68,2)</f>
        <v>17.23</v>
      </c>
      <c r="G68" s="343" t="s">
        <v>20957</v>
      </c>
      <c r="H68" s="321">
        <v>2</v>
      </c>
      <c r="I68" s="366">
        <v>1.4800000000000001E-2</v>
      </c>
      <c r="J68" s="324">
        <v>3.26</v>
      </c>
      <c r="K68" s="324">
        <f>ROUND(H68*I68*J68,2)</f>
        <v>0.1</v>
      </c>
    </row>
    <row r="69" spans="2:11" x14ac:dyDescent="0.25">
      <c r="B69" s="343" t="s">
        <v>20940</v>
      </c>
      <c r="C69" s="321" t="s">
        <v>106</v>
      </c>
      <c r="D69" s="321" t="s">
        <v>106</v>
      </c>
      <c r="E69" s="324">
        <f>16.38+15.85-2.03-2.83+4.16</f>
        <v>31.529999999999998</v>
      </c>
      <c r="G69" s="343" t="s">
        <v>20957</v>
      </c>
      <c r="H69" s="321">
        <v>2</v>
      </c>
      <c r="I69" s="366">
        <v>1.4800000000000001E-2</v>
      </c>
      <c r="J69" s="324">
        <v>1.0900000000000001</v>
      </c>
      <c r="K69" s="324">
        <f t="shared" ref="K69:K70" si="24">ROUND(H69*I69*J69,2)</f>
        <v>0.03</v>
      </c>
    </row>
    <row r="70" spans="2:11" x14ac:dyDescent="0.25">
      <c r="B70" s="343" t="s">
        <v>20941</v>
      </c>
      <c r="C70" s="321" t="s">
        <v>106</v>
      </c>
      <c r="D70" s="321" t="s">
        <v>106</v>
      </c>
      <c r="E70" s="324">
        <v>10.65</v>
      </c>
      <c r="G70" s="343" t="s">
        <v>20957</v>
      </c>
      <c r="H70" s="321">
        <v>2</v>
      </c>
      <c r="I70" s="366">
        <v>1.4800000000000001E-2</v>
      </c>
      <c r="J70" s="324">
        <v>2</v>
      </c>
      <c r="K70" s="324">
        <f t="shared" si="24"/>
        <v>0.06</v>
      </c>
    </row>
    <row r="71" spans="2:11" x14ac:dyDescent="0.25">
      <c r="B71" s="343" t="s">
        <v>20942</v>
      </c>
      <c r="C71" s="321" t="s">
        <v>106</v>
      </c>
      <c r="D71" s="321" t="s">
        <v>106</v>
      </c>
      <c r="E71" s="324">
        <f>5.78+1.19+47.2+21.47+3.84+9.69+22.95+13.05</f>
        <v>125.17</v>
      </c>
      <c r="G71" s="343" t="s">
        <v>20957</v>
      </c>
      <c r="H71" s="321">
        <v>1</v>
      </c>
      <c r="I71" s="366">
        <v>1.4800000000000001E-2</v>
      </c>
      <c r="J71" s="324">
        <v>1.55</v>
      </c>
      <c r="K71" s="324">
        <f t="shared" ref="K71:K72" si="25">ROUND(H71*I71*J71,2)</f>
        <v>0.02</v>
      </c>
    </row>
    <row r="72" spans="2:11" x14ac:dyDescent="0.25">
      <c r="B72" s="343" t="s">
        <v>20943</v>
      </c>
      <c r="C72" s="321" t="s">
        <v>106</v>
      </c>
      <c r="D72" s="321" t="s">
        <v>106</v>
      </c>
      <c r="E72" s="324">
        <v>33.25</v>
      </c>
      <c r="G72" s="343" t="s">
        <v>20957</v>
      </c>
      <c r="H72" s="321">
        <v>1</v>
      </c>
      <c r="I72" s="366">
        <v>1.4800000000000001E-2</v>
      </c>
      <c r="J72" s="324">
        <v>1.19</v>
      </c>
      <c r="K72" s="324">
        <f t="shared" si="25"/>
        <v>0.02</v>
      </c>
    </row>
    <row r="73" spans="2:11" x14ac:dyDescent="0.25">
      <c r="B73" s="772" t="s">
        <v>7</v>
      </c>
      <c r="C73" s="773"/>
      <c r="D73" s="774"/>
      <c r="E73" s="330">
        <f>SUM(E57:E72)</f>
        <v>424.01</v>
      </c>
      <c r="G73" s="343" t="s">
        <v>20957</v>
      </c>
      <c r="H73" s="321">
        <v>1</v>
      </c>
      <c r="I73" s="366">
        <v>1.4800000000000001E-2</v>
      </c>
      <c r="J73" s="324">
        <v>8.9</v>
      </c>
      <c r="K73" s="324">
        <f t="shared" ref="K73" si="26">ROUND(H73*I73*J73,2)</f>
        <v>0.13</v>
      </c>
    </row>
    <row r="74" spans="2:11" x14ac:dyDescent="0.25">
      <c r="G74" s="343" t="s">
        <v>20958</v>
      </c>
      <c r="H74" s="321">
        <v>2</v>
      </c>
      <c r="I74" s="366">
        <v>1.4E-2</v>
      </c>
      <c r="J74" s="324">
        <v>2.2000000000000002</v>
      </c>
      <c r="K74" s="324">
        <f>ROUND(H74*I74*J74,2)</f>
        <v>0.06</v>
      </c>
    </row>
    <row r="75" spans="2:11" x14ac:dyDescent="0.25">
      <c r="G75" s="343" t="s">
        <v>20958</v>
      </c>
      <c r="H75" s="321">
        <v>1</v>
      </c>
      <c r="I75" s="366">
        <v>1.4E-2</v>
      </c>
      <c r="J75" s="324">
        <v>2</v>
      </c>
      <c r="K75" s="324">
        <f>ROUND(H75*I75*J75,2)</f>
        <v>0.03</v>
      </c>
    </row>
    <row r="76" spans="2:11" x14ac:dyDescent="0.25">
      <c r="G76" s="343" t="s">
        <v>20959</v>
      </c>
      <c r="H76" s="321">
        <v>1</v>
      </c>
      <c r="I76" s="366">
        <v>1.4800000000000001E-2</v>
      </c>
      <c r="J76" s="324">
        <v>3.4</v>
      </c>
      <c r="K76" s="324">
        <f>ROUND(H76*I76*J76,2)</f>
        <v>0.05</v>
      </c>
    </row>
    <row r="77" spans="2:11" x14ac:dyDescent="0.25">
      <c r="G77" s="343" t="s">
        <v>20959</v>
      </c>
      <c r="H77" s="321">
        <v>1</v>
      </c>
      <c r="I77" s="366">
        <v>1.4800000000000001E-2</v>
      </c>
      <c r="J77" s="324">
        <v>1.19</v>
      </c>
      <c r="K77" s="324">
        <f t="shared" ref="K77:K78" si="27">ROUND(H77*I77*J77,2)</f>
        <v>0.02</v>
      </c>
    </row>
    <row r="78" spans="2:11" x14ac:dyDescent="0.25">
      <c r="G78" s="343" t="s">
        <v>20959</v>
      </c>
      <c r="H78" s="321">
        <v>2</v>
      </c>
      <c r="I78" s="366">
        <v>1.4800000000000001E-2</v>
      </c>
      <c r="J78" s="324">
        <v>2.4</v>
      </c>
      <c r="K78" s="324">
        <f t="shared" si="27"/>
        <v>7.0000000000000007E-2</v>
      </c>
    </row>
    <row r="79" spans="2:11" x14ac:dyDescent="0.25">
      <c r="G79" s="343" t="s">
        <v>20960</v>
      </c>
      <c r="H79" s="321">
        <v>10</v>
      </c>
      <c r="I79" s="366">
        <v>1.4E-2</v>
      </c>
      <c r="J79" s="324">
        <v>2.2000000000000002</v>
      </c>
      <c r="K79" s="324">
        <f>ROUND(H79*I79*J79,2)</f>
        <v>0.31</v>
      </c>
    </row>
    <row r="80" spans="2:11" x14ac:dyDescent="0.25">
      <c r="G80" s="343" t="s">
        <v>20960</v>
      </c>
      <c r="H80" s="321">
        <v>1</v>
      </c>
      <c r="I80" s="366">
        <v>7.9000000000000001E-2</v>
      </c>
      <c r="J80" s="324">
        <v>2.2000000000000002</v>
      </c>
      <c r="K80" s="324">
        <f>ROUND(H80*I80*J80,2)</f>
        <v>0.17</v>
      </c>
    </row>
    <row r="81" spans="7:11" x14ac:dyDescent="0.25">
      <c r="G81" s="343" t="s">
        <v>20961</v>
      </c>
      <c r="H81" s="321">
        <v>1</v>
      </c>
      <c r="I81" s="366">
        <v>1.4800000000000001E-2</v>
      </c>
      <c r="J81" s="324">
        <v>8.24</v>
      </c>
      <c r="K81" s="324">
        <f t="shared" ref="K81" si="28">ROUND(H81*I81*J81,2)</f>
        <v>0.12</v>
      </c>
    </row>
    <row r="82" spans="7:11" x14ac:dyDescent="0.25">
      <c r="G82" s="343" t="s">
        <v>20961</v>
      </c>
      <c r="H82" s="321">
        <v>1</v>
      </c>
      <c r="I82" s="366">
        <v>1.4800000000000001E-2</v>
      </c>
      <c r="J82" s="324">
        <v>1.19</v>
      </c>
      <c r="K82" s="324">
        <f t="shared" ref="K82:K84" si="29">ROUND(H82*I82*J82,2)</f>
        <v>0.02</v>
      </c>
    </row>
    <row r="83" spans="7:11" x14ac:dyDescent="0.25">
      <c r="G83" s="343" t="s">
        <v>20961</v>
      </c>
      <c r="H83" s="321">
        <v>2</v>
      </c>
      <c r="I83" s="366">
        <v>1.4800000000000001E-2</v>
      </c>
      <c r="J83" s="324">
        <v>3.45</v>
      </c>
      <c r="K83" s="324">
        <f t="shared" si="29"/>
        <v>0.1</v>
      </c>
    </row>
    <row r="84" spans="7:11" x14ac:dyDescent="0.25">
      <c r="G84" s="343" t="s">
        <v>20961</v>
      </c>
      <c r="H84" s="321">
        <v>2</v>
      </c>
      <c r="I84" s="366">
        <v>1.4800000000000001E-2</v>
      </c>
      <c r="J84" s="324">
        <v>4.01</v>
      </c>
      <c r="K84" s="324">
        <f t="shared" si="29"/>
        <v>0.12</v>
      </c>
    </row>
    <row r="85" spans="7:11" x14ac:dyDescent="0.25">
      <c r="G85" s="343" t="s">
        <v>20962</v>
      </c>
      <c r="H85" s="321">
        <v>8</v>
      </c>
      <c r="I85" s="366">
        <v>1.4E-2</v>
      </c>
      <c r="J85" s="324">
        <v>2.2000000000000002</v>
      </c>
      <c r="K85" s="324">
        <f>ROUND(H85*I85*J85,2)</f>
        <v>0.25</v>
      </c>
    </row>
    <row r="86" spans="7:11" x14ac:dyDescent="0.25">
      <c r="G86" s="343" t="s">
        <v>20962</v>
      </c>
      <c r="H86" s="321">
        <v>3</v>
      </c>
      <c r="I86" s="366">
        <v>1.4E-2</v>
      </c>
      <c r="J86" s="324">
        <v>1.4</v>
      </c>
      <c r="K86" s="324">
        <f>ROUND(H86*I86*J86,2)</f>
        <v>0.06</v>
      </c>
    </row>
    <row r="87" spans="7:11" x14ac:dyDescent="0.25">
      <c r="G87" s="343" t="s">
        <v>20964</v>
      </c>
      <c r="H87" s="321">
        <v>7</v>
      </c>
      <c r="I87" s="366">
        <v>1.4E-2</v>
      </c>
      <c r="J87" s="324">
        <f>ROUND((2.6+2+2+1.6+1.2+0.8+0.8)/7,1)</f>
        <v>1.6</v>
      </c>
      <c r="K87" s="324">
        <f>ROUND(H87*I87*J87,2)</f>
        <v>0.16</v>
      </c>
    </row>
    <row r="88" spans="7:11" x14ac:dyDescent="0.25">
      <c r="G88" s="343" t="s">
        <v>20963</v>
      </c>
      <c r="H88" s="321">
        <v>1</v>
      </c>
      <c r="I88" s="366">
        <v>1.4800000000000001E-2</v>
      </c>
      <c r="J88" s="324">
        <v>5.46</v>
      </c>
      <c r="K88" s="324">
        <f t="shared" ref="K88" si="30">ROUND(H88*I88*J88,2)</f>
        <v>0.08</v>
      </c>
    </row>
    <row r="89" spans="7:11" x14ac:dyDescent="0.25">
      <c r="G89" s="343" t="s">
        <v>20963</v>
      </c>
      <c r="H89" s="321">
        <v>1</v>
      </c>
      <c r="I89" s="366">
        <v>1.4800000000000001E-2</v>
      </c>
      <c r="J89" s="324">
        <v>7.31</v>
      </c>
      <c r="K89" s="324">
        <f t="shared" ref="K89:K92" si="31">ROUND(H89*I89*J89,2)</f>
        <v>0.11</v>
      </c>
    </row>
    <row r="90" spans="7:11" x14ac:dyDescent="0.25">
      <c r="G90" s="343" t="s">
        <v>20963</v>
      </c>
      <c r="H90" s="321">
        <v>1</v>
      </c>
      <c r="I90" s="366">
        <v>1.4800000000000001E-2</v>
      </c>
      <c r="J90" s="324">
        <v>8.52</v>
      </c>
      <c r="K90" s="324">
        <f t="shared" si="31"/>
        <v>0.13</v>
      </c>
    </row>
    <row r="91" spans="7:11" x14ac:dyDescent="0.25">
      <c r="G91" s="343" t="s">
        <v>20965</v>
      </c>
      <c r="H91" s="321">
        <v>1</v>
      </c>
      <c r="I91" s="366">
        <v>1.4800000000000001E-2</v>
      </c>
      <c r="J91" s="324">
        <v>2.2000000000000002</v>
      </c>
      <c r="K91" s="324">
        <f t="shared" si="31"/>
        <v>0.03</v>
      </c>
    </row>
    <row r="92" spans="7:11" x14ac:dyDescent="0.25">
      <c r="G92" s="343" t="s">
        <v>20965</v>
      </c>
      <c r="H92" s="321">
        <v>1</v>
      </c>
      <c r="I92" s="366">
        <v>1.4800000000000001E-2</v>
      </c>
      <c r="J92" s="324">
        <v>4</v>
      </c>
      <c r="K92" s="324">
        <f t="shared" si="31"/>
        <v>0.06</v>
      </c>
    </row>
    <row r="93" spans="7:11" x14ac:dyDescent="0.25">
      <c r="G93" s="343" t="s">
        <v>20966</v>
      </c>
      <c r="H93" s="321">
        <v>5</v>
      </c>
      <c r="I93" s="366">
        <v>1.4E-2</v>
      </c>
      <c r="J93" s="324">
        <v>2.2000000000000002</v>
      </c>
      <c r="K93" s="324">
        <f>ROUND(H93*I93*J93,2)</f>
        <v>0.15</v>
      </c>
    </row>
    <row r="94" spans="7:11" x14ac:dyDescent="0.25">
      <c r="G94" s="343" t="s">
        <v>20966</v>
      </c>
      <c r="H94" s="321">
        <v>1</v>
      </c>
      <c r="I94" s="366">
        <v>7.9000000000000001E-2</v>
      </c>
      <c r="J94" s="324">
        <v>2.2000000000000002</v>
      </c>
      <c r="K94" s="324">
        <f>ROUND(H94*I94*J94,2)</f>
        <v>0.17</v>
      </c>
    </row>
    <row r="95" spans="7:11" x14ac:dyDescent="0.25">
      <c r="G95" s="343" t="s">
        <v>20967</v>
      </c>
      <c r="H95" s="321">
        <v>1</v>
      </c>
      <c r="I95" s="366">
        <v>1.4800000000000001E-2</v>
      </c>
      <c r="J95" s="324">
        <v>5.12</v>
      </c>
      <c r="K95" s="324">
        <f t="shared" ref="K95:K96" si="32">ROUND(H95*I95*J95,2)</f>
        <v>0.08</v>
      </c>
    </row>
    <row r="96" spans="7:11" x14ac:dyDescent="0.25">
      <c r="G96" s="343" t="s">
        <v>20967</v>
      </c>
      <c r="H96" s="321">
        <v>2</v>
      </c>
      <c r="I96" s="366">
        <v>1.4800000000000001E-2</v>
      </c>
      <c r="J96" s="324">
        <v>3.76</v>
      </c>
      <c r="K96" s="324">
        <f t="shared" si="32"/>
        <v>0.11</v>
      </c>
    </row>
    <row r="97" spans="7:11" x14ac:dyDescent="0.25">
      <c r="G97" s="343" t="s">
        <v>20968</v>
      </c>
      <c r="H97" s="321">
        <v>7</v>
      </c>
      <c r="I97" s="366">
        <v>1.4E-2</v>
      </c>
      <c r="J97" s="324">
        <v>2.2000000000000002</v>
      </c>
      <c r="K97" s="324">
        <f>ROUND(H97*I97*J97,2)</f>
        <v>0.22</v>
      </c>
    </row>
    <row r="98" spans="7:11" x14ac:dyDescent="0.25">
      <c r="G98" s="343" t="s">
        <v>20968</v>
      </c>
      <c r="H98" s="321">
        <v>1</v>
      </c>
      <c r="I98" s="366">
        <v>7.9000000000000001E-2</v>
      </c>
      <c r="J98" s="324">
        <v>2.2000000000000002</v>
      </c>
      <c r="K98" s="324">
        <f>ROUND(H98*I98*J98,2)</f>
        <v>0.17</v>
      </c>
    </row>
    <row r="99" spans="7:11" x14ac:dyDescent="0.25">
      <c r="G99" s="343" t="s">
        <v>20969</v>
      </c>
      <c r="H99" s="321">
        <v>2</v>
      </c>
      <c r="I99" s="366">
        <v>1.4800000000000001E-2</v>
      </c>
      <c r="J99" s="324">
        <f>3.76+1.22</f>
        <v>4.9799999999999995</v>
      </c>
      <c r="K99" s="324">
        <f t="shared" ref="K99:K102" si="33">ROUND(H99*I99*J99,2)</f>
        <v>0.15</v>
      </c>
    </row>
    <row r="100" spans="7:11" x14ac:dyDescent="0.25">
      <c r="G100" s="343" t="s">
        <v>20969</v>
      </c>
      <c r="H100" s="321">
        <v>1</v>
      </c>
      <c r="I100" s="366">
        <v>1.4800000000000001E-2</v>
      </c>
      <c r="J100" s="324">
        <v>3.76</v>
      </c>
      <c r="K100" s="324">
        <f t="shared" si="33"/>
        <v>0.06</v>
      </c>
    </row>
    <row r="101" spans="7:11" x14ac:dyDescent="0.25">
      <c r="G101" s="343" t="s">
        <v>20970</v>
      </c>
      <c r="H101" s="321">
        <v>1</v>
      </c>
      <c r="I101" s="366">
        <v>1.4800000000000001E-2</v>
      </c>
      <c r="J101" s="324">
        <v>2.2000000000000002</v>
      </c>
      <c r="K101" s="324">
        <f t="shared" si="33"/>
        <v>0.03</v>
      </c>
    </row>
    <row r="102" spans="7:11" x14ac:dyDescent="0.25">
      <c r="G102" s="343" t="s">
        <v>20970</v>
      </c>
      <c r="H102" s="321">
        <v>1</v>
      </c>
      <c r="I102" s="366">
        <v>1.4800000000000001E-2</v>
      </c>
      <c r="J102" s="324">
        <v>4</v>
      </c>
      <c r="K102" s="324">
        <f t="shared" si="33"/>
        <v>0.06</v>
      </c>
    </row>
    <row r="103" spans="7:11" x14ac:dyDescent="0.25">
      <c r="G103" s="343" t="s">
        <v>20971</v>
      </c>
      <c r="H103" s="321">
        <v>6</v>
      </c>
      <c r="I103" s="366">
        <v>1.4E-2</v>
      </c>
      <c r="J103" s="324">
        <f>ROUND((2.6+2+1.6+1.2+0.8+0.8)/6,2)</f>
        <v>1.5</v>
      </c>
      <c r="K103" s="324">
        <f>ROUND(H103*I103*J103,2)</f>
        <v>0.13</v>
      </c>
    </row>
    <row r="104" spans="7:11" x14ac:dyDescent="0.25">
      <c r="G104" s="343" t="s">
        <v>20972</v>
      </c>
      <c r="H104" s="321">
        <v>7</v>
      </c>
      <c r="I104" s="366">
        <v>1.4E-2</v>
      </c>
      <c r="J104" s="324">
        <v>2.2000000000000002</v>
      </c>
      <c r="K104" s="324">
        <f>ROUND(H104*I104*J104,2)</f>
        <v>0.22</v>
      </c>
    </row>
    <row r="105" spans="7:11" x14ac:dyDescent="0.25">
      <c r="G105" s="343" t="s">
        <v>20973</v>
      </c>
      <c r="H105" s="321">
        <v>1</v>
      </c>
      <c r="I105" s="366">
        <v>1.4800000000000001E-2</v>
      </c>
      <c r="J105" s="324">
        <f>3.26+1.22+3.76</f>
        <v>8.2399999999999984</v>
      </c>
      <c r="K105" s="324">
        <f t="shared" ref="K105:K106" si="34">ROUND(H105*I105*J105,2)</f>
        <v>0.12</v>
      </c>
    </row>
    <row r="106" spans="7:11" x14ac:dyDescent="0.25">
      <c r="G106" s="343" t="s">
        <v>20973</v>
      </c>
      <c r="H106" s="321">
        <v>2</v>
      </c>
      <c r="I106" s="366">
        <v>1.4800000000000001E-2</v>
      </c>
      <c r="J106" s="324">
        <v>1.05</v>
      </c>
      <c r="K106" s="324">
        <f t="shared" si="34"/>
        <v>0.03</v>
      </c>
    </row>
    <row r="107" spans="7:11" x14ac:dyDescent="0.25">
      <c r="G107" s="343" t="s">
        <v>20973</v>
      </c>
      <c r="H107" s="321">
        <v>2</v>
      </c>
      <c r="I107" s="366">
        <v>1.0147999999999999</v>
      </c>
      <c r="J107" s="324">
        <v>2.4</v>
      </c>
      <c r="K107" s="324">
        <f t="shared" ref="K107:K108" si="35">ROUND(H107*I107*J107,2)</f>
        <v>4.87</v>
      </c>
    </row>
    <row r="108" spans="7:11" x14ac:dyDescent="0.25">
      <c r="G108" s="343" t="s">
        <v>20973</v>
      </c>
      <c r="H108" s="321">
        <v>2</v>
      </c>
      <c r="I108" s="366">
        <v>2.0148000000000001</v>
      </c>
      <c r="J108" s="324">
        <v>2.95</v>
      </c>
      <c r="K108" s="324">
        <f t="shared" si="35"/>
        <v>11.89</v>
      </c>
    </row>
    <row r="109" spans="7:11" x14ac:dyDescent="0.25">
      <c r="G109" s="343" t="s">
        <v>20974</v>
      </c>
      <c r="H109" s="321">
        <v>4</v>
      </c>
      <c r="I109" s="366">
        <v>1.4E-2</v>
      </c>
      <c r="J109" s="324">
        <v>2.2000000000000002</v>
      </c>
      <c r="K109" s="324">
        <f>ROUND(H109*I109*J109,2)</f>
        <v>0.12</v>
      </c>
    </row>
    <row r="110" spans="7:11" x14ac:dyDescent="0.25">
      <c r="G110" s="343" t="s">
        <v>20975</v>
      </c>
      <c r="H110" s="321">
        <v>3</v>
      </c>
      <c r="I110" s="366">
        <v>1.4E-2</v>
      </c>
      <c r="J110" s="324">
        <v>3.4</v>
      </c>
      <c r="K110" s="324">
        <f>ROUND(H110*I110*J110,2)</f>
        <v>0.14000000000000001</v>
      </c>
    </row>
    <row r="111" spans="7:11" x14ac:dyDescent="0.25">
      <c r="G111" s="343" t="s">
        <v>20976</v>
      </c>
      <c r="H111" s="321">
        <v>8</v>
      </c>
      <c r="I111" s="366">
        <v>1.4E-2</v>
      </c>
      <c r="J111" s="324">
        <f>ROUND((0.4+0.8+1.4+2.6+2+1.6+0.8+0.4)/8,2)</f>
        <v>1.25</v>
      </c>
      <c r="K111" s="324">
        <f>ROUND(H111*I111*J111,2)</f>
        <v>0.14000000000000001</v>
      </c>
    </row>
    <row r="112" spans="7:11" x14ac:dyDescent="0.25">
      <c r="G112" s="343" t="s">
        <v>20977</v>
      </c>
      <c r="H112" s="321">
        <v>1</v>
      </c>
      <c r="I112" s="366">
        <v>1.4800000000000001E-2</v>
      </c>
      <c r="J112" s="324">
        <v>6.2</v>
      </c>
      <c r="K112" s="324">
        <f t="shared" ref="K112:K113" si="36">ROUND(H112*I112*J112,2)</f>
        <v>0.09</v>
      </c>
    </row>
    <row r="113" spans="7:11" x14ac:dyDescent="0.25">
      <c r="G113" s="343" t="s">
        <v>20977</v>
      </c>
      <c r="H113" s="321">
        <v>1</v>
      </c>
      <c r="I113" s="366">
        <v>1.4800000000000001E-2</v>
      </c>
      <c r="J113" s="324">
        <v>2.8</v>
      </c>
      <c r="K113" s="324">
        <f t="shared" si="36"/>
        <v>0.04</v>
      </c>
    </row>
    <row r="114" spans="7:11" x14ac:dyDescent="0.25">
      <c r="G114" s="343" t="s">
        <v>20984</v>
      </c>
      <c r="H114" s="321">
        <v>4</v>
      </c>
      <c r="I114" s="366">
        <v>1.4E-2</v>
      </c>
      <c r="J114" s="324">
        <v>2.2000000000000002</v>
      </c>
      <c r="K114" s="324">
        <f>ROUND(H114*I114*J114,2)</f>
        <v>0.12</v>
      </c>
    </row>
    <row r="115" spans="7:11" x14ac:dyDescent="0.25">
      <c r="G115" s="343" t="s">
        <v>20985</v>
      </c>
      <c r="H115" s="321">
        <v>3</v>
      </c>
      <c r="I115" s="366">
        <v>1.4800000000000001E-2</v>
      </c>
      <c r="J115" s="324">
        <v>3.26</v>
      </c>
      <c r="K115" s="324">
        <f t="shared" ref="K115" si="37">ROUND(H115*I115*J115,2)</f>
        <v>0.14000000000000001</v>
      </c>
    </row>
    <row r="116" spans="7:11" x14ac:dyDescent="0.25">
      <c r="G116" s="343" t="s">
        <v>20986</v>
      </c>
      <c r="H116" s="321">
        <v>4</v>
      </c>
      <c r="I116" s="366">
        <v>1.4E-2</v>
      </c>
      <c r="J116" s="324">
        <v>2.2000000000000002</v>
      </c>
      <c r="K116" s="324">
        <f>ROUND(H116*I116*J116,2)</f>
        <v>0.12</v>
      </c>
    </row>
    <row r="117" spans="7:11" x14ac:dyDescent="0.25">
      <c r="G117" s="343" t="s">
        <v>20987</v>
      </c>
      <c r="H117" s="321">
        <v>3</v>
      </c>
      <c r="I117" s="366">
        <v>1.4800000000000001E-2</v>
      </c>
      <c r="J117" s="324">
        <v>2.15</v>
      </c>
      <c r="K117" s="324">
        <f t="shared" ref="K117" si="38">ROUND(H117*I117*J117,2)</f>
        <v>0.1</v>
      </c>
    </row>
    <row r="118" spans="7:11" x14ac:dyDescent="0.25">
      <c r="G118" s="343" t="s">
        <v>20988</v>
      </c>
      <c r="H118" s="321">
        <v>4</v>
      </c>
      <c r="I118" s="366">
        <v>1.4E-2</v>
      </c>
      <c r="J118" s="324">
        <v>2.2000000000000002</v>
      </c>
      <c r="K118" s="324">
        <f>ROUND(H118*I118*J118,2)</f>
        <v>0.12</v>
      </c>
    </row>
    <row r="119" spans="7:11" x14ac:dyDescent="0.25">
      <c r="G119" s="343" t="s">
        <v>20989</v>
      </c>
      <c r="H119" s="321">
        <v>3</v>
      </c>
      <c r="I119" s="366">
        <v>1.4800000000000001E-2</v>
      </c>
      <c r="J119" s="324">
        <v>2.15</v>
      </c>
      <c r="K119" s="324">
        <f t="shared" ref="K119" si="39">ROUND(H119*I119*J119,2)</f>
        <v>0.1</v>
      </c>
    </row>
    <row r="120" spans="7:11" x14ac:dyDescent="0.25">
      <c r="G120" s="343" t="s">
        <v>20993</v>
      </c>
      <c r="H120" s="321">
        <v>11</v>
      </c>
      <c r="I120" s="366">
        <v>1.4E-2</v>
      </c>
      <c r="J120" s="324">
        <v>2.2000000000000002</v>
      </c>
      <c r="K120" s="324">
        <f>ROUND(H120*I120*J120,2)</f>
        <v>0.34</v>
      </c>
    </row>
    <row r="121" spans="7:11" x14ac:dyDescent="0.25">
      <c r="G121" s="343" t="s">
        <v>20994</v>
      </c>
      <c r="H121" s="321">
        <v>1</v>
      </c>
      <c r="I121" s="366">
        <v>1.4800000000000001E-2</v>
      </c>
      <c r="J121" s="324">
        <v>5.45</v>
      </c>
      <c r="K121" s="324">
        <f t="shared" ref="K121" si="40">ROUND(H121*I121*J121,2)</f>
        <v>0.08</v>
      </c>
    </row>
    <row r="122" spans="7:11" x14ac:dyDescent="0.25">
      <c r="G122" s="343" t="s">
        <v>20994</v>
      </c>
      <c r="H122" s="321">
        <v>1</v>
      </c>
      <c r="I122" s="366">
        <v>1.4800000000000001E-2</v>
      </c>
      <c r="J122" s="324">
        <f>2*0.79+0.59</f>
        <v>2.17</v>
      </c>
      <c r="K122" s="324">
        <f t="shared" ref="K122" si="41">ROUND(H122*I122*J122,2)</f>
        <v>0.03</v>
      </c>
    </row>
    <row r="123" spans="7:11" x14ac:dyDescent="0.25">
      <c r="G123" s="343" t="s">
        <v>20994</v>
      </c>
      <c r="H123" s="321">
        <v>1</v>
      </c>
      <c r="I123" s="366">
        <v>1.4800000000000001E-2</v>
      </c>
      <c r="J123" s="324">
        <f>3.4+0.79</f>
        <v>4.1899999999999995</v>
      </c>
      <c r="K123" s="324">
        <f t="shared" ref="K123" si="42">ROUND(H123*I123*J123,2)</f>
        <v>0.06</v>
      </c>
    </row>
    <row r="124" spans="7:11" x14ac:dyDescent="0.25">
      <c r="G124" s="343" t="s">
        <v>20995</v>
      </c>
      <c r="H124" s="321">
        <v>3</v>
      </c>
      <c r="I124" s="366">
        <v>8.0000000000000002E-3</v>
      </c>
      <c r="J124" s="324">
        <v>2.2000000000000002</v>
      </c>
      <c r="K124" s="324">
        <f>ROUND(H124*I124*J124,2)</f>
        <v>0.05</v>
      </c>
    </row>
    <row r="125" spans="7:11" x14ac:dyDescent="0.25">
      <c r="G125" s="343" t="s">
        <v>20995</v>
      </c>
      <c r="H125" s="321">
        <v>5</v>
      </c>
      <c r="I125" s="366">
        <v>1.4E-2</v>
      </c>
      <c r="J125" s="324">
        <v>2.2000000000000002</v>
      </c>
      <c r="K125" s="324">
        <f>ROUND(H125*I125*J125,2)</f>
        <v>0.15</v>
      </c>
    </row>
    <row r="126" spans="7:11" x14ac:dyDescent="0.25">
      <c r="G126" s="343" t="s">
        <v>20996</v>
      </c>
      <c r="H126" s="321">
        <v>3</v>
      </c>
      <c r="I126" s="366">
        <v>1.4800000000000001E-2</v>
      </c>
      <c r="J126" s="324">
        <v>3.59</v>
      </c>
      <c r="K126" s="324">
        <f t="shared" ref="K126" si="43">ROUND(H126*I126*J126,2)</f>
        <v>0.16</v>
      </c>
    </row>
    <row r="127" spans="7:11" x14ac:dyDescent="0.25">
      <c r="G127" s="343" t="s">
        <v>20997</v>
      </c>
      <c r="H127" s="321">
        <v>2</v>
      </c>
      <c r="I127" s="366">
        <v>8.0000000000000002E-3</v>
      </c>
      <c r="J127" s="324">
        <v>1.4</v>
      </c>
      <c r="K127" s="324">
        <f>ROUND(H127*I127*J127,2)</f>
        <v>0.02</v>
      </c>
    </row>
    <row r="128" spans="7:11" x14ac:dyDescent="0.25">
      <c r="G128" s="343" t="s">
        <v>20997</v>
      </c>
      <c r="H128" s="321">
        <v>5</v>
      </c>
      <c r="I128" s="366">
        <v>1.4E-2</v>
      </c>
      <c r="J128" s="324">
        <v>1.4</v>
      </c>
      <c r="K128" s="324">
        <f>ROUND(H128*I128*J128,2)</f>
        <v>0.1</v>
      </c>
    </row>
    <row r="129" spans="7:11" x14ac:dyDescent="0.25">
      <c r="G129" s="343" t="s">
        <v>20998</v>
      </c>
      <c r="H129" s="321">
        <v>3</v>
      </c>
      <c r="I129" s="366">
        <v>1.4800000000000001E-2</v>
      </c>
      <c r="J129" s="324">
        <v>3.59</v>
      </c>
      <c r="K129" s="324">
        <f t="shared" ref="K129" si="44">ROUND(H129*I129*J129,2)</f>
        <v>0.16</v>
      </c>
    </row>
    <row r="130" spans="7:11" x14ac:dyDescent="0.25">
      <c r="G130" s="343" t="s">
        <v>20999</v>
      </c>
      <c r="H130" s="321">
        <v>1</v>
      </c>
      <c r="I130" s="366">
        <v>8.0000000000000002E-3</v>
      </c>
      <c r="J130" s="324">
        <v>2.2000000000000002</v>
      </c>
      <c r="K130" s="324">
        <f>ROUND(H130*I130*J130,2)</f>
        <v>0.02</v>
      </c>
    </row>
    <row r="131" spans="7:11" x14ac:dyDescent="0.25">
      <c r="G131" s="343" t="s">
        <v>20999</v>
      </c>
      <c r="H131" s="321">
        <v>8</v>
      </c>
      <c r="I131" s="366">
        <v>1.4E-2</v>
      </c>
      <c r="J131" s="324">
        <v>2.2000000000000002</v>
      </c>
      <c r="K131" s="324">
        <f>ROUND(H131*I131*J131,2)</f>
        <v>0.25</v>
      </c>
    </row>
    <row r="132" spans="7:11" x14ac:dyDescent="0.25">
      <c r="G132" s="343" t="s">
        <v>21000</v>
      </c>
      <c r="H132" s="321">
        <v>3</v>
      </c>
      <c r="I132" s="366">
        <v>1.4800000000000001E-2</v>
      </c>
      <c r="J132" s="324">
        <v>5.85</v>
      </c>
      <c r="K132" s="324">
        <f t="shared" ref="K132" si="45">ROUND(H132*I132*J132,2)</f>
        <v>0.26</v>
      </c>
    </row>
    <row r="133" spans="7:11" x14ac:dyDescent="0.25">
      <c r="G133" s="343" t="s">
        <v>20962</v>
      </c>
      <c r="H133" s="321">
        <v>1</v>
      </c>
      <c r="I133" s="366">
        <v>8.0000000000000002E-3</v>
      </c>
      <c r="J133" s="324">
        <v>2.2000000000000002</v>
      </c>
      <c r="K133" s="324">
        <f>ROUND(H133*I133*J133,2)</f>
        <v>0.02</v>
      </c>
    </row>
    <row r="134" spans="7:11" x14ac:dyDescent="0.25">
      <c r="G134" s="343" t="s">
        <v>20962</v>
      </c>
      <c r="H134" s="321">
        <v>4</v>
      </c>
      <c r="I134" s="366">
        <v>1.4E-2</v>
      </c>
      <c r="J134" s="324">
        <v>2.2000000000000002</v>
      </c>
      <c r="K134" s="324">
        <f>ROUND(H134*I134*J134,2)</f>
        <v>0.12</v>
      </c>
    </row>
    <row r="135" spans="7:11" x14ac:dyDescent="0.25">
      <c r="G135" s="343" t="s">
        <v>20963</v>
      </c>
      <c r="H135" s="321">
        <v>3</v>
      </c>
      <c r="I135" s="366">
        <v>1.4800000000000001E-2</v>
      </c>
      <c r="J135" s="324">
        <v>5.85</v>
      </c>
      <c r="K135" s="324">
        <f t="shared" ref="K135" si="46">ROUND(H135*I135*J135,2)</f>
        <v>0.26</v>
      </c>
    </row>
    <row r="136" spans="7:11" x14ac:dyDescent="0.25">
      <c r="G136" s="343" t="s">
        <v>20963</v>
      </c>
      <c r="H136" s="321">
        <v>1</v>
      </c>
      <c r="I136" s="366">
        <v>1.4800000000000001E-2</v>
      </c>
      <c r="J136" s="324">
        <v>4.7</v>
      </c>
      <c r="K136" s="324">
        <f t="shared" ref="K136" si="47">ROUND(H136*I136*J136,2)</f>
        <v>7.0000000000000007E-2</v>
      </c>
    </row>
    <row r="137" spans="7:11" x14ac:dyDescent="0.25">
      <c r="G137" s="343" t="s">
        <v>21003</v>
      </c>
      <c r="H137" s="321">
        <v>3</v>
      </c>
      <c r="I137" s="366">
        <v>8.0000000000000002E-3</v>
      </c>
      <c r="J137" s="324">
        <v>2.2000000000000002</v>
      </c>
      <c r="K137" s="324">
        <f>ROUND(H137*I137*J137,2)</f>
        <v>0.05</v>
      </c>
    </row>
    <row r="138" spans="7:11" x14ac:dyDescent="0.25">
      <c r="G138" s="343" t="s">
        <v>21003</v>
      </c>
      <c r="H138" s="321">
        <v>8</v>
      </c>
      <c r="I138" s="366">
        <v>1.4E-2</v>
      </c>
      <c r="J138" s="324">
        <v>2.2000000000000002</v>
      </c>
      <c r="K138" s="324">
        <f>ROUND(H138*I138*J138,2)</f>
        <v>0.25</v>
      </c>
    </row>
    <row r="139" spans="7:11" x14ac:dyDescent="0.25">
      <c r="G139" s="343" t="s">
        <v>21004</v>
      </c>
      <c r="H139" s="321">
        <v>3</v>
      </c>
      <c r="I139" s="366">
        <v>1.4800000000000001E-2</v>
      </c>
      <c r="J139" s="324">
        <v>5.8</v>
      </c>
      <c r="K139" s="324">
        <f t="shared" ref="K139" si="48">ROUND(H139*I139*J139,2)</f>
        <v>0.26</v>
      </c>
    </row>
    <row r="140" spans="7:11" x14ac:dyDescent="0.25">
      <c r="G140" s="343" t="s">
        <v>21005</v>
      </c>
      <c r="H140" s="321">
        <v>2</v>
      </c>
      <c r="I140" s="366">
        <v>8.0000000000000002E-3</v>
      </c>
      <c r="J140" s="324">
        <v>2.2000000000000002</v>
      </c>
      <c r="K140" s="324">
        <f>ROUND(H140*I140*J140,2)</f>
        <v>0.04</v>
      </c>
    </row>
    <row r="141" spans="7:11" x14ac:dyDescent="0.25">
      <c r="G141" s="343" t="s">
        <v>21005</v>
      </c>
      <c r="H141" s="321">
        <v>24</v>
      </c>
      <c r="I141" s="366">
        <v>1.4E-2</v>
      </c>
      <c r="J141" s="324">
        <v>2.2000000000000002</v>
      </c>
      <c r="K141" s="324">
        <f>ROUND(H141*I141*J141,2)</f>
        <v>0.74</v>
      </c>
    </row>
    <row r="142" spans="7:11" x14ac:dyDescent="0.25">
      <c r="G142" s="343" t="s">
        <v>21006</v>
      </c>
      <c r="H142" s="321">
        <v>3</v>
      </c>
      <c r="I142" s="366">
        <v>1.4800000000000001E-2</v>
      </c>
      <c r="J142" s="324">
        <v>23.09</v>
      </c>
      <c r="K142" s="324">
        <f t="shared" ref="K142" si="49">ROUND(H142*I142*J142,2)</f>
        <v>1.03</v>
      </c>
    </row>
    <row r="143" spans="7:11" x14ac:dyDescent="0.25">
      <c r="G143" s="343" t="s">
        <v>20974</v>
      </c>
      <c r="H143" s="321">
        <v>2</v>
      </c>
      <c r="I143" s="366">
        <v>8.0000000000000002E-3</v>
      </c>
      <c r="J143" s="324">
        <v>2.2000000000000002</v>
      </c>
      <c r="K143" s="324">
        <f>ROUND(H143*I143*J143,2)</f>
        <v>0.04</v>
      </c>
    </row>
    <row r="144" spans="7:11" x14ac:dyDescent="0.25">
      <c r="G144" s="343" t="s">
        <v>20974</v>
      </c>
      <c r="H144" s="321">
        <v>15</v>
      </c>
      <c r="I144" s="366">
        <v>1.4E-2</v>
      </c>
      <c r="J144" s="324">
        <v>2.2000000000000002</v>
      </c>
      <c r="K144" s="324">
        <f>ROUND(H144*I144*J144,2)</f>
        <v>0.46</v>
      </c>
    </row>
    <row r="145" spans="7:11" x14ac:dyDescent="0.25">
      <c r="G145" s="343" t="s">
        <v>20975</v>
      </c>
      <c r="H145" s="321">
        <v>3</v>
      </c>
      <c r="I145" s="366">
        <v>1.4800000000000001E-2</v>
      </c>
      <c r="J145" s="324">
        <v>13.69</v>
      </c>
      <c r="K145" s="324">
        <f t="shared" ref="K145" si="50">ROUND(H145*I145*J145,2)</f>
        <v>0.61</v>
      </c>
    </row>
    <row r="146" spans="7:11" x14ac:dyDescent="0.25">
      <c r="G146" s="343" t="s">
        <v>20976</v>
      </c>
      <c r="H146" s="321">
        <v>1</v>
      </c>
      <c r="I146" s="366">
        <v>8.0000000000000002E-3</v>
      </c>
      <c r="J146" s="324">
        <v>2.2000000000000002</v>
      </c>
      <c r="K146" s="324">
        <f>ROUND(H146*I146*J146,2)</f>
        <v>0.02</v>
      </c>
    </row>
    <row r="147" spans="7:11" x14ac:dyDescent="0.25">
      <c r="G147" s="343" t="s">
        <v>20976</v>
      </c>
      <c r="H147" s="321">
        <v>10</v>
      </c>
      <c r="I147" s="366">
        <v>1.4E-2</v>
      </c>
      <c r="J147" s="324">
        <v>2.2000000000000002</v>
      </c>
      <c r="K147" s="324">
        <f>ROUND(H147*I147*J147,2)</f>
        <v>0.31</v>
      </c>
    </row>
    <row r="148" spans="7:11" x14ac:dyDescent="0.25">
      <c r="G148" s="343" t="s">
        <v>21007</v>
      </c>
      <c r="H148" s="321">
        <v>16</v>
      </c>
      <c r="I148" s="366">
        <v>1.4E-2</v>
      </c>
      <c r="J148" s="324">
        <v>2.2000000000000002</v>
      </c>
      <c r="K148" s="324">
        <f>ROUND(H148*I148*J148,2)</f>
        <v>0.49</v>
      </c>
    </row>
    <row r="149" spans="7:11" x14ac:dyDescent="0.25">
      <c r="G149" s="343" t="s">
        <v>21008</v>
      </c>
      <c r="H149" s="321">
        <v>3</v>
      </c>
      <c r="I149" s="366">
        <v>1.4800000000000001E-2</v>
      </c>
      <c r="J149" s="324">
        <v>14.96</v>
      </c>
      <c r="K149" s="324">
        <f t="shared" ref="K149" si="51">ROUND(H149*I149*J149,2)</f>
        <v>0.66</v>
      </c>
    </row>
    <row r="150" spans="7:11" x14ac:dyDescent="0.25">
      <c r="G150" s="775" t="s">
        <v>7</v>
      </c>
      <c r="H150" s="776"/>
      <c r="I150" s="776"/>
      <c r="J150" s="777"/>
      <c r="K150" s="330">
        <f>SUM(K57:K149)</f>
        <v>30.270000000000007</v>
      </c>
    </row>
  </sheetData>
  <mergeCells count="8">
    <mergeCell ref="G150:J150"/>
    <mergeCell ref="B2:E2"/>
    <mergeCell ref="B55:E55"/>
    <mergeCell ref="B11:D11"/>
    <mergeCell ref="B73:D73"/>
    <mergeCell ref="G2:K2"/>
    <mergeCell ref="G55:K55"/>
    <mergeCell ref="G50:J50"/>
  </mergeCells>
  <phoneticPr fontId="4" type="noConversion"/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1" tint="0.14999847407452621"/>
  </sheetPr>
  <dimension ref="B1:W179"/>
  <sheetViews>
    <sheetView topLeftCell="G84" workbookViewId="0">
      <selection activeCell="T97" sqref="T97"/>
    </sheetView>
  </sheetViews>
  <sheetFormatPr defaultColWidth="9.140625" defaultRowHeight="15" x14ac:dyDescent="0.25"/>
  <cols>
    <col min="1" max="1" width="8.42578125" style="316" customWidth="1"/>
    <col min="2" max="2" width="33.85546875" style="316" bestFit="1" customWidth="1"/>
    <col min="3" max="3" width="17.140625" style="316" customWidth="1"/>
    <col min="4" max="4" width="11.42578125" style="316" customWidth="1"/>
    <col min="5" max="5" width="8.28515625" style="316" customWidth="1"/>
    <col min="6" max="6" width="4.85546875" style="316" customWidth="1"/>
    <col min="7" max="7" width="30.7109375" style="316" bestFit="1" customWidth="1"/>
    <col min="8" max="10" width="8.140625" style="316" customWidth="1"/>
    <col min="11" max="11" width="4.85546875" style="316" customWidth="1"/>
    <col min="12" max="12" width="30.42578125" style="316" bestFit="1" customWidth="1"/>
    <col min="13" max="13" width="11.140625" style="316" customWidth="1"/>
    <col min="14" max="14" width="7.28515625" style="316" customWidth="1"/>
    <col min="15" max="15" width="37.28515625" style="316" bestFit="1" customWidth="1"/>
    <col min="16" max="16" width="16.5703125" style="316" customWidth="1"/>
    <col min="17" max="17" width="13.7109375" style="316" customWidth="1"/>
    <col min="18" max="19" width="9.140625" style="316"/>
    <col min="20" max="20" width="24.42578125" style="316" bestFit="1" customWidth="1"/>
    <col min="21" max="21" width="10.28515625" style="316" customWidth="1"/>
    <col min="22" max="22" width="9" style="316" customWidth="1"/>
    <col min="23" max="23" width="7.5703125" style="316" customWidth="1"/>
    <col min="24" max="16384" width="9.140625" style="316"/>
  </cols>
  <sheetData>
    <row r="1" spans="2:13" x14ac:dyDescent="0.25">
      <c r="F1"/>
      <c r="G1"/>
      <c r="H1"/>
      <c r="I1"/>
      <c r="J1"/>
      <c r="K1"/>
    </row>
    <row r="2" spans="2:13" x14ac:dyDescent="0.25">
      <c r="B2" s="778" t="s">
        <v>21158</v>
      </c>
      <c r="C2" s="778"/>
      <c r="D2" s="778"/>
      <c r="E2" s="778"/>
      <c r="F2"/>
      <c r="G2" s="778" t="s">
        <v>20916</v>
      </c>
      <c r="H2" s="778"/>
      <c r="I2" s="778"/>
      <c r="J2" s="778"/>
      <c r="K2"/>
      <c r="L2" s="775" t="s">
        <v>21516</v>
      </c>
      <c r="M2" s="777"/>
    </row>
    <row r="3" spans="2:13" ht="30" x14ac:dyDescent="0.25">
      <c r="B3" s="341" t="s">
        <v>20914</v>
      </c>
      <c r="C3" s="342" t="s">
        <v>21161</v>
      </c>
      <c r="D3" s="342" t="s">
        <v>21162</v>
      </c>
      <c r="E3" s="342" t="s">
        <v>88</v>
      </c>
      <c r="F3"/>
      <c r="G3" s="341" t="s">
        <v>20914</v>
      </c>
      <c r="H3" s="342" t="s">
        <v>88</v>
      </c>
      <c r="I3" s="342" t="s">
        <v>87</v>
      </c>
      <c r="J3" s="342" t="s">
        <v>20400</v>
      </c>
      <c r="K3"/>
      <c r="L3" s="341" t="s">
        <v>20914</v>
      </c>
      <c r="M3" s="342" t="s">
        <v>20359</v>
      </c>
    </row>
    <row r="4" spans="2:13" x14ac:dyDescent="0.25">
      <c r="B4" s="343" t="s">
        <v>21159</v>
      </c>
      <c r="C4" s="324">
        <f>1.2+4.8</f>
        <v>6</v>
      </c>
      <c r="D4" s="321" t="s">
        <v>106</v>
      </c>
      <c r="E4" s="321">
        <v>6.04</v>
      </c>
      <c r="F4"/>
      <c r="G4" s="343" t="s">
        <v>21159</v>
      </c>
      <c r="H4" s="324">
        <f>E4</f>
        <v>6.04</v>
      </c>
      <c r="I4" s="321">
        <v>0.02</v>
      </c>
      <c r="J4" s="324">
        <f>ROUND(H4*I4,2)</f>
        <v>0.12</v>
      </c>
      <c r="K4"/>
      <c r="L4" s="343" t="s">
        <v>20700</v>
      </c>
      <c r="M4" s="324">
        <f>1.2+4.8</f>
        <v>6</v>
      </c>
    </row>
    <row r="5" spans="2:13" x14ac:dyDescent="0.25">
      <c r="B5" s="343" t="s">
        <v>21160</v>
      </c>
      <c r="C5" s="324">
        <f>4.65+1.3</f>
        <v>5.95</v>
      </c>
      <c r="D5" s="324">
        <v>3</v>
      </c>
      <c r="E5" s="324">
        <f>ROUND(C5*D5,2)</f>
        <v>17.850000000000001</v>
      </c>
      <c r="F5" s="368"/>
      <c r="G5" s="343" t="s">
        <v>21160</v>
      </c>
      <c r="H5" s="324">
        <f t="shared" ref="H5:H33" si="0">E5</f>
        <v>17.850000000000001</v>
      </c>
      <c r="I5" s="321">
        <v>0.02</v>
      </c>
      <c r="J5" s="324">
        <f>ROUND(H5*I5,2)</f>
        <v>0.36</v>
      </c>
      <c r="K5" s="368"/>
      <c r="L5" s="343" t="s">
        <v>20711</v>
      </c>
      <c r="M5" s="324">
        <v>14.2</v>
      </c>
    </row>
    <row r="6" spans="2:13" x14ac:dyDescent="0.25">
      <c r="B6" s="343" t="s">
        <v>20711</v>
      </c>
      <c r="C6" s="321" t="s">
        <v>106</v>
      </c>
      <c r="D6" s="321" t="s">
        <v>106</v>
      </c>
      <c r="E6" s="321">
        <v>12.58</v>
      </c>
      <c r="F6" s="317"/>
      <c r="G6" s="343" t="s">
        <v>20711</v>
      </c>
      <c r="H6" s="324">
        <f t="shared" si="0"/>
        <v>12.58</v>
      </c>
      <c r="I6" s="321">
        <v>0.02</v>
      </c>
      <c r="J6" s="324">
        <f t="shared" ref="J6:J33" si="1">ROUND(H6*I6,2)</f>
        <v>0.25</v>
      </c>
      <c r="K6" s="317"/>
      <c r="L6" s="343" t="s">
        <v>20709</v>
      </c>
      <c r="M6" s="324">
        <v>12.3</v>
      </c>
    </row>
    <row r="7" spans="2:13" x14ac:dyDescent="0.25">
      <c r="B7" s="343" t="s">
        <v>20709</v>
      </c>
      <c r="C7" s="321" t="s">
        <v>106</v>
      </c>
      <c r="D7" s="321" t="s">
        <v>106</v>
      </c>
      <c r="E7" s="321">
        <v>9.42</v>
      </c>
      <c r="F7" s="317"/>
      <c r="G7" s="343" t="s">
        <v>20709</v>
      </c>
      <c r="H7" s="324">
        <f t="shared" si="0"/>
        <v>9.42</v>
      </c>
      <c r="I7" s="321">
        <v>0.02</v>
      </c>
      <c r="J7" s="324">
        <f t="shared" si="1"/>
        <v>0.19</v>
      </c>
      <c r="K7" s="317"/>
      <c r="L7" s="343" t="s">
        <v>20699</v>
      </c>
      <c r="M7" s="324">
        <v>20.8</v>
      </c>
    </row>
    <row r="8" spans="2:13" x14ac:dyDescent="0.25">
      <c r="B8" s="343" t="s">
        <v>20699</v>
      </c>
      <c r="C8" s="321" t="s">
        <v>106</v>
      </c>
      <c r="D8" s="321" t="s">
        <v>106</v>
      </c>
      <c r="E8" s="321">
        <v>11.04</v>
      </c>
      <c r="F8" s="317"/>
      <c r="G8" s="343" t="s">
        <v>20699</v>
      </c>
      <c r="H8" s="324">
        <f t="shared" si="0"/>
        <v>11.04</v>
      </c>
      <c r="I8" s="321">
        <v>0.02</v>
      </c>
      <c r="J8" s="324">
        <f t="shared" si="1"/>
        <v>0.22</v>
      </c>
      <c r="K8" s="317"/>
      <c r="L8" s="343" t="s">
        <v>20707</v>
      </c>
      <c r="M8" s="324">
        <v>12.6</v>
      </c>
    </row>
    <row r="9" spans="2:13" x14ac:dyDescent="0.25">
      <c r="B9" s="343" t="s">
        <v>21165</v>
      </c>
      <c r="C9" s="321" t="s">
        <v>106</v>
      </c>
      <c r="D9" s="321" t="s">
        <v>106</v>
      </c>
      <c r="E9" s="324">
        <v>9</v>
      </c>
      <c r="F9" s="368"/>
      <c r="G9" s="343" t="s">
        <v>21165</v>
      </c>
      <c r="H9" s="324">
        <f t="shared" si="0"/>
        <v>9</v>
      </c>
      <c r="I9" s="321">
        <v>0.02</v>
      </c>
      <c r="J9" s="324">
        <f t="shared" si="1"/>
        <v>0.18</v>
      </c>
      <c r="K9" s="368"/>
      <c r="L9" s="343" t="s">
        <v>20698</v>
      </c>
      <c r="M9" s="324">
        <v>17.399999999999999</v>
      </c>
    </row>
    <row r="10" spans="2:13" x14ac:dyDescent="0.25">
      <c r="B10" s="343" t="s">
        <v>21166</v>
      </c>
      <c r="C10" s="324">
        <v>12.3</v>
      </c>
      <c r="D10" s="324">
        <v>3</v>
      </c>
      <c r="E10" s="324">
        <f>ROUND(C10*D10,2)</f>
        <v>36.9</v>
      </c>
      <c r="F10" s="368"/>
      <c r="G10" s="343" t="s">
        <v>21166</v>
      </c>
      <c r="H10" s="324">
        <f t="shared" si="0"/>
        <v>36.9</v>
      </c>
      <c r="I10" s="321">
        <v>0.02</v>
      </c>
      <c r="J10" s="324">
        <f t="shared" si="1"/>
        <v>0.74</v>
      </c>
      <c r="K10" s="368"/>
      <c r="L10" s="343" t="s">
        <v>20917</v>
      </c>
      <c r="M10" s="324">
        <v>11.16</v>
      </c>
    </row>
    <row r="11" spans="2:13" x14ac:dyDescent="0.25">
      <c r="B11" s="343" t="s">
        <v>21167</v>
      </c>
      <c r="C11" s="321" t="s">
        <v>106</v>
      </c>
      <c r="D11" s="321" t="s">
        <v>106</v>
      </c>
      <c r="E11" s="324">
        <v>4.55</v>
      </c>
      <c r="F11" s="368"/>
      <c r="G11" s="343" t="s">
        <v>21167</v>
      </c>
      <c r="H11" s="324">
        <f t="shared" si="0"/>
        <v>4.55</v>
      </c>
      <c r="I11" s="321">
        <v>0.02</v>
      </c>
      <c r="J11" s="324">
        <f t="shared" si="1"/>
        <v>0.09</v>
      </c>
      <c r="K11" s="368"/>
      <c r="L11" s="343" t="s">
        <v>20705</v>
      </c>
      <c r="M11" s="324">
        <v>9.3000000000000007</v>
      </c>
    </row>
    <row r="12" spans="2:13" x14ac:dyDescent="0.25">
      <c r="B12" s="343" t="s">
        <v>21168</v>
      </c>
      <c r="C12" s="324">
        <v>9.3000000000000007</v>
      </c>
      <c r="D12" s="324">
        <v>3</v>
      </c>
      <c r="E12" s="324">
        <f>ROUND(C12*D12,2)</f>
        <v>27.9</v>
      </c>
      <c r="F12" s="368"/>
      <c r="G12" s="343" t="s">
        <v>21168</v>
      </c>
      <c r="H12" s="324">
        <f t="shared" si="0"/>
        <v>27.9</v>
      </c>
      <c r="I12" s="321">
        <v>0.02</v>
      </c>
      <c r="J12" s="324">
        <f t="shared" si="1"/>
        <v>0.56000000000000005</v>
      </c>
      <c r="K12" s="368"/>
      <c r="L12" s="343" t="s">
        <v>20918</v>
      </c>
      <c r="M12" s="324">
        <v>14.2</v>
      </c>
    </row>
    <row r="13" spans="2:13" x14ac:dyDescent="0.25">
      <c r="B13" s="343" t="s">
        <v>20707</v>
      </c>
      <c r="C13" s="321" t="s">
        <v>106</v>
      </c>
      <c r="D13" s="321" t="s">
        <v>106</v>
      </c>
      <c r="E13" s="324">
        <v>9.91</v>
      </c>
      <c r="F13" s="368"/>
      <c r="G13" s="343" t="s">
        <v>20707</v>
      </c>
      <c r="H13" s="324">
        <f t="shared" si="0"/>
        <v>9.91</v>
      </c>
      <c r="I13" s="321">
        <v>0.02</v>
      </c>
      <c r="J13" s="324">
        <f t="shared" si="1"/>
        <v>0.2</v>
      </c>
      <c r="K13" s="368"/>
      <c r="L13" s="343" t="s">
        <v>20701</v>
      </c>
      <c r="M13" s="324">
        <v>10.1</v>
      </c>
    </row>
    <row r="14" spans="2:13" x14ac:dyDescent="0.25">
      <c r="B14" s="343" t="s">
        <v>21169</v>
      </c>
      <c r="C14" s="321" t="s">
        <v>106</v>
      </c>
      <c r="D14" s="321" t="s">
        <v>106</v>
      </c>
      <c r="E14" s="324">
        <v>17.25</v>
      </c>
      <c r="F14" s="368"/>
      <c r="G14" s="343" t="s">
        <v>21169</v>
      </c>
      <c r="H14" s="324">
        <f t="shared" si="0"/>
        <v>17.25</v>
      </c>
      <c r="I14" s="321">
        <v>0.02</v>
      </c>
      <c r="J14" s="324">
        <f t="shared" si="1"/>
        <v>0.35</v>
      </c>
      <c r="K14" s="368"/>
      <c r="L14" s="343" t="s">
        <v>20691</v>
      </c>
      <c r="M14" s="324">
        <v>16.8</v>
      </c>
    </row>
    <row r="15" spans="2:13" x14ac:dyDescent="0.25">
      <c r="B15" s="343" t="s">
        <v>21170</v>
      </c>
      <c r="C15" s="324">
        <v>16.7</v>
      </c>
      <c r="D15" s="324">
        <v>3</v>
      </c>
      <c r="E15" s="324">
        <f>ROUND(C15*D15,2)</f>
        <v>50.1</v>
      </c>
      <c r="F15" s="368"/>
      <c r="G15" s="343" t="s">
        <v>21170</v>
      </c>
      <c r="H15" s="324">
        <f t="shared" si="0"/>
        <v>50.1</v>
      </c>
      <c r="I15" s="321">
        <v>0.02</v>
      </c>
      <c r="J15" s="324">
        <f t="shared" si="1"/>
        <v>1</v>
      </c>
      <c r="K15" s="368"/>
      <c r="L15" s="343" t="s">
        <v>20719</v>
      </c>
      <c r="M15" s="324">
        <v>6.8</v>
      </c>
    </row>
    <row r="16" spans="2:13" x14ac:dyDescent="0.25">
      <c r="B16" s="343" t="s">
        <v>21171</v>
      </c>
      <c r="C16" s="321" t="s">
        <v>106</v>
      </c>
      <c r="D16" s="321" t="s">
        <v>106</v>
      </c>
      <c r="E16" s="324">
        <v>4.55</v>
      </c>
      <c r="F16" s="368"/>
      <c r="G16" s="343" t="s">
        <v>21171</v>
      </c>
      <c r="H16" s="324">
        <f t="shared" si="0"/>
        <v>4.55</v>
      </c>
      <c r="I16" s="321">
        <v>0.02</v>
      </c>
      <c r="J16" s="324">
        <f t="shared" si="1"/>
        <v>0.09</v>
      </c>
      <c r="K16" s="368"/>
      <c r="L16" s="343" t="s">
        <v>20695</v>
      </c>
      <c r="M16" s="324">
        <v>7.3</v>
      </c>
    </row>
    <row r="17" spans="2:13" x14ac:dyDescent="0.25">
      <c r="B17" s="343" t="s">
        <v>21172</v>
      </c>
      <c r="C17" s="324">
        <v>9.3000000000000007</v>
      </c>
      <c r="D17" s="324">
        <v>3</v>
      </c>
      <c r="E17" s="324">
        <f>ROUND(C17*D17,2)</f>
        <v>27.9</v>
      </c>
      <c r="F17" s="368"/>
      <c r="G17" s="343" t="s">
        <v>21172</v>
      </c>
      <c r="H17" s="324">
        <f t="shared" si="0"/>
        <v>27.9</v>
      </c>
      <c r="I17" s="321">
        <v>0.02</v>
      </c>
      <c r="J17" s="324">
        <f t="shared" si="1"/>
        <v>0.56000000000000005</v>
      </c>
      <c r="K17" s="368"/>
      <c r="L17" s="343" t="s">
        <v>20692</v>
      </c>
      <c r="M17" s="324">
        <f>2+5.25</f>
        <v>7.25</v>
      </c>
    </row>
    <row r="18" spans="2:13" x14ac:dyDescent="0.25">
      <c r="B18" s="343" t="s">
        <v>21176</v>
      </c>
      <c r="C18" s="321" t="s">
        <v>106</v>
      </c>
      <c r="D18" s="321" t="s">
        <v>106</v>
      </c>
      <c r="E18" s="324">
        <v>13</v>
      </c>
      <c r="F18" s="368"/>
      <c r="G18" s="343" t="s">
        <v>21176</v>
      </c>
      <c r="H18" s="324">
        <f t="shared" si="0"/>
        <v>13</v>
      </c>
      <c r="I18" s="321">
        <v>0.02</v>
      </c>
      <c r="J18" s="324">
        <f t="shared" si="1"/>
        <v>0.26</v>
      </c>
      <c r="K18" s="368"/>
      <c r="L18" s="343" t="s">
        <v>20693</v>
      </c>
      <c r="M18" s="324">
        <f>5.3+1.5</f>
        <v>6.8</v>
      </c>
    </row>
    <row r="19" spans="2:13" x14ac:dyDescent="0.25">
      <c r="B19" s="343" t="s">
        <v>21177</v>
      </c>
      <c r="C19" s="324">
        <v>14.5</v>
      </c>
      <c r="D19" s="324">
        <v>3</v>
      </c>
      <c r="E19" s="324">
        <f>ROUND(C19*D19,2)</f>
        <v>43.5</v>
      </c>
      <c r="F19" s="368"/>
      <c r="G19" s="343" t="s">
        <v>21177</v>
      </c>
      <c r="H19" s="324">
        <f t="shared" si="0"/>
        <v>43.5</v>
      </c>
      <c r="I19" s="321">
        <v>0.02</v>
      </c>
      <c r="J19" s="324">
        <f t="shared" si="1"/>
        <v>0.87</v>
      </c>
      <c r="K19" s="368"/>
      <c r="L19" s="362" t="s">
        <v>21519</v>
      </c>
      <c r="M19" s="344">
        <f>SUBTOTAL(9,M4:M18)</f>
        <v>173.01000000000002</v>
      </c>
    </row>
    <row r="20" spans="2:13" x14ac:dyDescent="0.25">
      <c r="B20" s="343" t="s">
        <v>20698</v>
      </c>
      <c r="C20" s="321" t="s">
        <v>106</v>
      </c>
      <c r="D20" s="321" t="s">
        <v>106</v>
      </c>
      <c r="E20" s="324">
        <v>9</v>
      </c>
      <c r="F20" s="368"/>
      <c r="G20" s="343" t="s">
        <v>20698</v>
      </c>
      <c r="H20" s="324">
        <f t="shared" si="0"/>
        <v>9</v>
      </c>
      <c r="I20" s="321">
        <v>0.02</v>
      </c>
      <c r="J20" s="324">
        <f t="shared" si="1"/>
        <v>0.18</v>
      </c>
      <c r="K20" s="368"/>
      <c r="L20" s="772" t="s">
        <v>21163</v>
      </c>
      <c r="M20" s="774"/>
    </row>
    <row r="21" spans="2:13" x14ac:dyDescent="0.25">
      <c r="B21" s="343" t="s">
        <v>20917</v>
      </c>
      <c r="C21" s="321" t="s">
        <v>106</v>
      </c>
      <c r="D21" s="321" t="s">
        <v>106</v>
      </c>
      <c r="E21" s="324">
        <v>6.86</v>
      </c>
      <c r="F21" s="368"/>
      <c r="G21" s="343" t="s">
        <v>20917</v>
      </c>
      <c r="H21" s="324">
        <f t="shared" si="0"/>
        <v>6.86</v>
      </c>
      <c r="I21" s="321">
        <v>0.02</v>
      </c>
      <c r="J21" s="324">
        <f t="shared" si="1"/>
        <v>0.14000000000000001</v>
      </c>
      <c r="K21" s="368"/>
      <c r="L21" s="343" t="s">
        <v>21179</v>
      </c>
      <c r="M21" s="324">
        <v>25.26</v>
      </c>
    </row>
    <row r="22" spans="2:13" x14ac:dyDescent="0.25">
      <c r="B22" s="343" t="s">
        <v>20705</v>
      </c>
      <c r="C22" s="321" t="s">
        <v>106</v>
      </c>
      <c r="D22" s="321" t="s">
        <v>106</v>
      </c>
      <c r="E22" s="324">
        <v>4.55</v>
      </c>
      <c r="F22" s="368"/>
      <c r="G22" s="343" t="s">
        <v>20705</v>
      </c>
      <c r="H22" s="324">
        <f t="shared" si="0"/>
        <v>4.55</v>
      </c>
      <c r="I22" s="321">
        <v>0.02</v>
      </c>
      <c r="J22" s="324">
        <f t="shared" si="1"/>
        <v>0.09</v>
      </c>
      <c r="K22" s="368"/>
      <c r="L22" s="343" t="s">
        <v>21520</v>
      </c>
      <c r="M22" s="324">
        <v>17.98</v>
      </c>
    </row>
    <row r="23" spans="2:13" x14ac:dyDescent="0.25">
      <c r="B23" s="343" t="s">
        <v>20918</v>
      </c>
      <c r="C23" s="321" t="s">
        <v>106</v>
      </c>
      <c r="D23" s="321" t="s">
        <v>106</v>
      </c>
      <c r="E23" s="324">
        <v>12.56</v>
      </c>
      <c r="F23" s="368"/>
      <c r="G23" s="343" t="s">
        <v>20918</v>
      </c>
      <c r="H23" s="324">
        <f t="shared" si="0"/>
        <v>12.56</v>
      </c>
      <c r="I23" s="321">
        <v>0.02</v>
      </c>
      <c r="J23" s="324">
        <f t="shared" si="1"/>
        <v>0.25</v>
      </c>
      <c r="K23" s="368"/>
      <c r="L23" s="343" t="s">
        <v>21522</v>
      </c>
      <c r="M23" s="324">
        <v>2.62</v>
      </c>
    </row>
    <row r="24" spans="2:13" x14ac:dyDescent="0.25">
      <c r="B24" s="343" t="s">
        <v>20701</v>
      </c>
      <c r="C24" s="321" t="s">
        <v>106</v>
      </c>
      <c r="D24" s="321" t="s">
        <v>106</v>
      </c>
      <c r="E24" s="324">
        <v>5.85</v>
      </c>
      <c r="F24" s="368"/>
      <c r="G24" s="343" t="s">
        <v>20701</v>
      </c>
      <c r="H24" s="324">
        <f t="shared" si="0"/>
        <v>5.85</v>
      </c>
      <c r="I24" s="321">
        <v>0.02</v>
      </c>
      <c r="J24" s="324">
        <f t="shared" si="1"/>
        <v>0.12</v>
      </c>
      <c r="K24" s="368"/>
      <c r="L24" s="362" t="s">
        <v>21523</v>
      </c>
      <c r="M24" s="344">
        <f>SUBTOTAL(9,M21:M23)</f>
        <v>45.86</v>
      </c>
    </row>
    <row r="25" spans="2:13" x14ac:dyDescent="0.25">
      <c r="B25" s="343" t="s">
        <v>20691</v>
      </c>
      <c r="C25" s="321" t="s">
        <v>106</v>
      </c>
      <c r="D25" s="321" t="s">
        <v>106</v>
      </c>
      <c r="E25" s="324">
        <v>12.8</v>
      </c>
      <c r="F25" s="368"/>
      <c r="G25" s="343" t="s">
        <v>20691</v>
      </c>
      <c r="H25" s="324">
        <f t="shared" si="0"/>
        <v>12.8</v>
      </c>
      <c r="I25" s="321">
        <v>0.02</v>
      </c>
      <c r="J25" s="324">
        <f t="shared" si="1"/>
        <v>0.26</v>
      </c>
      <c r="K25" s="368"/>
      <c r="L25" s="362" t="s">
        <v>7</v>
      </c>
      <c r="M25" s="344">
        <f>M19+M24</f>
        <v>218.87</v>
      </c>
    </row>
    <row r="26" spans="2:13" x14ac:dyDescent="0.25">
      <c r="B26" s="343" t="s">
        <v>20719</v>
      </c>
      <c r="C26" s="321" t="s">
        <v>106</v>
      </c>
      <c r="D26" s="321" t="s">
        <v>106</v>
      </c>
      <c r="E26" s="324">
        <v>2.8</v>
      </c>
      <c r="F26" s="368"/>
      <c r="G26" s="343" t="s">
        <v>20719</v>
      </c>
      <c r="H26" s="324">
        <f t="shared" si="0"/>
        <v>2.8</v>
      </c>
      <c r="I26" s="321">
        <v>0.02</v>
      </c>
      <c r="J26" s="324">
        <f t="shared" si="1"/>
        <v>0.06</v>
      </c>
      <c r="K26" s="368"/>
      <c r="L26"/>
      <c r="M26"/>
    </row>
    <row r="27" spans="2:13" x14ac:dyDescent="0.25">
      <c r="B27" s="343" t="s">
        <v>21181</v>
      </c>
      <c r="C27" s="321" t="s">
        <v>106</v>
      </c>
      <c r="D27" s="321" t="s">
        <v>106</v>
      </c>
      <c r="E27" s="324">
        <v>4</v>
      </c>
      <c r="F27" s="368"/>
      <c r="G27" s="343" t="s">
        <v>21181</v>
      </c>
      <c r="H27" s="324">
        <f t="shared" si="0"/>
        <v>4</v>
      </c>
      <c r="I27" s="321">
        <v>0.02</v>
      </c>
      <c r="J27" s="324">
        <f t="shared" si="1"/>
        <v>0.08</v>
      </c>
      <c r="K27" s="368"/>
      <c r="L27"/>
      <c r="M27"/>
    </row>
    <row r="28" spans="2:13" x14ac:dyDescent="0.25">
      <c r="B28" s="343" t="s">
        <v>21182</v>
      </c>
      <c r="C28" s="324">
        <v>8</v>
      </c>
      <c r="D28" s="324">
        <v>3</v>
      </c>
      <c r="E28" s="324">
        <f>ROUND(C28*D28,2)</f>
        <v>24</v>
      </c>
      <c r="F28" s="368"/>
      <c r="G28" s="343" t="s">
        <v>21182</v>
      </c>
      <c r="H28" s="324">
        <f t="shared" si="0"/>
        <v>24</v>
      </c>
      <c r="I28" s="321">
        <v>0.02</v>
      </c>
      <c r="J28" s="324">
        <f t="shared" si="1"/>
        <v>0.48</v>
      </c>
      <c r="K28" s="368"/>
      <c r="L28"/>
      <c r="M28"/>
    </row>
    <row r="29" spans="2:13" x14ac:dyDescent="0.25">
      <c r="B29" s="343" t="s">
        <v>21183</v>
      </c>
      <c r="C29" s="321" t="s">
        <v>106</v>
      </c>
      <c r="D29" s="321" t="s">
        <v>106</v>
      </c>
      <c r="E29" s="324">
        <v>4</v>
      </c>
      <c r="F29" s="368"/>
      <c r="G29" s="343" t="s">
        <v>21183</v>
      </c>
      <c r="H29" s="324">
        <f t="shared" si="0"/>
        <v>4</v>
      </c>
      <c r="I29" s="321">
        <v>0.02</v>
      </c>
      <c r="J29" s="324">
        <f t="shared" si="1"/>
        <v>0.08</v>
      </c>
      <c r="K29" s="368"/>
      <c r="L29"/>
      <c r="M29"/>
    </row>
    <row r="30" spans="2:13" x14ac:dyDescent="0.25">
      <c r="B30" s="343" t="s">
        <v>21184</v>
      </c>
      <c r="C30" s="324">
        <v>8</v>
      </c>
      <c r="D30" s="324">
        <v>3</v>
      </c>
      <c r="E30" s="324">
        <f>ROUND(C30*D30,2)</f>
        <v>24</v>
      </c>
      <c r="F30" s="368"/>
      <c r="G30" s="343" t="s">
        <v>21184</v>
      </c>
      <c r="H30" s="324">
        <f t="shared" si="0"/>
        <v>24</v>
      </c>
      <c r="I30" s="321">
        <v>0.02</v>
      </c>
      <c r="J30" s="324">
        <f t="shared" si="1"/>
        <v>0.48</v>
      </c>
      <c r="K30" s="368"/>
      <c r="L30"/>
      <c r="M30"/>
    </row>
    <row r="31" spans="2:13" x14ac:dyDescent="0.25">
      <c r="B31" s="343" t="s">
        <v>20695</v>
      </c>
      <c r="C31" s="321" t="s">
        <v>106</v>
      </c>
      <c r="D31" s="321" t="s">
        <v>106</v>
      </c>
      <c r="E31" s="324">
        <v>4.03</v>
      </c>
      <c r="F31" s="368"/>
      <c r="G31" s="343" t="s">
        <v>20695</v>
      </c>
      <c r="H31" s="324">
        <f t="shared" si="0"/>
        <v>4.03</v>
      </c>
      <c r="I31" s="321">
        <v>0.02</v>
      </c>
      <c r="J31" s="324">
        <f t="shared" si="1"/>
        <v>0.08</v>
      </c>
      <c r="K31" s="368"/>
      <c r="L31"/>
      <c r="M31"/>
    </row>
    <row r="32" spans="2:13" x14ac:dyDescent="0.25">
      <c r="B32" s="343" t="s">
        <v>21517</v>
      </c>
      <c r="C32" s="321" t="s">
        <v>106</v>
      </c>
      <c r="D32" s="321" t="s">
        <v>106</v>
      </c>
      <c r="E32" s="324">
        <v>10.5</v>
      </c>
      <c r="F32" s="368"/>
      <c r="G32" s="343" t="s">
        <v>21517</v>
      </c>
      <c r="H32" s="324">
        <f t="shared" si="0"/>
        <v>10.5</v>
      </c>
      <c r="I32" s="321">
        <v>0.02</v>
      </c>
      <c r="J32" s="324">
        <f t="shared" si="1"/>
        <v>0.21</v>
      </c>
      <c r="K32" s="368"/>
      <c r="L32"/>
      <c r="M32"/>
    </row>
    <row r="33" spans="2:13" x14ac:dyDescent="0.25">
      <c r="B33" s="343" t="s">
        <v>21518</v>
      </c>
      <c r="C33" s="324">
        <v>6.4</v>
      </c>
      <c r="D33" s="324">
        <v>3</v>
      </c>
      <c r="E33" s="324">
        <f>ROUND(C33*D33,2)</f>
        <v>19.2</v>
      </c>
      <c r="F33" s="368"/>
      <c r="G33" s="343" t="s">
        <v>21518</v>
      </c>
      <c r="H33" s="324">
        <f t="shared" si="0"/>
        <v>19.2</v>
      </c>
      <c r="I33" s="321">
        <v>0.02</v>
      </c>
      <c r="J33" s="324">
        <f t="shared" si="1"/>
        <v>0.38</v>
      </c>
      <c r="K33" s="368"/>
      <c r="L33"/>
      <c r="M33"/>
    </row>
    <row r="34" spans="2:13" x14ac:dyDescent="0.25">
      <c r="B34" s="789" t="s">
        <v>21178</v>
      </c>
      <c r="C34" s="790"/>
      <c r="D34" s="791"/>
      <c r="E34" s="344">
        <f>SUM(E4:E33)</f>
        <v>445.64000000000004</v>
      </c>
      <c r="F34"/>
      <c r="G34" s="789" t="s">
        <v>21178</v>
      </c>
      <c r="H34" s="790"/>
      <c r="I34" s="791"/>
      <c r="J34" s="344">
        <f>SUM(J4:J33)</f>
        <v>8.9300000000000015</v>
      </c>
      <c r="K34"/>
      <c r="L34"/>
      <c r="M34"/>
    </row>
    <row r="35" spans="2:13" x14ac:dyDescent="0.25">
      <c r="B35" s="778" t="s">
        <v>21163</v>
      </c>
      <c r="C35" s="778"/>
      <c r="D35" s="778"/>
      <c r="E35" s="778"/>
      <c r="F35"/>
      <c r="G35" s="778" t="s">
        <v>21163</v>
      </c>
      <c r="H35" s="778"/>
      <c r="I35" s="778"/>
      <c r="J35" s="778"/>
      <c r="K35"/>
      <c r="L35"/>
      <c r="M35"/>
    </row>
    <row r="36" spans="2:13" ht="30" x14ac:dyDescent="0.25">
      <c r="B36" s="341" t="s">
        <v>20914</v>
      </c>
      <c r="C36" s="342" t="s">
        <v>21161</v>
      </c>
      <c r="D36" s="342" t="s">
        <v>21162</v>
      </c>
      <c r="E36" s="342" t="s">
        <v>88</v>
      </c>
      <c r="F36"/>
      <c r="G36" s="341" t="s">
        <v>20914</v>
      </c>
      <c r="H36" s="342" t="s">
        <v>88</v>
      </c>
      <c r="I36" s="342" t="s">
        <v>87</v>
      </c>
      <c r="J36" s="342" t="s">
        <v>20400</v>
      </c>
      <c r="K36"/>
      <c r="L36"/>
      <c r="M36"/>
    </row>
    <row r="37" spans="2:13" x14ac:dyDescent="0.25">
      <c r="B37" s="343" t="s">
        <v>21164</v>
      </c>
      <c r="C37" s="321" t="s">
        <v>106</v>
      </c>
      <c r="D37" s="321" t="s">
        <v>106</v>
      </c>
      <c r="E37" s="321">
        <v>6.04</v>
      </c>
      <c r="F37" s="317"/>
      <c r="G37" s="343" t="s">
        <v>21164</v>
      </c>
      <c r="H37" s="324">
        <f>E37</f>
        <v>6.04</v>
      </c>
      <c r="I37" s="321">
        <v>0.02</v>
      </c>
      <c r="J37" s="324">
        <f t="shared" ref="J37:J42" si="2">ROUND(H37*I37,2)</f>
        <v>0.12</v>
      </c>
      <c r="K37" s="317"/>
      <c r="L37" s="317"/>
      <c r="M37" s="317"/>
    </row>
    <row r="38" spans="2:13" x14ac:dyDescent="0.25">
      <c r="B38" s="343" t="s">
        <v>21529</v>
      </c>
      <c r="C38" s="321">
        <v>2.0299999999999998</v>
      </c>
      <c r="D38" s="324">
        <v>4</v>
      </c>
      <c r="E38" s="324">
        <f>ROUND(C38*D38,2)</f>
        <v>8.1199999999999992</v>
      </c>
      <c r="F38" s="368"/>
      <c r="G38" s="343" t="s">
        <v>21529</v>
      </c>
      <c r="H38" s="324">
        <f t="shared" ref="H38:H43" si="3">E38</f>
        <v>8.1199999999999992</v>
      </c>
      <c r="I38" s="321">
        <v>0.02</v>
      </c>
      <c r="J38" s="324">
        <f t="shared" si="2"/>
        <v>0.16</v>
      </c>
      <c r="K38" s="368"/>
      <c r="L38" s="368"/>
      <c r="M38" s="368"/>
    </row>
    <row r="39" spans="2:13" x14ac:dyDescent="0.25">
      <c r="B39" s="343" t="s">
        <v>21179</v>
      </c>
      <c r="C39" s="321">
        <v>7.51</v>
      </c>
      <c r="D39" s="324">
        <v>5.12</v>
      </c>
      <c r="E39" s="324">
        <f>ROUND(C39*D39,2)</f>
        <v>38.450000000000003</v>
      </c>
      <c r="F39" s="368"/>
      <c r="G39" s="343" t="s">
        <v>21179</v>
      </c>
      <c r="H39" s="324">
        <f t="shared" si="3"/>
        <v>38.450000000000003</v>
      </c>
      <c r="I39" s="321">
        <v>0.02</v>
      </c>
      <c r="J39" s="324">
        <f t="shared" si="2"/>
        <v>0.77</v>
      </c>
      <c r="K39" s="368"/>
      <c r="L39" s="368"/>
      <c r="M39" s="368"/>
    </row>
    <row r="40" spans="2:13" x14ac:dyDescent="0.25">
      <c r="B40" s="343" t="s">
        <v>21180</v>
      </c>
      <c r="C40" s="321">
        <v>3.36</v>
      </c>
      <c r="D40" s="324">
        <v>3.26</v>
      </c>
      <c r="E40" s="324">
        <f>ROUND(C40*D40,2)</f>
        <v>10.95</v>
      </c>
      <c r="F40" s="368"/>
      <c r="G40" s="343" t="s">
        <v>21180</v>
      </c>
      <c r="H40" s="324">
        <f t="shared" si="3"/>
        <v>10.95</v>
      </c>
      <c r="I40" s="321">
        <v>0.02</v>
      </c>
      <c r="J40" s="324">
        <f t="shared" si="2"/>
        <v>0.22</v>
      </c>
      <c r="K40" s="368"/>
      <c r="L40" s="368"/>
      <c r="M40" s="368"/>
    </row>
    <row r="41" spans="2:13" x14ac:dyDescent="0.25">
      <c r="B41" s="343" t="s">
        <v>21528</v>
      </c>
      <c r="C41" s="321">
        <v>10.44</v>
      </c>
      <c r="D41" s="324">
        <v>3</v>
      </c>
      <c r="E41" s="324">
        <f>ROUND(C41*D41,2)</f>
        <v>31.32</v>
      </c>
      <c r="F41" s="368"/>
      <c r="G41" s="343" t="s">
        <v>21528</v>
      </c>
      <c r="H41" s="324">
        <f t="shared" si="3"/>
        <v>31.32</v>
      </c>
      <c r="I41" s="321">
        <v>0.02</v>
      </c>
      <c r="J41" s="324">
        <f t="shared" si="2"/>
        <v>0.63</v>
      </c>
      <c r="K41" s="368"/>
      <c r="L41" s="368"/>
      <c r="M41" s="368"/>
    </row>
    <row r="42" spans="2:13" x14ac:dyDescent="0.25">
      <c r="B42" s="343" t="s">
        <v>21530</v>
      </c>
      <c r="C42" s="321">
        <v>6.52</v>
      </c>
      <c r="D42" s="324">
        <v>3</v>
      </c>
      <c r="E42" s="324">
        <f>ROUND(C42*D42,2)</f>
        <v>19.559999999999999</v>
      </c>
      <c r="F42" s="368"/>
      <c r="G42" s="343" t="s">
        <v>21530</v>
      </c>
      <c r="H42" s="324">
        <f t="shared" si="3"/>
        <v>19.559999999999999</v>
      </c>
      <c r="I42" s="321">
        <v>0.02</v>
      </c>
      <c r="J42" s="324">
        <f t="shared" si="2"/>
        <v>0.39</v>
      </c>
      <c r="K42" s="368"/>
      <c r="L42" s="368"/>
      <c r="M42" s="368"/>
    </row>
    <row r="43" spans="2:13" x14ac:dyDescent="0.25">
      <c r="B43" s="343" t="s">
        <v>21521</v>
      </c>
      <c r="C43" s="324">
        <v>5.7</v>
      </c>
      <c r="D43" s="324">
        <v>3.29</v>
      </c>
      <c r="E43" s="324">
        <f>ROUNDUP(C43*D43,2)</f>
        <v>18.760000000000002</v>
      </c>
      <c r="F43" s="368"/>
      <c r="G43" s="343" t="s">
        <v>21521</v>
      </c>
      <c r="H43" s="324">
        <f t="shared" si="3"/>
        <v>18.760000000000002</v>
      </c>
      <c r="I43" s="321">
        <v>0.02</v>
      </c>
      <c r="J43" s="324">
        <f>ROUNDUP(H43*I43,2)</f>
        <v>0.38</v>
      </c>
      <c r="K43" s="368"/>
      <c r="L43" s="368"/>
      <c r="M43" s="368"/>
    </row>
    <row r="44" spans="2:13" x14ac:dyDescent="0.25">
      <c r="B44" s="789" t="s">
        <v>21185</v>
      </c>
      <c r="C44" s="790"/>
      <c r="D44" s="791"/>
      <c r="E44" s="344">
        <f>SUM(E37:E43)</f>
        <v>133.19999999999999</v>
      </c>
      <c r="F44"/>
      <c r="G44" s="789" t="s">
        <v>21185</v>
      </c>
      <c r="H44" s="790"/>
      <c r="I44" s="791"/>
      <c r="J44" s="344">
        <f>SUM(J37:J43)</f>
        <v>2.67</v>
      </c>
      <c r="K44"/>
      <c r="L44"/>
      <c r="M44"/>
    </row>
    <row r="45" spans="2:13" x14ac:dyDescent="0.25">
      <c r="B45" s="775" t="s">
        <v>7</v>
      </c>
      <c r="C45" s="776"/>
      <c r="D45" s="777"/>
      <c r="E45" s="330">
        <f>E34+E44</f>
        <v>578.84</v>
      </c>
      <c r="F45"/>
      <c r="G45" s="775" t="s">
        <v>7</v>
      </c>
      <c r="H45" s="776"/>
      <c r="I45" s="777"/>
      <c r="J45" s="330">
        <f>J34+J44</f>
        <v>11.600000000000001</v>
      </c>
      <c r="K45"/>
      <c r="L45"/>
      <c r="M45"/>
    </row>
    <row r="47" spans="2:13" x14ac:dyDescent="0.25">
      <c r="B47" s="778" t="s">
        <v>21524</v>
      </c>
      <c r="C47" s="778"/>
      <c r="D47" s="778"/>
      <c r="E47" s="778"/>
      <c r="G47"/>
      <c r="H47"/>
      <c r="I47"/>
      <c r="J47"/>
    </row>
    <row r="48" spans="2:13" ht="30" x14ac:dyDescent="0.25">
      <c r="B48" s="341" t="s">
        <v>20914</v>
      </c>
      <c r="C48" s="342" t="s">
        <v>20359</v>
      </c>
      <c r="D48" s="342" t="s">
        <v>87</v>
      </c>
      <c r="E48" s="342" t="s">
        <v>88</v>
      </c>
      <c r="G48"/>
      <c r="H48"/>
      <c r="I48"/>
      <c r="J48"/>
    </row>
    <row r="49" spans="2:23" x14ac:dyDescent="0.25">
      <c r="B49" s="343" t="s">
        <v>21526</v>
      </c>
      <c r="C49" s="324">
        <v>5.6</v>
      </c>
      <c r="D49" s="324">
        <v>5.2</v>
      </c>
      <c r="E49" s="324">
        <f>ROUND(C49*D49,2)</f>
        <v>29.12</v>
      </c>
      <c r="G49"/>
      <c r="H49"/>
      <c r="I49"/>
      <c r="J49"/>
    </row>
    <row r="50" spans="2:23" x14ac:dyDescent="0.25">
      <c r="B50" s="343" t="s">
        <v>21525</v>
      </c>
      <c r="C50" s="324">
        <f>1.36+1.54+1.32+0.68</f>
        <v>4.9000000000000004</v>
      </c>
      <c r="D50" s="324">
        <v>3</v>
      </c>
      <c r="E50" s="324">
        <f>ROUND(C50*D50,2)</f>
        <v>14.7</v>
      </c>
      <c r="G50"/>
      <c r="H50"/>
      <c r="I50"/>
      <c r="J50"/>
    </row>
    <row r="51" spans="2:23" x14ac:dyDescent="0.25">
      <c r="B51" s="775" t="s">
        <v>7</v>
      </c>
      <c r="C51" s="776"/>
      <c r="D51" s="777"/>
      <c r="E51" s="330">
        <f>E40+E50</f>
        <v>25.65</v>
      </c>
      <c r="G51"/>
      <c r="H51"/>
      <c r="I51"/>
      <c r="J51"/>
    </row>
    <row r="54" spans="2:23" x14ac:dyDescent="0.25">
      <c r="L54" s="775" t="s">
        <v>21578</v>
      </c>
      <c r="M54" s="777"/>
      <c r="O54" s="792" t="s">
        <v>21200</v>
      </c>
      <c r="P54" s="792"/>
      <c r="Q54" s="792"/>
      <c r="R54" s="792"/>
      <c r="T54" s="778" t="s">
        <v>21236</v>
      </c>
      <c r="U54" s="778"/>
      <c r="V54" s="778"/>
      <c r="W54" s="778"/>
    </row>
    <row r="55" spans="2:23" ht="30" x14ac:dyDescent="0.25">
      <c r="L55" s="341" t="s">
        <v>20914</v>
      </c>
      <c r="M55" s="342" t="s">
        <v>21577</v>
      </c>
      <c r="O55" s="612" t="s">
        <v>20914</v>
      </c>
      <c r="P55" s="613" t="s">
        <v>21161</v>
      </c>
      <c r="Q55" s="613" t="s">
        <v>21162</v>
      </c>
      <c r="R55" s="613" t="s">
        <v>88</v>
      </c>
      <c r="T55" s="341" t="s">
        <v>20914</v>
      </c>
      <c r="U55" s="342" t="s">
        <v>20359</v>
      </c>
      <c r="V55" s="342" t="s">
        <v>87</v>
      </c>
      <c r="W55" s="342" t="s">
        <v>88</v>
      </c>
    </row>
    <row r="56" spans="2:23" x14ac:dyDescent="0.25">
      <c r="L56" s="343" t="s">
        <v>20700</v>
      </c>
      <c r="M56" s="324">
        <f>1.2+1.35+2.8</f>
        <v>5.35</v>
      </c>
      <c r="O56" s="343" t="s">
        <v>21206</v>
      </c>
      <c r="P56" s="324">
        <v>3.25</v>
      </c>
      <c r="Q56" s="324">
        <v>2.9</v>
      </c>
      <c r="R56" s="324">
        <f t="shared" ref="R56:R69" si="4">ROUNDDOWN(P56*Q56,2)</f>
        <v>9.42</v>
      </c>
      <c r="T56" s="343" t="s">
        <v>21234</v>
      </c>
      <c r="U56" s="324">
        <v>68.3</v>
      </c>
      <c r="V56" s="324">
        <v>3.2</v>
      </c>
      <c r="W56" s="324">
        <f>ROUNDDOWN(U56*V56,2)</f>
        <v>218.56</v>
      </c>
    </row>
    <row r="57" spans="2:23" x14ac:dyDescent="0.25">
      <c r="L57" s="343" t="s">
        <v>21579</v>
      </c>
      <c r="M57" s="324">
        <v>0.8</v>
      </c>
      <c r="O57" s="343" t="s">
        <v>21201</v>
      </c>
      <c r="P57" s="324">
        <f>3.25*2+2.9*2</f>
        <v>12.3</v>
      </c>
      <c r="Q57" s="324">
        <v>3</v>
      </c>
      <c r="R57" s="324">
        <f t="shared" si="4"/>
        <v>36.9</v>
      </c>
      <c r="T57" s="343" t="s">
        <v>21235</v>
      </c>
      <c r="U57" s="324">
        <v>41.59</v>
      </c>
      <c r="V57" s="324">
        <v>3.2</v>
      </c>
      <c r="W57" s="324">
        <f>ROUNDDOWN(U57*V57,2)</f>
        <v>133.08000000000001</v>
      </c>
    </row>
    <row r="58" spans="2:23" x14ac:dyDescent="0.25">
      <c r="L58" s="343" t="s">
        <v>21580</v>
      </c>
      <c r="M58" s="324">
        <v>0.8</v>
      </c>
      <c r="O58" s="343" t="s">
        <v>21207</v>
      </c>
      <c r="P58" s="324">
        <v>3.7</v>
      </c>
      <c r="Q58" s="324">
        <v>3.4</v>
      </c>
      <c r="R58" s="324">
        <f t="shared" si="4"/>
        <v>12.58</v>
      </c>
      <c r="T58" s="343" t="s">
        <v>21237</v>
      </c>
      <c r="U58" s="324" t="s">
        <v>106</v>
      </c>
      <c r="V58" s="324" t="s">
        <v>106</v>
      </c>
      <c r="W58" s="324">
        <v>9.9600000000000009</v>
      </c>
    </row>
    <row r="59" spans="2:23" x14ac:dyDescent="0.25">
      <c r="L59" s="343" t="s">
        <v>20711</v>
      </c>
      <c r="M59" s="324">
        <v>0.8</v>
      </c>
      <c r="O59" s="343" t="s">
        <v>21202</v>
      </c>
      <c r="P59" s="324">
        <v>14.2</v>
      </c>
      <c r="Q59" s="324">
        <v>3</v>
      </c>
      <c r="R59" s="324">
        <f t="shared" si="4"/>
        <v>42.6</v>
      </c>
      <c r="T59" s="343" t="s">
        <v>21239</v>
      </c>
      <c r="U59" s="324" t="s">
        <v>106</v>
      </c>
      <c r="V59" s="324" t="s">
        <v>106</v>
      </c>
      <c r="W59" s="324">
        <v>4.43</v>
      </c>
    </row>
    <row r="60" spans="2:23" x14ac:dyDescent="0.25">
      <c r="L60" s="343" t="s">
        <v>20699</v>
      </c>
      <c r="M60" s="324">
        <v>1.9</v>
      </c>
      <c r="O60" s="343" t="s">
        <v>21208</v>
      </c>
      <c r="P60" s="324">
        <v>3.25</v>
      </c>
      <c r="Q60" s="324">
        <v>1.4</v>
      </c>
      <c r="R60" s="324">
        <f t="shared" si="4"/>
        <v>4.55</v>
      </c>
      <c r="T60" s="343" t="s">
        <v>21238</v>
      </c>
      <c r="U60" s="324" t="s">
        <v>106</v>
      </c>
      <c r="V60" s="324" t="s">
        <v>106</v>
      </c>
      <c r="W60" s="324">
        <v>9.9600000000000009</v>
      </c>
    </row>
    <row r="61" spans="2:23" x14ac:dyDescent="0.25">
      <c r="L61" s="343" t="s">
        <v>20712</v>
      </c>
      <c r="M61" s="324">
        <v>0.8</v>
      </c>
      <c r="O61" s="343" t="s">
        <v>21209</v>
      </c>
      <c r="P61" s="324">
        <v>3.75</v>
      </c>
      <c r="Q61" s="324">
        <v>2.4</v>
      </c>
      <c r="R61" s="324">
        <f t="shared" si="4"/>
        <v>9</v>
      </c>
      <c r="T61" s="343" t="s">
        <v>21240</v>
      </c>
      <c r="U61" s="324" t="s">
        <v>106</v>
      </c>
      <c r="V61" s="324" t="s">
        <v>106</v>
      </c>
      <c r="W61" s="324">
        <v>5.45</v>
      </c>
    </row>
    <row r="62" spans="2:23" x14ac:dyDescent="0.25">
      <c r="L62" s="343" t="s">
        <v>20713</v>
      </c>
      <c r="M62" s="324">
        <v>0.8</v>
      </c>
      <c r="O62" s="343" t="s">
        <v>21210</v>
      </c>
      <c r="P62" s="324">
        <v>4.5999999999999996</v>
      </c>
      <c r="Q62" s="324">
        <v>3.75</v>
      </c>
      <c r="R62" s="324">
        <f t="shared" si="4"/>
        <v>17.25</v>
      </c>
      <c r="T62" s="343" t="s">
        <v>21241</v>
      </c>
      <c r="U62" s="324" t="s">
        <v>106</v>
      </c>
      <c r="V62" s="324" t="s">
        <v>106</v>
      </c>
      <c r="W62" s="324">
        <f>14.8+17.8</f>
        <v>32.6</v>
      </c>
    </row>
    <row r="63" spans="2:23" x14ac:dyDescent="0.25">
      <c r="L63" s="343" t="s">
        <v>20707</v>
      </c>
      <c r="M63" s="324">
        <v>0.8</v>
      </c>
      <c r="O63" s="343" t="s">
        <v>21211</v>
      </c>
      <c r="P63" s="324">
        <v>3.25</v>
      </c>
      <c r="Q63" s="324">
        <v>3.05</v>
      </c>
      <c r="R63" s="324">
        <f t="shared" si="4"/>
        <v>9.91</v>
      </c>
      <c r="T63" s="343" t="s">
        <v>21242</v>
      </c>
      <c r="U63" s="324">
        <f>2*30.5</f>
        <v>61</v>
      </c>
      <c r="V63" s="324">
        <v>2.8</v>
      </c>
      <c r="W63" s="324">
        <f>ROUNDDOWN(U63*V63,2)</f>
        <v>170.8</v>
      </c>
    </row>
    <row r="64" spans="2:23" x14ac:dyDescent="0.25">
      <c r="L64" s="343" t="s">
        <v>20708</v>
      </c>
      <c r="M64" s="324">
        <v>0.8</v>
      </c>
      <c r="O64" s="343" t="s">
        <v>21203</v>
      </c>
      <c r="P64" s="324">
        <v>12.6</v>
      </c>
      <c r="Q64" s="324">
        <v>3</v>
      </c>
      <c r="R64" s="324">
        <f t="shared" si="4"/>
        <v>37.799999999999997</v>
      </c>
      <c r="T64" s="343" t="s">
        <v>21243</v>
      </c>
      <c r="U64" s="324">
        <v>16</v>
      </c>
      <c r="V64" s="324">
        <v>2</v>
      </c>
      <c r="W64" s="324">
        <f>ROUNDDOWN(U64*V64,2)</f>
        <v>32</v>
      </c>
    </row>
    <row r="65" spans="12:23" x14ac:dyDescent="0.25">
      <c r="L65" s="343" t="s">
        <v>20698</v>
      </c>
      <c r="M65" s="324">
        <v>0.9</v>
      </c>
      <c r="O65" s="343" t="s">
        <v>21204</v>
      </c>
      <c r="P65" s="324">
        <v>3.25</v>
      </c>
      <c r="Q65" s="324">
        <v>1.4</v>
      </c>
      <c r="R65" s="324">
        <f t="shared" si="4"/>
        <v>4.55</v>
      </c>
      <c r="T65" s="343" t="s">
        <v>21244</v>
      </c>
      <c r="U65" s="324">
        <v>54.75</v>
      </c>
      <c r="V65" s="324">
        <v>2.8</v>
      </c>
      <c r="W65" s="324">
        <f>ROUNDDOWN(U65*V65,2)</f>
        <v>153.30000000000001</v>
      </c>
    </row>
    <row r="66" spans="12:23" x14ac:dyDescent="0.25">
      <c r="L66" s="343" t="s">
        <v>20706</v>
      </c>
      <c r="M66" s="324">
        <v>1.8</v>
      </c>
      <c r="O66" s="343" t="s">
        <v>21205</v>
      </c>
      <c r="P66" s="324">
        <v>9.1999999999999993</v>
      </c>
      <c r="Q66" s="324">
        <v>1.2</v>
      </c>
      <c r="R66" s="324">
        <f t="shared" si="4"/>
        <v>11.04</v>
      </c>
      <c r="T66" s="772" t="s">
        <v>7</v>
      </c>
      <c r="U66" s="773"/>
      <c r="V66" s="774"/>
      <c r="W66" s="330">
        <f>SUM(W56:W65)</f>
        <v>770.13999999999987</v>
      </c>
    </row>
    <row r="67" spans="12:23" x14ac:dyDescent="0.25">
      <c r="L67" s="343" t="s">
        <v>20704</v>
      </c>
      <c r="M67" s="324">
        <v>2.8</v>
      </c>
      <c r="O67" s="343" t="s">
        <v>21212</v>
      </c>
      <c r="P67" s="324">
        <v>20.8</v>
      </c>
      <c r="Q67" s="324">
        <v>3</v>
      </c>
      <c r="R67" s="324">
        <f t="shared" si="4"/>
        <v>62.4</v>
      </c>
    </row>
    <row r="68" spans="12:23" x14ac:dyDescent="0.25">
      <c r="L68" s="343" t="s">
        <v>20705</v>
      </c>
      <c r="M68" s="324">
        <v>0.8</v>
      </c>
      <c r="O68" s="343" t="s">
        <v>21213</v>
      </c>
      <c r="P68" s="324">
        <v>7.5</v>
      </c>
      <c r="Q68" s="324">
        <v>1.2</v>
      </c>
      <c r="R68" s="324">
        <f t="shared" si="4"/>
        <v>9</v>
      </c>
    </row>
    <row r="69" spans="12:23" x14ac:dyDescent="0.25">
      <c r="L69" s="343" t="s">
        <v>20701</v>
      </c>
      <c r="M69" s="324">
        <v>0.8</v>
      </c>
      <c r="O69" s="343" t="s">
        <v>21214</v>
      </c>
      <c r="P69" s="324">
        <v>17.399999999999999</v>
      </c>
      <c r="Q69" s="324">
        <v>3</v>
      </c>
      <c r="R69" s="324">
        <f t="shared" si="4"/>
        <v>52.2</v>
      </c>
    </row>
    <row r="70" spans="12:23" x14ac:dyDescent="0.25">
      <c r="L70" s="343" t="s">
        <v>20917</v>
      </c>
      <c r="M70" s="324">
        <v>0.8</v>
      </c>
      <c r="O70" s="343" t="s">
        <v>21215</v>
      </c>
      <c r="P70" s="324">
        <v>3.25</v>
      </c>
      <c r="Q70" s="324">
        <v>1.4</v>
      </c>
      <c r="R70" s="324">
        <f>ROUNDDOWN(P70*Q70,2)</f>
        <v>4.55</v>
      </c>
    </row>
    <row r="71" spans="12:23" x14ac:dyDescent="0.25">
      <c r="L71" s="343" t="s">
        <v>20918</v>
      </c>
      <c r="M71" s="324">
        <v>0.8</v>
      </c>
      <c r="O71" s="343" t="s">
        <v>21216</v>
      </c>
      <c r="P71" s="324">
        <v>9.3000000000000007</v>
      </c>
      <c r="Q71" s="324">
        <v>3</v>
      </c>
      <c r="R71" s="324">
        <f>ROUNDDOWN(P71*Q71,2)</f>
        <v>27.9</v>
      </c>
    </row>
    <row r="72" spans="12:23" x14ac:dyDescent="0.25">
      <c r="L72" s="343" t="s">
        <v>20691</v>
      </c>
      <c r="M72" s="324">
        <v>0.9</v>
      </c>
      <c r="O72" s="343" t="s">
        <v>21217</v>
      </c>
      <c r="P72" s="324">
        <v>3.25</v>
      </c>
      <c r="Q72" s="324">
        <v>1.8</v>
      </c>
      <c r="R72" s="324">
        <f>ROUNDDOWN(P72*Q72,2)</f>
        <v>5.85</v>
      </c>
    </row>
    <row r="73" spans="12:23" x14ac:dyDescent="0.25">
      <c r="L73" s="343" t="s">
        <v>20719</v>
      </c>
      <c r="M73" s="324">
        <v>0.7</v>
      </c>
      <c r="O73" s="343" t="s">
        <v>21218</v>
      </c>
      <c r="P73" s="324">
        <v>10.1</v>
      </c>
      <c r="Q73" s="324">
        <v>3</v>
      </c>
      <c r="R73" s="324">
        <f>ROUNDDOWN(P73*Q73,2)</f>
        <v>30.3</v>
      </c>
    </row>
    <row r="74" spans="12:23" x14ac:dyDescent="0.25">
      <c r="L74" s="343" t="s">
        <v>21581</v>
      </c>
      <c r="M74" s="324">
        <v>0.9</v>
      </c>
      <c r="O74" s="343" t="s">
        <v>21220</v>
      </c>
      <c r="P74" s="324" t="s">
        <v>106</v>
      </c>
      <c r="Q74" s="324" t="s">
        <v>106</v>
      </c>
      <c r="R74" s="324">
        <v>6.3</v>
      </c>
    </row>
    <row r="75" spans="12:23" x14ac:dyDescent="0.25">
      <c r="L75" s="343" t="s">
        <v>21582</v>
      </c>
      <c r="M75" s="324">
        <v>0.9</v>
      </c>
      <c r="O75" s="343" t="s">
        <v>21219</v>
      </c>
      <c r="P75" s="324">
        <v>9.74</v>
      </c>
      <c r="Q75" s="324">
        <v>6.2</v>
      </c>
      <c r="R75" s="324">
        <f>ROUNDDOWN(P75*Q75,2)</f>
        <v>60.38</v>
      </c>
    </row>
    <row r="76" spans="12:23" x14ac:dyDescent="0.25">
      <c r="L76" s="343" t="s">
        <v>20692</v>
      </c>
      <c r="M76" s="324">
        <f>3.3</f>
        <v>3.3</v>
      </c>
      <c r="O76" s="343" t="s">
        <v>21221</v>
      </c>
      <c r="P76" s="324">
        <v>3.75</v>
      </c>
      <c r="Q76" s="324">
        <v>1.833</v>
      </c>
      <c r="R76" s="324">
        <v>6.86</v>
      </c>
    </row>
    <row r="77" spans="12:23" x14ac:dyDescent="0.25">
      <c r="L77" s="343" t="s">
        <v>21522</v>
      </c>
      <c r="M77" s="324">
        <v>0.9</v>
      </c>
      <c r="O77" s="343" t="s">
        <v>21222</v>
      </c>
      <c r="P77" s="324">
        <v>11.16</v>
      </c>
      <c r="Q77" s="324">
        <v>3</v>
      </c>
      <c r="R77" s="324">
        <f t="shared" ref="R77:R84" si="5">ROUNDDOWN(P77*Q77,2)</f>
        <v>33.479999999999997</v>
      </c>
    </row>
    <row r="78" spans="12:23" x14ac:dyDescent="0.25">
      <c r="L78" s="343" t="s">
        <v>21583</v>
      </c>
      <c r="M78" s="324">
        <v>0.8</v>
      </c>
      <c r="O78" s="343" t="s">
        <v>21223</v>
      </c>
      <c r="P78" s="324">
        <v>3.75</v>
      </c>
      <c r="Q78" s="324">
        <v>3.35</v>
      </c>
      <c r="R78" s="324">
        <f t="shared" si="5"/>
        <v>12.56</v>
      </c>
    </row>
    <row r="79" spans="12:23" x14ac:dyDescent="0.25">
      <c r="L79" s="343" t="s">
        <v>21520</v>
      </c>
      <c r="M79" s="324">
        <v>0.8</v>
      </c>
      <c r="O79" s="343" t="s">
        <v>21224</v>
      </c>
      <c r="P79" s="324">
        <v>14.2</v>
      </c>
      <c r="Q79" s="324">
        <v>3</v>
      </c>
      <c r="R79" s="324">
        <f t="shared" si="5"/>
        <v>42.6</v>
      </c>
    </row>
    <row r="80" spans="12:23" x14ac:dyDescent="0.25">
      <c r="L80" s="315" t="s">
        <v>7</v>
      </c>
      <c r="M80" s="330">
        <f>SUM(M56:M79)</f>
        <v>30.75</v>
      </c>
      <c r="O80" s="343" t="s">
        <v>21225</v>
      </c>
      <c r="P80" s="324">
        <v>6.4</v>
      </c>
      <c r="Q80" s="324">
        <v>2</v>
      </c>
      <c r="R80" s="324">
        <f t="shared" si="5"/>
        <v>12.8</v>
      </c>
    </row>
    <row r="81" spans="15:18" x14ac:dyDescent="0.25">
      <c r="O81" s="343" t="s">
        <v>21226</v>
      </c>
      <c r="P81" s="324">
        <v>16.8</v>
      </c>
      <c r="Q81" s="324">
        <v>3</v>
      </c>
      <c r="R81" s="324">
        <f t="shared" si="5"/>
        <v>50.4</v>
      </c>
    </row>
    <row r="82" spans="15:18" x14ac:dyDescent="0.25">
      <c r="O82" s="343" t="s">
        <v>21227</v>
      </c>
      <c r="P82" s="324">
        <v>12.5</v>
      </c>
      <c r="Q82" s="324">
        <v>3.8</v>
      </c>
      <c r="R82" s="324">
        <f t="shared" si="5"/>
        <v>47.5</v>
      </c>
    </row>
    <row r="83" spans="15:18" x14ac:dyDescent="0.25">
      <c r="O83" s="343" t="s">
        <v>21228</v>
      </c>
      <c r="P83" s="324">
        <v>2</v>
      </c>
      <c r="Q83" s="324">
        <v>1.4</v>
      </c>
      <c r="R83" s="324">
        <f t="shared" si="5"/>
        <v>2.8</v>
      </c>
    </row>
    <row r="84" spans="15:18" x14ac:dyDescent="0.25">
      <c r="O84" s="343" t="s">
        <v>21229</v>
      </c>
      <c r="P84" s="324">
        <v>6.8</v>
      </c>
      <c r="Q84" s="324">
        <v>3</v>
      </c>
      <c r="R84" s="324">
        <f t="shared" si="5"/>
        <v>20.399999999999999</v>
      </c>
    </row>
    <row r="85" spans="15:18" x14ac:dyDescent="0.25">
      <c r="O85" s="343" t="s">
        <v>21181</v>
      </c>
      <c r="P85" s="324">
        <v>2</v>
      </c>
      <c r="Q85" s="324">
        <v>2</v>
      </c>
      <c r="R85" s="324">
        <f t="shared" ref="R85:R86" si="6">ROUNDDOWN(P85*Q85,2)</f>
        <v>4</v>
      </c>
    </row>
    <row r="86" spans="15:18" x14ac:dyDescent="0.25">
      <c r="O86" s="343" t="s">
        <v>21183</v>
      </c>
      <c r="P86" s="324">
        <v>2</v>
      </c>
      <c r="Q86" s="324">
        <v>2</v>
      </c>
      <c r="R86" s="324">
        <f t="shared" si="6"/>
        <v>4</v>
      </c>
    </row>
    <row r="87" spans="15:18" x14ac:dyDescent="0.25">
      <c r="O87" s="789" t="s">
        <v>21178</v>
      </c>
      <c r="P87" s="790"/>
      <c r="Q87" s="791"/>
      <c r="R87" s="344">
        <f>SUM(R56:R86)</f>
        <v>691.87999999999988</v>
      </c>
    </row>
    <row r="88" spans="15:18" x14ac:dyDescent="0.25">
      <c r="O88" s="792" t="s">
        <v>21163</v>
      </c>
      <c r="P88" s="792"/>
      <c r="Q88" s="792"/>
      <c r="R88" s="792"/>
    </row>
    <row r="89" spans="15:18" ht="30" x14ac:dyDescent="0.25">
      <c r="O89" s="612" t="s">
        <v>20914</v>
      </c>
      <c r="P89" s="613" t="s">
        <v>21161</v>
      </c>
      <c r="Q89" s="613" t="s">
        <v>21162</v>
      </c>
      <c r="R89" s="613" t="s">
        <v>88</v>
      </c>
    </row>
    <row r="90" spans="15:18" x14ac:dyDescent="0.25">
      <c r="O90" s="343" t="s">
        <v>21231</v>
      </c>
      <c r="P90" s="324">
        <v>3.25</v>
      </c>
      <c r="Q90" s="324">
        <v>3.05</v>
      </c>
      <c r="R90" s="324">
        <f>ROUNDDOWN(P90*Q90,2)</f>
        <v>9.91</v>
      </c>
    </row>
    <row r="91" spans="15:18" x14ac:dyDescent="0.25">
      <c r="O91" s="343" t="s">
        <v>21232</v>
      </c>
      <c r="P91" s="324">
        <v>12.6</v>
      </c>
      <c r="Q91" s="324">
        <v>3</v>
      </c>
      <c r="R91" s="324">
        <f>ROUNDDOWN(P91*Q91,2)</f>
        <v>37.799999999999997</v>
      </c>
    </row>
    <row r="92" spans="15:18" x14ac:dyDescent="0.25">
      <c r="O92" s="343" t="s">
        <v>21233</v>
      </c>
      <c r="P92" s="324">
        <v>3.36</v>
      </c>
      <c r="Q92" s="324">
        <v>3.26</v>
      </c>
      <c r="R92" s="324">
        <f>ROUNDDOWN(P92*Q92,2)</f>
        <v>10.95</v>
      </c>
    </row>
    <row r="93" spans="15:18" x14ac:dyDescent="0.25">
      <c r="O93" s="789" t="s">
        <v>21178</v>
      </c>
      <c r="P93" s="790"/>
      <c r="Q93" s="791"/>
      <c r="R93" s="344">
        <f>SUM(R90:R92)</f>
        <v>58.66</v>
      </c>
    </row>
    <row r="94" spans="15:18" x14ac:dyDescent="0.25">
      <c r="O94" s="775" t="s">
        <v>7</v>
      </c>
      <c r="P94" s="776"/>
      <c r="Q94" s="777"/>
      <c r="R94" s="330">
        <f>R87+R93</f>
        <v>750.53999999999985</v>
      </c>
    </row>
    <row r="96" spans="15:18" x14ac:dyDescent="0.25">
      <c r="O96" s="792" t="s">
        <v>21230</v>
      </c>
      <c r="P96" s="792"/>
      <c r="Q96" s="792"/>
      <c r="R96" s="792"/>
    </row>
    <row r="97" spans="2:18" ht="30" x14ac:dyDescent="0.25">
      <c r="O97" s="612" t="s">
        <v>20914</v>
      </c>
      <c r="P97" s="613" t="s">
        <v>21252</v>
      </c>
      <c r="Q97" s="613" t="s">
        <v>21251</v>
      </c>
      <c r="R97" s="613" t="s">
        <v>88</v>
      </c>
    </row>
    <row r="98" spans="2:18" x14ac:dyDescent="0.25">
      <c r="O98" s="343" t="s">
        <v>21245</v>
      </c>
      <c r="P98" s="324">
        <v>5.07</v>
      </c>
      <c r="Q98" s="346">
        <v>2.3199999999999998</v>
      </c>
      <c r="R98" s="324">
        <f>ROUNDDOWN(P98*Q98,2)</f>
        <v>11.76</v>
      </c>
    </row>
    <row r="99" spans="2:18" x14ac:dyDescent="0.25">
      <c r="O99" s="343" t="s">
        <v>21246</v>
      </c>
      <c r="P99" s="324">
        <v>4.01</v>
      </c>
      <c r="Q99" s="346">
        <v>3.76</v>
      </c>
      <c r="R99" s="324">
        <f>ROUNDDOWN(P99*Q99,2)</f>
        <v>15.07</v>
      </c>
    </row>
    <row r="100" spans="2:18" x14ac:dyDescent="0.25">
      <c r="O100" s="343" t="s">
        <v>21247</v>
      </c>
      <c r="P100" s="346">
        <v>5.12</v>
      </c>
      <c r="Q100" s="324">
        <v>2.0499999999999998</v>
      </c>
      <c r="R100" s="324">
        <f>ROUNDDOWN(P100*Q100,2)</f>
        <v>10.49</v>
      </c>
    </row>
    <row r="101" spans="2:18" x14ac:dyDescent="0.25">
      <c r="B101" s="343" t="s">
        <v>21173</v>
      </c>
      <c r="C101" s="321" t="s">
        <v>106</v>
      </c>
      <c r="D101" s="321" t="s">
        <v>106</v>
      </c>
      <c r="E101" s="324">
        <v>6.5</v>
      </c>
      <c r="O101" s="343" t="s">
        <v>21248</v>
      </c>
      <c r="P101" s="324">
        <v>5.7</v>
      </c>
      <c r="Q101" s="324">
        <v>3.29</v>
      </c>
      <c r="R101" s="324">
        <f>ROUNDUP(P101*Q101,2)</f>
        <v>18.760000000000002</v>
      </c>
    </row>
    <row r="102" spans="2:18" x14ac:dyDescent="0.25">
      <c r="B102" s="343" t="s">
        <v>21175</v>
      </c>
      <c r="C102" s="321" t="s">
        <v>106</v>
      </c>
      <c r="D102" s="321" t="s">
        <v>106</v>
      </c>
      <c r="E102" s="324">
        <v>6.62</v>
      </c>
      <c r="O102" s="343" t="s">
        <v>21249</v>
      </c>
      <c r="P102" s="324" t="s">
        <v>106</v>
      </c>
      <c r="Q102" s="324" t="s">
        <v>106</v>
      </c>
      <c r="R102" s="324">
        <v>7.87</v>
      </c>
    </row>
    <row r="103" spans="2:18" x14ac:dyDescent="0.25">
      <c r="B103" s="343" t="s">
        <v>21174</v>
      </c>
      <c r="C103" s="324">
        <f>1.01*18</f>
        <v>18.18</v>
      </c>
      <c r="D103" s="324">
        <v>0.17</v>
      </c>
      <c r="E103" s="324">
        <f>ROUND(C103*D103,2)</f>
        <v>3.09</v>
      </c>
      <c r="O103" s="343" t="s">
        <v>21250</v>
      </c>
      <c r="P103" s="324" t="s">
        <v>106</v>
      </c>
      <c r="Q103" s="324" t="s">
        <v>106</v>
      </c>
      <c r="R103" s="324">
        <v>28.72</v>
      </c>
    </row>
    <row r="104" spans="2:18" x14ac:dyDescent="0.25">
      <c r="C104" s="368"/>
      <c r="D104" s="368"/>
      <c r="E104" s="368"/>
      <c r="O104" s="343" t="s">
        <v>21973</v>
      </c>
      <c r="P104" s="324" t="s">
        <v>106</v>
      </c>
      <c r="Q104" s="324" t="s">
        <v>106</v>
      </c>
      <c r="R104" s="324">
        <v>19.75</v>
      </c>
    </row>
    <row r="105" spans="2:18" x14ac:dyDescent="0.25">
      <c r="O105" s="343" t="s">
        <v>21108</v>
      </c>
      <c r="P105" s="324" t="s">
        <v>21254</v>
      </c>
      <c r="Q105" s="324" t="s">
        <v>21254</v>
      </c>
      <c r="R105" s="324">
        <f>ESQUADRIAS!J35</f>
        <v>101.96000000000002</v>
      </c>
    </row>
    <row r="106" spans="2:18" x14ac:dyDescent="0.25">
      <c r="O106" s="775" t="s">
        <v>7</v>
      </c>
      <c r="P106" s="776"/>
      <c r="Q106" s="777"/>
      <c r="R106" s="330">
        <f>SUM(R98:R105)</f>
        <v>214.38</v>
      </c>
    </row>
    <row r="110" spans="2:18" x14ac:dyDescent="0.25">
      <c r="O110" s="778" t="s">
        <v>21533</v>
      </c>
      <c r="P110" s="778"/>
      <c r="Q110" s="778"/>
      <c r="R110" s="778"/>
    </row>
    <row r="111" spans="2:18" ht="30" x14ac:dyDescent="0.25">
      <c r="O111" s="341" t="s">
        <v>20914</v>
      </c>
      <c r="P111" s="342" t="s">
        <v>21161</v>
      </c>
      <c r="Q111" s="342" t="s">
        <v>21162</v>
      </c>
      <c r="R111" s="342" t="s">
        <v>88</v>
      </c>
    </row>
    <row r="112" spans="2:18" x14ac:dyDescent="0.25">
      <c r="O112" s="343" t="s">
        <v>21206</v>
      </c>
      <c r="P112" s="324">
        <v>3.25</v>
      </c>
      <c r="Q112" s="324">
        <v>2.9</v>
      </c>
      <c r="R112" s="324">
        <f t="shared" ref="R112:R125" si="7">ROUNDDOWN(P112*Q112,2)</f>
        <v>9.42</v>
      </c>
    </row>
    <row r="113" spans="15:18" x14ac:dyDescent="0.25">
      <c r="O113" s="343" t="s">
        <v>21201</v>
      </c>
      <c r="P113" s="324">
        <f>3.25*2+2.9*2</f>
        <v>12.3</v>
      </c>
      <c r="Q113" s="324">
        <v>3</v>
      </c>
      <c r="R113" s="324">
        <f t="shared" si="7"/>
        <v>36.9</v>
      </c>
    </row>
    <row r="114" spans="15:18" x14ac:dyDescent="0.25">
      <c r="O114" s="343" t="s">
        <v>21207</v>
      </c>
      <c r="P114" s="324">
        <v>3.7</v>
      </c>
      <c r="Q114" s="324">
        <v>3.4</v>
      </c>
      <c r="R114" s="324">
        <f t="shared" si="7"/>
        <v>12.58</v>
      </c>
    </row>
    <row r="115" spans="15:18" x14ac:dyDescent="0.25">
      <c r="O115" s="343" t="s">
        <v>21202</v>
      </c>
      <c r="P115" s="324">
        <v>14.2</v>
      </c>
      <c r="Q115" s="324">
        <v>3</v>
      </c>
      <c r="R115" s="324">
        <f t="shared" si="7"/>
        <v>42.6</v>
      </c>
    </row>
    <row r="116" spans="15:18" x14ac:dyDescent="0.25">
      <c r="O116" s="343" t="s">
        <v>21208</v>
      </c>
      <c r="P116" s="324">
        <v>3.25</v>
      </c>
      <c r="Q116" s="324">
        <v>1.4</v>
      </c>
      <c r="R116" s="324">
        <f t="shared" si="7"/>
        <v>4.55</v>
      </c>
    </row>
    <row r="117" spans="15:18" x14ac:dyDescent="0.25">
      <c r="O117" s="343" t="s">
        <v>21209</v>
      </c>
      <c r="P117" s="324">
        <v>3.75</v>
      </c>
      <c r="Q117" s="324">
        <v>2.4</v>
      </c>
      <c r="R117" s="324">
        <f t="shared" si="7"/>
        <v>9</v>
      </c>
    </row>
    <row r="118" spans="15:18" x14ac:dyDescent="0.25">
      <c r="O118" s="343" t="s">
        <v>21210</v>
      </c>
      <c r="P118" s="324">
        <v>4.5999999999999996</v>
      </c>
      <c r="Q118" s="324">
        <v>3.75</v>
      </c>
      <c r="R118" s="324">
        <f t="shared" si="7"/>
        <v>17.25</v>
      </c>
    </row>
    <row r="119" spans="15:18" x14ac:dyDescent="0.25">
      <c r="O119" s="343" t="s">
        <v>21211</v>
      </c>
      <c r="P119" s="324">
        <v>3.25</v>
      </c>
      <c r="Q119" s="324">
        <v>3.05</v>
      </c>
      <c r="R119" s="324">
        <f t="shared" si="7"/>
        <v>9.91</v>
      </c>
    </row>
    <row r="120" spans="15:18" x14ac:dyDescent="0.25">
      <c r="O120" s="343" t="s">
        <v>21203</v>
      </c>
      <c r="P120" s="324">
        <v>12.6</v>
      </c>
      <c r="Q120" s="324">
        <v>3</v>
      </c>
      <c r="R120" s="324">
        <f t="shared" si="7"/>
        <v>37.799999999999997</v>
      </c>
    </row>
    <row r="121" spans="15:18" x14ac:dyDescent="0.25">
      <c r="O121" s="343" t="s">
        <v>21204</v>
      </c>
      <c r="P121" s="324">
        <v>3.25</v>
      </c>
      <c r="Q121" s="324">
        <v>1.4</v>
      </c>
      <c r="R121" s="324">
        <f t="shared" si="7"/>
        <v>4.55</v>
      </c>
    </row>
    <row r="122" spans="15:18" x14ac:dyDescent="0.25">
      <c r="O122" s="343" t="s">
        <v>21205</v>
      </c>
      <c r="P122" s="324">
        <v>9.1999999999999993</v>
      </c>
      <c r="Q122" s="324">
        <v>1.2</v>
      </c>
      <c r="R122" s="324">
        <f t="shared" si="7"/>
        <v>11.04</v>
      </c>
    </row>
    <row r="123" spans="15:18" x14ac:dyDescent="0.25">
      <c r="O123" s="343" t="s">
        <v>21212</v>
      </c>
      <c r="P123" s="324">
        <v>20.8</v>
      </c>
      <c r="Q123" s="324">
        <v>3</v>
      </c>
      <c r="R123" s="324">
        <f t="shared" si="7"/>
        <v>62.4</v>
      </c>
    </row>
    <row r="124" spans="15:18" x14ac:dyDescent="0.25">
      <c r="O124" s="343" t="s">
        <v>21213</v>
      </c>
      <c r="P124" s="324">
        <v>7.5</v>
      </c>
      <c r="Q124" s="324">
        <v>1.2</v>
      </c>
      <c r="R124" s="324">
        <f t="shared" si="7"/>
        <v>9</v>
      </c>
    </row>
    <row r="125" spans="15:18" x14ac:dyDescent="0.25">
      <c r="O125" s="343" t="s">
        <v>21214</v>
      </c>
      <c r="P125" s="324">
        <v>17.399999999999999</v>
      </c>
      <c r="Q125" s="324">
        <v>3</v>
      </c>
      <c r="R125" s="324">
        <f t="shared" si="7"/>
        <v>52.2</v>
      </c>
    </row>
    <row r="126" spans="15:18" x14ac:dyDescent="0.25">
      <c r="O126" s="343" t="s">
        <v>21215</v>
      </c>
      <c r="P126" s="324">
        <v>3.25</v>
      </c>
      <c r="Q126" s="324">
        <v>1.4</v>
      </c>
      <c r="R126" s="324">
        <f>ROUNDDOWN(P126*Q126,2)</f>
        <v>4.55</v>
      </c>
    </row>
    <row r="127" spans="15:18" x14ac:dyDescent="0.25">
      <c r="O127" s="343" t="s">
        <v>21216</v>
      </c>
      <c r="P127" s="324">
        <v>9.3000000000000007</v>
      </c>
      <c r="Q127" s="324">
        <v>3</v>
      </c>
      <c r="R127" s="324">
        <f>ROUNDDOWN(P127*Q127,2)</f>
        <v>27.9</v>
      </c>
    </row>
    <row r="128" spans="15:18" x14ac:dyDescent="0.25">
      <c r="O128" s="343" t="s">
        <v>21217</v>
      </c>
      <c r="P128" s="324">
        <v>3.25</v>
      </c>
      <c r="Q128" s="324">
        <v>1.8</v>
      </c>
      <c r="R128" s="324">
        <f>ROUNDDOWN(P128*Q128,2)</f>
        <v>5.85</v>
      </c>
    </row>
    <row r="129" spans="15:18" x14ac:dyDescent="0.25">
      <c r="O129" s="343" t="s">
        <v>21218</v>
      </c>
      <c r="P129" s="324">
        <v>10.1</v>
      </c>
      <c r="Q129" s="324">
        <v>3</v>
      </c>
      <c r="R129" s="324">
        <f>ROUNDDOWN(P129*Q129,2)</f>
        <v>30.3</v>
      </c>
    </row>
    <row r="130" spans="15:18" x14ac:dyDescent="0.25">
      <c r="O130" s="343" t="s">
        <v>21219</v>
      </c>
      <c r="P130" s="324">
        <v>9.74</v>
      </c>
      <c r="Q130" s="324">
        <v>6.2</v>
      </c>
      <c r="R130" s="324">
        <f>ROUNDDOWN(P130*Q130,2)</f>
        <v>60.38</v>
      </c>
    </row>
    <row r="131" spans="15:18" x14ac:dyDescent="0.25">
      <c r="O131" s="343" t="s">
        <v>21221</v>
      </c>
      <c r="P131" s="324">
        <v>3.75</v>
      </c>
      <c r="Q131" s="324">
        <v>1.833</v>
      </c>
      <c r="R131" s="324">
        <v>6.86</v>
      </c>
    </row>
    <row r="132" spans="15:18" x14ac:dyDescent="0.25">
      <c r="O132" s="343" t="s">
        <v>21222</v>
      </c>
      <c r="P132" s="324">
        <v>11.16</v>
      </c>
      <c r="Q132" s="324">
        <v>3</v>
      </c>
      <c r="R132" s="324">
        <f t="shared" ref="R132:R141" si="8">ROUNDDOWN(P132*Q132,2)</f>
        <v>33.479999999999997</v>
      </c>
    </row>
    <row r="133" spans="15:18" x14ac:dyDescent="0.25">
      <c r="O133" s="343" t="s">
        <v>21223</v>
      </c>
      <c r="P133" s="324">
        <v>3.75</v>
      </c>
      <c r="Q133" s="324">
        <v>3.35</v>
      </c>
      <c r="R133" s="324">
        <f t="shared" si="8"/>
        <v>12.56</v>
      </c>
    </row>
    <row r="134" spans="15:18" x14ac:dyDescent="0.25">
      <c r="O134" s="343" t="s">
        <v>21224</v>
      </c>
      <c r="P134" s="324">
        <v>14.2</v>
      </c>
      <c r="Q134" s="324">
        <v>3</v>
      </c>
      <c r="R134" s="324">
        <f t="shared" si="8"/>
        <v>42.6</v>
      </c>
    </row>
    <row r="135" spans="15:18" x14ac:dyDescent="0.25">
      <c r="O135" s="343" t="s">
        <v>21225</v>
      </c>
      <c r="P135" s="324">
        <v>6.4</v>
      </c>
      <c r="Q135" s="324">
        <v>2</v>
      </c>
      <c r="R135" s="324">
        <f t="shared" si="8"/>
        <v>12.8</v>
      </c>
    </row>
    <row r="136" spans="15:18" x14ac:dyDescent="0.25">
      <c r="O136" s="343" t="s">
        <v>21226</v>
      </c>
      <c r="P136" s="324">
        <v>16.8</v>
      </c>
      <c r="Q136" s="324">
        <v>3</v>
      </c>
      <c r="R136" s="324">
        <f t="shared" si="8"/>
        <v>50.4</v>
      </c>
    </row>
    <row r="137" spans="15:18" x14ac:dyDescent="0.25">
      <c r="O137" s="343" t="s">
        <v>21227</v>
      </c>
      <c r="P137" s="324">
        <v>12.5</v>
      </c>
      <c r="Q137" s="324">
        <v>3.8</v>
      </c>
      <c r="R137" s="324">
        <f t="shared" si="8"/>
        <v>47.5</v>
      </c>
    </row>
    <row r="138" spans="15:18" x14ac:dyDescent="0.25">
      <c r="O138" s="343" t="s">
        <v>21228</v>
      </c>
      <c r="P138" s="324">
        <v>2</v>
      </c>
      <c r="Q138" s="324">
        <v>1.4</v>
      </c>
      <c r="R138" s="324">
        <f t="shared" si="8"/>
        <v>2.8</v>
      </c>
    </row>
    <row r="139" spans="15:18" x14ac:dyDescent="0.25">
      <c r="O139" s="343" t="s">
        <v>21229</v>
      </c>
      <c r="P139" s="324">
        <v>6.8</v>
      </c>
      <c r="Q139" s="324">
        <v>3</v>
      </c>
      <c r="R139" s="324">
        <f t="shared" si="8"/>
        <v>20.399999999999999</v>
      </c>
    </row>
    <row r="140" spans="15:18" x14ac:dyDescent="0.25">
      <c r="O140" s="343" t="s">
        <v>21534</v>
      </c>
      <c r="P140" s="324">
        <v>2</v>
      </c>
      <c r="Q140" s="324">
        <v>2</v>
      </c>
      <c r="R140" s="324">
        <f t="shared" si="8"/>
        <v>4</v>
      </c>
    </row>
    <row r="141" spans="15:18" x14ac:dyDescent="0.25">
      <c r="O141" s="343" t="s">
        <v>21535</v>
      </c>
      <c r="P141" s="324">
        <v>2</v>
      </c>
      <c r="Q141" s="324">
        <v>2</v>
      </c>
      <c r="R141" s="324">
        <f t="shared" si="8"/>
        <v>4</v>
      </c>
    </row>
    <row r="142" spans="15:18" x14ac:dyDescent="0.25">
      <c r="O142" s="789" t="s">
        <v>21178</v>
      </c>
      <c r="P142" s="790"/>
      <c r="Q142" s="791"/>
      <c r="R142" s="344">
        <f>SUM(R112:R141)</f>
        <v>685.57999999999993</v>
      </c>
    </row>
    <row r="143" spans="15:18" x14ac:dyDescent="0.25">
      <c r="O143" s="778" t="s">
        <v>21163</v>
      </c>
      <c r="P143" s="778"/>
      <c r="Q143" s="778"/>
      <c r="R143" s="778"/>
    </row>
    <row r="144" spans="15:18" ht="30" x14ac:dyDescent="0.25">
      <c r="O144" s="341" t="s">
        <v>20914</v>
      </c>
      <c r="P144" s="342" t="s">
        <v>21161</v>
      </c>
      <c r="Q144" s="342" t="s">
        <v>21162</v>
      </c>
      <c r="R144" s="342" t="s">
        <v>88</v>
      </c>
    </row>
    <row r="145" spans="15:18" x14ac:dyDescent="0.25">
      <c r="O145" s="343" t="s">
        <v>21231</v>
      </c>
      <c r="P145" s="321">
        <v>2.0299999999999998</v>
      </c>
      <c r="Q145" s="324">
        <v>4</v>
      </c>
      <c r="R145" s="324">
        <f>ROUND(P145*Q145,2)</f>
        <v>8.1199999999999992</v>
      </c>
    </row>
    <row r="146" spans="15:18" x14ac:dyDescent="0.25">
      <c r="O146" s="343" t="s">
        <v>21531</v>
      </c>
      <c r="P146" s="321">
        <v>7.51</v>
      </c>
      <c r="Q146" s="324">
        <v>5.12</v>
      </c>
      <c r="R146" s="324">
        <f>ROUND(P146*Q146,2)</f>
        <v>38.450000000000003</v>
      </c>
    </row>
    <row r="147" spans="15:18" x14ac:dyDescent="0.25">
      <c r="O147" s="343" t="s">
        <v>21532</v>
      </c>
      <c r="P147" s="324">
        <v>17.98</v>
      </c>
      <c r="Q147" s="324">
        <v>3</v>
      </c>
      <c r="R147" s="324">
        <f>ROUNDUP(P147*Q147,2)</f>
        <v>53.94</v>
      </c>
    </row>
    <row r="148" spans="15:18" x14ac:dyDescent="0.25">
      <c r="O148" s="789" t="s">
        <v>21185</v>
      </c>
      <c r="P148" s="790"/>
      <c r="Q148" s="791"/>
      <c r="R148" s="344">
        <f>SUM(R145:R147)</f>
        <v>100.50999999999999</v>
      </c>
    </row>
    <row r="149" spans="15:18" x14ac:dyDescent="0.25">
      <c r="O149" s="775" t="s">
        <v>7</v>
      </c>
      <c r="P149" s="776"/>
      <c r="Q149" s="777"/>
      <c r="R149" s="371">
        <f>R142+R148</f>
        <v>786.08999999999992</v>
      </c>
    </row>
    <row r="151" spans="15:18" x14ac:dyDescent="0.25">
      <c r="O151" s="778" t="s">
        <v>21527</v>
      </c>
      <c r="P151" s="778"/>
      <c r="Q151" s="778"/>
      <c r="R151" s="778"/>
    </row>
    <row r="152" spans="15:18" ht="30" x14ac:dyDescent="0.25">
      <c r="O152" s="341" t="s">
        <v>20914</v>
      </c>
      <c r="P152" s="342" t="s">
        <v>21161</v>
      </c>
      <c r="Q152" s="342" t="s">
        <v>21162</v>
      </c>
      <c r="R152" s="342" t="s">
        <v>88</v>
      </c>
    </row>
    <row r="153" spans="15:18" x14ac:dyDescent="0.25">
      <c r="O153" s="343" t="s">
        <v>21208</v>
      </c>
      <c r="P153" s="324">
        <v>3.25</v>
      </c>
      <c r="Q153" s="324">
        <v>1.4</v>
      </c>
      <c r="R153" s="324">
        <f t="shared" ref="R153:R155" si="9">ROUNDDOWN(P153*Q153,2)</f>
        <v>4.55</v>
      </c>
    </row>
    <row r="154" spans="15:18" x14ac:dyDescent="0.25">
      <c r="O154" s="343" t="s">
        <v>21168</v>
      </c>
      <c r="P154" s="324">
        <v>9.3000000000000007</v>
      </c>
      <c r="Q154" s="324">
        <v>3</v>
      </c>
      <c r="R154" s="324">
        <f t="shared" si="9"/>
        <v>27.9</v>
      </c>
    </row>
    <row r="155" spans="15:18" x14ac:dyDescent="0.25">
      <c r="O155" s="343" t="s">
        <v>21209</v>
      </c>
      <c r="P155" s="324">
        <v>3.75</v>
      </c>
      <c r="Q155" s="324">
        <v>2.4</v>
      </c>
      <c r="R155" s="324">
        <f t="shared" si="9"/>
        <v>9</v>
      </c>
    </row>
    <row r="156" spans="15:18" x14ac:dyDescent="0.25">
      <c r="O156" s="343" t="s">
        <v>21166</v>
      </c>
      <c r="P156" s="324">
        <v>12.3</v>
      </c>
      <c r="Q156" s="324">
        <v>3</v>
      </c>
      <c r="R156" s="324">
        <f>ROUND(P156*Q156,2)</f>
        <v>36.9</v>
      </c>
    </row>
    <row r="157" spans="15:18" x14ac:dyDescent="0.25">
      <c r="O157" s="343" t="s">
        <v>21210</v>
      </c>
      <c r="P157" s="324">
        <v>4.5999999999999996</v>
      </c>
      <c r="Q157" s="324">
        <v>3.75</v>
      </c>
      <c r="R157" s="324">
        <f t="shared" ref="R157" si="10">ROUNDDOWN(P157*Q157,2)</f>
        <v>17.25</v>
      </c>
    </row>
    <row r="158" spans="15:18" x14ac:dyDescent="0.25">
      <c r="O158" s="343" t="s">
        <v>21170</v>
      </c>
      <c r="P158" s="324">
        <v>16.7</v>
      </c>
      <c r="Q158" s="324">
        <v>3</v>
      </c>
      <c r="R158" s="324">
        <f>ROUND(P158*Q158,2)</f>
        <v>50.1</v>
      </c>
    </row>
    <row r="159" spans="15:18" x14ac:dyDescent="0.25">
      <c r="O159" s="343" t="s">
        <v>21204</v>
      </c>
      <c r="P159" s="324">
        <v>3.25</v>
      </c>
      <c r="Q159" s="324">
        <v>1.4</v>
      </c>
      <c r="R159" s="324">
        <f t="shared" ref="R159" si="11">ROUNDDOWN(P159*Q159,2)</f>
        <v>4.55</v>
      </c>
    </row>
    <row r="160" spans="15:18" x14ac:dyDescent="0.25">
      <c r="O160" s="343" t="s">
        <v>21172</v>
      </c>
      <c r="P160" s="324">
        <v>9.3000000000000007</v>
      </c>
      <c r="Q160" s="324">
        <v>3</v>
      </c>
      <c r="R160" s="324">
        <f>ROUND(P160*Q160,2)</f>
        <v>27.9</v>
      </c>
    </row>
    <row r="161" spans="15:18" x14ac:dyDescent="0.25">
      <c r="O161" s="343" t="s">
        <v>21205</v>
      </c>
      <c r="P161" s="324">
        <v>9.1999999999999993</v>
      </c>
      <c r="Q161" s="324">
        <v>1.2</v>
      </c>
      <c r="R161" s="324">
        <f t="shared" ref="R161" si="12">ROUNDDOWN(P161*Q161,2)</f>
        <v>11.04</v>
      </c>
    </row>
    <row r="162" spans="15:18" x14ac:dyDescent="0.25">
      <c r="O162" s="343" t="s">
        <v>21177</v>
      </c>
      <c r="P162" s="324">
        <v>14.5</v>
      </c>
      <c r="Q162" s="324">
        <v>3</v>
      </c>
      <c r="R162" s="324">
        <f>ROUND(P162*Q162,2)</f>
        <v>43.5</v>
      </c>
    </row>
    <row r="163" spans="15:18" x14ac:dyDescent="0.25">
      <c r="O163" s="343" t="s">
        <v>21219</v>
      </c>
      <c r="P163" s="324">
        <v>9.74</v>
      </c>
      <c r="Q163" s="324">
        <v>6.2</v>
      </c>
      <c r="R163" s="324">
        <f>ROUNDDOWN(P163*Q163,2)</f>
        <v>60.38</v>
      </c>
    </row>
    <row r="164" spans="15:18" x14ac:dyDescent="0.25">
      <c r="O164" s="343" t="s">
        <v>21225</v>
      </c>
      <c r="P164" s="324">
        <v>6.4</v>
      </c>
      <c r="Q164" s="324">
        <v>2</v>
      </c>
      <c r="R164" s="324">
        <f t="shared" ref="R164:R168" si="13">ROUNDDOWN(P164*Q164,2)</f>
        <v>12.8</v>
      </c>
    </row>
    <row r="165" spans="15:18" x14ac:dyDescent="0.25">
      <c r="O165" s="343" t="s">
        <v>21536</v>
      </c>
      <c r="P165" s="324">
        <v>6.4</v>
      </c>
      <c r="Q165" s="324">
        <v>3.8</v>
      </c>
      <c r="R165" s="324">
        <f t="shared" si="13"/>
        <v>24.32</v>
      </c>
    </row>
    <row r="166" spans="15:18" x14ac:dyDescent="0.25">
      <c r="O166" s="343" t="s">
        <v>21228</v>
      </c>
      <c r="P166" s="324">
        <v>2</v>
      </c>
      <c r="Q166" s="324">
        <v>1.4</v>
      </c>
      <c r="R166" s="324">
        <f t="shared" si="13"/>
        <v>2.8</v>
      </c>
    </row>
    <row r="167" spans="15:18" x14ac:dyDescent="0.25">
      <c r="O167" s="343" t="s">
        <v>21534</v>
      </c>
      <c r="P167" s="324">
        <v>2</v>
      </c>
      <c r="Q167" s="324">
        <v>2</v>
      </c>
      <c r="R167" s="324">
        <f t="shared" si="13"/>
        <v>4</v>
      </c>
    </row>
    <row r="168" spans="15:18" x14ac:dyDescent="0.25">
      <c r="O168" s="343" t="s">
        <v>21535</v>
      </c>
      <c r="P168" s="324">
        <v>2</v>
      </c>
      <c r="Q168" s="324">
        <v>2</v>
      </c>
      <c r="R168" s="324">
        <f t="shared" si="13"/>
        <v>4</v>
      </c>
    </row>
    <row r="169" spans="15:18" x14ac:dyDescent="0.25">
      <c r="O169" s="343" t="s">
        <v>21537</v>
      </c>
      <c r="P169" s="324">
        <v>68.3</v>
      </c>
      <c r="Q169" s="324">
        <v>3.2</v>
      </c>
      <c r="R169" s="324">
        <f t="shared" ref="R169" si="14">ROUNDDOWN(P169*Q169,2)</f>
        <v>218.56</v>
      </c>
    </row>
    <row r="170" spans="15:18" x14ac:dyDescent="0.25">
      <c r="O170" s="789" t="s">
        <v>21178</v>
      </c>
      <c r="P170" s="790"/>
      <c r="Q170" s="791"/>
      <c r="R170" s="344">
        <f>SUM(R153:R169)</f>
        <v>559.54999999999995</v>
      </c>
    </row>
    <row r="171" spans="15:18" x14ac:dyDescent="0.25">
      <c r="O171" s="778" t="s">
        <v>21163</v>
      </c>
      <c r="P171" s="778"/>
      <c r="Q171" s="778"/>
      <c r="R171" s="778"/>
    </row>
    <row r="172" spans="15:18" ht="30" x14ac:dyDescent="0.25">
      <c r="O172" s="341" t="s">
        <v>20914</v>
      </c>
      <c r="P172" s="342" t="s">
        <v>21161</v>
      </c>
      <c r="Q172" s="342" t="s">
        <v>21162</v>
      </c>
      <c r="R172" s="342" t="s">
        <v>88</v>
      </c>
    </row>
    <row r="173" spans="15:18" x14ac:dyDescent="0.25">
      <c r="O173" s="343" t="s">
        <v>21231</v>
      </c>
      <c r="P173" s="321">
        <v>2.0299999999999998</v>
      </c>
      <c r="Q173" s="324">
        <v>4</v>
      </c>
      <c r="R173" s="324">
        <f>ROUND(P173*Q173,2)</f>
        <v>8.1199999999999992</v>
      </c>
    </row>
    <row r="174" spans="15:18" x14ac:dyDescent="0.25">
      <c r="O174" s="343" t="s">
        <v>21528</v>
      </c>
      <c r="P174" s="321">
        <v>10.44</v>
      </c>
      <c r="Q174" s="324">
        <v>3</v>
      </c>
      <c r="R174" s="324">
        <f>ROUND(P174*Q174,2)</f>
        <v>31.32</v>
      </c>
    </row>
    <row r="175" spans="15:18" x14ac:dyDescent="0.25">
      <c r="O175" s="343" t="s">
        <v>21530</v>
      </c>
      <c r="P175" s="321">
        <v>6.52</v>
      </c>
      <c r="Q175" s="324">
        <v>3</v>
      </c>
      <c r="R175" s="324">
        <f>ROUND(P175*Q175,2)</f>
        <v>19.559999999999999</v>
      </c>
    </row>
    <row r="176" spans="15:18" x14ac:dyDescent="0.25">
      <c r="O176" s="343" t="s">
        <v>21532</v>
      </c>
      <c r="P176" s="324">
        <v>17.98</v>
      </c>
      <c r="Q176" s="324">
        <v>3</v>
      </c>
      <c r="R176" s="324">
        <f>ROUNDUP(P176*Q176,2)</f>
        <v>53.94</v>
      </c>
    </row>
    <row r="177" spans="15:18" x14ac:dyDescent="0.25">
      <c r="O177" s="343" t="s">
        <v>21537</v>
      </c>
      <c r="P177" s="324">
        <v>45.18</v>
      </c>
      <c r="Q177" s="324">
        <v>3.6</v>
      </c>
      <c r="R177" s="324">
        <f>ROUNDUP(P177*Q177,2)</f>
        <v>162.64999999999998</v>
      </c>
    </row>
    <row r="178" spans="15:18" x14ac:dyDescent="0.25">
      <c r="O178" s="789" t="s">
        <v>21185</v>
      </c>
      <c r="P178" s="790"/>
      <c r="Q178" s="791"/>
      <c r="R178" s="344">
        <f>SUM(R173:R177)</f>
        <v>275.58999999999997</v>
      </c>
    </row>
    <row r="179" spans="15:18" x14ac:dyDescent="0.25">
      <c r="O179" s="775" t="s">
        <v>7</v>
      </c>
      <c r="P179" s="776"/>
      <c r="Q179" s="777"/>
      <c r="R179" s="371">
        <f>R170+R178</f>
        <v>835.13999999999987</v>
      </c>
    </row>
  </sheetData>
  <mergeCells count="34">
    <mergeCell ref="T54:W54"/>
    <mergeCell ref="T66:V66"/>
    <mergeCell ref="O54:R54"/>
    <mergeCell ref="O87:Q87"/>
    <mergeCell ref="O88:R88"/>
    <mergeCell ref="O106:Q106"/>
    <mergeCell ref="O96:R96"/>
    <mergeCell ref="O93:Q93"/>
    <mergeCell ref="O94:Q94"/>
    <mergeCell ref="L2:M2"/>
    <mergeCell ref="L20:M20"/>
    <mergeCell ref="B47:E47"/>
    <mergeCell ref="B51:D51"/>
    <mergeCell ref="L54:M54"/>
    <mergeCell ref="G2:J2"/>
    <mergeCell ref="G34:I34"/>
    <mergeCell ref="B2:E2"/>
    <mergeCell ref="B35:E35"/>
    <mergeCell ref="B34:D34"/>
    <mergeCell ref="B44:D44"/>
    <mergeCell ref="B45:D45"/>
    <mergeCell ref="G35:J35"/>
    <mergeCell ref="G44:I44"/>
    <mergeCell ref="G45:I45"/>
    <mergeCell ref="O110:R110"/>
    <mergeCell ref="O143:R143"/>
    <mergeCell ref="O148:Q148"/>
    <mergeCell ref="O142:Q142"/>
    <mergeCell ref="O149:Q149"/>
    <mergeCell ref="O151:R151"/>
    <mergeCell ref="O170:Q170"/>
    <mergeCell ref="O171:R171"/>
    <mergeCell ref="O178:Q178"/>
    <mergeCell ref="O179:Q179"/>
  </mergeCells>
  <phoneticPr fontId="82" type="noConversion"/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1" tint="0.14999847407452621"/>
  </sheetPr>
  <dimension ref="B2:I45"/>
  <sheetViews>
    <sheetView topLeftCell="A30" workbookViewId="0">
      <selection activeCell="R25" sqref="R25"/>
    </sheetView>
  </sheetViews>
  <sheetFormatPr defaultRowHeight="12.75" x14ac:dyDescent="0.2"/>
  <cols>
    <col min="3" max="4" width="8.5703125" customWidth="1"/>
    <col min="5" max="5" width="8.42578125" customWidth="1"/>
    <col min="6" max="6" width="8.5703125" hidden="1" customWidth="1"/>
    <col min="7" max="8" width="8.42578125" bestFit="1" customWidth="1"/>
    <col min="9" max="9" width="9.140625" bestFit="1" customWidth="1"/>
  </cols>
  <sheetData>
    <row r="2" spans="2:9" ht="15" x14ac:dyDescent="0.25">
      <c r="B2" s="778" t="s">
        <v>21696</v>
      </c>
      <c r="C2" s="778"/>
      <c r="D2" s="778"/>
      <c r="E2" s="778"/>
      <c r="F2" s="778"/>
      <c r="G2" s="778"/>
      <c r="H2" s="778"/>
      <c r="I2" s="778"/>
    </row>
    <row r="3" spans="2:9" ht="45" x14ac:dyDescent="0.2">
      <c r="B3" s="341" t="s">
        <v>107</v>
      </c>
      <c r="C3" s="342" t="s">
        <v>20604</v>
      </c>
      <c r="D3" s="342" t="s">
        <v>89</v>
      </c>
      <c r="E3" s="342" t="s">
        <v>87</v>
      </c>
      <c r="F3" s="342" t="s">
        <v>20605</v>
      </c>
      <c r="G3" s="342" t="s">
        <v>20361</v>
      </c>
      <c r="H3" s="342" t="s">
        <v>20659</v>
      </c>
      <c r="I3" s="342" t="s">
        <v>20660</v>
      </c>
    </row>
    <row r="4" spans="2:9" ht="15" x14ac:dyDescent="0.25">
      <c r="B4" s="369" t="s">
        <v>21695</v>
      </c>
      <c r="C4" s="324">
        <v>8.9</v>
      </c>
      <c r="D4" s="324">
        <v>0.19</v>
      </c>
      <c r="E4" s="324">
        <v>0.4</v>
      </c>
      <c r="F4" s="324">
        <f>ROUND(2*C4*E4,2)</f>
        <v>7.12</v>
      </c>
      <c r="G4" s="324">
        <f>ROUND(C4*D4*E4,2)</f>
        <v>0.68</v>
      </c>
      <c r="H4" s="324">
        <v>65</v>
      </c>
      <c r="I4" s="324">
        <f>ROUND(G4*H4,2)</f>
        <v>44.2</v>
      </c>
    </row>
    <row r="5" spans="2:9" ht="15" x14ac:dyDescent="0.25">
      <c r="B5" s="369" t="s">
        <v>21697</v>
      </c>
      <c r="C5" s="324">
        <f>4.62+0.19</f>
        <v>4.8100000000000005</v>
      </c>
      <c r="D5" s="324">
        <v>0.19</v>
      </c>
      <c r="E5" s="324">
        <v>0.4</v>
      </c>
      <c r="F5" s="324">
        <f t="shared" ref="F5:F27" si="0">ROUND(2*C5*E5,2)</f>
        <v>3.85</v>
      </c>
      <c r="G5" s="324">
        <f t="shared" ref="G5:G27" si="1">ROUND(C5*D5*E5,2)</f>
        <v>0.37</v>
      </c>
      <c r="H5" s="324">
        <f>$H$4</f>
        <v>65</v>
      </c>
      <c r="I5" s="324">
        <f t="shared" ref="I5:I27" si="2">ROUND(G5*H5,2)</f>
        <v>24.05</v>
      </c>
    </row>
    <row r="6" spans="2:9" ht="15" x14ac:dyDescent="0.25">
      <c r="B6" s="369" t="s">
        <v>21698</v>
      </c>
      <c r="C6" s="324">
        <v>4.09</v>
      </c>
      <c r="D6" s="324">
        <v>0.14000000000000001</v>
      </c>
      <c r="E6" s="324">
        <v>0.4</v>
      </c>
      <c r="F6" s="324">
        <f t="shared" si="0"/>
        <v>3.27</v>
      </c>
      <c r="G6" s="324">
        <f t="shared" si="1"/>
        <v>0.23</v>
      </c>
      <c r="H6" s="324">
        <f t="shared" ref="H6:H27" si="3">$H$4</f>
        <v>65</v>
      </c>
      <c r="I6" s="324">
        <f t="shared" si="2"/>
        <v>14.95</v>
      </c>
    </row>
    <row r="7" spans="2:9" ht="15" x14ac:dyDescent="0.25">
      <c r="B7" s="369" t="s">
        <v>21699</v>
      </c>
      <c r="C7" s="324">
        <v>3.59</v>
      </c>
      <c r="D7" s="324">
        <v>0.14000000000000001</v>
      </c>
      <c r="E7" s="324">
        <v>0.4</v>
      </c>
      <c r="F7" s="324">
        <f t="shared" si="0"/>
        <v>2.87</v>
      </c>
      <c r="G7" s="324">
        <f t="shared" si="1"/>
        <v>0.2</v>
      </c>
      <c r="H7" s="324">
        <f t="shared" si="3"/>
        <v>65</v>
      </c>
      <c r="I7" s="324">
        <f t="shared" si="2"/>
        <v>13</v>
      </c>
    </row>
    <row r="8" spans="2:9" ht="15" x14ac:dyDescent="0.25">
      <c r="B8" s="369" t="s">
        <v>21700</v>
      </c>
      <c r="C8" s="324">
        <v>8.9</v>
      </c>
      <c r="D8" s="324">
        <v>0.14000000000000001</v>
      </c>
      <c r="E8" s="324">
        <v>0.4</v>
      </c>
      <c r="F8" s="324">
        <f t="shared" si="0"/>
        <v>7.12</v>
      </c>
      <c r="G8" s="324">
        <f t="shared" si="1"/>
        <v>0.5</v>
      </c>
      <c r="H8" s="324">
        <f t="shared" si="3"/>
        <v>65</v>
      </c>
      <c r="I8" s="324">
        <f t="shared" si="2"/>
        <v>32.5</v>
      </c>
    </row>
    <row r="9" spans="2:9" ht="15" x14ac:dyDescent="0.25">
      <c r="B9" s="369" t="s">
        <v>21701</v>
      </c>
      <c r="C9" s="324">
        <f>C7</f>
        <v>3.59</v>
      </c>
      <c r="D9" s="324">
        <v>0.14000000000000001</v>
      </c>
      <c r="E9" s="324">
        <v>0.4</v>
      </c>
      <c r="F9" s="324">
        <f t="shared" si="0"/>
        <v>2.87</v>
      </c>
      <c r="G9" s="324">
        <f t="shared" si="1"/>
        <v>0.2</v>
      </c>
      <c r="H9" s="324">
        <f t="shared" si="3"/>
        <v>65</v>
      </c>
      <c r="I9" s="324">
        <f t="shared" si="2"/>
        <v>13</v>
      </c>
    </row>
    <row r="10" spans="2:9" ht="15" x14ac:dyDescent="0.25">
      <c r="B10" s="369" t="s">
        <v>21702</v>
      </c>
      <c r="C10" s="324">
        <v>8.9</v>
      </c>
      <c r="D10" s="324">
        <v>0.14000000000000001</v>
      </c>
      <c r="E10" s="324">
        <v>0.4</v>
      </c>
      <c r="F10" s="324">
        <f t="shared" si="0"/>
        <v>7.12</v>
      </c>
      <c r="G10" s="324">
        <f t="shared" si="1"/>
        <v>0.5</v>
      </c>
      <c r="H10" s="324">
        <f t="shared" si="3"/>
        <v>65</v>
      </c>
      <c r="I10" s="324">
        <f t="shared" si="2"/>
        <v>32.5</v>
      </c>
    </row>
    <row r="11" spans="2:9" ht="15" x14ac:dyDescent="0.25">
      <c r="B11" s="369" t="s">
        <v>21703</v>
      </c>
      <c r="C11" s="324">
        <v>4.09</v>
      </c>
      <c r="D11" s="324">
        <v>0.14000000000000001</v>
      </c>
      <c r="E11" s="324">
        <v>0.4</v>
      </c>
      <c r="F11" s="324">
        <f t="shared" si="0"/>
        <v>3.27</v>
      </c>
      <c r="G11" s="324">
        <f t="shared" si="1"/>
        <v>0.23</v>
      </c>
      <c r="H11" s="324">
        <f t="shared" si="3"/>
        <v>65</v>
      </c>
      <c r="I11" s="324">
        <f t="shared" si="2"/>
        <v>14.95</v>
      </c>
    </row>
    <row r="12" spans="2:9" ht="15" x14ac:dyDescent="0.25">
      <c r="B12" s="369" t="s">
        <v>21704</v>
      </c>
      <c r="C12" s="324">
        <v>8.9</v>
      </c>
      <c r="D12" s="324">
        <v>0.14000000000000001</v>
      </c>
      <c r="E12" s="324">
        <v>0.4</v>
      </c>
      <c r="F12" s="324">
        <f t="shared" si="0"/>
        <v>7.12</v>
      </c>
      <c r="G12" s="324">
        <f t="shared" si="1"/>
        <v>0.5</v>
      </c>
      <c r="H12" s="324">
        <f t="shared" si="3"/>
        <v>65</v>
      </c>
      <c r="I12" s="324">
        <f t="shared" si="2"/>
        <v>32.5</v>
      </c>
    </row>
    <row r="13" spans="2:9" ht="15" x14ac:dyDescent="0.25">
      <c r="B13" s="369" t="s">
        <v>21705</v>
      </c>
      <c r="C13" s="324">
        <v>4.95</v>
      </c>
      <c r="D13" s="324">
        <v>0.14000000000000001</v>
      </c>
      <c r="E13" s="324">
        <v>0.4</v>
      </c>
      <c r="F13" s="324">
        <f t="shared" si="0"/>
        <v>3.96</v>
      </c>
      <c r="G13" s="324">
        <f t="shared" si="1"/>
        <v>0.28000000000000003</v>
      </c>
      <c r="H13" s="324">
        <f t="shared" si="3"/>
        <v>65</v>
      </c>
      <c r="I13" s="324">
        <f t="shared" si="2"/>
        <v>18.2</v>
      </c>
    </row>
    <row r="14" spans="2:9" ht="15" x14ac:dyDescent="0.25">
      <c r="B14" s="369" t="s">
        <v>21706</v>
      </c>
      <c r="C14" s="324">
        <v>8.9</v>
      </c>
      <c r="D14" s="324">
        <v>0.19</v>
      </c>
      <c r="E14" s="324">
        <v>0.4</v>
      </c>
      <c r="F14" s="324">
        <f t="shared" si="0"/>
        <v>7.12</v>
      </c>
      <c r="G14" s="324">
        <f t="shared" si="1"/>
        <v>0.68</v>
      </c>
      <c r="H14" s="324">
        <f t="shared" si="3"/>
        <v>65</v>
      </c>
      <c r="I14" s="324">
        <f t="shared" si="2"/>
        <v>44.2</v>
      </c>
    </row>
    <row r="15" spans="2:9" ht="15" x14ac:dyDescent="0.25">
      <c r="B15" s="369" t="s">
        <v>21707</v>
      </c>
      <c r="C15" s="324">
        <v>2.29</v>
      </c>
      <c r="D15" s="324">
        <v>0.14000000000000001</v>
      </c>
      <c r="E15" s="324">
        <v>0.4</v>
      </c>
      <c r="F15" s="324">
        <f t="shared" si="0"/>
        <v>1.83</v>
      </c>
      <c r="G15" s="324">
        <f t="shared" si="1"/>
        <v>0.13</v>
      </c>
      <c r="H15" s="324">
        <f t="shared" si="3"/>
        <v>65</v>
      </c>
      <c r="I15" s="324">
        <f t="shared" si="2"/>
        <v>8.4499999999999993</v>
      </c>
    </row>
    <row r="16" spans="2:9" ht="15" x14ac:dyDescent="0.25">
      <c r="B16" s="369" t="s">
        <v>21708</v>
      </c>
      <c r="C16" s="324">
        <v>6.61</v>
      </c>
      <c r="D16" s="324">
        <v>0.19</v>
      </c>
      <c r="E16" s="324">
        <v>0.4</v>
      </c>
      <c r="F16" s="324">
        <f t="shared" si="0"/>
        <v>5.29</v>
      </c>
      <c r="G16" s="324">
        <f t="shared" si="1"/>
        <v>0.5</v>
      </c>
      <c r="H16" s="324">
        <f t="shared" si="3"/>
        <v>65</v>
      </c>
      <c r="I16" s="324">
        <f t="shared" si="2"/>
        <v>32.5</v>
      </c>
    </row>
    <row r="17" spans="2:9" ht="15" x14ac:dyDescent="0.25">
      <c r="B17" s="369" t="s">
        <v>21709</v>
      </c>
      <c r="C17" s="324">
        <f>C15</f>
        <v>2.29</v>
      </c>
      <c r="D17" s="324">
        <v>0.14000000000000001</v>
      </c>
      <c r="E17" s="324">
        <v>0.4</v>
      </c>
      <c r="F17" s="324">
        <f t="shared" si="0"/>
        <v>1.83</v>
      </c>
      <c r="G17" s="324">
        <f t="shared" si="1"/>
        <v>0.13</v>
      </c>
      <c r="H17" s="324">
        <f t="shared" si="3"/>
        <v>65</v>
      </c>
      <c r="I17" s="324">
        <f t="shared" si="2"/>
        <v>8.4499999999999993</v>
      </c>
    </row>
    <row r="18" spans="2:9" ht="15" x14ac:dyDescent="0.25">
      <c r="B18" s="369" t="s">
        <v>21710</v>
      </c>
      <c r="C18" s="324">
        <v>5.26</v>
      </c>
      <c r="D18" s="324">
        <v>0.14000000000000001</v>
      </c>
      <c r="E18" s="324">
        <v>0.4</v>
      </c>
      <c r="F18" s="324">
        <f t="shared" si="0"/>
        <v>4.21</v>
      </c>
      <c r="G18" s="324">
        <f t="shared" si="1"/>
        <v>0.28999999999999998</v>
      </c>
      <c r="H18" s="324">
        <f t="shared" si="3"/>
        <v>65</v>
      </c>
      <c r="I18" s="324">
        <f t="shared" si="2"/>
        <v>18.850000000000001</v>
      </c>
    </row>
    <row r="19" spans="2:9" ht="15" x14ac:dyDescent="0.25">
      <c r="B19" s="369" t="s">
        <v>21711</v>
      </c>
      <c r="C19" s="324">
        <v>3.64</v>
      </c>
      <c r="D19" s="324">
        <v>0.14000000000000001</v>
      </c>
      <c r="E19" s="324">
        <v>0.4</v>
      </c>
      <c r="F19" s="324">
        <f t="shared" si="0"/>
        <v>2.91</v>
      </c>
      <c r="G19" s="324">
        <f t="shared" si="1"/>
        <v>0.2</v>
      </c>
      <c r="H19" s="324">
        <f t="shared" si="3"/>
        <v>65</v>
      </c>
      <c r="I19" s="324">
        <f t="shared" si="2"/>
        <v>13</v>
      </c>
    </row>
    <row r="20" spans="2:9" ht="15" x14ac:dyDescent="0.25">
      <c r="B20" s="369" t="s">
        <v>21726</v>
      </c>
      <c r="C20" s="324">
        <f>2.01+2.01+1.41</f>
        <v>5.43</v>
      </c>
      <c r="D20" s="324">
        <v>0.14000000000000001</v>
      </c>
      <c r="E20" s="324">
        <v>0.4</v>
      </c>
      <c r="F20" s="324">
        <f t="shared" si="0"/>
        <v>4.34</v>
      </c>
      <c r="G20" s="324">
        <f t="shared" si="1"/>
        <v>0.3</v>
      </c>
      <c r="H20" s="324">
        <f t="shared" si="3"/>
        <v>65</v>
      </c>
      <c r="I20" s="324">
        <f t="shared" si="2"/>
        <v>19.5</v>
      </c>
    </row>
    <row r="21" spans="2:9" ht="15" x14ac:dyDescent="0.25">
      <c r="B21" s="369" t="s">
        <v>21727</v>
      </c>
      <c r="C21" s="324">
        <f>1.81+1.41+4.01+1.42+3.06+1.41+2.91</f>
        <v>16.03</v>
      </c>
      <c r="D21" s="324">
        <v>0.19</v>
      </c>
      <c r="E21" s="324">
        <v>0.4</v>
      </c>
      <c r="F21" s="324">
        <f t="shared" ref="F21" si="4">ROUND(2*C21*E21,2)</f>
        <v>12.82</v>
      </c>
      <c r="G21" s="324">
        <f t="shared" ref="G21" si="5">ROUND(C21*D21*E21,2)</f>
        <v>1.22</v>
      </c>
      <c r="H21" s="324">
        <f t="shared" si="3"/>
        <v>65</v>
      </c>
      <c r="I21" s="324">
        <f t="shared" ref="I21" si="6">ROUND(G21*H21,2)</f>
        <v>79.3</v>
      </c>
    </row>
    <row r="22" spans="2:9" ht="15" x14ac:dyDescent="0.25">
      <c r="B22" s="369" t="s">
        <v>21712</v>
      </c>
      <c r="C22" s="324">
        <f>2.01*2+1.41</f>
        <v>5.43</v>
      </c>
      <c r="D22" s="324">
        <v>0.14000000000000001</v>
      </c>
      <c r="E22" s="324">
        <v>0.4</v>
      </c>
      <c r="F22" s="324">
        <f t="shared" si="0"/>
        <v>4.34</v>
      </c>
      <c r="G22" s="324">
        <f t="shared" si="1"/>
        <v>0.3</v>
      </c>
      <c r="H22" s="324">
        <f t="shared" si="3"/>
        <v>65</v>
      </c>
      <c r="I22" s="324">
        <f t="shared" si="2"/>
        <v>19.5</v>
      </c>
    </row>
    <row r="23" spans="2:9" ht="15" x14ac:dyDescent="0.25">
      <c r="B23" s="369" t="s">
        <v>21713</v>
      </c>
      <c r="C23" s="324">
        <v>5.31</v>
      </c>
      <c r="D23" s="324">
        <v>0.14000000000000001</v>
      </c>
      <c r="E23" s="324">
        <v>0.4</v>
      </c>
      <c r="F23" s="324">
        <f t="shared" si="0"/>
        <v>4.25</v>
      </c>
      <c r="G23" s="324">
        <f t="shared" si="1"/>
        <v>0.3</v>
      </c>
      <c r="H23" s="324">
        <f t="shared" si="3"/>
        <v>65</v>
      </c>
      <c r="I23" s="324">
        <f t="shared" si="2"/>
        <v>19.5</v>
      </c>
    </row>
    <row r="24" spans="2:9" ht="15" x14ac:dyDescent="0.25">
      <c r="B24" s="369" t="s">
        <v>21714</v>
      </c>
      <c r="C24" s="324">
        <f>1.81+1.41+4.01+1.42+3.06+1.41+2.91</f>
        <v>16.03</v>
      </c>
      <c r="D24" s="324">
        <v>0.14000000000000001</v>
      </c>
      <c r="E24" s="324">
        <v>0.4</v>
      </c>
      <c r="F24" s="324">
        <f t="shared" si="0"/>
        <v>12.82</v>
      </c>
      <c r="G24" s="324">
        <f t="shared" si="1"/>
        <v>0.9</v>
      </c>
      <c r="H24" s="324">
        <f t="shared" si="3"/>
        <v>65</v>
      </c>
      <c r="I24" s="324">
        <f t="shared" si="2"/>
        <v>58.5</v>
      </c>
    </row>
    <row r="25" spans="2:9" ht="15" x14ac:dyDescent="0.25">
      <c r="B25" s="369" t="s">
        <v>21728</v>
      </c>
      <c r="C25" s="324">
        <f>1.81+1.41+1.82+2.05+4.62+2.41</f>
        <v>14.120000000000001</v>
      </c>
      <c r="D25" s="324">
        <v>0.14000000000000001</v>
      </c>
      <c r="E25" s="324">
        <v>0.4</v>
      </c>
      <c r="F25" s="324">
        <f t="shared" si="0"/>
        <v>11.3</v>
      </c>
      <c r="G25" s="324">
        <f t="shared" si="1"/>
        <v>0.79</v>
      </c>
      <c r="H25" s="324">
        <f t="shared" si="3"/>
        <v>65</v>
      </c>
      <c r="I25" s="324">
        <f t="shared" si="2"/>
        <v>51.35</v>
      </c>
    </row>
    <row r="26" spans="2:9" ht="15" x14ac:dyDescent="0.25">
      <c r="B26" s="369" t="s">
        <v>21729</v>
      </c>
      <c r="C26" s="324">
        <f>1.91+1.31</f>
        <v>3.2199999999999998</v>
      </c>
      <c r="D26" s="324">
        <v>0.19</v>
      </c>
      <c r="E26" s="324">
        <v>0.4</v>
      </c>
      <c r="F26" s="324">
        <f t="shared" ref="F26" si="7">ROUND(2*C26*E26,2)</f>
        <v>2.58</v>
      </c>
      <c r="G26" s="324">
        <f t="shared" ref="G26" si="8">ROUND(C26*D26*E26,2)</f>
        <v>0.24</v>
      </c>
      <c r="H26" s="324">
        <f t="shared" si="3"/>
        <v>65</v>
      </c>
      <c r="I26" s="324">
        <f t="shared" ref="I26" si="9">ROUND(G26*H26,2)</f>
        <v>15.6</v>
      </c>
    </row>
    <row r="27" spans="2:9" ht="15" x14ac:dyDescent="0.25">
      <c r="B27" s="369" t="s">
        <v>21715</v>
      </c>
      <c r="C27" s="324">
        <f>2.01+2.01+3.36+1.82+4.62+2.41+3.41</f>
        <v>19.64</v>
      </c>
      <c r="D27" s="324">
        <v>0.19</v>
      </c>
      <c r="E27" s="324">
        <v>0.4</v>
      </c>
      <c r="F27" s="324">
        <f t="shared" si="0"/>
        <v>15.71</v>
      </c>
      <c r="G27" s="324">
        <f t="shared" si="1"/>
        <v>1.49</v>
      </c>
      <c r="H27" s="324">
        <f t="shared" si="3"/>
        <v>65</v>
      </c>
      <c r="I27" s="324">
        <f t="shared" si="2"/>
        <v>96.85</v>
      </c>
    </row>
    <row r="28" spans="2:9" ht="15" x14ac:dyDescent="0.2">
      <c r="B28" s="772" t="s">
        <v>7</v>
      </c>
      <c r="C28" s="773"/>
      <c r="D28" s="773"/>
      <c r="E28" s="774"/>
      <c r="F28" s="330">
        <f>SUM(F4:F27)</f>
        <v>139.91999999999999</v>
      </c>
      <c r="G28" s="330">
        <f>SUM(G4:G27)</f>
        <v>11.16</v>
      </c>
      <c r="H28" s="330"/>
      <c r="I28" s="330">
        <f>SUM(I4:I27)</f>
        <v>725.4</v>
      </c>
    </row>
    <row r="31" spans="2:9" ht="15" x14ac:dyDescent="0.25">
      <c r="B31" s="778" t="s">
        <v>21734</v>
      </c>
      <c r="C31" s="778"/>
      <c r="D31" s="778"/>
      <c r="E31" s="778"/>
      <c r="F31" s="778"/>
      <c r="G31" s="778"/>
      <c r="H31" s="778"/>
      <c r="I31" s="778"/>
    </row>
    <row r="32" spans="2:9" ht="45" x14ac:dyDescent="0.2">
      <c r="B32" s="341" t="s">
        <v>107</v>
      </c>
      <c r="C32" s="342" t="s">
        <v>20604</v>
      </c>
      <c r="D32" s="342" t="s">
        <v>89</v>
      </c>
      <c r="E32" s="342" t="s">
        <v>87</v>
      </c>
      <c r="F32" s="342" t="s">
        <v>20605</v>
      </c>
      <c r="G32" s="342" t="s">
        <v>20361</v>
      </c>
      <c r="H32" s="342" t="s">
        <v>20659</v>
      </c>
      <c r="I32" s="342" t="s">
        <v>20660</v>
      </c>
    </row>
    <row r="33" spans="2:9" ht="15" x14ac:dyDescent="0.25">
      <c r="B33" s="369" t="s">
        <v>21735</v>
      </c>
      <c r="C33" s="324">
        <v>5.45</v>
      </c>
      <c r="D33" s="324">
        <v>0.14000000000000001</v>
      </c>
      <c r="E33" s="324">
        <v>0.4</v>
      </c>
      <c r="F33" s="324">
        <f>ROUND(2*C33*E33,2)</f>
        <v>4.3600000000000003</v>
      </c>
      <c r="G33" s="324">
        <f>ROUND(C33*D33*E33,2)</f>
        <v>0.31</v>
      </c>
      <c r="H33" s="324">
        <v>65</v>
      </c>
      <c r="I33" s="324">
        <f>ROUND(G33*H33,2)</f>
        <v>20.149999999999999</v>
      </c>
    </row>
    <row r="34" spans="2:9" ht="15" x14ac:dyDescent="0.25">
      <c r="B34" s="369" t="s">
        <v>21736</v>
      </c>
      <c r="C34" s="324">
        <v>5.45</v>
      </c>
      <c r="D34" s="324">
        <v>0.14000000000000001</v>
      </c>
      <c r="E34" s="324">
        <v>0.4</v>
      </c>
      <c r="F34" s="324">
        <f t="shared" ref="F34:F44" si="10">ROUND(2*C34*E34,2)</f>
        <v>4.3600000000000003</v>
      </c>
      <c r="G34" s="324">
        <f t="shared" ref="G34:G44" si="11">ROUND(C34*D34*E34,2)</f>
        <v>0.31</v>
      </c>
      <c r="H34" s="324">
        <f>$H$4</f>
        <v>65</v>
      </c>
      <c r="I34" s="324">
        <f t="shared" ref="I34:I44" si="12">ROUND(G34*H34,2)</f>
        <v>20.149999999999999</v>
      </c>
    </row>
    <row r="35" spans="2:9" ht="15" x14ac:dyDescent="0.25">
      <c r="B35" s="369" t="s">
        <v>21741</v>
      </c>
      <c r="C35" s="324">
        <v>3.45</v>
      </c>
      <c r="D35" s="324">
        <v>0.14000000000000001</v>
      </c>
      <c r="E35" s="324">
        <v>0.4</v>
      </c>
      <c r="F35" s="324">
        <f t="shared" si="10"/>
        <v>2.76</v>
      </c>
      <c r="G35" s="324">
        <f t="shared" si="11"/>
        <v>0.19</v>
      </c>
      <c r="H35" s="324">
        <f t="shared" ref="H35:H44" si="13">$H$4</f>
        <v>65</v>
      </c>
      <c r="I35" s="324">
        <f t="shared" si="12"/>
        <v>12.35</v>
      </c>
    </row>
    <row r="36" spans="2:9" ht="15" x14ac:dyDescent="0.25">
      <c r="B36" s="369" t="s">
        <v>21742</v>
      </c>
      <c r="C36" s="324">
        <v>5.45</v>
      </c>
      <c r="D36" s="324">
        <v>0.14000000000000001</v>
      </c>
      <c r="E36" s="324">
        <v>0.6</v>
      </c>
      <c r="F36" s="324">
        <f t="shared" si="10"/>
        <v>6.54</v>
      </c>
      <c r="G36" s="324">
        <f t="shared" si="11"/>
        <v>0.46</v>
      </c>
      <c r="H36" s="324">
        <f t="shared" si="13"/>
        <v>65</v>
      </c>
      <c r="I36" s="324">
        <f t="shared" si="12"/>
        <v>29.9</v>
      </c>
    </row>
    <row r="37" spans="2:9" ht="15" x14ac:dyDescent="0.25">
      <c r="B37" s="369" t="s">
        <v>21743</v>
      </c>
      <c r="C37" s="324">
        <v>3.45</v>
      </c>
      <c r="D37" s="324">
        <v>0.19</v>
      </c>
      <c r="E37" s="324">
        <v>0.4</v>
      </c>
      <c r="F37" s="324">
        <f t="shared" si="10"/>
        <v>2.76</v>
      </c>
      <c r="G37" s="324">
        <f t="shared" si="11"/>
        <v>0.26</v>
      </c>
      <c r="H37" s="324">
        <f t="shared" si="13"/>
        <v>65</v>
      </c>
      <c r="I37" s="324">
        <f t="shared" si="12"/>
        <v>16.899999999999999</v>
      </c>
    </row>
    <row r="38" spans="2:9" ht="15" x14ac:dyDescent="0.25">
      <c r="B38" s="369" t="s">
        <v>21744</v>
      </c>
      <c r="C38" s="324">
        <v>5.45</v>
      </c>
      <c r="D38" s="324">
        <v>0.19</v>
      </c>
      <c r="E38" s="324">
        <v>0.6</v>
      </c>
      <c r="F38" s="324">
        <v>0.6</v>
      </c>
      <c r="G38" s="324">
        <f t="shared" si="11"/>
        <v>0.62</v>
      </c>
      <c r="H38" s="324">
        <f t="shared" si="13"/>
        <v>65</v>
      </c>
      <c r="I38" s="324">
        <f t="shared" si="12"/>
        <v>40.299999999999997</v>
      </c>
    </row>
    <row r="39" spans="2:9" ht="15" x14ac:dyDescent="0.25">
      <c r="B39" s="369" t="s">
        <v>21737</v>
      </c>
      <c r="C39" s="324">
        <v>5.45</v>
      </c>
      <c r="D39" s="324">
        <v>0.19</v>
      </c>
      <c r="E39" s="324">
        <v>0.4</v>
      </c>
      <c r="F39" s="324">
        <f t="shared" si="10"/>
        <v>4.3600000000000003</v>
      </c>
      <c r="G39" s="324">
        <f t="shared" si="11"/>
        <v>0.41</v>
      </c>
      <c r="H39" s="324">
        <f t="shared" si="13"/>
        <v>65</v>
      </c>
      <c r="I39" s="324">
        <f t="shared" si="12"/>
        <v>26.65</v>
      </c>
    </row>
    <row r="40" spans="2:9" ht="15" x14ac:dyDescent="0.25">
      <c r="B40" s="369" t="s">
        <v>21738</v>
      </c>
      <c r="C40" s="324">
        <v>3.59</v>
      </c>
      <c r="D40" s="324">
        <v>0.14000000000000001</v>
      </c>
      <c r="E40" s="324">
        <v>0.4</v>
      </c>
      <c r="F40" s="324">
        <f t="shared" si="10"/>
        <v>2.87</v>
      </c>
      <c r="G40" s="324">
        <f t="shared" si="11"/>
        <v>0.2</v>
      </c>
      <c r="H40" s="324">
        <f t="shared" si="13"/>
        <v>65</v>
      </c>
      <c r="I40" s="324">
        <f t="shared" si="12"/>
        <v>13</v>
      </c>
    </row>
    <row r="41" spans="2:9" ht="15" x14ac:dyDescent="0.25">
      <c r="B41" s="369" t="s">
        <v>21745</v>
      </c>
      <c r="C41" s="324">
        <v>5.71</v>
      </c>
      <c r="D41" s="324">
        <v>0.14000000000000001</v>
      </c>
      <c r="E41" s="324">
        <v>0.4</v>
      </c>
      <c r="F41" s="324">
        <f t="shared" si="10"/>
        <v>4.57</v>
      </c>
      <c r="G41" s="324">
        <f t="shared" si="11"/>
        <v>0.32</v>
      </c>
      <c r="H41" s="324">
        <f t="shared" si="13"/>
        <v>65</v>
      </c>
      <c r="I41" s="324">
        <f t="shared" si="12"/>
        <v>20.8</v>
      </c>
    </row>
    <row r="42" spans="2:9" ht="15" x14ac:dyDescent="0.25">
      <c r="B42" s="369" t="s">
        <v>21746</v>
      </c>
      <c r="C42" s="324">
        <v>3.36</v>
      </c>
      <c r="D42" s="324">
        <v>0.19</v>
      </c>
      <c r="E42" s="324">
        <v>0.4</v>
      </c>
      <c r="F42" s="324">
        <f t="shared" si="10"/>
        <v>2.69</v>
      </c>
      <c r="G42" s="324">
        <f t="shared" si="11"/>
        <v>0.26</v>
      </c>
      <c r="H42" s="324">
        <f t="shared" si="13"/>
        <v>65</v>
      </c>
      <c r="I42" s="324">
        <f t="shared" si="12"/>
        <v>16.899999999999999</v>
      </c>
    </row>
    <row r="43" spans="2:9" ht="15" x14ac:dyDescent="0.25">
      <c r="B43" s="369" t="s">
        <v>21739</v>
      </c>
      <c r="C43" s="324">
        <f>3.52+2</f>
        <v>5.52</v>
      </c>
      <c r="D43" s="324">
        <v>0.14000000000000001</v>
      </c>
      <c r="E43" s="324">
        <v>0.4</v>
      </c>
      <c r="F43" s="324">
        <f t="shared" si="10"/>
        <v>4.42</v>
      </c>
      <c r="G43" s="324">
        <f t="shared" si="11"/>
        <v>0.31</v>
      </c>
      <c r="H43" s="324">
        <f t="shared" si="13"/>
        <v>65</v>
      </c>
      <c r="I43" s="324">
        <f t="shared" si="12"/>
        <v>20.149999999999999</v>
      </c>
    </row>
    <row r="44" spans="2:9" ht="15" x14ac:dyDescent="0.25">
      <c r="B44" s="369" t="s">
        <v>21740</v>
      </c>
      <c r="C44" s="324">
        <f>2+3.36+1.82+2.05</f>
        <v>9.23</v>
      </c>
      <c r="D44" s="324">
        <v>0.19</v>
      </c>
      <c r="E44" s="324">
        <v>0.4</v>
      </c>
      <c r="F44" s="324">
        <f t="shared" si="10"/>
        <v>7.38</v>
      </c>
      <c r="G44" s="324">
        <f t="shared" si="11"/>
        <v>0.7</v>
      </c>
      <c r="H44" s="324">
        <f t="shared" si="13"/>
        <v>65</v>
      </c>
      <c r="I44" s="324">
        <f t="shared" si="12"/>
        <v>45.5</v>
      </c>
    </row>
    <row r="45" spans="2:9" ht="15" x14ac:dyDescent="0.2">
      <c r="B45" s="772" t="s">
        <v>7</v>
      </c>
      <c r="C45" s="773"/>
      <c r="D45" s="773"/>
      <c r="E45" s="774"/>
      <c r="F45" s="330">
        <f>SUM(F33:F44)</f>
        <v>47.670000000000009</v>
      </c>
      <c r="G45" s="330">
        <f>SUM(G33:G44)</f>
        <v>4.3499999999999996</v>
      </c>
      <c r="H45" s="330"/>
      <c r="I45" s="330">
        <f>SUM(I33:I44)</f>
        <v>282.75</v>
      </c>
    </row>
  </sheetData>
  <mergeCells count="4">
    <mergeCell ref="B2:I2"/>
    <mergeCell ref="B28:E28"/>
    <mergeCell ref="B31:I31"/>
    <mergeCell ref="B45:E45"/>
  </mergeCells>
  <phoneticPr fontId="4" type="noConversion"/>
  <pageMargins left="0.511811024" right="0.511811024" top="0.78740157499999996" bottom="0.78740157499999996" header="0.31496062000000002" footer="0.3149606200000000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1" tint="0.14999847407452621"/>
  </sheetPr>
  <dimension ref="B2:J46"/>
  <sheetViews>
    <sheetView topLeftCell="A27" workbookViewId="0">
      <selection activeCell="P30" sqref="P30"/>
    </sheetView>
  </sheetViews>
  <sheetFormatPr defaultColWidth="9.140625" defaultRowHeight="15" x14ac:dyDescent="0.25"/>
  <cols>
    <col min="1" max="1" width="4.7109375" style="316" customWidth="1"/>
    <col min="2" max="2" width="12.85546875" style="316" bestFit="1" customWidth="1"/>
    <col min="3" max="3" width="11.42578125" style="317" customWidth="1"/>
    <col min="4" max="4" width="14.85546875" style="316" bestFit="1" customWidth="1"/>
    <col min="5" max="5" width="8.140625" style="316" customWidth="1"/>
    <col min="6" max="6" width="9.140625" style="316"/>
    <col min="7" max="7" width="8.140625" style="316" customWidth="1"/>
    <col min="8" max="8" width="7.7109375" style="316" customWidth="1"/>
    <col min="9" max="9" width="7.42578125" style="316" customWidth="1"/>
    <col min="10" max="16384" width="9.140625" style="316"/>
  </cols>
  <sheetData>
    <row r="2" spans="2:10" x14ac:dyDescent="0.25">
      <c r="B2" s="772" t="s">
        <v>21109</v>
      </c>
      <c r="C2" s="773"/>
      <c r="D2" s="773"/>
      <c r="E2" s="773"/>
      <c r="F2" s="773"/>
      <c r="G2" s="773"/>
      <c r="H2" s="773"/>
      <c r="I2" s="773"/>
      <c r="J2" s="774"/>
    </row>
    <row r="3" spans="2:10" ht="30" x14ac:dyDescent="0.25">
      <c r="B3" s="318" t="s">
        <v>21108</v>
      </c>
      <c r="C3" s="318" t="s">
        <v>25</v>
      </c>
      <c r="D3" s="318" t="s">
        <v>21114</v>
      </c>
      <c r="E3" s="319" t="s">
        <v>20517</v>
      </c>
      <c r="F3" s="319" t="s">
        <v>89</v>
      </c>
      <c r="G3" s="319" t="s">
        <v>87</v>
      </c>
      <c r="H3" s="319" t="s">
        <v>21110</v>
      </c>
      <c r="I3" s="319" t="s">
        <v>21111</v>
      </c>
      <c r="J3" s="319" t="s">
        <v>20589</v>
      </c>
    </row>
    <row r="4" spans="2:10" x14ac:dyDescent="0.25">
      <c r="B4" s="348" t="s">
        <v>21112</v>
      </c>
      <c r="C4" s="349" t="s">
        <v>21113</v>
      </c>
      <c r="D4" s="350" t="s">
        <v>21122</v>
      </c>
      <c r="E4" s="350">
        <v>1</v>
      </c>
      <c r="F4" s="351">
        <v>1.26</v>
      </c>
      <c r="G4" s="351">
        <v>2.6</v>
      </c>
      <c r="H4" s="351">
        <f>ROUND(E4*F4*G4,2)</f>
        <v>3.28</v>
      </c>
      <c r="I4" s="351"/>
      <c r="J4" s="351">
        <f>ROUND(2*H4,2)</f>
        <v>6.56</v>
      </c>
    </row>
    <row r="5" spans="2:10" x14ac:dyDescent="0.25">
      <c r="B5" s="348" t="s">
        <v>21112</v>
      </c>
      <c r="C5" s="349" t="s">
        <v>21113</v>
      </c>
      <c r="D5" s="350" t="s">
        <v>21123</v>
      </c>
      <c r="E5" s="350">
        <v>1</v>
      </c>
      <c r="F5" s="351">
        <v>1.26</v>
      </c>
      <c r="G5" s="351">
        <v>2.6</v>
      </c>
      <c r="H5" s="351">
        <f>ROUND(E5*F5*G5,2)</f>
        <v>3.28</v>
      </c>
      <c r="I5" s="351">
        <f>ROUND(0.9*H5,2)</f>
        <v>2.95</v>
      </c>
      <c r="J5" s="351">
        <f>ROUND(2*H5,2)</f>
        <v>6.56</v>
      </c>
    </row>
    <row r="6" spans="2:10" x14ac:dyDescent="0.25">
      <c r="B6" s="348" t="s">
        <v>21115</v>
      </c>
      <c r="C6" s="349" t="s">
        <v>21113</v>
      </c>
      <c r="D6" s="350" t="s">
        <v>21118</v>
      </c>
      <c r="E6" s="350">
        <v>4</v>
      </c>
      <c r="F6" s="351">
        <v>0.9</v>
      </c>
      <c r="G6" s="351">
        <v>2.1</v>
      </c>
      <c r="H6" s="351">
        <f t="shared" ref="H6:H13" si="0">ROUND(E6*F6*G6,2)</f>
        <v>7.56</v>
      </c>
      <c r="I6" s="351"/>
      <c r="J6" s="351">
        <f t="shared" ref="J6:J15" si="1">ROUND(2*H6,2)</f>
        <v>15.12</v>
      </c>
    </row>
    <row r="7" spans="2:10" x14ac:dyDescent="0.25">
      <c r="B7" s="348" t="s">
        <v>21116</v>
      </c>
      <c r="C7" s="349" t="s">
        <v>21113</v>
      </c>
      <c r="D7" s="350" t="s">
        <v>21118</v>
      </c>
      <c r="E7" s="350">
        <v>10</v>
      </c>
      <c r="F7" s="351">
        <v>0.8</v>
      </c>
      <c r="G7" s="351">
        <v>2.1</v>
      </c>
      <c r="H7" s="351">
        <f t="shared" si="0"/>
        <v>16.8</v>
      </c>
      <c r="I7" s="351"/>
      <c r="J7" s="351">
        <f t="shared" si="1"/>
        <v>33.6</v>
      </c>
    </row>
    <row r="8" spans="2:10" x14ac:dyDescent="0.25">
      <c r="B8" s="348" t="s">
        <v>21117</v>
      </c>
      <c r="C8" s="349" t="s">
        <v>21113</v>
      </c>
      <c r="D8" s="350" t="s">
        <v>21118</v>
      </c>
      <c r="E8" s="350">
        <v>4</v>
      </c>
      <c r="F8" s="351">
        <v>0.7</v>
      </c>
      <c r="G8" s="351">
        <v>2.1</v>
      </c>
      <c r="H8" s="351">
        <f t="shared" si="0"/>
        <v>5.88</v>
      </c>
      <c r="I8" s="351"/>
      <c r="J8" s="351">
        <f t="shared" si="1"/>
        <v>11.76</v>
      </c>
    </row>
    <row r="9" spans="2:10" x14ac:dyDescent="0.25">
      <c r="B9" s="352" t="s">
        <v>21119</v>
      </c>
      <c r="C9" s="353" t="s">
        <v>21113</v>
      </c>
      <c r="D9" s="354" t="s">
        <v>21120</v>
      </c>
      <c r="E9" s="354">
        <v>2</v>
      </c>
      <c r="F9" s="355">
        <v>0.9</v>
      </c>
      <c r="G9" s="355">
        <v>2.1</v>
      </c>
      <c r="H9" s="355">
        <f t="shared" si="0"/>
        <v>3.78</v>
      </c>
      <c r="I9" s="355"/>
      <c r="J9" s="355">
        <f t="shared" si="1"/>
        <v>7.56</v>
      </c>
    </row>
    <row r="10" spans="2:10" x14ac:dyDescent="0.25">
      <c r="B10" s="343" t="s">
        <v>21142</v>
      </c>
      <c r="C10" s="321" t="s">
        <v>21121</v>
      </c>
      <c r="D10" s="322" t="s">
        <v>21118</v>
      </c>
      <c r="E10" s="322">
        <v>1</v>
      </c>
      <c r="F10" s="324">
        <v>0.9</v>
      </c>
      <c r="G10" s="324">
        <v>2.1</v>
      </c>
      <c r="H10" s="324">
        <f t="shared" si="0"/>
        <v>1.89</v>
      </c>
      <c r="I10" s="324"/>
      <c r="J10" s="324">
        <f t="shared" si="1"/>
        <v>3.78</v>
      </c>
    </row>
    <row r="11" spans="2:10" x14ac:dyDescent="0.25">
      <c r="B11" s="343" t="s">
        <v>21143</v>
      </c>
      <c r="C11" s="321" t="s">
        <v>21121</v>
      </c>
      <c r="D11" s="322" t="s">
        <v>21118</v>
      </c>
      <c r="E11" s="322">
        <v>1</v>
      </c>
      <c r="F11" s="324">
        <v>0.8</v>
      </c>
      <c r="G11" s="324">
        <v>2.1</v>
      </c>
      <c r="H11" s="324">
        <f t="shared" si="0"/>
        <v>1.68</v>
      </c>
      <c r="I11" s="324"/>
      <c r="J11" s="324">
        <f t="shared" si="1"/>
        <v>3.36</v>
      </c>
    </row>
    <row r="12" spans="2:10" x14ac:dyDescent="0.25">
      <c r="B12" s="343" t="s">
        <v>21514</v>
      </c>
      <c r="C12" s="321" t="s">
        <v>21121</v>
      </c>
      <c r="D12" s="322" t="s">
        <v>21120</v>
      </c>
      <c r="E12" s="322">
        <v>1</v>
      </c>
      <c r="F12" s="324">
        <v>1</v>
      </c>
      <c r="G12" s="324">
        <v>2.1</v>
      </c>
      <c r="H12" s="324">
        <f t="shared" si="0"/>
        <v>2.1</v>
      </c>
      <c r="I12" s="324"/>
      <c r="J12" s="324">
        <f t="shared" si="1"/>
        <v>4.2</v>
      </c>
    </row>
    <row r="13" spans="2:10" x14ac:dyDescent="0.25">
      <c r="B13" s="343" t="s">
        <v>21892</v>
      </c>
      <c r="C13" s="321" t="s">
        <v>21121</v>
      </c>
      <c r="D13" s="322" t="s">
        <v>21120</v>
      </c>
      <c r="E13" s="322">
        <v>1</v>
      </c>
      <c r="F13" s="324">
        <v>0.9</v>
      </c>
      <c r="G13" s="324">
        <v>2.1</v>
      </c>
      <c r="H13" s="324">
        <f t="shared" si="0"/>
        <v>1.89</v>
      </c>
      <c r="I13" s="324"/>
      <c r="J13" s="324">
        <f t="shared" si="1"/>
        <v>3.78</v>
      </c>
    </row>
    <row r="14" spans="2:10" x14ac:dyDescent="0.25">
      <c r="B14" s="343" t="s">
        <v>21124</v>
      </c>
      <c r="C14" s="321" t="s">
        <v>21125</v>
      </c>
      <c r="D14" s="322" t="s">
        <v>21126</v>
      </c>
      <c r="E14" s="322">
        <v>1</v>
      </c>
      <c r="F14" s="324">
        <v>1</v>
      </c>
      <c r="G14" s="324">
        <v>2.6</v>
      </c>
      <c r="H14" s="324">
        <f t="shared" ref="H14:H16" si="2">ROUND(E14*F14*G14,2)</f>
        <v>2.6</v>
      </c>
      <c r="I14" s="324"/>
      <c r="J14" s="324">
        <f t="shared" si="1"/>
        <v>5.2</v>
      </c>
    </row>
    <row r="15" spans="2:10" x14ac:dyDescent="0.25">
      <c r="B15" s="343" t="s">
        <v>21127</v>
      </c>
      <c r="C15" s="321" t="s">
        <v>21121</v>
      </c>
      <c r="D15" s="322" t="s">
        <v>21118</v>
      </c>
      <c r="E15" s="322">
        <v>1</v>
      </c>
      <c r="F15" s="324">
        <v>1</v>
      </c>
      <c r="G15" s="324">
        <v>2.6</v>
      </c>
      <c r="H15" s="324">
        <f t="shared" si="2"/>
        <v>2.6</v>
      </c>
      <c r="I15" s="324"/>
      <c r="J15" s="324">
        <f t="shared" si="1"/>
        <v>5.2</v>
      </c>
    </row>
    <row r="16" spans="2:10" x14ac:dyDescent="0.25">
      <c r="B16" s="348" t="s">
        <v>21128</v>
      </c>
      <c r="C16" s="349" t="s">
        <v>21113</v>
      </c>
      <c r="D16" s="350" t="s">
        <v>21129</v>
      </c>
      <c r="E16" s="350">
        <v>1</v>
      </c>
      <c r="F16" s="351">
        <v>2</v>
      </c>
      <c r="G16" s="351">
        <v>1.6</v>
      </c>
      <c r="H16" s="351">
        <f t="shared" si="2"/>
        <v>3.2</v>
      </c>
      <c r="I16" s="351">
        <f>ROUND(0.9*H16,2)</f>
        <v>2.88</v>
      </c>
      <c r="J16" s="351">
        <f t="shared" ref="J16" si="3">ROUND(2*H16,2)</f>
        <v>6.4</v>
      </c>
    </row>
    <row r="17" spans="2:10" x14ac:dyDescent="0.25">
      <c r="B17" s="348" t="s">
        <v>21128</v>
      </c>
      <c r="C17" s="349" t="s">
        <v>21113</v>
      </c>
      <c r="D17" s="350" t="s">
        <v>21122</v>
      </c>
      <c r="E17" s="350">
        <v>1</v>
      </c>
      <c r="F17" s="351">
        <v>2</v>
      </c>
      <c r="G17" s="351">
        <v>1.6</v>
      </c>
      <c r="H17" s="351">
        <f t="shared" ref="H17:H20" si="4">ROUND(E17*F17*G17,2)</f>
        <v>3.2</v>
      </c>
      <c r="I17" s="351"/>
      <c r="J17" s="351">
        <f t="shared" ref="J17:J20" si="5">ROUND(2*H17,2)</f>
        <v>6.4</v>
      </c>
    </row>
    <row r="18" spans="2:10" x14ac:dyDescent="0.25">
      <c r="B18" s="348" t="s">
        <v>21144</v>
      </c>
      <c r="C18" s="349" t="s">
        <v>21113</v>
      </c>
      <c r="D18" s="350" t="s">
        <v>21131</v>
      </c>
      <c r="E18" s="350">
        <v>2</v>
      </c>
      <c r="F18" s="351">
        <v>2</v>
      </c>
      <c r="G18" s="351">
        <v>1</v>
      </c>
      <c r="H18" s="351">
        <f t="shared" si="4"/>
        <v>4</v>
      </c>
      <c r="I18" s="351">
        <f>ROUND(0.95*H18,2)</f>
        <v>3.8</v>
      </c>
      <c r="J18" s="351">
        <f t="shared" si="5"/>
        <v>8</v>
      </c>
    </row>
    <row r="19" spans="2:10" x14ac:dyDescent="0.25">
      <c r="B19" s="343" t="s">
        <v>21130</v>
      </c>
      <c r="C19" s="321" t="s">
        <v>21125</v>
      </c>
      <c r="D19" s="322" t="s">
        <v>21131</v>
      </c>
      <c r="E19" s="322">
        <v>1</v>
      </c>
      <c r="F19" s="324">
        <v>0.8</v>
      </c>
      <c r="G19" s="324">
        <v>0.8</v>
      </c>
      <c r="H19" s="324">
        <f t="shared" si="4"/>
        <v>0.64</v>
      </c>
      <c r="I19" s="324">
        <f>ROUND(0.95*H19,2)</f>
        <v>0.61</v>
      </c>
      <c r="J19" s="324">
        <f t="shared" si="5"/>
        <v>1.28</v>
      </c>
    </row>
    <row r="20" spans="2:10" x14ac:dyDescent="0.25">
      <c r="B20" s="343" t="s">
        <v>21515</v>
      </c>
      <c r="C20" s="321" t="s">
        <v>21125</v>
      </c>
      <c r="D20" s="322" t="s">
        <v>21137</v>
      </c>
      <c r="E20" s="322">
        <v>1</v>
      </c>
      <c r="F20" s="324">
        <v>1</v>
      </c>
      <c r="G20" s="324">
        <v>2.8</v>
      </c>
      <c r="H20" s="324">
        <f t="shared" si="4"/>
        <v>2.8</v>
      </c>
      <c r="I20" s="324">
        <f t="shared" ref="I20:I29" si="6">ROUND(0.95*H20,2)</f>
        <v>2.66</v>
      </c>
      <c r="J20" s="324">
        <f t="shared" si="5"/>
        <v>5.6</v>
      </c>
    </row>
    <row r="21" spans="2:10" x14ac:dyDescent="0.25">
      <c r="B21" s="343" t="s">
        <v>21132</v>
      </c>
      <c r="C21" s="321" t="s">
        <v>21125</v>
      </c>
      <c r="D21" s="322" t="s">
        <v>21131</v>
      </c>
      <c r="E21" s="322">
        <v>8</v>
      </c>
      <c r="F21" s="324">
        <v>1</v>
      </c>
      <c r="G21" s="324">
        <v>0.8</v>
      </c>
      <c r="H21" s="324">
        <f t="shared" ref="H21:H22" si="7">ROUND(E21*F21*G21,2)</f>
        <v>6.4</v>
      </c>
      <c r="I21" s="324">
        <f t="shared" si="6"/>
        <v>6.08</v>
      </c>
      <c r="J21" s="324">
        <f t="shared" ref="J21:J22" si="8">ROUND(2*H21,2)</f>
        <v>12.8</v>
      </c>
    </row>
    <row r="22" spans="2:10" x14ac:dyDescent="0.25">
      <c r="B22" s="356" t="s">
        <v>21140</v>
      </c>
      <c r="C22" s="357" t="s">
        <v>21125</v>
      </c>
      <c r="D22" s="358" t="s">
        <v>21141</v>
      </c>
      <c r="E22" s="358">
        <v>1</v>
      </c>
      <c r="F22" s="359">
        <v>1</v>
      </c>
      <c r="G22" s="359">
        <v>0.8</v>
      </c>
      <c r="H22" s="359">
        <f t="shared" si="7"/>
        <v>0.8</v>
      </c>
      <c r="I22" s="359">
        <f t="shared" si="6"/>
        <v>0.76</v>
      </c>
      <c r="J22" s="359">
        <f t="shared" si="8"/>
        <v>1.6</v>
      </c>
    </row>
    <row r="23" spans="2:10" x14ac:dyDescent="0.25">
      <c r="B23" s="356" t="s">
        <v>21133</v>
      </c>
      <c r="C23" s="357" t="s">
        <v>21125</v>
      </c>
      <c r="D23" s="358" t="s">
        <v>21131</v>
      </c>
      <c r="E23" s="358">
        <v>1</v>
      </c>
      <c r="F23" s="359">
        <v>1.6</v>
      </c>
      <c r="G23" s="359">
        <v>0.8</v>
      </c>
      <c r="H23" s="359">
        <f t="shared" ref="H23:H25" si="9">ROUND(E23*F23*G23,2)</f>
        <v>1.28</v>
      </c>
      <c r="I23" s="359">
        <f t="shared" si="6"/>
        <v>1.22</v>
      </c>
      <c r="J23" s="359">
        <f t="shared" ref="J23:J25" si="10">ROUND(2*H23,2)</f>
        <v>2.56</v>
      </c>
    </row>
    <row r="24" spans="2:10" x14ac:dyDescent="0.25">
      <c r="B24" s="356" t="s">
        <v>21138</v>
      </c>
      <c r="C24" s="357" t="s">
        <v>21125</v>
      </c>
      <c r="D24" s="358" t="s">
        <v>21131</v>
      </c>
      <c r="E24" s="358">
        <v>1</v>
      </c>
      <c r="F24" s="359">
        <v>1.8</v>
      </c>
      <c r="G24" s="359">
        <v>1.6</v>
      </c>
      <c r="H24" s="359">
        <f t="shared" si="9"/>
        <v>2.88</v>
      </c>
      <c r="I24" s="359">
        <f t="shared" si="6"/>
        <v>2.74</v>
      </c>
      <c r="J24" s="359">
        <f t="shared" si="10"/>
        <v>5.76</v>
      </c>
    </row>
    <row r="25" spans="2:10" x14ac:dyDescent="0.25">
      <c r="B25" s="356" t="s">
        <v>21134</v>
      </c>
      <c r="C25" s="357" t="s">
        <v>21125</v>
      </c>
      <c r="D25" s="358" t="s">
        <v>21131</v>
      </c>
      <c r="E25" s="358">
        <v>7</v>
      </c>
      <c r="F25" s="359">
        <v>2</v>
      </c>
      <c r="G25" s="359">
        <v>0.8</v>
      </c>
      <c r="H25" s="359">
        <f t="shared" si="9"/>
        <v>11.2</v>
      </c>
      <c r="I25" s="359">
        <f t="shared" si="6"/>
        <v>10.64</v>
      </c>
      <c r="J25" s="359">
        <f t="shared" si="10"/>
        <v>22.4</v>
      </c>
    </row>
    <row r="26" spans="2:10" x14ac:dyDescent="0.25">
      <c r="B26" s="356" t="s">
        <v>21139</v>
      </c>
      <c r="C26" s="357" t="s">
        <v>21125</v>
      </c>
      <c r="D26" s="358" t="s">
        <v>21131</v>
      </c>
      <c r="E26" s="358">
        <v>1</v>
      </c>
      <c r="F26" s="359">
        <v>2</v>
      </c>
      <c r="G26" s="359">
        <v>1</v>
      </c>
      <c r="H26" s="359">
        <f t="shared" ref="H26" si="11">ROUND(E26*F26*G26,2)</f>
        <v>2</v>
      </c>
      <c r="I26" s="359">
        <f t="shared" si="6"/>
        <v>1.9</v>
      </c>
      <c r="J26" s="359">
        <f t="shared" ref="J26" si="12">ROUND(2*H26,2)</f>
        <v>4</v>
      </c>
    </row>
    <row r="27" spans="2:10" x14ac:dyDescent="0.25">
      <c r="B27" s="356" t="s">
        <v>21136</v>
      </c>
      <c r="C27" s="357" t="s">
        <v>21125</v>
      </c>
      <c r="D27" s="358" t="s">
        <v>21131</v>
      </c>
      <c r="E27" s="358">
        <v>1</v>
      </c>
      <c r="F27" s="359">
        <v>2</v>
      </c>
      <c r="G27" s="359">
        <v>1.4</v>
      </c>
      <c r="H27" s="359">
        <f t="shared" ref="H27" si="13">ROUND(E27*F27*G27,2)</f>
        <v>2.8</v>
      </c>
      <c r="I27" s="359">
        <f t="shared" si="6"/>
        <v>2.66</v>
      </c>
      <c r="J27" s="359">
        <f t="shared" ref="J27" si="14">ROUND(2*H27,2)</f>
        <v>5.6</v>
      </c>
    </row>
    <row r="28" spans="2:10" x14ac:dyDescent="0.25">
      <c r="B28" s="356" t="s">
        <v>21146</v>
      </c>
      <c r="C28" s="357" t="s">
        <v>21125</v>
      </c>
      <c r="D28" s="358" t="s">
        <v>21145</v>
      </c>
      <c r="E28" s="358">
        <v>1</v>
      </c>
      <c r="F28" s="359">
        <v>2</v>
      </c>
      <c r="G28" s="359">
        <v>1.4</v>
      </c>
      <c r="H28" s="359">
        <f t="shared" ref="H28" si="15">ROUND(E28*F28*G28,2)</f>
        <v>2.8</v>
      </c>
      <c r="I28" s="359">
        <f t="shared" si="6"/>
        <v>2.66</v>
      </c>
      <c r="J28" s="359">
        <f t="shared" ref="J28" si="16">ROUND(2*H28,2)</f>
        <v>5.6</v>
      </c>
    </row>
    <row r="29" spans="2:10" x14ac:dyDescent="0.25">
      <c r="B29" s="343" t="s">
        <v>21135</v>
      </c>
      <c r="C29" s="321" t="s">
        <v>21125</v>
      </c>
      <c r="D29" s="322" t="s">
        <v>21131</v>
      </c>
      <c r="E29" s="322">
        <v>2</v>
      </c>
      <c r="F29" s="324">
        <v>3</v>
      </c>
      <c r="G29" s="324">
        <v>0.8</v>
      </c>
      <c r="H29" s="324">
        <f t="shared" ref="H29" si="17">ROUND(E29*F29*G29,2)</f>
        <v>4.8</v>
      </c>
      <c r="I29" s="324">
        <f t="shared" si="6"/>
        <v>4.5599999999999996</v>
      </c>
      <c r="J29" s="324">
        <f t="shared" ref="J29" si="18">ROUND(2*H29,2)</f>
        <v>9.6</v>
      </c>
    </row>
    <row r="30" spans="2:10" x14ac:dyDescent="0.25">
      <c r="B30" s="343" t="s">
        <v>21147</v>
      </c>
      <c r="C30" s="321" t="s">
        <v>21121</v>
      </c>
      <c r="D30" s="322" t="s">
        <v>21148</v>
      </c>
      <c r="E30" s="322">
        <v>1</v>
      </c>
      <c r="F30" s="324">
        <v>4.0999999999999996</v>
      </c>
      <c r="G30" s="324">
        <v>2.8</v>
      </c>
      <c r="H30" s="324">
        <f t="shared" ref="H30" si="19">ROUND(E30*F30*G30,2)</f>
        <v>11.48</v>
      </c>
      <c r="I30" s="324"/>
      <c r="J30" s="324">
        <f t="shared" ref="J30" si="20">ROUND(2*H30,2)</f>
        <v>22.96</v>
      </c>
    </row>
    <row r="31" spans="2:10" x14ac:dyDescent="0.25">
      <c r="B31" s="352" t="s">
        <v>21149</v>
      </c>
      <c r="C31" s="353" t="s">
        <v>21121</v>
      </c>
      <c r="D31" s="354" t="s">
        <v>21148</v>
      </c>
      <c r="E31" s="354">
        <v>1</v>
      </c>
      <c r="F31" s="355">
        <v>4</v>
      </c>
      <c r="G31" s="355">
        <v>2.6</v>
      </c>
      <c r="H31" s="355">
        <f t="shared" ref="H31" si="21">ROUND(E31*F31*G31,2)</f>
        <v>10.4</v>
      </c>
      <c r="I31" s="355"/>
      <c r="J31" s="355">
        <f t="shared" ref="J31" si="22">ROUND(2*H31,2)</f>
        <v>20.8</v>
      </c>
    </row>
    <row r="32" spans="2:10" x14ac:dyDescent="0.25">
      <c r="B32" s="343" t="s">
        <v>21151</v>
      </c>
      <c r="C32" s="321" t="s">
        <v>21152</v>
      </c>
      <c r="D32" s="322" t="s">
        <v>21153</v>
      </c>
      <c r="E32" s="322">
        <v>1</v>
      </c>
      <c r="F32" s="324">
        <v>2</v>
      </c>
      <c r="G32" s="324">
        <v>1.4</v>
      </c>
      <c r="H32" s="324">
        <f t="shared" ref="H32" si="23">ROUND(E32*F32*G32,2)</f>
        <v>2.8</v>
      </c>
      <c r="I32" s="360">
        <f>H32</f>
        <v>2.8</v>
      </c>
      <c r="J32" s="324"/>
    </row>
    <row r="33" spans="2:10" x14ac:dyDescent="0.25">
      <c r="B33" s="775" t="s">
        <v>21155</v>
      </c>
      <c r="C33" s="776"/>
      <c r="D33" s="776"/>
      <c r="E33" s="776"/>
      <c r="F33" s="776"/>
      <c r="G33" s="776"/>
      <c r="H33" s="777"/>
      <c r="I33" s="330">
        <f>SUM(I4:I31)</f>
        <v>46.11999999999999</v>
      </c>
      <c r="J33" s="361"/>
    </row>
    <row r="34" spans="2:10" x14ac:dyDescent="0.25">
      <c r="B34" s="775" t="s">
        <v>21156</v>
      </c>
      <c r="C34" s="776"/>
      <c r="D34" s="776"/>
      <c r="E34" s="776"/>
      <c r="F34" s="776"/>
      <c r="G34" s="776"/>
      <c r="H34" s="777"/>
      <c r="I34" s="361"/>
      <c r="J34" s="330">
        <f>J10+J11+J12+J13+J14+J15+J19+J20+J21+J22+J23+J24+J25+J26+J27+J28+J29+J30</f>
        <v>125.28</v>
      </c>
    </row>
    <row r="35" spans="2:10" x14ac:dyDescent="0.25">
      <c r="B35" s="775" t="s">
        <v>21253</v>
      </c>
      <c r="C35" s="776"/>
      <c r="D35" s="776"/>
      <c r="E35" s="776"/>
      <c r="F35" s="776"/>
      <c r="G35" s="776"/>
      <c r="H35" s="777"/>
      <c r="I35" s="361"/>
      <c r="J35" s="330">
        <f>J4+J5+J6+J7+J8+J9+J16+J17+J18</f>
        <v>101.96000000000002</v>
      </c>
    </row>
    <row r="36" spans="2:10" x14ac:dyDescent="0.25">
      <c r="B36" s="328" t="s">
        <v>21154</v>
      </c>
      <c r="C36" s="315" t="s">
        <v>21113</v>
      </c>
      <c r="D36" s="340" t="s">
        <v>21129</v>
      </c>
      <c r="E36" s="328"/>
      <c r="F36" s="775"/>
      <c r="G36" s="777"/>
      <c r="H36" s="330">
        <f>H16</f>
        <v>3.2</v>
      </c>
      <c r="I36" s="328"/>
      <c r="J36" s="330">
        <f>J16</f>
        <v>6.4</v>
      </c>
    </row>
    <row r="37" spans="2:10" x14ac:dyDescent="0.25">
      <c r="B37" s="328" t="s">
        <v>21154</v>
      </c>
      <c r="C37" s="315" t="s">
        <v>21113</v>
      </c>
      <c r="D37" s="340" t="s">
        <v>21157</v>
      </c>
      <c r="E37" s="328"/>
      <c r="F37" s="775"/>
      <c r="G37" s="777"/>
      <c r="H37" s="330">
        <f>H18</f>
        <v>4</v>
      </c>
      <c r="I37" s="328"/>
      <c r="J37" s="330">
        <f>J18</f>
        <v>8</v>
      </c>
    </row>
    <row r="38" spans="2:10" x14ac:dyDescent="0.25">
      <c r="B38" s="328" t="s">
        <v>21154</v>
      </c>
      <c r="C38" s="315" t="s">
        <v>21113</v>
      </c>
      <c r="D38" s="340" t="s">
        <v>21122</v>
      </c>
      <c r="E38" s="328"/>
      <c r="F38" s="775"/>
      <c r="G38" s="777"/>
      <c r="H38" s="330">
        <f>H17</f>
        <v>3.2</v>
      </c>
      <c r="I38" s="328"/>
      <c r="J38" s="330">
        <f>J17</f>
        <v>6.4</v>
      </c>
    </row>
    <row r="39" spans="2:10" x14ac:dyDescent="0.25">
      <c r="B39" s="328" t="s">
        <v>21154</v>
      </c>
      <c r="C39" s="315" t="s">
        <v>21121</v>
      </c>
      <c r="D39" s="340" t="s">
        <v>21131</v>
      </c>
      <c r="E39" s="328"/>
      <c r="F39" s="775"/>
      <c r="G39" s="777"/>
      <c r="H39" s="330">
        <f>H19+H20+H21+H23+H24+H25+H26+H27+H29</f>
        <v>34.799999999999997</v>
      </c>
      <c r="I39" s="328"/>
      <c r="J39" s="330">
        <f>J19+J20+J21+J23+J24+J25+J26+J27+J29</f>
        <v>69.599999999999994</v>
      </c>
    </row>
    <row r="40" spans="2:10" x14ac:dyDescent="0.25">
      <c r="B40" s="328" t="s">
        <v>21154</v>
      </c>
      <c r="C40" s="315" t="s">
        <v>21121</v>
      </c>
      <c r="D40" s="340" t="s">
        <v>21893</v>
      </c>
      <c r="E40" s="328"/>
      <c r="F40" s="775"/>
      <c r="G40" s="777"/>
      <c r="H40" s="545">
        <f>H12+H13+H15+H14+H28</f>
        <v>11.989999999999998</v>
      </c>
      <c r="I40" s="328"/>
      <c r="J40" s="545">
        <f>J12+J13+J15</f>
        <v>13.18</v>
      </c>
    </row>
    <row r="41" spans="2:10" x14ac:dyDescent="0.25">
      <c r="B41" s="328" t="s">
        <v>21154</v>
      </c>
      <c r="C41" s="315" t="s">
        <v>21121</v>
      </c>
      <c r="D41" s="340" t="s">
        <v>21141</v>
      </c>
      <c r="E41" s="328"/>
      <c r="F41" s="775"/>
      <c r="G41" s="777"/>
      <c r="H41" s="545">
        <f>H22</f>
        <v>0.8</v>
      </c>
      <c r="I41" s="328"/>
      <c r="J41" s="330">
        <f>J22</f>
        <v>1.6</v>
      </c>
    </row>
    <row r="43" spans="2:10" x14ac:dyDescent="0.25">
      <c r="H43" s="566">
        <f>SUM(H39:H41)</f>
        <v>47.589999999999989</v>
      </c>
    </row>
    <row r="44" spans="2:10" x14ac:dyDescent="0.25">
      <c r="H44" s="566">
        <f>SUM(H12:H15,H19:H29)</f>
        <v>47.589999999999989</v>
      </c>
    </row>
    <row r="46" spans="2:10" x14ac:dyDescent="0.25">
      <c r="H46" s="566">
        <f>H43-H44</f>
        <v>0</v>
      </c>
    </row>
  </sheetData>
  <mergeCells count="10">
    <mergeCell ref="B2:J2"/>
    <mergeCell ref="B34:H34"/>
    <mergeCell ref="B35:H35"/>
    <mergeCell ref="B33:H33"/>
    <mergeCell ref="F40:G40"/>
    <mergeCell ref="F41:G41"/>
    <mergeCell ref="F39:G39"/>
    <mergeCell ref="F36:G36"/>
    <mergeCell ref="F37:G37"/>
    <mergeCell ref="F38:G38"/>
  </mergeCells>
  <phoneticPr fontId="81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1" tint="0.14999847407452621"/>
  </sheetPr>
  <dimension ref="B2:Y59"/>
  <sheetViews>
    <sheetView workbookViewId="0">
      <selection activeCell="K15" sqref="K15"/>
    </sheetView>
  </sheetViews>
  <sheetFormatPr defaultColWidth="9.140625" defaultRowHeight="15" x14ac:dyDescent="0.25"/>
  <cols>
    <col min="1" max="1" width="3.140625" style="316" customWidth="1"/>
    <col min="2" max="2" width="6.42578125" style="316" customWidth="1"/>
    <col min="3" max="3" width="15.140625" style="316" customWidth="1"/>
    <col min="4" max="4" width="7.5703125" style="317" customWidth="1"/>
    <col min="5" max="5" width="7.85546875" style="316" customWidth="1"/>
    <col min="6" max="6" width="9.85546875" style="316" customWidth="1"/>
    <col min="7" max="7" width="2.85546875" style="316" customWidth="1"/>
    <col min="8" max="8" width="8.7109375" style="316" customWidth="1"/>
    <col min="9" max="9" width="8.5703125" style="316" customWidth="1"/>
    <col min="10" max="10" width="8.28515625" style="316" customWidth="1"/>
    <col min="11" max="11" width="10.7109375" style="316" customWidth="1"/>
    <col min="12" max="12" width="11" style="316" customWidth="1"/>
    <col min="13" max="13" width="2.7109375" style="316" customWidth="1"/>
    <col min="14" max="16" width="7.7109375" style="316" customWidth="1"/>
    <col min="17" max="17" width="9.85546875" style="316" customWidth="1"/>
    <col min="18" max="21" width="9.140625" style="316"/>
    <col min="22" max="22" width="10.140625" style="317" customWidth="1"/>
    <col min="23" max="23" width="7.5703125" style="317" customWidth="1"/>
    <col min="24" max="24" width="6.42578125" style="317" customWidth="1"/>
    <col min="25" max="16384" width="9.140625" style="316"/>
  </cols>
  <sheetData>
    <row r="2" spans="2:24" x14ac:dyDescent="0.25">
      <c r="B2" s="771" t="s">
        <v>21043</v>
      </c>
      <c r="C2" s="771"/>
      <c r="D2" s="771"/>
      <c r="E2" s="771"/>
      <c r="F2" s="771"/>
      <c r="H2" s="771" t="s">
        <v>21041</v>
      </c>
      <c r="I2" s="771"/>
      <c r="J2" s="771"/>
      <c r="K2" s="771"/>
      <c r="L2" s="771"/>
      <c r="N2" s="778" t="s">
        <v>20916</v>
      </c>
      <c r="O2" s="778"/>
      <c r="P2" s="778"/>
      <c r="Q2" s="778"/>
    </row>
    <row r="3" spans="2:24" ht="30" x14ac:dyDescent="0.25">
      <c r="B3" s="318" t="s">
        <v>20914</v>
      </c>
      <c r="C3" s="318" t="s">
        <v>21013</v>
      </c>
      <c r="D3" s="319" t="s">
        <v>88</v>
      </c>
      <c r="E3" s="319" t="s">
        <v>87</v>
      </c>
      <c r="F3" s="319" t="s">
        <v>20361</v>
      </c>
      <c r="G3" s="57"/>
      <c r="H3" s="318" t="s">
        <v>20914</v>
      </c>
      <c r="I3" s="319" t="s">
        <v>88</v>
      </c>
      <c r="J3" s="319" t="s">
        <v>21040</v>
      </c>
      <c r="K3" s="319" t="s">
        <v>20516</v>
      </c>
      <c r="L3" s="319" t="s">
        <v>20482</v>
      </c>
      <c r="N3" s="318" t="s">
        <v>20914</v>
      </c>
      <c r="O3" s="319" t="s">
        <v>88</v>
      </c>
      <c r="P3" s="319" t="s">
        <v>87</v>
      </c>
      <c r="Q3" s="319" t="s">
        <v>20915</v>
      </c>
    </row>
    <row r="4" spans="2:24" x14ac:dyDescent="0.25">
      <c r="B4" s="551" t="s">
        <v>21014</v>
      </c>
      <c r="C4" s="552" t="s">
        <v>21036</v>
      </c>
      <c r="D4" s="321">
        <v>14.86</v>
      </c>
      <c r="E4" s="321">
        <v>0.05</v>
      </c>
      <c r="F4" s="322">
        <f>ROUND(D4*E4,2)</f>
        <v>0.74</v>
      </c>
      <c r="G4" s="57"/>
      <c r="H4" s="320" t="s">
        <v>21014</v>
      </c>
      <c r="I4" s="321">
        <v>14.86</v>
      </c>
      <c r="J4" s="322" t="s">
        <v>21042</v>
      </c>
      <c r="K4" s="322">
        <v>3.11</v>
      </c>
      <c r="L4" s="322">
        <f>ROUND(I4*K4,2)</f>
        <v>46.21</v>
      </c>
      <c r="N4" s="320" t="s">
        <v>21014</v>
      </c>
      <c r="O4" s="321">
        <v>14.86</v>
      </c>
      <c r="P4" s="321">
        <v>0.02</v>
      </c>
      <c r="Q4" s="323">
        <f>ROUND(O4*P4,2)</f>
        <v>0.3</v>
      </c>
    </row>
    <row r="5" spans="2:24" x14ac:dyDescent="0.25">
      <c r="B5" s="547" t="s">
        <v>21015</v>
      </c>
      <c r="C5" s="548" t="s">
        <v>21037</v>
      </c>
      <c r="D5" s="321">
        <v>11.16</v>
      </c>
      <c r="E5" s="321">
        <v>0.05</v>
      </c>
      <c r="F5" s="323">
        <f t="shared" ref="F5:F24" si="0">ROUND(D5*E5,2)</f>
        <v>0.56000000000000005</v>
      </c>
      <c r="G5" s="57"/>
      <c r="H5" s="320" t="s">
        <v>21015</v>
      </c>
      <c r="I5" s="321">
        <v>11.16</v>
      </c>
      <c r="J5" s="323" t="str">
        <f>$J$4</f>
        <v>Q196</v>
      </c>
      <c r="K5" s="323">
        <f>$K$4</f>
        <v>3.11</v>
      </c>
      <c r="L5" s="322">
        <f t="shared" ref="L5:L24" si="1">ROUND(I5*K5,2)</f>
        <v>34.71</v>
      </c>
      <c r="N5" s="320" t="s">
        <v>21015</v>
      </c>
      <c r="O5" s="321">
        <v>11.16</v>
      </c>
      <c r="P5" s="321">
        <v>0.02</v>
      </c>
      <c r="Q5" s="323">
        <f t="shared" ref="Q5:Q24" si="2">ROUND(O5*P5,2)</f>
        <v>0.22</v>
      </c>
    </row>
    <row r="6" spans="2:24" x14ac:dyDescent="0.25">
      <c r="B6" s="546" t="s">
        <v>21016</v>
      </c>
      <c r="C6" s="321" t="s">
        <v>21021</v>
      </c>
      <c r="D6" s="321">
        <v>6.42</v>
      </c>
      <c r="E6" s="321">
        <v>0.05</v>
      </c>
      <c r="F6" s="323">
        <f t="shared" si="0"/>
        <v>0.32</v>
      </c>
      <c r="G6" s="57"/>
      <c r="H6" s="320" t="s">
        <v>21016</v>
      </c>
      <c r="I6" s="321">
        <v>6.42</v>
      </c>
      <c r="J6" s="323" t="str">
        <f>$J$4</f>
        <v>Q196</v>
      </c>
      <c r="K6" s="323">
        <f>$K$4</f>
        <v>3.11</v>
      </c>
      <c r="L6" s="322">
        <f t="shared" si="1"/>
        <v>19.97</v>
      </c>
      <c r="N6" s="320" t="s">
        <v>21016</v>
      </c>
      <c r="O6" s="321">
        <v>6.42</v>
      </c>
      <c r="P6" s="321">
        <v>0.02</v>
      </c>
      <c r="Q6" s="323">
        <f t="shared" si="2"/>
        <v>0.13</v>
      </c>
      <c r="V6" s="321" t="s">
        <v>21068</v>
      </c>
      <c r="W6" s="324">
        <f>100*20*0.0015</f>
        <v>3</v>
      </c>
      <c r="X6" s="324">
        <f>W6*50/60</f>
        <v>2.5</v>
      </c>
    </row>
    <row r="7" spans="2:24" x14ac:dyDescent="0.25">
      <c r="B7" s="555" t="s">
        <v>21017</v>
      </c>
      <c r="C7" s="556" t="s">
        <v>21260</v>
      </c>
      <c r="D7" s="321">
        <v>10.25</v>
      </c>
      <c r="E7" s="321">
        <v>0.05</v>
      </c>
      <c r="F7" s="323">
        <f t="shared" si="0"/>
        <v>0.51</v>
      </c>
      <c r="G7" s="57"/>
      <c r="H7" s="320" t="s">
        <v>21017</v>
      </c>
      <c r="I7" s="321">
        <v>10.25</v>
      </c>
      <c r="J7" s="561" t="s">
        <v>21044</v>
      </c>
      <c r="K7" s="561">
        <v>4.4800000000000004</v>
      </c>
      <c r="L7" s="322">
        <f t="shared" si="1"/>
        <v>45.92</v>
      </c>
      <c r="N7" s="320" t="s">
        <v>21017</v>
      </c>
      <c r="O7" s="321">
        <v>10.25</v>
      </c>
      <c r="P7" s="321">
        <v>0.02</v>
      </c>
      <c r="Q7" s="323">
        <f t="shared" si="2"/>
        <v>0.21</v>
      </c>
      <c r="V7" s="321" t="s">
        <v>21069</v>
      </c>
      <c r="W7" s="324">
        <f>100*16*0.0015</f>
        <v>2.4</v>
      </c>
      <c r="X7" s="324">
        <f>W7*50/60</f>
        <v>2</v>
      </c>
    </row>
    <row r="8" spans="2:24" x14ac:dyDescent="0.25">
      <c r="B8" s="547" t="s">
        <v>21018</v>
      </c>
      <c r="C8" s="548" t="s">
        <v>21037</v>
      </c>
      <c r="D8" s="321">
        <v>5.4560000000000004</v>
      </c>
      <c r="E8" s="321">
        <v>0.05</v>
      </c>
      <c r="F8" s="323">
        <f t="shared" si="0"/>
        <v>0.27</v>
      </c>
      <c r="G8" s="57"/>
      <c r="H8" s="320" t="s">
        <v>21018</v>
      </c>
      <c r="I8" s="321">
        <v>5.4560000000000004</v>
      </c>
      <c r="J8" s="323" t="str">
        <f t="shared" ref="J8:J24" si="3">$J$4</f>
        <v>Q196</v>
      </c>
      <c r="K8" s="323">
        <f t="shared" ref="K8:K24" si="4">$K$4</f>
        <v>3.11</v>
      </c>
      <c r="L8" s="322">
        <f t="shared" si="1"/>
        <v>16.97</v>
      </c>
      <c r="N8" s="320" t="s">
        <v>21018</v>
      </c>
      <c r="O8" s="321">
        <v>5.4560000000000004</v>
      </c>
      <c r="P8" s="321">
        <v>0.02</v>
      </c>
      <c r="Q8" s="323">
        <f t="shared" si="2"/>
        <v>0.11</v>
      </c>
      <c r="V8" s="321" t="s">
        <v>21070</v>
      </c>
      <c r="W8" s="324">
        <f>12*100*0.0015</f>
        <v>1.8</v>
      </c>
      <c r="X8" s="324">
        <f>W8*50/60</f>
        <v>1.5</v>
      </c>
    </row>
    <row r="9" spans="2:24" x14ac:dyDescent="0.25">
      <c r="B9" s="547" t="s">
        <v>21019</v>
      </c>
      <c r="C9" s="548" t="s">
        <v>21037</v>
      </c>
      <c r="D9" s="321">
        <v>11.26</v>
      </c>
      <c r="E9" s="321">
        <v>0.05</v>
      </c>
      <c r="F9" s="323">
        <f t="shared" si="0"/>
        <v>0.56000000000000005</v>
      </c>
      <c r="G9" s="57"/>
      <c r="H9" s="320" t="s">
        <v>21019</v>
      </c>
      <c r="I9" s="321">
        <v>11.26</v>
      </c>
      <c r="J9" s="323" t="str">
        <f t="shared" si="3"/>
        <v>Q196</v>
      </c>
      <c r="K9" s="323">
        <f t="shared" si="4"/>
        <v>3.11</v>
      </c>
      <c r="L9" s="322">
        <f t="shared" si="1"/>
        <v>35.020000000000003</v>
      </c>
      <c r="N9" s="320" t="s">
        <v>21019</v>
      </c>
      <c r="O9" s="321">
        <v>11.26</v>
      </c>
      <c r="P9" s="321">
        <v>0.02</v>
      </c>
      <c r="Q9" s="323">
        <f t="shared" si="2"/>
        <v>0.23</v>
      </c>
    </row>
    <row r="10" spans="2:24" x14ac:dyDescent="0.25">
      <c r="B10" s="546" t="s">
        <v>21020</v>
      </c>
      <c r="C10" s="321" t="s">
        <v>21021</v>
      </c>
      <c r="D10" s="321">
        <v>6.47</v>
      </c>
      <c r="E10" s="321">
        <v>0.05</v>
      </c>
      <c r="F10" s="323">
        <f t="shared" si="0"/>
        <v>0.32</v>
      </c>
      <c r="G10" s="57"/>
      <c r="H10" s="320" t="s">
        <v>21020</v>
      </c>
      <c r="I10" s="321">
        <v>6.47</v>
      </c>
      <c r="J10" s="323" t="str">
        <f t="shared" si="3"/>
        <v>Q196</v>
      </c>
      <c r="K10" s="323">
        <f t="shared" si="4"/>
        <v>3.11</v>
      </c>
      <c r="L10" s="322">
        <f t="shared" si="1"/>
        <v>20.12</v>
      </c>
      <c r="N10" s="320" t="s">
        <v>21020</v>
      </c>
      <c r="O10" s="321">
        <v>6.47</v>
      </c>
      <c r="P10" s="321">
        <v>0.02</v>
      </c>
      <c r="Q10" s="323">
        <f t="shared" si="2"/>
        <v>0.13</v>
      </c>
    </row>
    <row r="11" spans="2:24" x14ac:dyDescent="0.25">
      <c r="B11" s="551" t="s">
        <v>21022</v>
      </c>
      <c r="C11" s="552" t="s">
        <v>21036</v>
      </c>
      <c r="D11" s="321">
        <v>19.14</v>
      </c>
      <c r="E11" s="321">
        <v>0.05</v>
      </c>
      <c r="F11" s="323">
        <f t="shared" si="0"/>
        <v>0.96</v>
      </c>
      <c r="G11" s="57"/>
      <c r="H11" s="320" t="s">
        <v>21022</v>
      </c>
      <c r="I11" s="321">
        <v>19.14</v>
      </c>
      <c r="J11" s="323" t="str">
        <f t="shared" si="3"/>
        <v>Q196</v>
      </c>
      <c r="K11" s="323">
        <f t="shared" si="4"/>
        <v>3.11</v>
      </c>
      <c r="L11" s="322">
        <f t="shared" si="1"/>
        <v>59.53</v>
      </c>
      <c r="N11" s="320" t="s">
        <v>21022</v>
      </c>
      <c r="O11" s="321">
        <v>19.14</v>
      </c>
      <c r="P11" s="321">
        <v>0.02</v>
      </c>
      <c r="Q11" s="323">
        <f t="shared" si="2"/>
        <v>0.38</v>
      </c>
    </row>
    <row r="12" spans="2:24" x14ac:dyDescent="0.25">
      <c r="B12" s="546" t="s">
        <v>21023</v>
      </c>
      <c r="C12" s="321" t="s">
        <v>21021</v>
      </c>
      <c r="D12" s="321">
        <v>5.74</v>
      </c>
      <c r="E12" s="321">
        <v>0.05</v>
      </c>
      <c r="F12" s="323">
        <f t="shared" si="0"/>
        <v>0.28999999999999998</v>
      </c>
      <c r="G12" s="57"/>
      <c r="H12" s="320" t="s">
        <v>21023</v>
      </c>
      <c r="I12" s="321">
        <v>5.74</v>
      </c>
      <c r="J12" s="323" t="str">
        <f t="shared" si="3"/>
        <v>Q196</v>
      </c>
      <c r="K12" s="323">
        <f t="shared" si="4"/>
        <v>3.11</v>
      </c>
      <c r="L12" s="322">
        <f t="shared" si="1"/>
        <v>17.850000000000001</v>
      </c>
      <c r="N12" s="320" t="s">
        <v>21023</v>
      </c>
      <c r="O12" s="321">
        <v>5.74</v>
      </c>
      <c r="P12" s="321">
        <v>0.02</v>
      </c>
      <c r="Q12" s="323">
        <f t="shared" si="2"/>
        <v>0.11</v>
      </c>
    </row>
    <row r="13" spans="2:24" x14ac:dyDescent="0.25">
      <c r="B13" s="546" t="s">
        <v>21024</v>
      </c>
      <c r="C13" s="321" t="s">
        <v>21021</v>
      </c>
      <c r="D13" s="321">
        <v>6.08</v>
      </c>
      <c r="E13" s="321">
        <v>0.05</v>
      </c>
      <c r="F13" s="323">
        <f t="shared" si="0"/>
        <v>0.3</v>
      </c>
      <c r="G13" s="57"/>
      <c r="H13" s="320" t="s">
        <v>21024</v>
      </c>
      <c r="I13" s="321">
        <v>6.08</v>
      </c>
      <c r="J13" s="323" t="str">
        <f t="shared" si="3"/>
        <v>Q196</v>
      </c>
      <c r="K13" s="323">
        <f t="shared" si="4"/>
        <v>3.11</v>
      </c>
      <c r="L13" s="322">
        <f t="shared" si="1"/>
        <v>18.91</v>
      </c>
      <c r="N13" s="320" t="s">
        <v>21024</v>
      </c>
      <c r="O13" s="321">
        <v>6.08</v>
      </c>
      <c r="P13" s="321">
        <v>0.02</v>
      </c>
      <c r="Q13" s="323">
        <f t="shared" si="2"/>
        <v>0.12</v>
      </c>
    </row>
    <row r="14" spans="2:24" x14ac:dyDescent="0.25">
      <c r="B14" s="546" t="s">
        <v>21025</v>
      </c>
      <c r="C14" s="321" t="s">
        <v>21021</v>
      </c>
      <c r="D14" s="321">
        <v>8.18</v>
      </c>
      <c r="E14" s="321">
        <v>0.05</v>
      </c>
      <c r="F14" s="323">
        <f t="shared" si="0"/>
        <v>0.41</v>
      </c>
      <c r="G14" s="57"/>
      <c r="H14" s="320" t="s">
        <v>21025</v>
      </c>
      <c r="I14" s="321">
        <v>8.18</v>
      </c>
      <c r="J14" s="323" t="str">
        <f t="shared" si="3"/>
        <v>Q196</v>
      </c>
      <c r="K14" s="323">
        <f t="shared" si="4"/>
        <v>3.11</v>
      </c>
      <c r="L14" s="322">
        <f t="shared" si="1"/>
        <v>25.44</v>
      </c>
      <c r="N14" s="320" t="s">
        <v>21025</v>
      </c>
      <c r="O14" s="321">
        <v>8.18</v>
      </c>
      <c r="P14" s="321">
        <v>0.02</v>
      </c>
      <c r="Q14" s="323">
        <f t="shared" si="2"/>
        <v>0.16</v>
      </c>
    </row>
    <row r="15" spans="2:24" x14ac:dyDescent="0.25">
      <c r="B15" s="546" t="s">
        <v>21026</v>
      </c>
      <c r="C15" s="321" t="s">
        <v>21021</v>
      </c>
      <c r="D15" s="324">
        <v>5.7</v>
      </c>
      <c r="E15" s="321">
        <v>0.05</v>
      </c>
      <c r="F15" s="323">
        <f t="shared" si="0"/>
        <v>0.28999999999999998</v>
      </c>
      <c r="G15" s="57"/>
      <c r="H15" s="320" t="s">
        <v>21026</v>
      </c>
      <c r="I15" s="324">
        <v>5.7</v>
      </c>
      <c r="J15" s="323" t="str">
        <f t="shared" si="3"/>
        <v>Q196</v>
      </c>
      <c r="K15" s="323">
        <f t="shared" si="4"/>
        <v>3.11</v>
      </c>
      <c r="L15" s="322">
        <f t="shared" si="1"/>
        <v>17.73</v>
      </c>
      <c r="N15" s="320" t="s">
        <v>21026</v>
      </c>
      <c r="O15" s="324">
        <v>5.7</v>
      </c>
      <c r="P15" s="321">
        <v>0.02</v>
      </c>
      <c r="Q15" s="323">
        <f t="shared" si="2"/>
        <v>0.11</v>
      </c>
    </row>
    <row r="16" spans="2:24" x14ac:dyDescent="0.25">
      <c r="B16" s="546" t="s">
        <v>21027</v>
      </c>
      <c r="C16" s="321" t="s">
        <v>21021</v>
      </c>
      <c r="D16" s="321">
        <v>2.11</v>
      </c>
      <c r="E16" s="321">
        <v>0.05</v>
      </c>
      <c r="F16" s="323">
        <f t="shared" si="0"/>
        <v>0.11</v>
      </c>
      <c r="G16" s="57"/>
      <c r="H16" s="320" t="s">
        <v>21027</v>
      </c>
      <c r="I16" s="321">
        <v>2.11</v>
      </c>
      <c r="J16" s="323" t="str">
        <f t="shared" si="3"/>
        <v>Q196</v>
      </c>
      <c r="K16" s="323">
        <f t="shared" si="4"/>
        <v>3.11</v>
      </c>
      <c r="L16" s="322">
        <f t="shared" si="1"/>
        <v>6.56</v>
      </c>
      <c r="N16" s="320" t="s">
        <v>21027</v>
      </c>
      <c r="O16" s="321">
        <v>2.11</v>
      </c>
      <c r="P16" s="321">
        <v>0.02</v>
      </c>
      <c r="Q16" s="323">
        <f t="shared" si="2"/>
        <v>0.04</v>
      </c>
    </row>
    <row r="17" spans="2:17" x14ac:dyDescent="0.25">
      <c r="B17" s="553" t="s">
        <v>21028</v>
      </c>
      <c r="C17" s="554" t="s">
        <v>21104</v>
      </c>
      <c r="D17" s="321">
        <v>14.17</v>
      </c>
      <c r="E17" s="321">
        <v>0.05</v>
      </c>
      <c r="F17" s="323">
        <f t="shared" si="0"/>
        <v>0.71</v>
      </c>
      <c r="G17" s="57"/>
      <c r="H17" s="320" t="s">
        <v>21028</v>
      </c>
      <c r="I17" s="321">
        <v>14.17</v>
      </c>
      <c r="J17" s="323" t="str">
        <f t="shared" si="3"/>
        <v>Q196</v>
      </c>
      <c r="K17" s="323">
        <f t="shared" si="4"/>
        <v>3.11</v>
      </c>
      <c r="L17" s="322">
        <f t="shared" si="1"/>
        <v>44.07</v>
      </c>
      <c r="N17" s="320" t="s">
        <v>21028</v>
      </c>
      <c r="O17" s="321">
        <v>14.17</v>
      </c>
      <c r="P17" s="321">
        <v>0.02</v>
      </c>
      <c r="Q17" s="323">
        <f t="shared" si="2"/>
        <v>0.28000000000000003</v>
      </c>
    </row>
    <row r="18" spans="2:17" x14ac:dyDescent="0.25">
      <c r="B18" s="546" t="s">
        <v>21029</v>
      </c>
      <c r="C18" s="321" t="s">
        <v>21021</v>
      </c>
      <c r="D18" s="321">
        <v>6.95</v>
      </c>
      <c r="E18" s="321">
        <v>0.05</v>
      </c>
      <c r="F18" s="323">
        <f t="shared" si="0"/>
        <v>0.35</v>
      </c>
      <c r="G18" s="57"/>
      <c r="H18" s="320" t="s">
        <v>21029</v>
      </c>
      <c r="I18" s="321">
        <v>6.95</v>
      </c>
      <c r="J18" s="323" t="str">
        <f t="shared" si="3"/>
        <v>Q196</v>
      </c>
      <c r="K18" s="323">
        <f t="shared" si="4"/>
        <v>3.11</v>
      </c>
      <c r="L18" s="322">
        <f t="shared" si="1"/>
        <v>21.61</v>
      </c>
      <c r="N18" s="320" t="s">
        <v>21029</v>
      </c>
      <c r="O18" s="321">
        <v>6.95</v>
      </c>
      <c r="P18" s="321">
        <v>0.02</v>
      </c>
      <c r="Q18" s="323">
        <f t="shared" si="2"/>
        <v>0.14000000000000001</v>
      </c>
    </row>
    <row r="19" spans="2:17" x14ac:dyDescent="0.25">
      <c r="B19" s="546" t="s">
        <v>21030</v>
      </c>
      <c r="C19" s="321" t="s">
        <v>21021</v>
      </c>
      <c r="D19" s="321">
        <v>2.69</v>
      </c>
      <c r="E19" s="321">
        <v>0.05</v>
      </c>
      <c r="F19" s="323">
        <f t="shared" si="0"/>
        <v>0.13</v>
      </c>
      <c r="G19" s="57"/>
      <c r="H19" s="320" t="s">
        <v>21030</v>
      </c>
      <c r="I19" s="321">
        <v>2.69</v>
      </c>
      <c r="J19" s="323" t="str">
        <f t="shared" si="3"/>
        <v>Q196</v>
      </c>
      <c r="K19" s="323">
        <f t="shared" si="4"/>
        <v>3.11</v>
      </c>
      <c r="L19" s="322">
        <f t="shared" si="1"/>
        <v>8.3699999999999992</v>
      </c>
      <c r="N19" s="320" t="s">
        <v>21030</v>
      </c>
      <c r="O19" s="321">
        <v>2.69</v>
      </c>
      <c r="P19" s="321">
        <v>0.02</v>
      </c>
      <c r="Q19" s="323">
        <f t="shared" si="2"/>
        <v>0.05</v>
      </c>
    </row>
    <row r="20" spans="2:17" x14ac:dyDescent="0.25">
      <c r="B20" s="546" t="s">
        <v>21031</v>
      </c>
      <c r="C20" s="321" t="s">
        <v>21021</v>
      </c>
      <c r="D20" s="324">
        <v>3.5</v>
      </c>
      <c r="E20" s="321">
        <v>0.05</v>
      </c>
      <c r="F20" s="323">
        <f t="shared" si="0"/>
        <v>0.18</v>
      </c>
      <c r="G20" s="57"/>
      <c r="H20" s="320" t="s">
        <v>21031</v>
      </c>
      <c r="I20" s="321">
        <v>3.5</v>
      </c>
      <c r="J20" s="323" t="str">
        <f t="shared" si="3"/>
        <v>Q196</v>
      </c>
      <c r="K20" s="323">
        <f t="shared" si="4"/>
        <v>3.11</v>
      </c>
      <c r="L20" s="322">
        <f t="shared" si="1"/>
        <v>10.89</v>
      </c>
      <c r="N20" s="320" t="s">
        <v>21031</v>
      </c>
      <c r="O20" s="321">
        <v>3.5</v>
      </c>
      <c r="P20" s="321">
        <v>0.02</v>
      </c>
      <c r="Q20" s="323">
        <f t="shared" si="2"/>
        <v>7.0000000000000007E-2</v>
      </c>
    </row>
    <row r="21" spans="2:17" x14ac:dyDescent="0.25">
      <c r="B21" s="546" t="s">
        <v>21032</v>
      </c>
      <c r="C21" s="321" t="s">
        <v>21021</v>
      </c>
      <c r="D21" s="321">
        <v>15.2</v>
      </c>
      <c r="E21" s="321">
        <v>0.05</v>
      </c>
      <c r="F21" s="323">
        <f t="shared" si="0"/>
        <v>0.76</v>
      </c>
      <c r="G21" s="57"/>
      <c r="H21" s="320" t="s">
        <v>21032</v>
      </c>
      <c r="I21" s="321">
        <v>15.2</v>
      </c>
      <c r="J21" s="323" t="str">
        <f t="shared" si="3"/>
        <v>Q196</v>
      </c>
      <c r="K21" s="323">
        <f t="shared" si="4"/>
        <v>3.11</v>
      </c>
      <c r="L21" s="322">
        <f t="shared" si="1"/>
        <v>47.27</v>
      </c>
      <c r="N21" s="320" t="s">
        <v>21032</v>
      </c>
      <c r="O21" s="321">
        <v>15.2</v>
      </c>
      <c r="P21" s="321">
        <v>0.02</v>
      </c>
      <c r="Q21" s="323">
        <f t="shared" si="2"/>
        <v>0.3</v>
      </c>
    </row>
    <row r="22" spans="2:17" x14ac:dyDescent="0.25">
      <c r="B22" s="546" t="s">
        <v>21033</v>
      </c>
      <c r="C22" s="321" t="s">
        <v>21021</v>
      </c>
      <c r="D22" s="321">
        <v>4.7699999999999996</v>
      </c>
      <c r="E22" s="321">
        <v>0.05</v>
      </c>
      <c r="F22" s="323">
        <f t="shared" si="0"/>
        <v>0.24</v>
      </c>
      <c r="G22" s="57"/>
      <c r="H22" s="320" t="s">
        <v>21033</v>
      </c>
      <c r="I22" s="321">
        <v>4.7699999999999996</v>
      </c>
      <c r="J22" s="323" t="str">
        <f t="shared" si="3"/>
        <v>Q196</v>
      </c>
      <c r="K22" s="323">
        <f t="shared" si="4"/>
        <v>3.11</v>
      </c>
      <c r="L22" s="322">
        <f t="shared" si="1"/>
        <v>14.83</v>
      </c>
      <c r="N22" s="320" t="s">
        <v>21033</v>
      </c>
      <c r="O22" s="321">
        <v>4.7699999999999996</v>
      </c>
      <c r="P22" s="321">
        <v>0.02</v>
      </c>
      <c r="Q22" s="323">
        <f t="shared" si="2"/>
        <v>0.1</v>
      </c>
    </row>
    <row r="23" spans="2:17" x14ac:dyDescent="0.25">
      <c r="B23" s="546" t="s">
        <v>21034</v>
      </c>
      <c r="C23" s="321" t="s">
        <v>21021</v>
      </c>
      <c r="D23" s="321">
        <v>5.32</v>
      </c>
      <c r="E23" s="321">
        <v>0.05</v>
      </c>
      <c r="F23" s="323">
        <f t="shared" si="0"/>
        <v>0.27</v>
      </c>
      <c r="G23" s="57"/>
      <c r="H23" s="320" t="s">
        <v>21034</v>
      </c>
      <c r="I23" s="321">
        <v>5.32</v>
      </c>
      <c r="J23" s="323" t="str">
        <f t="shared" si="3"/>
        <v>Q196</v>
      </c>
      <c r="K23" s="323">
        <f t="shared" si="4"/>
        <v>3.11</v>
      </c>
      <c r="L23" s="322">
        <f t="shared" si="1"/>
        <v>16.55</v>
      </c>
      <c r="N23" s="320" t="s">
        <v>21034</v>
      </c>
      <c r="O23" s="321">
        <v>5.32</v>
      </c>
      <c r="P23" s="321">
        <v>0.02</v>
      </c>
      <c r="Q23" s="323">
        <f t="shared" si="2"/>
        <v>0.11</v>
      </c>
    </row>
    <row r="24" spans="2:17" x14ac:dyDescent="0.25">
      <c r="B24" s="546" t="s">
        <v>21035</v>
      </c>
      <c r="C24" s="321" t="s">
        <v>21021</v>
      </c>
      <c r="D24" s="321">
        <v>4.7699999999999996</v>
      </c>
      <c r="E24" s="321">
        <v>0.05</v>
      </c>
      <c r="F24" s="323">
        <f t="shared" si="0"/>
        <v>0.24</v>
      </c>
      <c r="G24" s="57"/>
      <c r="H24" s="320" t="s">
        <v>21035</v>
      </c>
      <c r="I24" s="321">
        <v>4.7699999999999996</v>
      </c>
      <c r="J24" s="323" t="str">
        <f t="shared" si="3"/>
        <v>Q196</v>
      </c>
      <c r="K24" s="323">
        <f t="shared" si="4"/>
        <v>3.11</v>
      </c>
      <c r="L24" s="322">
        <f t="shared" si="1"/>
        <v>14.83</v>
      </c>
      <c r="N24" s="320" t="s">
        <v>21035</v>
      </c>
      <c r="O24" s="321">
        <v>4.7699999999999996</v>
      </c>
      <c r="P24" s="321">
        <v>0.02</v>
      </c>
      <c r="Q24" s="323">
        <f t="shared" si="2"/>
        <v>0.1</v>
      </c>
    </row>
    <row r="25" spans="2:17" x14ac:dyDescent="0.25">
      <c r="B25" s="325" t="s">
        <v>9</v>
      </c>
      <c r="C25" s="326"/>
      <c r="D25" s="327">
        <f>SUM(D4:D24)</f>
        <v>170.196</v>
      </c>
      <c r="E25" s="328"/>
      <c r="F25" s="315">
        <f>SUM(F4:F24)</f>
        <v>8.52</v>
      </c>
      <c r="H25" s="775" t="s">
        <v>7</v>
      </c>
      <c r="I25" s="776"/>
      <c r="J25" s="776"/>
      <c r="K25" s="777"/>
      <c r="L25" s="315">
        <f>SUM(L4:L24)</f>
        <v>543.36000000000013</v>
      </c>
      <c r="N25" s="771" t="s">
        <v>7</v>
      </c>
      <c r="O25" s="771"/>
      <c r="P25" s="771"/>
      <c r="Q25" s="330">
        <f>SUM(Q4:Q24)</f>
        <v>3.4</v>
      </c>
    </row>
    <row r="26" spans="2:17" x14ac:dyDescent="0.25">
      <c r="B26" s="325" t="s">
        <v>7</v>
      </c>
      <c r="C26" s="315" t="s">
        <v>21261</v>
      </c>
      <c r="D26" s="329">
        <f>D7</f>
        <v>10.25</v>
      </c>
      <c r="E26" s="330"/>
      <c r="F26" s="330">
        <f t="shared" ref="F26" si="5">F7</f>
        <v>0.51</v>
      </c>
      <c r="H26"/>
      <c r="I26"/>
      <c r="J26"/>
      <c r="K26"/>
      <c r="L26"/>
    </row>
    <row r="27" spans="2:17" x14ac:dyDescent="0.25">
      <c r="B27" s="325" t="s">
        <v>7</v>
      </c>
      <c r="C27" s="315" t="s">
        <v>21036</v>
      </c>
      <c r="D27" s="329">
        <f>D4+D11</f>
        <v>34</v>
      </c>
      <c r="E27" s="330"/>
      <c r="F27" s="330">
        <f t="shared" ref="F27" si="6">F4+F11</f>
        <v>1.7</v>
      </c>
      <c r="H27"/>
      <c r="I27"/>
      <c r="J27"/>
      <c r="K27"/>
      <c r="L27"/>
    </row>
    <row r="28" spans="2:17" x14ac:dyDescent="0.25">
      <c r="B28" s="325" t="s">
        <v>7</v>
      </c>
      <c r="C28" s="315" t="s">
        <v>21037</v>
      </c>
      <c r="D28" s="329">
        <f>D5+D8+D9</f>
        <v>27.875999999999998</v>
      </c>
      <c r="E28" s="330"/>
      <c r="F28" s="330">
        <f t="shared" ref="F28" si="7">F5+F8+F9</f>
        <v>1.3900000000000001</v>
      </c>
    </row>
    <row r="29" spans="2:17" x14ac:dyDescent="0.25">
      <c r="B29" s="325" t="s">
        <v>7</v>
      </c>
      <c r="C29" s="315" t="s">
        <v>21105</v>
      </c>
      <c r="D29" s="329">
        <f>D17</f>
        <v>14.17</v>
      </c>
      <c r="E29" s="330"/>
      <c r="F29" s="330">
        <f t="shared" ref="F29" si="8">F17</f>
        <v>0.71</v>
      </c>
    </row>
    <row r="30" spans="2:17" x14ac:dyDescent="0.25">
      <c r="B30" s="325" t="s">
        <v>7</v>
      </c>
      <c r="C30" s="315" t="s">
        <v>21021</v>
      </c>
      <c r="D30" s="329">
        <f>D6+D10+D12+D13+D14+D15+D16+D18+D19+D20+D21+D22+D23+D24</f>
        <v>83.899999999999991</v>
      </c>
      <c r="E30" s="330"/>
      <c r="F30" s="330">
        <f t="shared" ref="F30" si="9">F6+F10+F12+F13+F14+F15+F16+F18+F19+F20+F21+F22+F23+F24</f>
        <v>4.21</v>
      </c>
    </row>
    <row r="31" spans="2:17" x14ac:dyDescent="0.25">
      <c r="D31" s="368">
        <f>D25-D26</f>
        <v>159.946</v>
      </c>
    </row>
    <row r="33" spans="2:25" x14ac:dyDescent="0.25">
      <c r="B33" s="771" t="s">
        <v>21043</v>
      </c>
      <c r="C33" s="771"/>
      <c r="D33" s="771"/>
      <c r="E33" s="771"/>
      <c r="F33" s="771"/>
      <c r="H33" s="771" t="s">
        <v>21041</v>
      </c>
      <c r="I33" s="771"/>
      <c r="J33" s="771"/>
      <c r="K33" s="771"/>
      <c r="L33" s="771"/>
      <c r="V33" s="794" t="s">
        <v>21097</v>
      </c>
      <c r="W33" s="795"/>
      <c r="X33" s="795"/>
      <c r="Y33" s="796"/>
    </row>
    <row r="34" spans="2:25" ht="30" x14ac:dyDescent="0.25">
      <c r="B34" s="318" t="s">
        <v>20914</v>
      </c>
      <c r="C34" s="318" t="s">
        <v>21013</v>
      </c>
      <c r="D34" s="319" t="s">
        <v>88</v>
      </c>
      <c r="E34" s="319" t="s">
        <v>87</v>
      </c>
      <c r="F34" s="319" t="s">
        <v>20361</v>
      </c>
      <c r="H34" s="318" t="s">
        <v>20914</v>
      </c>
      <c r="I34" s="319" t="s">
        <v>88</v>
      </c>
      <c r="J34" s="319" t="s">
        <v>21040</v>
      </c>
      <c r="K34" s="319" t="s">
        <v>20516</v>
      </c>
      <c r="L34" s="319" t="s">
        <v>20482</v>
      </c>
      <c r="V34" s="331" t="s">
        <v>21040</v>
      </c>
      <c r="W34" s="331" t="s">
        <v>21095</v>
      </c>
      <c r="X34" s="331" t="s">
        <v>21073</v>
      </c>
      <c r="Y34" s="331" t="s">
        <v>21096</v>
      </c>
    </row>
    <row r="35" spans="2:25" x14ac:dyDescent="0.25">
      <c r="B35" s="557" t="s">
        <v>21098</v>
      </c>
      <c r="C35" s="558" t="s">
        <v>21099</v>
      </c>
      <c r="D35" s="324">
        <v>11.06</v>
      </c>
      <c r="E35" s="321">
        <v>0.05</v>
      </c>
      <c r="F35" s="322">
        <f t="shared" ref="F35:F38" si="10">ROUND(D35*E35,2)</f>
        <v>0.55000000000000004</v>
      </c>
      <c r="H35" s="320" t="s">
        <v>21098</v>
      </c>
      <c r="I35" s="324">
        <v>11.06</v>
      </c>
      <c r="J35" s="322" t="s">
        <v>21071</v>
      </c>
      <c r="K35" s="322">
        <v>2.63</v>
      </c>
      <c r="L35" s="322">
        <f>ROUND(I35*K35,2)</f>
        <v>29.09</v>
      </c>
      <c r="V35" s="320" t="s">
        <v>21074</v>
      </c>
      <c r="W35" s="321" t="s">
        <v>21093</v>
      </c>
      <c r="X35" s="332">
        <v>3.4</v>
      </c>
      <c r="Y35" s="324">
        <v>0.97</v>
      </c>
    </row>
    <row r="36" spans="2:25" x14ac:dyDescent="0.25">
      <c r="B36" s="559" t="s">
        <v>21100</v>
      </c>
      <c r="C36" s="560" t="s">
        <v>21106</v>
      </c>
      <c r="D36" s="324">
        <v>13.25</v>
      </c>
      <c r="E36" s="321">
        <v>0.05</v>
      </c>
      <c r="F36" s="322">
        <f t="shared" si="10"/>
        <v>0.66</v>
      </c>
      <c r="H36" s="320" t="s">
        <v>21100</v>
      </c>
      <c r="I36" s="324">
        <v>13.25</v>
      </c>
      <c r="J36" s="562" t="s">
        <v>21044</v>
      </c>
      <c r="K36" s="562">
        <v>4.4800000000000004</v>
      </c>
      <c r="L36" s="322">
        <f t="shared" ref="L36:L38" si="11">ROUND(I36*K36,2)</f>
        <v>59.36</v>
      </c>
      <c r="V36" s="320" t="s">
        <v>21075</v>
      </c>
      <c r="W36" s="321" t="s">
        <v>21093</v>
      </c>
      <c r="X36" s="332">
        <v>3.8</v>
      </c>
      <c r="Y36" s="324">
        <v>1.21</v>
      </c>
    </row>
    <row r="37" spans="2:25" x14ac:dyDescent="0.25">
      <c r="B37" s="549" t="s">
        <v>21101</v>
      </c>
      <c r="C37" s="550" t="s">
        <v>21107</v>
      </c>
      <c r="D37" s="324">
        <v>18.96</v>
      </c>
      <c r="E37" s="321">
        <v>0.05</v>
      </c>
      <c r="F37" s="322">
        <f t="shared" si="10"/>
        <v>0.95</v>
      </c>
      <c r="H37" s="320" t="s">
        <v>21101</v>
      </c>
      <c r="I37" s="324">
        <v>18.96</v>
      </c>
      <c r="J37" s="322" t="s">
        <v>21071</v>
      </c>
      <c r="K37" s="322">
        <v>2.63</v>
      </c>
      <c r="L37" s="322">
        <f t="shared" si="11"/>
        <v>49.86</v>
      </c>
      <c r="V37" s="320" t="s">
        <v>21076</v>
      </c>
      <c r="W37" s="321" t="s">
        <v>21093</v>
      </c>
      <c r="X37" s="332">
        <v>4.2</v>
      </c>
      <c r="Y37" s="324">
        <v>1.48</v>
      </c>
    </row>
    <row r="38" spans="2:25" x14ac:dyDescent="0.25">
      <c r="B38" s="557" t="s">
        <v>21102</v>
      </c>
      <c r="C38" s="558" t="s">
        <v>21099</v>
      </c>
      <c r="D38" s="324">
        <v>11.06</v>
      </c>
      <c r="E38" s="321">
        <v>0.05</v>
      </c>
      <c r="F38" s="322">
        <f t="shared" si="10"/>
        <v>0.55000000000000004</v>
      </c>
      <c r="H38" s="320" t="s">
        <v>21102</v>
      </c>
      <c r="I38" s="324">
        <v>18.96</v>
      </c>
      <c r="J38" s="322" t="s">
        <v>21071</v>
      </c>
      <c r="K38" s="322">
        <v>2.63</v>
      </c>
      <c r="L38" s="322">
        <f t="shared" si="11"/>
        <v>49.86</v>
      </c>
      <c r="V38" s="320" t="s">
        <v>21077</v>
      </c>
      <c r="W38" s="321" t="s">
        <v>21091</v>
      </c>
      <c r="X38" s="332">
        <v>3.8</v>
      </c>
      <c r="Y38" s="324">
        <v>1.8</v>
      </c>
    </row>
    <row r="39" spans="2:25" x14ac:dyDescent="0.25">
      <c r="B39" s="325" t="s">
        <v>9</v>
      </c>
      <c r="C39" s="326"/>
      <c r="D39" s="333">
        <f>SUM(D35:D38)</f>
        <v>54.330000000000005</v>
      </c>
      <c r="E39" s="328"/>
      <c r="F39" s="333">
        <f>SUM(F35:F38)</f>
        <v>2.71</v>
      </c>
      <c r="H39" s="775" t="s">
        <v>7</v>
      </c>
      <c r="I39" s="776"/>
      <c r="J39" s="776"/>
      <c r="K39" s="777"/>
      <c r="L39" s="315">
        <f>SUM(L35:L38)</f>
        <v>188.17000000000002</v>
      </c>
      <c r="V39" s="320" t="s">
        <v>21078</v>
      </c>
      <c r="W39" s="321" t="s">
        <v>21091</v>
      </c>
      <c r="X39" s="332">
        <v>4.2</v>
      </c>
      <c r="Y39" s="324">
        <v>2.2000000000000002</v>
      </c>
    </row>
    <row r="40" spans="2:25" x14ac:dyDescent="0.25">
      <c r="B40" s="325" t="s">
        <v>7</v>
      </c>
      <c r="C40" s="315" t="s">
        <v>21099</v>
      </c>
      <c r="D40" s="329">
        <f>D35+D38</f>
        <v>22.12</v>
      </c>
      <c r="E40" s="330"/>
      <c r="F40" s="329">
        <f>F35+F38</f>
        <v>1.1000000000000001</v>
      </c>
      <c r="V40" s="334" t="s">
        <v>21079</v>
      </c>
      <c r="W40" s="321" t="s">
        <v>21093</v>
      </c>
      <c r="X40" s="332">
        <v>5.5</v>
      </c>
      <c r="Y40" s="324">
        <v>2.54</v>
      </c>
    </row>
    <row r="41" spans="2:25" x14ac:dyDescent="0.25">
      <c r="B41" s="325" t="s">
        <v>7</v>
      </c>
      <c r="C41" s="315" t="s">
        <v>21103</v>
      </c>
      <c r="D41" s="329">
        <f>D37</f>
        <v>18.96</v>
      </c>
      <c r="E41" s="330"/>
      <c r="F41" s="329">
        <f>F37</f>
        <v>0.95</v>
      </c>
      <c r="V41" s="320" t="s">
        <v>21080</v>
      </c>
      <c r="W41" s="321" t="s">
        <v>21091</v>
      </c>
      <c r="X41" s="332">
        <v>4.5999999999999996</v>
      </c>
      <c r="Y41" s="324">
        <v>2.63</v>
      </c>
    </row>
    <row r="42" spans="2:25" x14ac:dyDescent="0.25">
      <c r="B42" s="325" t="s">
        <v>7</v>
      </c>
      <c r="C42" s="315" t="s">
        <v>21262</v>
      </c>
      <c r="D42" s="329">
        <f>D36</f>
        <v>13.25</v>
      </c>
      <c r="E42" s="330"/>
      <c r="F42" s="329">
        <f>F36</f>
        <v>0.66</v>
      </c>
      <c r="L42" s="316">
        <f>L25+L39</f>
        <v>731.5300000000002</v>
      </c>
      <c r="V42" s="320" t="s">
        <v>21081</v>
      </c>
      <c r="W42" s="321" t="s">
        <v>21091</v>
      </c>
      <c r="X42" s="332">
        <v>5</v>
      </c>
      <c r="Y42" s="324">
        <v>3.11</v>
      </c>
    </row>
    <row r="43" spans="2:25" x14ac:dyDescent="0.25">
      <c r="V43" s="320" t="s">
        <v>21082</v>
      </c>
      <c r="W43" s="321" t="s">
        <v>21091</v>
      </c>
      <c r="X43" s="332">
        <v>5.5</v>
      </c>
      <c r="Y43" s="324">
        <v>3.77</v>
      </c>
    </row>
    <row r="44" spans="2:25" x14ac:dyDescent="0.25">
      <c r="C44" s="317"/>
      <c r="D44" s="368">
        <f>D40+D41</f>
        <v>41.08</v>
      </c>
      <c r="E44" s="317"/>
      <c r="F44" s="368">
        <f>F40+F41</f>
        <v>2.0499999999999998</v>
      </c>
      <c r="I44" s="316">
        <f>0.51+0.66</f>
        <v>1.17</v>
      </c>
      <c r="V44" s="334" t="s">
        <v>21072</v>
      </c>
      <c r="W44" s="321" t="s">
        <v>21093</v>
      </c>
      <c r="X44" s="332">
        <v>7</v>
      </c>
      <c r="Y44" s="324">
        <v>4.1100000000000003</v>
      </c>
    </row>
    <row r="45" spans="2:25" x14ac:dyDescent="0.25">
      <c r="C45" s="317"/>
      <c r="E45" s="317"/>
      <c r="F45" s="335"/>
      <c r="V45" s="320" t="s">
        <v>21083</v>
      </c>
      <c r="W45" s="321" t="s">
        <v>21091</v>
      </c>
      <c r="X45" s="332">
        <v>6</v>
      </c>
      <c r="Y45" s="324">
        <v>4.4800000000000004</v>
      </c>
    </row>
    <row r="46" spans="2:25" x14ac:dyDescent="0.25">
      <c r="C46" s="317"/>
      <c r="E46" s="317"/>
      <c r="F46" s="335"/>
      <c r="V46" s="320" t="s">
        <v>21084</v>
      </c>
      <c r="W46" s="321" t="s">
        <v>21093</v>
      </c>
      <c r="X46" s="332">
        <v>8</v>
      </c>
      <c r="Y46" s="324">
        <v>5.37</v>
      </c>
    </row>
    <row r="47" spans="2:25" x14ac:dyDescent="0.25">
      <c r="C47" s="317"/>
      <c r="E47" s="317"/>
      <c r="F47" s="335"/>
      <c r="V47" s="320" t="s">
        <v>21085</v>
      </c>
      <c r="W47" s="321" t="s">
        <v>21091</v>
      </c>
      <c r="X47" s="332">
        <v>7</v>
      </c>
      <c r="Y47" s="324">
        <v>6.1</v>
      </c>
    </row>
    <row r="48" spans="2:25" x14ac:dyDescent="0.25">
      <c r="C48" s="317"/>
      <c r="E48" s="317"/>
      <c r="F48" s="335"/>
      <c r="V48" s="334" t="s">
        <v>21086</v>
      </c>
      <c r="W48" s="321" t="s">
        <v>21093</v>
      </c>
      <c r="X48" s="332">
        <v>9.5</v>
      </c>
      <c r="Y48" s="324">
        <v>7.56</v>
      </c>
    </row>
    <row r="49" spans="3:25" x14ac:dyDescent="0.25">
      <c r="C49" s="317"/>
      <c r="E49" s="317"/>
      <c r="F49" s="335"/>
      <c r="V49" s="320" t="s">
        <v>21087</v>
      </c>
      <c r="W49" s="321" t="s">
        <v>21091</v>
      </c>
      <c r="X49" s="332">
        <v>8</v>
      </c>
      <c r="Y49" s="324">
        <v>7.97</v>
      </c>
    </row>
    <row r="50" spans="3:25" x14ac:dyDescent="0.25">
      <c r="C50" s="317"/>
      <c r="E50" s="317"/>
      <c r="F50" s="317"/>
      <c r="V50" s="334" t="s">
        <v>21088</v>
      </c>
      <c r="W50" s="321" t="s">
        <v>21092</v>
      </c>
      <c r="X50" s="332">
        <v>9.5</v>
      </c>
      <c r="Y50" s="324">
        <v>9.41</v>
      </c>
    </row>
    <row r="51" spans="3:25" x14ac:dyDescent="0.25">
      <c r="C51" s="317"/>
      <c r="E51" s="317"/>
      <c r="F51" s="317"/>
      <c r="V51" s="320" t="s">
        <v>21089</v>
      </c>
      <c r="W51" s="321" t="s">
        <v>21091</v>
      </c>
      <c r="X51" s="332">
        <v>9.5</v>
      </c>
      <c r="Y51" s="324">
        <v>11.23</v>
      </c>
    </row>
    <row r="52" spans="3:25" x14ac:dyDescent="0.25">
      <c r="C52" s="317"/>
      <c r="E52" s="317"/>
      <c r="F52" s="317"/>
      <c r="V52" s="336" t="s">
        <v>21090</v>
      </c>
      <c r="W52" s="337" t="s">
        <v>21091</v>
      </c>
      <c r="X52" s="338">
        <v>10</v>
      </c>
      <c r="Y52" s="339">
        <v>12.46</v>
      </c>
    </row>
    <row r="53" spans="3:25" x14ac:dyDescent="0.25">
      <c r="C53" s="317"/>
      <c r="E53" s="317"/>
      <c r="F53" s="317"/>
      <c r="V53" s="793" t="s">
        <v>21094</v>
      </c>
      <c r="W53" s="793"/>
      <c r="X53" s="793"/>
      <c r="Y53" s="793"/>
    </row>
    <row r="54" spans="3:25" x14ac:dyDescent="0.25">
      <c r="C54" s="317"/>
      <c r="E54" s="317"/>
      <c r="F54" s="317"/>
    </row>
    <row r="55" spans="3:25" x14ac:dyDescent="0.25">
      <c r="C55" s="317"/>
      <c r="E55" s="317"/>
      <c r="F55" s="317"/>
    </row>
    <row r="56" spans="3:25" x14ac:dyDescent="0.25">
      <c r="C56" s="317"/>
      <c r="E56" s="317"/>
      <c r="F56" s="317"/>
    </row>
    <row r="57" spans="3:25" x14ac:dyDescent="0.25">
      <c r="C57" s="317"/>
      <c r="E57" s="317"/>
      <c r="F57" s="317"/>
    </row>
    <row r="58" spans="3:25" x14ac:dyDescent="0.25">
      <c r="C58" s="317"/>
      <c r="E58" s="317"/>
      <c r="F58" s="317"/>
    </row>
    <row r="59" spans="3:25" x14ac:dyDescent="0.25">
      <c r="C59" s="317"/>
      <c r="E59" s="317"/>
      <c r="F59" s="317"/>
    </row>
  </sheetData>
  <mergeCells count="10">
    <mergeCell ref="H2:L2"/>
    <mergeCell ref="H25:K25"/>
    <mergeCell ref="B2:F2"/>
    <mergeCell ref="V53:Y53"/>
    <mergeCell ref="V33:Y33"/>
    <mergeCell ref="B33:F33"/>
    <mergeCell ref="H33:L33"/>
    <mergeCell ref="H39:K39"/>
    <mergeCell ref="N2:Q2"/>
    <mergeCell ref="N25:P25"/>
  </mergeCells>
  <phoneticPr fontId="4" type="noConversion"/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1" tint="0.14999847407452621"/>
  </sheetPr>
  <dimension ref="B2:Y46"/>
  <sheetViews>
    <sheetView workbookViewId="0">
      <selection activeCell="G33" sqref="G33"/>
    </sheetView>
  </sheetViews>
  <sheetFormatPr defaultColWidth="9.140625" defaultRowHeight="15" x14ac:dyDescent="0.25"/>
  <cols>
    <col min="1" max="1" width="5" style="316" customWidth="1"/>
    <col min="2" max="2" width="10.7109375" style="316" customWidth="1"/>
    <col min="3" max="5" width="9.140625" style="316"/>
    <col min="6" max="6" width="4" style="316" customWidth="1"/>
    <col min="7" max="7" width="13" style="316" customWidth="1"/>
    <col min="8" max="8" width="15.7109375" style="316" customWidth="1"/>
    <col min="9" max="9" width="15.7109375" style="316" bestFit="1" customWidth="1"/>
    <col min="10" max="10" width="9.140625" style="316"/>
    <col min="11" max="11" width="5.140625" style="316" customWidth="1"/>
    <col min="12" max="12" width="27.85546875" style="316" bestFit="1" customWidth="1"/>
    <col min="13" max="13" width="13.7109375" style="316" customWidth="1"/>
    <col min="14" max="14" width="9.140625" style="316"/>
    <col min="15" max="15" width="7.7109375" style="316" customWidth="1"/>
    <col min="16" max="16" width="4.140625" style="316" customWidth="1"/>
    <col min="17" max="17" width="14.7109375" style="316" customWidth="1"/>
    <col min="18" max="18" width="15.5703125" style="316" customWidth="1"/>
    <col min="19" max="19" width="5" style="316" customWidth="1"/>
    <col min="20" max="20" width="11.140625" style="316" customWidth="1"/>
    <col min="21" max="21" width="15.7109375" style="316" customWidth="1"/>
    <col min="22" max="22" width="4" style="316" customWidth="1"/>
    <col min="23" max="23" width="14.7109375" style="316" customWidth="1"/>
    <col min="24" max="24" width="9.140625" style="316"/>
    <col min="25" max="25" width="14.85546875" style="316" customWidth="1"/>
    <col min="26" max="16384" width="9.140625" style="316"/>
  </cols>
  <sheetData>
    <row r="2" spans="2:25" x14ac:dyDescent="0.25">
      <c r="B2" s="772" t="s">
        <v>21186</v>
      </c>
      <c r="C2" s="773"/>
      <c r="D2" s="773"/>
      <c r="E2" s="774"/>
      <c r="G2" s="772" t="s">
        <v>21187</v>
      </c>
      <c r="H2" s="773"/>
      <c r="I2" s="773"/>
      <c r="J2" s="774"/>
      <c r="L2" s="778" t="s">
        <v>21857</v>
      </c>
      <c r="M2" s="778"/>
      <c r="N2" s="778"/>
      <c r="O2" s="778"/>
      <c r="Q2" s="775" t="s">
        <v>21281</v>
      </c>
      <c r="R2" s="777"/>
      <c r="T2" s="775" t="s">
        <v>21305</v>
      </c>
      <c r="U2" s="777"/>
      <c r="W2" s="771" t="s">
        <v>21325</v>
      </c>
      <c r="X2" s="771"/>
      <c r="Y2" s="771"/>
    </row>
    <row r="3" spans="2:25" ht="30" x14ac:dyDescent="0.25">
      <c r="B3" s="319" t="s">
        <v>107</v>
      </c>
      <c r="C3" s="319" t="s">
        <v>20604</v>
      </c>
      <c r="D3" s="319" t="s">
        <v>89</v>
      </c>
      <c r="E3" s="319" t="s">
        <v>88</v>
      </c>
      <c r="G3" s="318" t="s">
        <v>107</v>
      </c>
      <c r="H3" s="319" t="s">
        <v>21189</v>
      </c>
      <c r="I3" s="319" t="s">
        <v>21188</v>
      </c>
      <c r="J3" s="319" t="s">
        <v>88</v>
      </c>
      <c r="L3" s="341" t="s">
        <v>20914</v>
      </c>
      <c r="M3" s="342" t="s">
        <v>21252</v>
      </c>
      <c r="N3" s="342" t="s">
        <v>21251</v>
      </c>
      <c r="O3" s="342" t="s">
        <v>88</v>
      </c>
      <c r="Q3" s="341" t="s">
        <v>107</v>
      </c>
      <c r="R3" s="342" t="s">
        <v>21252</v>
      </c>
      <c r="T3" s="341" t="s">
        <v>107</v>
      </c>
      <c r="U3" s="342" t="s">
        <v>21252</v>
      </c>
      <c r="W3" s="341" t="s">
        <v>107</v>
      </c>
      <c r="X3" s="342" t="s">
        <v>21326</v>
      </c>
      <c r="Y3" s="342" t="s">
        <v>21252</v>
      </c>
    </row>
    <row r="4" spans="2:25" x14ac:dyDescent="0.25">
      <c r="B4" s="343" t="s">
        <v>21190</v>
      </c>
      <c r="C4" s="321">
        <v>11.51</v>
      </c>
      <c r="D4" s="324">
        <v>10.1</v>
      </c>
      <c r="E4" s="321">
        <f>ROUND(C4*D4,2)</f>
        <v>116.25</v>
      </c>
      <c r="G4" s="343" t="s">
        <v>21190</v>
      </c>
      <c r="H4" s="321">
        <f>4.75+6.93</f>
        <v>11.68</v>
      </c>
      <c r="I4" s="321">
        <v>11.51</v>
      </c>
      <c r="J4" s="324">
        <f>ROUND(H4*I4,2)</f>
        <v>134.44</v>
      </c>
      <c r="L4" s="343" t="s">
        <v>21245</v>
      </c>
      <c r="M4" s="324">
        <v>5.07</v>
      </c>
      <c r="N4" s="346">
        <v>2.3199999999999998</v>
      </c>
      <c r="O4" s="324">
        <f>ROUNDDOWN(M4*N4,2)</f>
        <v>11.76</v>
      </c>
      <c r="Q4" s="343" t="s">
        <v>21282</v>
      </c>
      <c r="R4" s="324">
        <v>0.6</v>
      </c>
      <c r="T4" s="343" t="s">
        <v>21306</v>
      </c>
      <c r="U4" s="324">
        <v>11.51</v>
      </c>
      <c r="W4" s="343" t="s">
        <v>21327</v>
      </c>
      <c r="X4" s="388">
        <v>100</v>
      </c>
      <c r="Y4" s="324">
        <v>4</v>
      </c>
    </row>
    <row r="5" spans="2:25" x14ac:dyDescent="0.25">
      <c r="B5" s="343" t="s">
        <v>21191</v>
      </c>
      <c r="C5" s="321">
        <v>4.75</v>
      </c>
      <c r="D5" s="321">
        <v>4.05</v>
      </c>
      <c r="E5" s="324">
        <f>ROUND(C5*D5,2)</f>
        <v>19.239999999999998</v>
      </c>
      <c r="G5" s="343" t="s">
        <v>21191</v>
      </c>
      <c r="H5" s="321">
        <v>4.68</v>
      </c>
      <c r="I5" s="321">
        <v>4.75</v>
      </c>
      <c r="J5" s="324">
        <f t="shared" ref="J5:J7" si="0">ROUND(H5*I5,2)</f>
        <v>22.23</v>
      </c>
      <c r="L5" s="343" t="s">
        <v>21246</v>
      </c>
      <c r="M5" s="324">
        <v>4.01</v>
      </c>
      <c r="N5" s="346">
        <v>3.76</v>
      </c>
      <c r="O5" s="324">
        <f>ROUNDDOWN(M5*N5,2)</f>
        <v>15.07</v>
      </c>
      <c r="Q5" s="343" t="s">
        <v>21283</v>
      </c>
      <c r="R5" s="324">
        <v>11.55</v>
      </c>
      <c r="T5" s="343" t="s">
        <v>21307</v>
      </c>
      <c r="U5" s="324">
        <v>11.51</v>
      </c>
      <c r="W5" s="343" t="s">
        <v>21328</v>
      </c>
      <c r="X5" s="388">
        <v>100</v>
      </c>
      <c r="Y5" s="324">
        <v>4</v>
      </c>
    </row>
    <row r="6" spans="2:25" x14ac:dyDescent="0.25">
      <c r="B6" s="343" t="s">
        <v>21192</v>
      </c>
      <c r="C6" s="321" t="s">
        <v>106</v>
      </c>
      <c r="D6" s="321" t="s">
        <v>106</v>
      </c>
      <c r="E6" s="324">
        <v>70.69</v>
      </c>
      <c r="G6" s="343" t="s">
        <v>21196</v>
      </c>
      <c r="H6" s="321">
        <v>5.95</v>
      </c>
      <c r="I6" s="321">
        <v>9.9499999999999993</v>
      </c>
      <c r="J6" s="324">
        <f t="shared" si="0"/>
        <v>59.2</v>
      </c>
      <c r="L6" s="343" t="s">
        <v>21247</v>
      </c>
      <c r="M6" s="346">
        <v>5.12</v>
      </c>
      <c r="N6" s="324">
        <v>2.0499999999999998</v>
      </c>
      <c r="O6" s="324">
        <f>ROUNDDOWN(M6*N6,2)</f>
        <v>10.49</v>
      </c>
      <c r="Q6" s="343" t="s">
        <v>21284</v>
      </c>
      <c r="R6" s="324">
        <v>10.1</v>
      </c>
      <c r="T6" s="343" t="s">
        <v>21308</v>
      </c>
      <c r="U6" s="324">
        <v>4.75</v>
      </c>
      <c r="W6" s="343" t="s">
        <v>21329</v>
      </c>
      <c r="X6" s="388">
        <v>100</v>
      </c>
      <c r="Y6" s="324">
        <v>4</v>
      </c>
    </row>
    <row r="7" spans="2:25" x14ac:dyDescent="0.25">
      <c r="B7" s="343" t="s">
        <v>21193</v>
      </c>
      <c r="C7" s="324">
        <v>4.0999999999999996</v>
      </c>
      <c r="D7" s="321">
        <v>4.05</v>
      </c>
      <c r="E7" s="324">
        <f>ROUND(C7*D7,2)</f>
        <v>16.61</v>
      </c>
      <c r="G7" s="343" t="s">
        <v>21197</v>
      </c>
      <c r="H7" s="321">
        <v>4.46</v>
      </c>
      <c r="I7" s="321">
        <v>5.31</v>
      </c>
      <c r="J7" s="324">
        <f t="shared" si="0"/>
        <v>23.68</v>
      </c>
      <c r="L7" s="343" t="s">
        <v>21248</v>
      </c>
      <c r="M7" s="324">
        <v>5.7</v>
      </c>
      <c r="N7" s="324">
        <v>3.29</v>
      </c>
      <c r="O7" s="324">
        <f>ROUNDUP(M7*N7,2)</f>
        <v>18.760000000000002</v>
      </c>
      <c r="Q7" s="343" t="s">
        <v>21285</v>
      </c>
      <c r="R7" s="324">
        <v>11.55</v>
      </c>
      <c r="T7" s="343" t="s">
        <v>21309</v>
      </c>
      <c r="U7" s="324">
        <v>9.9499999999999993</v>
      </c>
      <c r="W7" s="343" t="s">
        <v>21330</v>
      </c>
      <c r="X7" s="388">
        <v>100</v>
      </c>
      <c r="Y7" s="324">
        <v>4</v>
      </c>
    </row>
    <row r="8" spans="2:25" x14ac:dyDescent="0.25">
      <c r="B8" s="343" t="s">
        <v>21194</v>
      </c>
      <c r="C8" s="321" t="s">
        <v>106</v>
      </c>
      <c r="D8" s="321" t="s">
        <v>106</v>
      </c>
      <c r="E8" s="324">
        <v>26.7</v>
      </c>
      <c r="G8" s="343" t="s">
        <v>21193</v>
      </c>
      <c r="H8" s="321">
        <v>4.68</v>
      </c>
      <c r="I8" s="324">
        <v>4.0999999999999996</v>
      </c>
      <c r="J8" s="324">
        <f t="shared" ref="J8:J10" si="1">ROUND(H8*I8,2)</f>
        <v>19.190000000000001</v>
      </c>
      <c r="L8" s="343" t="s">
        <v>21249</v>
      </c>
      <c r="M8" s="324" t="s">
        <v>106</v>
      </c>
      <c r="N8" s="324" t="s">
        <v>106</v>
      </c>
      <c r="O8" s="324">
        <v>7.87</v>
      </c>
      <c r="Q8" s="343" t="s">
        <v>21286</v>
      </c>
      <c r="R8" s="324">
        <v>0.6</v>
      </c>
      <c r="T8" s="343" t="s">
        <v>21310</v>
      </c>
      <c r="U8" s="324">
        <v>10.66</v>
      </c>
      <c r="W8" s="343" t="s">
        <v>21331</v>
      </c>
      <c r="X8" s="388">
        <v>100</v>
      </c>
      <c r="Y8" s="324">
        <v>4</v>
      </c>
    </row>
    <row r="9" spans="2:25" x14ac:dyDescent="0.25">
      <c r="B9" s="343" t="s">
        <v>21195</v>
      </c>
      <c r="C9" s="321">
        <v>11.23</v>
      </c>
      <c r="D9" s="321">
        <v>6.65</v>
      </c>
      <c r="E9" s="324">
        <f>ROUND(C9*D9,2)</f>
        <v>74.680000000000007</v>
      </c>
      <c r="G9" s="343" t="s">
        <v>21198</v>
      </c>
      <c r="H9" s="321">
        <v>7.56</v>
      </c>
      <c r="I9" s="321">
        <v>3.95</v>
      </c>
      <c r="J9" s="324">
        <f t="shared" si="1"/>
        <v>29.86</v>
      </c>
      <c r="L9" s="343" t="s">
        <v>21250</v>
      </c>
      <c r="M9" s="324" t="s">
        <v>106</v>
      </c>
      <c r="N9" s="324" t="s">
        <v>106</v>
      </c>
      <c r="O9" s="324">
        <v>28.72</v>
      </c>
      <c r="Q9" s="343" t="s">
        <v>21287</v>
      </c>
      <c r="R9" s="324">
        <v>0.6</v>
      </c>
      <c r="T9" s="343" t="s">
        <v>21311</v>
      </c>
      <c r="U9" s="324">
        <v>4.0999999999999996</v>
      </c>
      <c r="W9" s="343" t="s">
        <v>21332</v>
      </c>
      <c r="X9" s="388">
        <v>100</v>
      </c>
      <c r="Y9" s="324">
        <v>4</v>
      </c>
    </row>
    <row r="10" spans="2:25" x14ac:dyDescent="0.25">
      <c r="B10" s="778" t="s">
        <v>7</v>
      </c>
      <c r="C10" s="778"/>
      <c r="D10" s="778"/>
      <c r="E10" s="345">
        <f>SUM(E4:E9)</f>
        <v>324.17</v>
      </c>
      <c r="G10" s="343" t="s">
        <v>21199</v>
      </c>
      <c r="H10" s="324">
        <v>4.8</v>
      </c>
      <c r="I10" s="321">
        <v>0.54</v>
      </c>
      <c r="J10" s="324">
        <f t="shared" si="1"/>
        <v>2.59</v>
      </c>
      <c r="L10" s="343" t="s">
        <v>21973</v>
      </c>
      <c r="M10" s="324" t="s">
        <v>106</v>
      </c>
      <c r="N10" s="324" t="s">
        <v>106</v>
      </c>
      <c r="O10" s="324">
        <v>19.75</v>
      </c>
      <c r="Q10" s="343" t="s">
        <v>21288</v>
      </c>
      <c r="R10" s="324">
        <v>4.79</v>
      </c>
      <c r="T10" s="343" t="s">
        <v>21312</v>
      </c>
      <c r="U10" s="324">
        <v>11.23</v>
      </c>
      <c r="W10" s="343" t="s">
        <v>21333</v>
      </c>
      <c r="X10" s="388">
        <v>100</v>
      </c>
      <c r="Y10" s="324">
        <v>4</v>
      </c>
    </row>
    <row r="11" spans="2:25" x14ac:dyDescent="0.25">
      <c r="G11" s="343" t="s">
        <v>21195</v>
      </c>
      <c r="H11" s="321">
        <v>11.23</v>
      </c>
      <c r="I11" s="321">
        <v>7.68</v>
      </c>
      <c r="J11" s="324">
        <f t="shared" ref="J11" si="2">ROUND(H11*I11,2)</f>
        <v>86.25</v>
      </c>
      <c r="L11" s="609" t="s">
        <v>7</v>
      </c>
      <c r="M11" s="610"/>
      <c r="N11" s="611"/>
      <c r="O11" s="330">
        <f>SUM(O4:O10)</f>
        <v>112.41999999999999</v>
      </c>
      <c r="Q11" s="343" t="s">
        <v>21302</v>
      </c>
      <c r="R11" s="324">
        <v>4.07</v>
      </c>
      <c r="T11" s="343" t="s">
        <v>21313</v>
      </c>
      <c r="U11" s="324">
        <v>4.49</v>
      </c>
      <c r="W11" s="343" t="s">
        <v>21334</v>
      </c>
      <c r="X11" s="388">
        <v>100</v>
      </c>
      <c r="Y11" s="324">
        <v>0.5</v>
      </c>
    </row>
    <row r="12" spans="2:25" x14ac:dyDescent="0.25">
      <c r="G12" s="778" t="s">
        <v>7</v>
      </c>
      <c r="H12" s="778"/>
      <c r="I12" s="778"/>
      <c r="J12" s="347">
        <f>SUM(J4:J11)</f>
        <v>377.44</v>
      </c>
      <c r="Q12" s="343" t="s">
        <v>21303</v>
      </c>
      <c r="R12" s="324">
        <v>0.6</v>
      </c>
      <c r="T12" s="343" t="s">
        <v>21314</v>
      </c>
      <c r="U12" s="324">
        <v>3.82</v>
      </c>
      <c r="W12" s="343" t="s">
        <v>21335</v>
      </c>
      <c r="X12" s="388">
        <v>100</v>
      </c>
      <c r="Y12" s="324">
        <v>5</v>
      </c>
    </row>
    <row r="13" spans="2:25" x14ac:dyDescent="0.25">
      <c r="Q13" s="343" t="s">
        <v>21289</v>
      </c>
      <c r="R13" s="324">
        <v>0.4</v>
      </c>
      <c r="T13" s="343" t="s">
        <v>21315</v>
      </c>
      <c r="U13" s="324">
        <v>5.29</v>
      </c>
      <c r="W13" s="343" t="s">
        <v>21336</v>
      </c>
      <c r="X13" s="388">
        <v>100</v>
      </c>
      <c r="Y13" s="324">
        <v>3.6</v>
      </c>
    </row>
    <row r="14" spans="2:25" x14ac:dyDescent="0.25">
      <c r="L14" s="778" t="s">
        <v>21264</v>
      </c>
      <c r="M14" s="778"/>
      <c r="Q14" s="343" t="s">
        <v>21290</v>
      </c>
      <c r="R14" s="324">
        <v>10.7</v>
      </c>
      <c r="T14" s="343" t="s">
        <v>21316</v>
      </c>
      <c r="U14" s="324">
        <v>4.1500000000000004</v>
      </c>
      <c r="W14" s="343" t="s">
        <v>21337</v>
      </c>
      <c r="X14" s="388">
        <v>100</v>
      </c>
      <c r="Y14" s="324">
        <v>3.6</v>
      </c>
    </row>
    <row r="15" spans="2:25" x14ac:dyDescent="0.25">
      <c r="L15" s="341" t="s">
        <v>20914</v>
      </c>
      <c r="M15" s="342" t="s">
        <v>88</v>
      </c>
      <c r="Q15" s="343" t="s">
        <v>21291</v>
      </c>
      <c r="R15" s="324">
        <v>9.99</v>
      </c>
      <c r="T15" s="343" t="s">
        <v>21317</v>
      </c>
      <c r="U15" s="324">
        <v>3.25</v>
      </c>
      <c r="W15" s="343" t="s">
        <v>21338</v>
      </c>
      <c r="X15" s="388">
        <v>100</v>
      </c>
      <c r="Y15" s="324">
        <v>3.6</v>
      </c>
    </row>
    <row r="16" spans="2:25" x14ac:dyDescent="0.25">
      <c r="L16" s="343" t="s">
        <v>21267</v>
      </c>
      <c r="M16" s="324">
        <v>6.73</v>
      </c>
      <c r="Q16" s="343" t="s">
        <v>21292</v>
      </c>
      <c r="R16" s="324">
        <v>5.37</v>
      </c>
      <c r="T16" s="343" t="s">
        <v>21318</v>
      </c>
      <c r="U16" s="324">
        <v>6.09</v>
      </c>
      <c r="W16" s="343" t="s">
        <v>21339</v>
      </c>
      <c r="X16" s="388">
        <v>100</v>
      </c>
      <c r="Y16" s="324">
        <v>3.6</v>
      </c>
    </row>
    <row r="17" spans="12:25" x14ac:dyDescent="0.25">
      <c r="L17" s="343" t="s">
        <v>21265</v>
      </c>
      <c r="M17" s="324">
        <v>5.7</v>
      </c>
      <c r="Q17" s="343" t="s">
        <v>21293</v>
      </c>
      <c r="R17" s="324">
        <v>4.05</v>
      </c>
      <c r="T17" s="343" t="s">
        <v>21319</v>
      </c>
      <c r="U17" s="324">
        <v>5.51</v>
      </c>
      <c r="W17" s="343" t="s">
        <v>21340</v>
      </c>
      <c r="X17" s="388">
        <v>100</v>
      </c>
      <c r="Y17" s="324">
        <v>3.6</v>
      </c>
    </row>
    <row r="18" spans="12:25" x14ac:dyDescent="0.25">
      <c r="L18" s="343" t="s">
        <v>21266</v>
      </c>
      <c r="M18" s="324">
        <v>6.73</v>
      </c>
      <c r="Q18" s="343" t="s">
        <v>21294</v>
      </c>
      <c r="R18" s="324">
        <v>4.1399999999999997</v>
      </c>
      <c r="T18" s="343" t="s">
        <v>21320</v>
      </c>
      <c r="U18" s="324">
        <v>3.66</v>
      </c>
      <c r="W18" s="343" t="s">
        <v>21341</v>
      </c>
      <c r="X18" s="388">
        <v>100</v>
      </c>
      <c r="Y18" s="324">
        <v>3.6</v>
      </c>
    </row>
    <row r="19" spans="12:25" x14ac:dyDescent="0.25">
      <c r="L19" s="343" t="s">
        <v>21268</v>
      </c>
      <c r="M19" s="324">
        <v>2.25</v>
      </c>
      <c r="Q19" s="343" t="s">
        <v>21304</v>
      </c>
      <c r="R19" s="324">
        <v>5.14</v>
      </c>
      <c r="T19" s="343" t="s">
        <v>21321</v>
      </c>
      <c r="U19" s="324">
        <v>4.0999999999999996</v>
      </c>
      <c r="W19" s="343" t="s">
        <v>21342</v>
      </c>
      <c r="X19" s="388">
        <v>100</v>
      </c>
      <c r="Y19" s="324">
        <v>0.5</v>
      </c>
    </row>
    <row r="20" spans="12:25" x14ac:dyDescent="0.25">
      <c r="L20" s="343" t="s">
        <v>21269</v>
      </c>
      <c r="M20" s="324">
        <v>2.67</v>
      </c>
      <c r="Q20" s="343" t="s">
        <v>21295</v>
      </c>
      <c r="R20" s="324">
        <v>6.56</v>
      </c>
      <c r="T20" s="343" t="s">
        <v>21322</v>
      </c>
      <c r="U20" s="324">
        <v>3.45</v>
      </c>
      <c r="W20" s="343" t="s">
        <v>21343</v>
      </c>
      <c r="X20" s="388">
        <v>100</v>
      </c>
      <c r="Y20" s="324">
        <v>5.5</v>
      </c>
    </row>
    <row r="21" spans="12:25" x14ac:dyDescent="0.25">
      <c r="L21" s="343" t="s">
        <v>21270</v>
      </c>
      <c r="M21" s="324">
        <v>5.38</v>
      </c>
      <c r="Q21" s="343" t="s">
        <v>21296</v>
      </c>
      <c r="R21" s="324">
        <v>4.53</v>
      </c>
      <c r="T21" s="343" t="s">
        <v>21323</v>
      </c>
      <c r="U21" s="324">
        <v>2.58</v>
      </c>
      <c r="W21" s="343" t="s">
        <v>21344</v>
      </c>
      <c r="X21" s="388">
        <v>100</v>
      </c>
      <c r="Y21" s="324">
        <v>6</v>
      </c>
    </row>
    <row r="22" spans="12:25" x14ac:dyDescent="0.25">
      <c r="L22" s="343" t="s">
        <v>21271</v>
      </c>
      <c r="M22" s="324">
        <v>4.7</v>
      </c>
      <c r="Q22" s="343" t="s">
        <v>21297</v>
      </c>
      <c r="R22" s="324">
        <v>4.18</v>
      </c>
      <c r="T22" s="343" t="s">
        <v>21324</v>
      </c>
      <c r="U22" s="324">
        <v>0.74</v>
      </c>
      <c r="W22" s="343" t="s">
        <v>21345</v>
      </c>
      <c r="X22" s="388">
        <v>100</v>
      </c>
      <c r="Y22" s="324">
        <v>2</v>
      </c>
    </row>
    <row r="23" spans="12:25" x14ac:dyDescent="0.25">
      <c r="L23" s="343" t="s">
        <v>21272</v>
      </c>
      <c r="M23" s="324">
        <v>2.25</v>
      </c>
      <c r="Q23" s="343" t="s">
        <v>21298</v>
      </c>
      <c r="R23" s="324">
        <v>6.69</v>
      </c>
      <c r="T23" s="330" t="s">
        <v>7</v>
      </c>
      <c r="U23" s="330">
        <f>SUM(U4:U22)</f>
        <v>110.83999999999999</v>
      </c>
      <c r="W23" s="343" t="s">
        <v>21346</v>
      </c>
      <c r="X23" s="388">
        <v>100</v>
      </c>
      <c r="Y23" s="324">
        <v>7</v>
      </c>
    </row>
    <row r="24" spans="12:25" x14ac:dyDescent="0.25">
      <c r="L24" s="343" t="s">
        <v>21273</v>
      </c>
      <c r="M24" s="324">
        <v>2.2799999999999998</v>
      </c>
      <c r="Q24" s="343" t="s">
        <v>21299</v>
      </c>
      <c r="R24" s="324">
        <v>11.27</v>
      </c>
      <c r="W24" s="343" t="s">
        <v>21347</v>
      </c>
      <c r="X24" s="388">
        <v>100</v>
      </c>
      <c r="Y24" s="324">
        <v>1</v>
      </c>
    </row>
    <row r="25" spans="12:25" x14ac:dyDescent="0.25">
      <c r="L25" s="343" t="s">
        <v>21274</v>
      </c>
      <c r="M25" s="324">
        <v>3.15</v>
      </c>
      <c r="Q25" s="343" t="s">
        <v>21300</v>
      </c>
      <c r="R25" s="324">
        <v>11.27</v>
      </c>
      <c r="W25" s="343" t="s">
        <v>21348</v>
      </c>
      <c r="X25" s="388">
        <v>100</v>
      </c>
      <c r="Y25" s="324">
        <v>1</v>
      </c>
    </row>
    <row r="26" spans="12:25" x14ac:dyDescent="0.25">
      <c r="L26" s="343" t="s">
        <v>21275</v>
      </c>
      <c r="M26" s="324">
        <v>2.02</v>
      </c>
      <c r="Q26" s="343" t="s">
        <v>21301</v>
      </c>
      <c r="R26" s="324">
        <v>6.69</v>
      </c>
      <c r="W26" s="772" t="s">
        <v>7</v>
      </c>
      <c r="X26" s="774"/>
      <c r="Y26" s="330">
        <f>SUM(Y4:Y25)</f>
        <v>78.100000000000009</v>
      </c>
    </row>
    <row r="27" spans="12:25" x14ac:dyDescent="0.25">
      <c r="L27" s="343" t="s">
        <v>21276</v>
      </c>
      <c r="M27" s="324">
        <v>1.56</v>
      </c>
      <c r="Q27" s="330" t="s">
        <v>7</v>
      </c>
      <c r="R27" s="330">
        <f>SUM(R4:R26)</f>
        <v>135.44</v>
      </c>
      <c r="W27"/>
      <c r="X27"/>
      <c r="Y27"/>
    </row>
    <row r="28" spans="12:25" x14ac:dyDescent="0.25">
      <c r="L28" s="343" t="s">
        <v>21277</v>
      </c>
      <c r="M28" s="324">
        <v>3.63</v>
      </c>
    </row>
    <row r="29" spans="12:25" x14ac:dyDescent="0.25">
      <c r="L29" s="343" t="s">
        <v>21278</v>
      </c>
      <c r="M29" s="324">
        <v>6.38</v>
      </c>
    </row>
    <row r="30" spans="12:25" x14ac:dyDescent="0.25">
      <c r="L30" s="343" t="s">
        <v>21279</v>
      </c>
      <c r="M30" s="324">
        <v>6.38</v>
      </c>
    </row>
    <row r="31" spans="12:25" x14ac:dyDescent="0.25">
      <c r="L31" s="343" t="s">
        <v>21280</v>
      </c>
      <c r="M31" s="324">
        <v>3.63</v>
      </c>
    </row>
    <row r="32" spans="12:25" x14ac:dyDescent="0.25">
      <c r="L32" s="330" t="s">
        <v>7</v>
      </c>
      <c r="M32" s="330">
        <f>SUM(M16:M31)</f>
        <v>65.440000000000012</v>
      </c>
    </row>
    <row r="34" spans="17:18" x14ac:dyDescent="0.25">
      <c r="Q34" s="778" t="s">
        <v>21351</v>
      </c>
      <c r="R34" s="778"/>
    </row>
    <row r="35" spans="17:18" x14ac:dyDescent="0.25">
      <c r="Q35" s="341" t="s">
        <v>20914</v>
      </c>
      <c r="R35" s="342" t="s">
        <v>20359</v>
      </c>
    </row>
    <row r="36" spans="17:18" x14ac:dyDescent="0.25">
      <c r="Q36" s="343" t="s">
        <v>21267</v>
      </c>
      <c r="R36" s="324">
        <v>9.6999999999999993</v>
      </c>
    </row>
    <row r="37" spans="17:18" x14ac:dyDescent="0.25">
      <c r="Q37" s="343" t="s">
        <v>21268</v>
      </c>
      <c r="R37" s="324">
        <v>3.87</v>
      </c>
    </row>
    <row r="38" spans="17:18" x14ac:dyDescent="0.25">
      <c r="Q38" s="343" t="s">
        <v>21352</v>
      </c>
      <c r="R38" s="324">
        <v>5.17</v>
      </c>
    </row>
    <row r="39" spans="17:18" x14ac:dyDescent="0.25">
      <c r="Q39" s="343" t="s">
        <v>21272</v>
      </c>
      <c r="R39" s="324">
        <v>3.85</v>
      </c>
    </row>
    <row r="40" spans="17:18" x14ac:dyDescent="0.25">
      <c r="Q40" s="343" t="s">
        <v>21274</v>
      </c>
      <c r="R40" s="324">
        <v>6.36</v>
      </c>
    </row>
    <row r="41" spans="17:18" x14ac:dyDescent="0.25">
      <c r="Q41" s="343" t="s">
        <v>21353</v>
      </c>
      <c r="R41" s="324">
        <v>3.97</v>
      </c>
    </row>
    <row r="42" spans="17:18" x14ac:dyDescent="0.25">
      <c r="Q42" s="343" t="s">
        <v>21276</v>
      </c>
      <c r="R42" s="324">
        <v>3.98</v>
      </c>
    </row>
    <row r="43" spans="17:18" x14ac:dyDescent="0.25">
      <c r="Q43" s="343" t="s">
        <v>21277</v>
      </c>
      <c r="R43" s="324">
        <v>6.35</v>
      </c>
    </row>
    <row r="44" spans="17:18" x14ac:dyDescent="0.25">
      <c r="Q44" s="343" t="s">
        <v>21278</v>
      </c>
      <c r="R44" s="324">
        <v>11.27</v>
      </c>
    </row>
    <row r="45" spans="17:18" x14ac:dyDescent="0.25">
      <c r="Q45" s="343" t="s">
        <v>21279</v>
      </c>
      <c r="R45" s="324">
        <v>6.35</v>
      </c>
    </row>
    <row r="46" spans="17:18" x14ac:dyDescent="0.25">
      <c r="Q46" s="330" t="s">
        <v>7</v>
      </c>
      <c r="R46" s="330">
        <f>SUM(R36:R45)</f>
        <v>60.87</v>
      </c>
    </row>
  </sheetData>
  <mergeCells count="11">
    <mergeCell ref="G2:J2"/>
    <mergeCell ref="B2:E2"/>
    <mergeCell ref="B10:D10"/>
    <mergeCell ref="G12:I12"/>
    <mergeCell ref="L2:O2"/>
    <mergeCell ref="Q34:R34"/>
    <mergeCell ref="W26:X26"/>
    <mergeCell ref="L14:M14"/>
    <mergeCell ref="Q2:R2"/>
    <mergeCell ref="T2:U2"/>
    <mergeCell ref="W2:Y2"/>
  </mergeCells>
  <phoneticPr fontId="4" type="noConversion"/>
  <pageMargins left="0.511811024" right="0.511811024" top="0.78740157499999996" bottom="0.78740157499999996" header="0.31496062000000002" footer="0.3149606200000000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1" tint="0.14999847407452621"/>
  </sheetPr>
  <dimension ref="B2:O100"/>
  <sheetViews>
    <sheetView topLeftCell="A19" workbookViewId="0">
      <selection activeCell="B2" sqref="B2:E50"/>
    </sheetView>
  </sheetViews>
  <sheetFormatPr defaultRowHeight="12.75" x14ac:dyDescent="0.2"/>
  <cols>
    <col min="1" max="1" width="3.7109375" customWidth="1"/>
    <col min="2" max="2" width="27.85546875" bestFit="1" customWidth="1"/>
    <col min="3" max="3" width="13.42578125" bestFit="1" customWidth="1"/>
    <col min="4" max="4" width="10.28515625" customWidth="1"/>
    <col min="5" max="5" width="8.5703125" customWidth="1"/>
    <col min="6" max="6" width="5.28515625" customWidth="1"/>
    <col min="7" max="7" width="37.28515625" bestFit="1" customWidth="1"/>
    <col min="8" max="8" width="13.42578125" customWidth="1"/>
    <col min="9" max="9" width="12.140625" customWidth="1"/>
    <col min="11" max="11" width="3.28515625" customWidth="1"/>
    <col min="12" max="12" width="21.42578125" bestFit="1" customWidth="1"/>
    <col min="13" max="14" width="12.140625" customWidth="1"/>
    <col min="15" max="15" width="10" customWidth="1"/>
  </cols>
  <sheetData>
    <row r="2" spans="2:5" ht="15" x14ac:dyDescent="0.25">
      <c r="B2" s="778" t="s">
        <v>21541</v>
      </c>
      <c r="C2" s="778"/>
      <c r="D2" s="778"/>
      <c r="E2" s="778"/>
    </row>
    <row r="3" spans="2:5" ht="30" x14ac:dyDescent="0.2">
      <c r="B3" s="341" t="s">
        <v>20914</v>
      </c>
      <c r="C3" s="342" t="s">
        <v>21252</v>
      </c>
      <c r="D3" s="342" t="s">
        <v>21251</v>
      </c>
      <c r="E3" s="342" t="s">
        <v>88</v>
      </c>
    </row>
    <row r="4" spans="2:5" ht="15" x14ac:dyDescent="0.25">
      <c r="B4" s="343" t="s">
        <v>21245</v>
      </c>
      <c r="C4" s="324">
        <v>5.07</v>
      </c>
      <c r="D4" s="346">
        <v>2.3199999999999998</v>
      </c>
      <c r="E4" s="324">
        <f>ROUNDDOWN(C4*D4,2)</f>
        <v>11.76</v>
      </c>
    </row>
    <row r="5" spans="2:5" ht="15" x14ac:dyDescent="0.25">
      <c r="B5" s="343" t="s">
        <v>21246</v>
      </c>
      <c r="C5" s="324">
        <v>4.01</v>
      </c>
      <c r="D5" s="346">
        <v>3.76</v>
      </c>
      <c r="E5" s="324">
        <f>ROUNDDOWN(C5*D5,2)</f>
        <v>15.07</v>
      </c>
    </row>
    <row r="6" spans="2:5" ht="15" x14ac:dyDescent="0.25">
      <c r="B6" s="343" t="s">
        <v>21247</v>
      </c>
      <c r="C6" s="346">
        <v>5.12</v>
      </c>
      <c r="D6" s="324">
        <v>2.0499999999999998</v>
      </c>
      <c r="E6" s="324">
        <f>ROUNDDOWN(C6*D6,2)</f>
        <v>10.49</v>
      </c>
    </row>
    <row r="7" spans="2:5" ht="15" x14ac:dyDescent="0.25">
      <c r="B7" s="343" t="s">
        <v>21248</v>
      </c>
      <c r="C7" s="324">
        <v>5.7</v>
      </c>
      <c r="D7" s="324">
        <v>3.29</v>
      </c>
      <c r="E7" s="324">
        <f>ROUNDUP(C7*D7,2)</f>
        <v>18.760000000000002</v>
      </c>
    </row>
    <row r="8" spans="2:5" ht="15" x14ac:dyDescent="0.25">
      <c r="B8" s="343" t="s">
        <v>21249</v>
      </c>
      <c r="C8" s="324" t="s">
        <v>106</v>
      </c>
      <c r="D8" s="324" t="s">
        <v>106</v>
      </c>
      <c r="E8" s="324">
        <v>7.87</v>
      </c>
    </row>
    <row r="9" spans="2:5" ht="15" x14ac:dyDescent="0.25">
      <c r="B9" s="343" t="s">
        <v>21250</v>
      </c>
      <c r="C9" s="324" t="s">
        <v>106</v>
      </c>
      <c r="D9" s="324" t="s">
        <v>106</v>
      </c>
      <c r="E9" s="324">
        <v>28.72</v>
      </c>
    </row>
    <row r="10" spans="2:5" ht="15" x14ac:dyDescent="0.25">
      <c r="B10" s="343" t="s">
        <v>21973</v>
      </c>
      <c r="C10" s="324" t="s">
        <v>106</v>
      </c>
      <c r="D10" s="324" t="s">
        <v>106</v>
      </c>
      <c r="E10" s="324">
        <v>19.75</v>
      </c>
    </row>
    <row r="11" spans="2:5" ht="15" x14ac:dyDescent="0.25">
      <c r="B11" s="343" t="s">
        <v>21267</v>
      </c>
      <c r="C11" s="321" t="s">
        <v>106</v>
      </c>
      <c r="D11" s="321" t="s">
        <v>106</v>
      </c>
      <c r="E11" s="324">
        <v>6.73</v>
      </c>
    </row>
    <row r="12" spans="2:5" ht="15" x14ac:dyDescent="0.25">
      <c r="B12" s="343" t="s">
        <v>21265</v>
      </c>
      <c r="C12" s="321" t="s">
        <v>106</v>
      </c>
      <c r="D12" s="321" t="s">
        <v>106</v>
      </c>
      <c r="E12" s="324">
        <v>5.7</v>
      </c>
    </row>
    <row r="13" spans="2:5" ht="15" x14ac:dyDescent="0.25">
      <c r="B13" s="343" t="s">
        <v>21266</v>
      </c>
      <c r="C13" s="321" t="s">
        <v>106</v>
      </c>
      <c r="D13" s="321" t="s">
        <v>106</v>
      </c>
      <c r="E13" s="324">
        <v>6.73</v>
      </c>
    </row>
    <row r="14" spans="2:5" ht="15" x14ac:dyDescent="0.25">
      <c r="B14" s="343" t="s">
        <v>21268</v>
      </c>
      <c r="C14" s="321" t="s">
        <v>106</v>
      </c>
      <c r="D14" s="321" t="s">
        <v>106</v>
      </c>
      <c r="E14" s="324">
        <v>2.25</v>
      </c>
    </row>
    <row r="15" spans="2:5" ht="15" x14ac:dyDescent="0.25">
      <c r="B15" s="343" t="s">
        <v>21269</v>
      </c>
      <c r="C15" s="321" t="s">
        <v>106</v>
      </c>
      <c r="D15" s="321" t="s">
        <v>106</v>
      </c>
      <c r="E15" s="324">
        <v>2.67</v>
      </c>
    </row>
    <row r="16" spans="2:5" ht="15" x14ac:dyDescent="0.25">
      <c r="B16" s="343" t="s">
        <v>21270</v>
      </c>
      <c r="C16" s="321" t="s">
        <v>106</v>
      </c>
      <c r="D16" s="321" t="s">
        <v>106</v>
      </c>
      <c r="E16" s="324">
        <v>5.38</v>
      </c>
    </row>
    <row r="17" spans="2:5" ht="15" x14ac:dyDescent="0.25">
      <c r="B17" s="343" t="s">
        <v>21271</v>
      </c>
      <c r="C17" s="321" t="s">
        <v>106</v>
      </c>
      <c r="D17" s="321" t="s">
        <v>106</v>
      </c>
      <c r="E17" s="324">
        <v>4.7</v>
      </c>
    </row>
    <row r="18" spans="2:5" ht="15" x14ac:dyDescent="0.25">
      <c r="B18" s="343" t="s">
        <v>21272</v>
      </c>
      <c r="C18" s="321" t="s">
        <v>106</v>
      </c>
      <c r="D18" s="321" t="s">
        <v>106</v>
      </c>
      <c r="E18" s="324">
        <v>2.25</v>
      </c>
    </row>
    <row r="19" spans="2:5" ht="15" x14ac:dyDescent="0.25">
      <c r="B19" s="343" t="s">
        <v>21273</v>
      </c>
      <c r="C19" s="321" t="s">
        <v>106</v>
      </c>
      <c r="D19" s="321" t="s">
        <v>106</v>
      </c>
      <c r="E19" s="324">
        <v>2.2799999999999998</v>
      </c>
    </row>
    <row r="20" spans="2:5" ht="15" x14ac:dyDescent="0.25">
      <c r="B20" s="343" t="s">
        <v>21274</v>
      </c>
      <c r="C20" s="321" t="s">
        <v>106</v>
      </c>
      <c r="D20" s="321" t="s">
        <v>106</v>
      </c>
      <c r="E20" s="324">
        <v>3.15</v>
      </c>
    </row>
    <row r="21" spans="2:5" ht="15" x14ac:dyDescent="0.25">
      <c r="B21" s="343" t="s">
        <v>21275</v>
      </c>
      <c r="C21" s="321" t="s">
        <v>106</v>
      </c>
      <c r="D21" s="321" t="s">
        <v>106</v>
      </c>
      <c r="E21" s="324">
        <v>2.02</v>
      </c>
    </row>
    <row r="22" spans="2:5" ht="15" x14ac:dyDescent="0.25">
      <c r="B22" s="343" t="s">
        <v>21276</v>
      </c>
      <c r="C22" s="321" t="s">
        <v>106</v>
      </c>
      <c r="D22" s="321" t="s">
        <v>106</v>
      </c>
      <c r="E22" s="324">
        <v>1.56</v>
      </c>
    </row>
    <row r="23" spans="2:5" ht="15" x14ac:dyDescent="0.25">
      <c r="B23" s="343" t="s">
        <v>21277</v>
      </c>
      <c r="C23" s="321" t="s">
        <v>106</v>
      </c>
      <c r="D23" s="321" t="s">
        <v>106</v>
      </c>
      <c r="E23" s="324">
        <v>3.63</v>
      </c>
    </row>
    <row r="24" spans="2:5" ht="15" x14ac:dyDescent="0.25">
      <c r="B24" s="343" t="s">
        <v>21278</v>
      </c>
      <c r="C24" s="321" t="s">
        <v>106</v>
      </c>
      <c r="D24" s="321" t="s">
        <v>106</v>
      </c>
      <c r="E24" s="324">
        <v>6.38</v>
      </c>
    </row>
    <row r="25" spans="2:5" ht="15" x14ac:dyDescent="0.25">
      <c r="B25" s="343" t="s">
        <v>21279</v>
      </c>
      <c r="C25" s="321" t="s">
        <v>106</v>
      </c>
      <c r="D25" s="321" t="s">
        <v>106</v>
      </c>
      <c r="E25" s="324">
        <v>6.38</v>
      </c>
    </row>
    <row r="26" spans="2:5" ht="15" x14ac:dyDescent="0.25">
      <c r="B26" s="343" t="s">
        <v>21280</v>
      </c>
      <c r="C26" s="321" t="s">
        <v>106</v>
      </c>
      <c r="D26" s="321" t="s">
        <v>106</v>
      </c>
      <c r="E26" s="324">
        <v>3.63</v>
      </c>
    </row>
    <row r="27" spans="2:5" ht="15" x14ac:dyDescent="0.25">
      <c r="B27" s="343" t="s">
        <v>21282</v>
      </c>
      <c r="C27" s="324">
        <v>0.6</v>
      </c>
      <c r="D27" s="324">
        <v>0.2</v>
      </c>
      <c r="E27" s="324">
        <f>ROUNDDOWN(C27*D27,2)</f>
        <v>0.12</v>
      </c>
    </row>
    <row r="28" spans="2:5" ht="15" x14ac:dyDescent="0.25">
      <c r="B28" s="343" t="s">
        <v>21283</v>
      </c>
      <c r="C28" s="324">
        <v>11.55</v>
      </c>
      <c r="D28" s="324">
        <v>0.2</v>
      </c>
      <c r="E28" s="324">
        <f t="shared" ref="E28:E49" si="0">ROUNDDOWN(C28*D28,2)</f>
        <v>2.31</v>
      </c>
    </row>
    <row r="29" spans="2:5" ht="15" x14ac:dyDescent="0.25">
      <c r="B29" s="343" t="s">
        <v>21284</v>
      </c>
      <c r="C29" s="324">
        <v>10.1</v>
      </c>
      <c r="D29" s="324">
        <v>0.2</v>
      </c>
      <c r="E29" s="324">
        <f t="shared" si="0"/>
        <v>2.02</v>
      </c>
    </row>
    <row r="30" spans="2:5" ht="15" x14ac:dyDescent="0.25">
      <c r="B30" s="343" t="s">
        <v>21285</v>
      </c>
      <c r="C30" s="324">
        <v>11.55</v>
      </c>
      <c r="D30" s="324">
        <v>0.2</v>
      </c>
      <c r="E30" s="324">
        <f t="shared" si="0"/>
        <v>2.31</v>
      </c>
    </row>
    <row r="31" spans="2:5" ht="15" x14ac:dyDescent="0.25">
      <c r="B31" s="343" t="s">
        <v>21286</v>
      </c>
      <c r="C31" s="324">
        <v>0.6</v>
      </c>
      <c r="D31" s="324">
        <v>0.2</v>
      </c>
      <c r="E31" s="324">
        <f t="shared" si="0"/>
        <v>0.12</v>
      </c>
    </row>
    <row r="32" spans="2:5" ht="15" x14ac:dyDescent="0.25">
      <c r="B32" s="343" t="s">
        <v>21287</v>
      </c>
      <c r="C32" s="324">
        <v>0.6</v>
      </c>
      <c r="D32" s="324">
        <v>0.2</v>
      </c>
      <c r="E32" s="324">
        <f t="shared" si="0"/>
        <v>0.12</v>
      </c>
    </row>
    <row r="33" spans="2:5" ht="15" x14ac:dyDescent="0.25">
      <c r="B33" s="343" t="s">
        <v>21288</v>
      </c>
      <c r="C33" s="324">
        <v>4.79</v>
      </c>
      <c r="D33" s="324">
        <v>0.2</v>
      </c>
      <c r="E33" s="324">
        <f t="shared" si="0"/>
        <v>0.95</v>
      </c>
    </row>
    <row r="34" spans="2:5" ht="15" x14ac:dyDescent="0.25">
      <c r="B34" s="343" t="s">
        <v>21302</v>
      </c>
      <c r="C34" s="324">
        <v>4.07</v>
      </c>
      <c r="D34" s="324">
        <v>0.2</v>
      </c>
      <c r="E34" s="324">
        <f t="shared" si="0"/>
        <v>0.81</v>
      </c>
    </row>
    <row r="35" spans="2:5" ht="15" x14ac:dyDescent="0.25">
      <c r="B35" s="343" t="s">
        <v>21303</v>
      </c>
      <c r="C35" s="324">
        <v>0.6</v>
      </c>
      <c r="D35" s="324">
        <v>0.2</v>
      </c>
      <c r="E35" s="324">
        <f t="shared" si="0"/>
        <v>0.12</v>
      </c>
    </row>
    <row r="36" spans="2:5" ht="15" x14ac:dyDescent="0.25">
      <c r="B36" s="343" t="s">
        <v>21289</v>
      </c>
      <c r="C36" s="324">
        <v>0.4</v>
      </c>
      <c r="D36" s="324">
        <v>0.2</v>
      </c>
      <c r="E36" s="324">
        <f t="shared" si="0"/>
        <v>0.08</v>
      </c>
    </row>
    <row r="37" spans="2:5" ht="15" x14ac:dyDescent="0.25">
      <c r="B37" s="343" t="s">
        <v>21290</v>
      </c>
      <c r="C37" s="324">
        <v>10.7</v>
      </c>
      <c r="D37" s="324">
        <v>0.2</v>
      </c>
      <c r="E37" s="324">
        <f t="shared" si="0"/>
        <v>2.14</v>
      </c>
    </row>
    <row r="38" spans="2:5" ht="15" x14ac:dyDescent="0.25">
      <c r="B38" s="343" t="s">
        <v>21291</v>
      </c>
      <c r="C38" s="324">
        <v>9.99</v>
      </c>
      <c r="D38" s="324">
        <v>0.2</v>
      </c>
      <c r="E38" s="324">
        <f t="shared" si="0"/>
        <v>1.99</v>
      </c>
    </row>
    <row r="39" spans="2:5" ht="15" x14ac:dyDescent="0.25">
      <c r="B39" s="343" t="s">
        <v>21292</v>
      </c>
      <c r="C39" s="324">
        <v>5.37</v>
      </c>
      <c r="D39" s="324">
        <v>0.2</v>
      </c>
      <c r="E39" s="324">
        <f t="shared" si="0"/>
        <v>1.07</v>
      </c>
    </row>
    <row r="40" spans="2:5" ht="15" x14ac:dyDescent="0.25">
      <c r="B40" s="343" t="s">
        <v>21293</v>
      </c>
      <c r="C40" s="324">
        <v>4.05</v>
      </c>
      <c r="D40" s="324">
        <v>0.2</v>
      </c>
      <c r="E40" s="324">
        <f t="shared" si="0"/>
        <v>0.81</v>
      </c>
    </row>
    <row r="41" spans="2:5" ht="15" x14ac:dyDescent="0.25">
      <c r="B41" s="343" t="s">
        <v>21294</v>
      </c>
      <c r="C41" s="324">
        <v>4.1399999999999997</v>
      </c>
      <c r="D41" s="324">
        <v>0.2</v>
      </c>
      <c r="E41" s="324">
        <f t="shared" si="0"/>
        <v>0.82</v>
      </c>
    </row>
    <row r="42" spans="2:5" ht="15" x14ac:dyDescent="0.25">
      <c r="B42" s="343" t="s">
        <v>21304</v>
      </c>
      <c r="C42" s="324">
        <v>5.14</v>
      </c>
      <c r="D42" s="324">
        <v>0.2</v>
      </c>
      <c r="E42" s="324">
        <f t="shared" si="0"/>
        <v>1.02</v>
      </c>
    </row>
    <row r="43" spans="2:5" ht="15" x14ac:dyDescent="0.25">
      <c r="B43" s="343" t="s">
        <v>21295</v>
      </c>
      <c r="C43" s="324">
        <v>6.56</v>
      </c>
      <c r="D43" s="324">
        <v>0.2</v>
      </c>
      <c r="E43" s="324">
        <f t="shared" si="0"/>
        <v>1.31</v>
      </c>
    </row>
    <row r="44" spans="2:5" ht="15" x14ac:dyDescent="0.25">
      <c r="B44" s="343" t="s">
        <v>21296</v>
      </c>
      <c r="C44" s="324">
        <v>4.53</v>
      </c>
      <c r="D44" s="324">
        <v>0.2</v>
      </c>
      <c r="E44" s="324">
        <f t="shared" si="0"/>
        <v>0.9</v>
      </c>
    </row>
    <row r="45" spans="2:5" ht="15" x14ac:dyDescent="0.25">
      <c r="B45" s="343" t="s">
        <v>21297</v>
      </c>
      <c r="C45" s="324">
        <v>4.18</v>
      </c>
      <c r="D45" s="324">
        <v>0.2</v>
      </c>
      <c r="E45" s="324">
        <f t="shared" si="0"/>
        <v>0.83</v>
      </c>
    </row>
    <row r="46" spans="2:5" ht="15" x14ac:dyDescent="0.25">
      <c r="B46" s="343" t="s">
        <v>21298</v>
      </c>
      <c r="C46" s="324">
        <v>6.69</v>
      </c>
      <c r="D46" s="324">
        <v>0.2</v>
      </c>
      <c r="E46" s="324">
        <f t="shared" si="0"/>
        <v>1.33</v>
      </c>
    </row>
    <row r="47" spans="2:5" ht="15" x14ac:dyDescent="0.25">
      <c r="B47" s="343" t="s">
        <v>21299</v>
      </c>
      <c r="C47" s="324">
        <v>11.27</v>
      </c>
      <c r="D47" s="324">
        <v>0.2</v>
      </c>
      <c r="E47" s="324">
        <f t="shared" si="0"/>
        <v>2.25</v>
      </c>
    </row>
    <row r="48" spans="2:5" ht="15" x14ac:dyDescent="0.25">
      <c r="B48" s="343" t="s">
        <v>21300</v>
      </c>
      <c r="C48" s="324">
        <v>11.27</v>
      </c>
      <c r="D48" s="324">
        <v>0.2</v>
      </c>
      <c r="E48" s="324">
        <f t="shared" si="0"/>
        <v>2.25</v>
      </c>
    </row>
    <row r="49" spans="2:15" ht="15" x14ac:dyDescent="0.25">
      <c r="B49" s="343" t="s">
        <v>21301</v>
      </c>
      <c r="C49" s="324">
        <v>6.69</v>
      </c>
      <c r="D49" s="324">
        <v>0.2</v>
      </c>
      <c r="E49" s="324">
        <f t="shared" si="0"/>
        <v>1.33</v>
      </c>
    </row>
    <row r="50" spans="2:15" ht="15" x14ac:dyDescent="0.25">
      <c r="B50" s="775" t="s">
        <v>7</v>
      </c>
      <c r="C50" s="776"/>
      <c r="D50" s="777"/>
      <c r="E50" s="330">
        <f>SUM(E11:E49)</f>
        <v>92.450000000000017</v>
      </c>
    </row>
    <row r="52" spans="2:15" ht="15" x14ac:dyDescent="0.25">
      <c r="G52" s="778" t="s">
        <v>21542</v>
      </c>
      <c r="H52" s="778"/>
      <c r="I52" s="778"/>
      <c r="J52" s="778"/>
      <c r="L52" s="778" t="s">
        <v>21549</v>
      </c>
      <c r="M52" s="778"/>
      <c r="N52" s="778"/>
      <c r="O52" s="778"/>
    </row>
    <row r="53" spans="2:15" ht="30" x14ac:dyDescent="0.2">
      <c r="G53" s="341" t="s">
        <v>20914</v>
      </c>
      <c r="H53" s="342" t="s">
        <v>21161</v>
      </c>
      <c r="I53" s="342" t="s">
        <v>21162</v>
      </c>
      <c r="J53" s="342" t="s">
        <v>88</v>
      </c>
      <c r="L53" s="341" t="s">
        <v>20914</v>
      </c>
      <c r="M53" s="342" t="s">
        <v>21161</v>
      </c>
      <c r="N53" s="342" t="s">
        <v>21162</v>
      </c>
      <c r="O53" s="342" t="s">
        <v>88</v>
      </c>
    </row>
    <row r="54" spans="2:15" ht="15" x14ac:dyDescent="0.25">
      <c r="G54" s="343" t="s">
        <v>21206</v>
      </c>
      <c r="H54" s="324">
        <v>3.25</v>
      </c>
      <c r="I54" s="324">
        <v>2.9</v>
      </c>
      <c r="J54" s="324">
        <f t="shared" ref="J54:J67" si="1">ROUNDDOWN(H54*I54,2)</f>
        <v>9.42</v>
      </c>
      <c r="L54" s="394" t="s">
        <v>21108</v>
      </c>
      <c r="M54" s="321" t="s">
        <v>21894</v>
      </c>
      <c r="N54" s="321" t="s">
        <v>21894</v>
      </c>
      <c r="O54" s="324">
        <f>ESQUADRIAS!J34</f>
        <v>125.28</v>
      </c>
    </row>
    <row r="55" spans="2:15" ht="15" x14ac:dyDescent="0.25">
      <c r="G55" s="343" t="s">
        <v>21201</v>
      </c>
      <c r="H55" s="324">
        <f>3.25*2+2.9*2</f>
        <v>12.3</v>
      </c>
      <c r="I55" s="324">
        <v>3</v>
      </c>
      <c r="J55" s="324">
        <f t="shared" si="1"/>
        <v>36.9</v>
      </c>
      <c r="L55" s="394" t="s">
        <v>21173</v>
      </c>
      <c r="M55" s="321" t="s">
        <v>106</v>
      </c>
      <c r="N55" s="321" t="s">
        <v>106</v>
      </c>
      <c r="O55" s="324">
        <f>ROUND(2*6.62,2)</f>
        <v>13.24</v>
      </c>
    </row>
    <row r="56" spans="2:15" ht="15" x14ac:dyDescent="0.25">
      <c r="G56" s="343" t="s">
        <v>21207</v>
      </c>
      <c r="H56" s="324">
        <v>3.7</v>
      </c>
      <c r="I56" s="324">
        <v>3.4</v>
      </c>
      <c r="J56" s="324">
        <f t="shared" si="1"/>
        <v>12.58</v>
      </c>
      <c r="L56" s="394" t="s">
        <v>21550</v>
      </c>
      <c r="M56" s="324">
        <f>ROUND(2*(1.85+2.75),2)</f>
        <v>9.1999999999999993</v>
      </c>
      <c r="N56" s="324">
        <v>1.2</v>
      </c>
      <c r="O56" s="324">
        <f t="shared" ref="O56" si="2">ROUNDDOWN(M56*N56,2)</f>
        <v>11.04</v>
      </c>
    </row>
    <row r="57" spans="2:15" ht="15" x14ac:dyDescent="0.25">
      <c r="G57" s="343" t="s">
        <v>21202</v>
      </c>
      <c r="H57" s="324">
        <v>14.2</v>
      </c>
      <c r="I57" s="324">
        <v>3</v>
      </c>
      <c r="J57" s="324">
        <f t="shared" si="1"/>
        <v>42.6</v>
      </c>
      <c r="L57" s="775" t="s">
        <v>7</v>
      </c>
      <c r="M57" s="776"/>
      <c r="N57" s="777"/>
      <c r="O57" s="371">
        <f>SUM(O54:O56)</f>
        <v>149.56</v>
      </c>
    </row>
    <row r="58" spans="2:15" ht="15" x14ac:dyDescent="0.25">
      <c r="G58" s="343" t="s">
        <v>21208</v>
      </c>
      <c r="H58" s="324">
        <v>3.25</v>
      </c>
      <c r="I58" s="324">
        <v>1.4</v>
      </c>
      <c r="J58" s="324">
        <f t="shared" si="1"/>
        <v>4.55</v>
      </c>
    </row>
    <row r="59" spans="2:15" ht="15" x14ac:dyDescent="0.25">
      <c r="G59" s="343" t="s">
        <v>21209</v>
      </c>
      <c r="H59" s="324">
        <v>3.75</v>
      </c>
      <c r="I59" s="324">
        <v>2.4</v>
      </c>
      <c r="J59" s="324">
        <f t="shared" si="1"/>
        <v>9</v>
      </c>
    </row>
    <row r="60" spans="2:15" ht="15" x14ac:dyDescent="0.25">
      <c r="G60" s="343" t="s">
        <v>21210</v>
      </c>
      <c r="H60" s="324">
        <v>4.5999999999999996</v>
      </c>
      <c r="I60" s="324">
        <v>3.75</v>
      </c>
      <c r="J60" s="324">
        <f t="shared" si="1"/>
        <v>17.25</v>
      </c>
    </row>
    <row r="61" spans="2:15" ht="15" x14ac:dyDescent="0.25">
      <c r="G61" s="343" t="s">
        <v>21211</v>
      </c>
      <c r="H61" s="324">
        <v>3.25</v>
      </c>
      <c r="I61" s="324">
        <v>3.05</v>
      </c>
      <c r="J61" s="324">
        <f t="shared" si="1"/>
        <v>9.91</v>
      </c>
    </row>
    <row r="62" spans="2:15" ht="15" x14ac:dyDescent="0.25">
      <c r="G62" s="343" t="s">
        <v>21203</v>
      </c>
      <c r="H62" s="324">
        <v>12.6</v>
      </c>
      <c r="I62" s="324">
        <v>3</v>
      </c>
      <c r="J62" s="324">
        <f t="shared" si="1"/>
        <v>37.799999999999997</v>
      </c>
    </row>
    <row r="63" spans="2:15" ht="15" x14ac:dyDescent="0.25">
      <c r="G63" s="343" t="s">
        <v>21204</v>
      </c>
      <c r="H63" s="324">
        <v>3.25</v>
      </c>
      <c r="I63" s="324">
        <v>1.4</v>
      </c>
      <c r="J63" s="324">
        <f t="shared" si="1"/>
        <v>4.55</v>
      </c>
    </row>
    <row r="64" spans="2:15" ht="15" x14ac:dyDescent="0.25">
      <c r="G64" s="343" t="s">
        <v>21205</v>
      </c>
      <c r="H64" s="324">
        <v>9.1999999999999993</v>
      </c>
      <c r="I64" s="324">
        <v>1.2</v>
      </c>
      <c r="J64" s="324">
        <f t="shared" si="1"/>
        <v>11.04</v>
      </c>
    </row>
    <row r="65" spans="7:10" ht="15" x14ac:dyDescent="0.25">
      <c r="G65" s="343" t="s">
        <v>21212</v>
      </c>
      <c r="H65" s="324">
        <v>20.8</v>
      </c>
      <c r="I65" s="324">
        <v>3</v>
      </c>
      <c r="J65" s="324">
        <f t="shared" si="1"/>
        <v>62.4</v>
      </c>
    </row>
    <row r="66" spans="7:10" ht="15" x14ac:dyDescent="0.25">
      <c r="G66" s="343" t="s">
        <v>21213</v>
      </c>
      <c r="H66" s="324">
        <v>7.5</v>
      </c>
      <c r="I66" s="324">
        <v>1.2</v>
      </c>
      <c r="J66" s="324">
        <f t="shared" si="1"/>
        <v>9</v>
      </c>
    </row>
    <row r="67" spans="7:10" ht="15" x14ac:dyDescent="0.25">
      <c r="G67" s="343" t="s">
        <v>21214</v>
      </c>
      <c r="H67" s="324">
        <v>17.399999999999999</v>
      </c>
      <c r="I67" s="324">
        <v>3</v>
      </c>
      <c r="J67" s="324">
        <f t="shared" si="1"/>
        <v>52.2</v>
      </c>
    </row>
    <row r="68" spans="7:10" ht="15" x14ac:dyDescent="0.25">
      <c r="G68" s="343" t="s">
        <v>21215</v>
      </c>
      <c r="H68" s="324">
        <v>3.25</v>
      </c>
      <c r="I68" s="324">
        <v>1.4</v>
      </c>
      <c r="J68" s="324">
        <f>ROUNDDOWN(H68*I68,2)</f>
        <v>4.55</v>
      </c>
    </row>
    <row r="69" spans="7:10" ht="15" x14ac:dyDescent="0.25">
      <c r="G69" s="343" t="s">
        <v>21216</v>
      </c>
      <c r="H69" s="324">
        <v>9.3000000000000007</v>
      </c>
      <c r="I69" s="324">
        <v>3</v>
      </c>
      <c r="J69" s="324">
        <f>ROUNDDOWN(H69*I69,2)</f>
        <v>27.9</v>
      </c>
    </row>
    <row r="70" spans="7:10" ht="15" x14ac:dyDescent="0.25">
      <c r="G70" s="343" t="s">
        <v>21217</v>
      </c>
      <c r="H70" s="324">
        <v>3.25</v>
      </c>
      <c r="I70" s="324">
        <v>1.8</v>
      </c>
      <c r="J70" s="324">
        <f>ROUNDDOWN(H70*I70,2)</f>
        <v>5.85</v>
      </c>
    </row>
    <row r="71" spans="7:10" ht="15" x14ac:dyDescent="0.25">
      <c r="G71" s="343" t="s">
        <v>21218</v>
      </c>
      <c r="H71" s="324">
        <v>10.1</v>
      </c>
      <c r="I71" s="324">
        <v>3</v>
      </c>
      <c r="J71" s="324">
        <f>ROUNDDOWN(H71*I71,2)</f>
        <v>30.3</v>
      </c>
    </row>
    <row r="72" spans="7:10" ht="15" x14ac:dyDescent="0.25">
      <c r="G72" s="343" t="s">
        <v>21219</v>
      </c>
      <c r="H72" s="324">
        <v>9.74</v>
      </c>
      <c r="I72" s="324">
        <v>6.2</v>
      </c>
      <c r="J72" s="324">
        <f>ROUNDDOWN(H72*I72,2)</f>
        <v>60.38</v>
      </c>
    </row>
    <row r="73" spans="7:10" ht="15" x14ac:dyDescent="0.25">
      <c r="G73" s="343" t="s">
        <v>21221</v>
      </c>
      <c r="H73" s="324">
        <v>3.75</v>
      </c>
      <c r="I73" s="324">
        <v>1.833</v>
      </c>
      <c r="J73" s="324">
        <v>6.86</v>
      </c>
    </row>
    <row r="74" spans="7:10" ht="15" x14ac:dyDescent="0.25">
      <c r="G74" s="343" t="s">
        <v>21222</v>
      </c>
      <c r="H74" s="324">
        <v>11.16</v>
      </c>
      <c r="I74" s="324">
        <v>3</v>
      </c>
      <c r="J74" s="324">
        <f t="shared" ref="J74:J83" si="3">ROUNDDOWN(H74*I74,2)</f>
        <v>33.479999999999997</v>
      </c>
    </row>
    <row r="75" spans="7:10" ht="15" x14ac:dyDescent="0.25">
      <c r="G75" s="343" t="s">
        <v>21223</v>
      </c>
      <c r="H75" s="324">
        <v>3.75</v>
      </c>
      <c r="I75" s="324">
        <v>3.35</v>
      </c>
      <c r="J75" s="324">
        <f t="shared" si="3"/>
        <v>12.56</v>
      </c>
    </row>
    <row r="76" spans="7:10" ht="15" x14ac:dyDescent="0.25">
      <c r="G76" s="343" t="s">
        <v>21224</v>
      </c>
      <c r="H76" s="324">
        <v>14.2</v>
      </c>
      <c r="I76" s="324">
        <v>3</v>
      </c>
      <c r="J76" s="324">
        <f t="shared" si="3"/>
        <v>42.6</v>
      </c>
    </row>
    <row r="77" spans="7:10" ht="15" x14ac:dyDescent="0.25">
      <c r="G77" s="343" t="s">
        <v>21225</v>
      </c>
      <c r="H77" s="324">
        <v>6.4</v>
      </c>
      <c r="I77" s="324">
        <v>2</v>
      </c>
      <c r="J77" s="324">
        <f t="shared" si="3"/>
        <v>12.8</v>
      </c>
    </row>
    <row r="78" spans="7:10" ht="15" x14ac:dyDescent="0.25">
      <c r="G78" s="343" t="s">
        <v>21226</v>
      </c>
      <c r="H78" s="324">
        <v>16.8</v>
      </c>
      <c r="I78" s="324">
        <v>3</v>
      </c>
      <c r="J78" s="324">
        <f t="shared" si="3"/>
        <v>50.4</v>
      </c>
    </row>
    <row r="79" spans="7:10" ht="15" x14ac:dyDescent="0.25">
      <c r="G79" s="343" t="s">
        <v>21227</v>
      </c>
      <c r="H79" s="324">
        <v>12.5</v>
      </c>
      <c r="I79" s="324">
        <v>3.8</v>
      </c>
      <c r="J79" s="324">
        <f t="shared" si="3"/>
        <v>47.5</v>
      </c>
    </row>
    <row r="80" spans="7:10" ht="15" x14ac:dyDescent="0.25">
      <c r="G80" s="343" t="s">
        <v>21228</v>
      </c>
      <c r="H80" s="324">
        <v>2</v>
      </c>
      <c r="I80" s="324">
        <v>1.4</v>
      </c>
      <c r="J80" s="324">
        <f t="shared" si="3"/>
        <v>2.8</v>
      </c>
    </row>
    <row r="81" spans="7:10" ht="15" x14ac:dyDescent="0.25">
      <c r="G81" s="343" t="s">
        <v>21229</v>
      </c>
      <c r="H81" s="324">
        <v>6.8</v>
      </c>
      <c r="I81" s="324">
        <v>3</v>
      </c>
      <c r="J81" s="324">
        <f t="shared" si="3"/>
        <v>20.399999999999999</v>
      </c>
    </row>
    <row r="82" spans="7:10" ht="15" x14ac:dyDescent="0.25">
      <c r="G82" s="343" t="s">
        <v>21534</v>
      </c>
      <c r="H82" s="324">
        <v>2</v>
      </c>
      <c r="I82" s="324">
        <v>2</v>
      </c>
      <c r="J82" s="324">
        <f t="shared" si="3"/>
        <v>4</v>
      </c>
    </row>
    <row r="83" spans="7:10" ht="15" x14ac:dyDescent="0.25">
      <c r="G83" s="343" t="s">
        <v>21535</v>
      </c>
      <c r="H83" s="324">
        <v>2</v>
      </c>
      <c r="I83" s="324">
        <v>2</v>
      </c>
      <c r="J83" s="324">
        <f t="shared" si="3"/>
        <v>4</v>
      </c>
    </row>
    <row r="84" spans="7:10" ht="15" x14ac:dyDescent="0.25">
      <c r="G84" s="789" t="s">
        <v>21178</v>
      </c>
      <c r="H84" s="790"/>
      <c r="I84" s="791"/>
      <c r="J84" s="344">
        <f>SUM(J54:J83)</f>
        <v>685.57999999999993</v>
      </c>
    </row>
    <row r="85" spans="7:10" ht="15" x14ac:dyDescent="0.25">
      <c r="G85" s="778" t="s">
        <v>21163</v>
      </c>
      <c r="H85" s="778"/>
      <c r="I85" s="778"/>
      <c r="J85" s="778"/>
    </row>
    <row r="86" spans="7:10" ht="30" x14ac:dyDescent="0.2">
      <c r="G86" s="341" t="s">
        <v>20914</v>
      </c>
      <c r="H86" s="342" t="s">
        <v>21161</v>
      </c>
      <c r="I86" s="342" t="s">
        <v>21162</v>
      </c>
      <c r="J86" s="342" t="s">
        <v>88</v>
      </c>
    </row>
    <row r="87" spans="7:10" ht="15" x14ac:dyDescent="0.25">
      <c r="G87" s="343" t="s">
        <v>21231</v>
      </c>
      <c r="H87" s="321">
        <v>2.0299999999999998</v>
      </c>
      <c r="I87" s="324">
        <v>4</v>
      </c>
      <c r="J87" s="324">
        <f>ROUND(H87*I87,2)</f>
        <v>8.1199999999999992</v>
      </c>
    </row>
    <row r="88" spans="7:10" ht="15" x14ac:dyDescent="0.25">
      <c r="G88" s="343" t="s">
        <v>21531</v>
      </c>
      <c r="H88" s="321">
        <v>7.51</v>
      </c>
      <c r="I88" s="324">
        <v>5.12</v>
      </c>
      <c r="J88" s="324">
        <f>ROUND(H88*I88,2)</f>
        <v>38.450000000000003</v>
      </c>
    </row>
    <row r="89" spans="7:10" ht="15" x14ac:dyDescent="0.25">
      <c r="G89" s="343" t="s">
        <v>21532</v>
      </c>
      <c r="H89" s="324">
        <v>17.98</v>
      </c>
      <c r="I89" s="324">
        <v>3</v>
      </c>
      <c r="J89" s="324">
        <f>ROUNDUP(H89*I89,2)</f>
        <v>53.94</v>
      </c>
    </row>
    <row r="90" spans="7:10" ht="15" x14ac:dyDescent="0.25">
      <c r="G90" s="789" t="s">
        <v>21185</v>
      </c>
      <c r="H90" s="790"/>
      <c r="I90" s="791"/>
      <c r="J90" s="344">
        <f>SUM(J87:J89)</f>
        <v>100.50999999999999</v>
      </c>
    </row>
    <row r="91" spans="7:10" ht="15" x14ac:dyDescent="0.25">
      <c r="G91" s="775" t="s">
        <v>7</v>
      </c>
      <c r="H91" s="776"/>
      <c r="I91" s="777"/>
      <c r="J91" s="371">
        <f>J84+J90</f>
        <v>786.08999999999992</v>
      </c>
    </row>
    <row r="93" spans="7:10" ht="15" x14ac:dyDescent="0.25">
      <c r="G93" s="778" t="s">
        <v>21543</v>
      </c>
      <c r="H93" s="778"/>
      <c r="I93" s="778"/>
      <c r="J93" s="778"/>
    </row>
    <row r="94" spans="7:10" ht="30" x14ac:dyDescent="0.2">
      <c r="G94" s="341" t="s">
        <v>20914</v>
      </c>
      <c r="H94" s="342" t="s">
        <v>20359</v>
      </c>
      <c r="I94" s="342" t="s">
        <v>87</v>
      </c>
      <c r="J94" s="342" t="s">
        <v>88</v>
      </c>
    </row>
    <row r="95" spans="7:10" ht="15" x14ac:dyDescent="0.25">
      <c r="G95" s="343" t="s">
        <v>21544</v>
      </c>
      <c r="H95" s="324">
        <v>68.3</v>
      </c>
      <c r="I95" s="324">
        <v>3.2</v>
      </c>
      <c r="J95" s="324">
        <f t="shared" ref="J95" si="4">ROUNDDOWN(H95*I95,2)</f>
        <v>218.56</v>
      </c>
    </row>
    <row r="96" spans="7:10" ht="15" x14ac:dyDescent="0.25">
      <c r="G96" s="343" t="s">
        <v>21545</v>
      </c>
      <c r="H96" s="324">
        <v>45.18</v>
      </c>
      <c r="I96" s="324">
        <v>3.6</v>
      </c>
      <c r="J96" s="324">
        <f>ROUNDUP(H96*I96,2)</f>
        <v>162.64999999999998</v>
      </c>
    </row>
    <row r="97" spans="7:10" ht="15" x14ac:dyDescent="0.25">
      <c r="G97" s="343" t="s">
        <v>21546</v>
      </c>
      <c r="H97" s="324">
        <v>54.75</v>
      </c>
      <c r="I97" s="324">
        <v>2.8</v>
      </c>
      <c r="J97" s="324">
        <f>ROUNDUP(H97*I97,2)</f>
        <v>153.30000000000001</v>
      </c>
    </row>
    <row r="98" spans="7:10" ht="15" x14ac:dyDescent="0.25">
      <c r="G98" s="343" t="s">
        <v>21547</v>
      </c>
      <c r="H98" s="324">
        <v>15.99</v>
      </c>
      <c r="I98" s="324">
        <v>2.8</v>
      </c>
      <c r="J98" s="324">
        <f t="shared" ref="J98:J99" si="5">ROUNDUP(H98*I98,2)</f>
        <v>44.78</v>
      </c>
    </row>
    <row r="99" spans="7:10" ht="15" x14ac:dyDescent="0.25">
      <c r="G99" s="343" t="s">
        <v>21548</v>
      </c>
      <c r="H99" s="324">
        <f>2*(4.95+25.55)</f>
        <v>61</v>
      </c>
      <c r="I99" s="324">
        <v>2.8</v>
      </c>
      <c r="J99" s="324">
        <f t="shared" si="5"/>
        <v>170.8</v>
      </c>
    </row>
    <row r="100" spans="7:10" ht="15" x14ac:dyDescent="0.25">
      <c r="G100" s="775" t="s">
        <v>7</v>
      </c>
      <c r="H100" s="776"/>
      <c r="I100" s="777"/>
      <c r="J100" s="371">
        <f>SUM(J95:J99)</f>
        <v>750.08999999999992</v>
      </c>
    </row>
  </sheetData>
  <mergeCells count="11">
    <mergeCell ref="G93:J93"/>
    <mergeCell ref="G100:I100"/>
    <mergeCell ref="L52:O52"/>
    <mergeCell ref="L57:N57"/>
    <mergeCell ref="B2:E2"/>
    <mergeCell ref="B50:D50"/>
    <mergeCell ref="G52:J52"/>
    <mergeCell ref="G84:I84"/>
    <mergeCell ref="G85:J85"/>
    <mergeCell ref="G90:I90"/>
    <mergeCell ref="G91:I91"/>
  </mergeCells>
  <pageMargins left="0.511811024" right="0.511811024" top="0.78740157499999996" bottom="0.78740157499999996" header="0.31496062000000002" footer="0.3149606200000000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1" tint="0.14999847407452621"/>
  </sheetPr>
  <dimension ref="B3:AQ141"/>
  <sheetViews>
    <sheetView zoomScale="115" zoomScaleNormal="115" workbookViewId="0">
      <selection activeCell="M37" sqref="M37"/>
    </sheetView>
  </sheetViews>
  <sheetFormatPr defaultColWidth="9.140625" defaultRowHeight="12.75" x14ac:dyDescent="0.2"/>
  <cols>
    <col min="1" max="1" width="3" style="33" customWidth="1"/>
    <col min="2" max="2" width="30.5703125" style="33" bestFit="1" customWidth="1"/>
    <col min="3" max="3" width="10.7109375" style="33" bestFit="1" customWidth="1"/>
    <col min="4" max="4" width="12.140625" style="33" bestFit="1" customWidth="1"/>
    <col min="5" max="5" width="12" style="33" bestFit="1" customWidth="1"/>
    <col min="6" max="7" width="11" style="33" bestFit="1" customWidth="1"/>
    <col min="8" max="8" width="10.140625" style="33" bestFit="1" customWidth="1"/>
    <col min="9" max="9" width="11.7109375" style="33" bestFit="1" customWidth="1"/>
    <col min="10" max="10" width="10.140625" style="33" bestFit="1" customWidth="1"/>
    <col min="11" max="11" width="11" style="33" bestFit="1" customWidth="1"/>
    <col min="12" max="12" width="11.28515625" style="33" bestFit="1" customWidth="1"/>
    <col min="13" max="14" width="11" style="33" bestFit="1" customWidth="1"/>
    <col min="15" max="15" width="10.85546875" style="33" bestFit="1" customWidth="1"/>
    <col min="16" max="18" width="9.42578125" style="33" bestFit="1" customWidth="1"/>
    <col min="19" max="19" width="8.85546875" style="33" bestFit="1" customWidth="1"/>
    <col min="20" max="20" width="8.42578125" style="33" bestFit="1" customWidth="1"/>
    <col min="21" max="21" width="12" style="33" bestFit="1" customWidth="1"/>
    <col min="22" max="22" width="10.28515625" style="33" customWidth="1"/>
    <col min="23" max="23" width="30.28515625" style="33" customWidth="1"/>
    <col min="24" max="24" width="8.28515625" style="33" customWidth="1"/>
    <col min="25" max="25" width="9.140625" style="33"/>
    <col min="26" max="26" width="8.5703125" style="33" bestFit="1" customWidth="1"/>
    <col min="27" max="27" width="11.42578125" style="33" customWidth="1"/>
    <col min="28" max="28" width="9.140625" style="33"/>
    <col min="29" max="29" width="11.28515625" style="33" customWidth="1"/>
    <col min="30" max="30" width="10" style="33" customWidth="1"/>
    <col min="31" max="31" width="10.85546875" style="33" customWidth="1"/>
    <col min="32" max="32" width="11.28515625" style="33" hidden="1" customWidth="1"/>
    <col min="33" max="33" width="10.28515625" style="33" hidden="1" customWidth="1"/>
    <col min="34" max="34" width="0" style="33" hidden="1" customWidth="1"/>
    <col min="35" max="35" width="7.140625" style="33" customWidth="1"/>
    <col min="36" max="36" width="11.28515625" style="33" customWidth="1"/>
    <col min="37" max="40" width="12" style="33" customWidth="1"/>
    <col min="41" max="41" width="10.5703125" style="33" customWidth="1"/>
    <col min="42" max="42" width="11.28515625" style="33" customWidth="1"/>
    <col min="43" max="16384" width="9.140625" style="33"/>
  </cols>
  <sheetData>
    <row r="3" spans="2:43" x14ac:dyDescent="0.2">
      <c r="B3" s="801" t="s">
        <v>20406</v>
      </c>
      <c r="C3" s="801"/>
      <c r="D3" s="801"/>
      <c r="E3" s="801"/>
      <c r="F3" s="801"/>
      <c r="G3" s="801"/>
      <c r="H3" s="801"/>
      <c r="I3" s="801"/>
      <c r="J3" s="801"/>
      <c r="K3" s="801"/>
      <c r="M3" s="797" t="s">
        <v>20558</v>
      </c>
      <c r="N3" s="797"/>
      <c r="O3" s="797"/>
      <c r="P3" s="797"/>
      <c r="Q3" s="797"/>
      <c r="R3" s="797"/>
      <c r="S3" s="797"/>
      <c r="T3" s="797"/>
      <c r="U3" s="399"/>
      <c r="AJ3" s="797" t="s">
        <v>20559</v>
      </c>
      <c r="AK3" s="797"/>
      <c r="AL3" s="797"/>
      <c r="AM3" s="797"/>
      <c r="AN3" s="797"/>
      <c r="AO3" s="797"/>
      <c r="AP3" s="797"/>
      <c r="AQ3" s="797"/>
    </row>
    <row r="4" spans="2:43" ht="38.25" x14ac:dyDescent="0.2">
      <c r="B4" s="161" t="s">
        <v>20407</v>
      </c>
      <c r="C4" s="162" t="s">
        <v>21647</v>
      </c>
      <c r="D4" s="162" t="s">
        <v>21646</v>
      </c>
      <c r="E4" s="162" t="s">
        <v>21644</v>
      </c>
      <c r="F4" s="162" t="s">
        <v>20409</v>
      </c>
      <c r="G4" s="162" t="s">
        <v>21656</v>
      </c>
      <c r="H4" s="162" t="s">
        <v>21645</v>
      </c>
      <c r="I4" s="162" t="s">
        <v>20410</v>
      </c>
      <c r="J4" s="162" t="s">
        <v>20411</v>
      </c>
      <c r="K4" s="162" t="s">
        <v>21649</v>
      </c>
      <c r="M4" s="162" t="s">
        <v>20539</v>
      </c>
      <c r="N4" s="162" t="s">
        <v>20540</v>
      </c>
      <c r="O4" s="162" t="s">
        <v>89</v>
      </c>
      <c r="P4" s="162"/>
      <c r="Q4" s="162"/>
      <c r="R4" s="162" t="s">
        <v>87</v>
      </c>
      <c r="S4" s="162"/>
      <c r="T4" s="162" t="s">
        <v>20557</v>
      </c>
      <c r="U4" s="400"/>
      <c r="AJ4" s="162" t="s">
        <v>20451</v>
      </c>
      <c r="AK4" s="162" t="s">
        <v>20539</v>
      </c>
      <c r="AL4" s="162" t="s">
        <v>20560</v>
      </c>
      <c r="AM4" s="162" t="s">
        <v>20563</v>
      </c>
      <c r="AN4" s="162" t="s">
        <v>20540</v>
      </c>
      <c r="AO4" s="162" t="s">
        <v>20561</v>
      </c>
      <c r="AP4" s="162" t="s">
        <v>20564</v>
      </c>
      <c r="AQ4" s="162" t="s">
        <v>20562</v>
      </c>
    </row>
    <row r="5" spans="2:43" x14ac:dyDescent="0.2">
      <c r="B5" s="435" t="s">
        <v>21608</v>
      </c>
      <c r="C5" s="257">
        <f>D40+E40</f>
        <v>0</v>
      </c>
      <c r="D5" s="257">
        <f>F40</f>
        <v>0</v>
      </c>
      <c r="E5" s="257">
        <f t="shared" ref="E5:E29" si="0">H40+I40+J40</f>
        <v>0</v>
      </c>
      <c r="F5" s="257">
        <f t="shared" ref="F5:F29" si="1">SUM(M40:T40)</f>
        <v>14</v>
      </c>
      <c r="G5" s="257">
        <f>ROUND(6*C5+5*E5+5*F5,2)</f>
        <v>70</v>
      </c>
      <c r="H5" s="437">
        <f>12*E5+12*F5</f>
        <v>168</v>
      </c>
      <c r="I5" s="437">
        <f>12*C5</f>
        <v>0</v>
      </c>
      <c r="J5" s="437">
        <f>50*D5</f>
        <v>0</v>
      </c>
      <c r="K5" s="437">
        <v>0</v>
      </c>
      <c r="M5" s="223">
        <f>G36</f>
        <v>1422</v>
      </c>
      <c r="N5" s="215" t="e">
        <f>#REF!</f>
        <v>#REF!</v>
      </c>
      <c r="O5" s="215">
        <v>0.2</v>
      </c>
      <c r="P5" s="215"/>
      <c r="Q5" s="215"/>
      <c r="R5" s="215">
        <v>0.2</v>
      </c>
      <c r="S5" s="215"/>
      <c r="T5" s="215" t="e">
        <f>ROUND((M5+N5)*O5*R5,2)</f>
        <v>#REF!</v>
      </c>
      <c r="U5" s="401"/>
      <c r="AJ5" s="223" t="e">
        <f>T5</f>
        <v>#REF!</v>
      </c>
      <c r="AK5" s="215">
        <f>G36</f>
        <v>1422</v>
      </c>
      <c r="AL5" s="224">
        <f>ROUND(PI()*0.015*0.015,5)</f>
        <v>7.1000000000000002E-4</v>
      </c>
      <c r="AM5" s="215">
        <f>ROUND(AK5*AL5,2)</f>
        <v>1.01</v>
      </c>
      <c r="AN5" s="215" t="e">
        <f>#REF!</f>
        <v>#REF!</v>
      </c>
      <c r="AO5" s="224">
        <f>ROUND(PI()*0.035*0.035,5)</f>
        <v>3.8500000000000001E-3</v>
      </c>
      <c r="AP5" s="215" t="e">
        <f>ROUND(AN5*AO5,2)</f>
        <v>#REF!</v>
      </c>
      <c r="AQ5" s="215" t="e">
        <f>AJ5-AM5-AP5</f>
        <v>#REF!</v>
      </c>
    </row>
    <row r="6" spans="2:43" x14ac:dyDescent="0.2">
      <c r="B6" s="428" t="s">
        <v>21609</v>
      </c>
      <c r="C6" s="164">
        <f t="shared" ref="C6:C29" si="2">D41+E41</f>
        <v>10</v>
      </c>
      <c r="D6" s="164">
        <f t="shared" ref="D6:D29" si="3">F41</f>
        <v>0</v>
      </c>
      <c r="E6" s="164">
        <f t="shared" si="0"/>
        <v>0</v>
      </c>
      <c r="F6" s="164">
        <f t="shared" si="1"/>
        <v>0</v>
      </c>
      <c r="G6" s="164">
        <f t="shared" ref="G6:G29" si="4">ROUND(6*C6+5*E6+5*F6,2)</f>
        <v>60</v>
      </c>
      <c r="H6" s="169">
        <f t="shared" ref="H6:H23" si="5">12*E6+12*F6</f>
        <v>0</v>
      </c>
      <c r="I6" s="169">
        <f t="shared" ref="I6:I29" si="6">12*C6</f>
        <v>120</v>
      </c>
      <c r="J6" s="169">
        <f t="shared" ref="J6:J29" si="7">50*D6</f>
        <v>0</v>
      </c>
      <c r="K6" s="169">
        <v>0</v>
      </c>
    </row>
    <row r="7" spans="2:43" x14ac:dyDescent="0.2">
      <c r="B7" s="435" t="s">
        <v>21612</v>
      </c>
      <c r="C7" s="257">
        <f t="shared" si="2"/>
        <v>2</v>
      </c>
      <c r="D7" s="257">
        <f t="shared" si="3"/>
        <v>0</v>
      </c>
      <c r="E7" s="257">
        <f t="shared" si="0"/>
        <v>2</v>
      </c>
      <c r="F7" s="257">
        <f t="shared" si="1"/>
        <v>15</v>
      </c>
      <c r="G7" s="257">
        <f t="shared" si="4"/>
        <v>97</v>
      </c>
      <c r="H7" s="437">
        <f t="shared" si="5"/>
        <v>204</v>
      </c>
      <c r="I7" s="437">
        <f t="shared" si="6"/>
        <v>24</v>
      </c>
      <c r="J7" s="437">
        <f t="shared" si="7"/>
        <v>0</v>
      </c>
      <c r="K7" s="437">
        <v>0</v>
      </c>
    </row>
    <row r="8" spans="2:43" x14ac:dyDescent="0.2">
      <c r="B8" s="428" t="s">
        <v>21613</v>
      </c>
      <c r="C8" s="164">
        <f t="shared" si="2"/>
        <v>4</v>
      </c>
      <c r="D8" s="164">
        <f t="shared" si="3"/>
        <v>0</v>
      </c>
      <c r="E8" s="164">
        <f t="shared" si="0"/>
        <v>0</v>
      </c>
      <c r="F8" s="164">
        <f t="shared" si="1"/>
        <v>0</v>
      </c>
      <c r="G8" s="164">
        <f t="shared" si="4"/>
        <v>24</v>
      </c>
      <c r="H8" s="169">
        <f t="shared" si="5"/>
        <v>0</v>
      </c>
      <c r="I8" s="169">
        <f t="shared" si="6"/>
        <v>48</v>
      </c>
      <c r="J8" s="169">
        <f t="shared" si="7"/>
        <v>0</v>
      </c>
      <c r="K8" s="169">
        <v>0</v>
      </c>
    </row>
    <row r="9" spans="2:43" x14ac:dyDescent="0.2">
      <c r="B9" s="435" t="s">
        <v>21614</v>
      </c>
      <c r="C9" s="257">
        <f t="shared" si="2"/>
        <v>0</v>
      </c>
      <c r="D9" s="257">
        <f t="shared" si="3"/>
        <v>0</v>
      </c>
      <c r="E9" s="257">
        <f t="shared" si="0"/>
        <v>4</v>
      </c>
      <c r="F9" s="257">
        <f t="shared" si="1"/>
        <v>6</v>
      </c>
      <c r="G9" s="257">
        <f t="shared" si="4"/>
        <v>50</v>
      </c>
      <c r="H9" s="437">
        <f t="shared" si="5"/>
        <v>120</v>
      </c>
      <c r="I9" s="437">
        <f t="shared" si="6"/>
        <v>0</v>
      </c>
      <c r="J9" s="437">
        <f t="shared" si="7"/>
        <v>0</v>
      </c>
      <c r="K9" s="437">
        <v>0</v>
      </c>
    </row>
    <row r="10" spans="2:43" x14ac:dyDescent="0.2">
      <c r="B10" s="428" t="s">
        <v>21615</v>
      </c>
      <c r="C10" s="164">
        <f t="shared" si="2"/>
        <v>11</v>
      </c>
      <c r="D10" s="164">
        <f t="shared" si="3"/>
        <v>2</v>
      </c>
      <c r="E10" s="164">
        <f t="shared" si="0"/>
        <v>0</v>
      </c>
      <c r="F10" s="164">
        <f t="shared" si="1"/>
        <v>0</v>
      </c>
      <c r="G10" s="164">
        <f t="shared" si="4"/>
        <v>66</v>
      </c>
      <c r="H10" s="169">
        <f t="shared" si="5"/>
        <v>0</v>
      </c>
      <c r="I10" s="169">
        <f t="shared" si="6"/>
        <v>132</v>
      </c>
      <c r="J10" s="169">
        <f t="shared" si="7"/>
        <v>100</v>
      </c>
      <c r="K10" s="169">
        <v>0</v>
      </c>
    </row>
    <row r="11" spans="2:43" x14ac:dyDescent="0.2">
      <c r="B11" s="435" t="s">
        <v>21623</v>
      </c>
      <c r="C11" s="257">
        <f t="shared" si="2"/>
        <v>8</v>
      </c>
      <c r="D11" s="257">
        <f t="shared" si="3"/>
        <v>0</v>
      </c>
      <c r="E11" s="257">
        <f t="shared" si="0"/>
        <v>9</v>
      </c>
      <c r="F11" s="257">
        <f t="shared" si="1"/>
        <v>14</v>
      </c>
      <c r="G11" s="257">
        <f t="shared" si="4"/>
        <v>163</v>
      </c>
      <c r="H11" s="437">
        <f t="shared" si="5"/>
        <v>276</v>
      </c>
      <c r="I11" s="437">
        <f t="shared" si="6"/>
        <v>96</v>
      </c>
      <c r="J11" s="437">
        <f t="shared" si="7"/>
        <v>0</v>
      </c>
      <c r="K11" s="437">
        <v>0</v>
      </c>
    </row>
    <row r="12" spans="2:43" x14ac:dyDescent="0.2">
      <c r="B12" s="428" t="s">
        <v>21624</v>
      </c>
      <c r="C12" s="164">
        <f t="shared" si="2"/>
        <v>8</v>
      </c>
      <c r="D12" s="164">
        <f t="shared" si="3"/>
        <v>0</v>
      </c>
      <c r="E12" s="164">
        <f t="shared" si="0"/>
        <v>0</v>
      </c>
      <c r="F12" s="164">
        <f t="shared" si="1"/>
        <v>0</v>
      </c>
      <c r="G12" s="164">
        <f t="shared" si="4"/>
        <v>48</v>
      </c>
      <c r="H12" s="169">
        <f t="shared" si="5"/>
        <v>0</v>
      </c>
      <c r="I12" s="169">
        <f t="shared" si="6"/>
        <v>96</v>
      </c>
      <c r="J12" s="169">
        <f t="shared" si="7"/>
        <v>0</v>
      </c>
      <c r="K12" s="169">
        <v>0</v>
      </c>
    </row>
    <row r="13" spans="2:43" x14ac:dyDescent="0.2">
      <c r="B13" s="435" t="s">
        <v>21625</v>
      </c>
      <c r="C13" s="257">
        <f t="shared" si="2"/>
        <v>0</v>
      </c>
      <c r="D13" s="257">
        <f t="shared" si="3"/>
        <v>0</v>
      </c>
      <c r="E13" s="257">
        <f t="shared" si="0"/>
        <v>3</v>
      </c>
      <c r="F13" s="257">
        <f t="shared" si="1"/>
        <v>4</v>
      </c>
      <c r="G13" s="257">
        <f t="shared" si="4"/>
        <v>35</v>
      </c>
      <c r="H13" s="437">
        <f t="shared" si="5"/>
        <v>84</v>
      </c>
      <c r="I13" s="437">
        <f t="shared" si="6"/>
        <v>0</v>
      </c>
      <c r="J13" s="437">
        <f t="shared" si="7"/>
        <v>0</v>
      </c>
      <c r="K13" s="437">
        <v>0</v>
      </c>
    </row>
    <row r="14" spans="2:43" x14ac:dyDescent="0.2">
      <c r="B14" s="428" t="s">
        <v>21626</v>
      </c>
      <c r="C14" s="164">
        <f t="shared" si="2"/>
        <v>10</v>
      </c>
      <c r="D14" s="164">
        <f t="shared" si="3"/>
        <v>1</v>
      </c>
      <c r="E14" s="164">
        <f t="shared" si="0"/>
        <v>0</v>
      </c>
      <c r="F14" s="164">
        <f t="shared" si="1"/>
        <v>0</v>
      </c>
      <c r="G14" s="164">
        <f t="shared" si="4"/>
        <v>60</v>
      </c>
      <c r="H14" s="169">
        <f t="shared" si="5"/>
        <v>0</v>
      </c>
      <c r="I14" s="169">
        <f t="shared" si="6"/>
        <v>120</v>
      </c>
      <c r="J14" s="169">
        <f t="shared" si="7"/>
        <v>50</v>
      </c>
      <c r="K14" s="169">
        <v>0</v>
      </c>
    </row>
    <row r="15" spans="2:43" x14ac:dyDescent="0.2">
      <c r="B15" s="435" t="s">
        <v>21627</v>
      </c>
      <c r="C15" s="257">
        <f t="shared" si="2"/>
        <v>2</v>
      </c>
      <c r="D15" s="257">
        <f t="shared" si="3"/>
        <v>0</v>
      </c>
      <c r="E15" s="257">
        <f t="shared" si="0"/>
        <v>2</v>
      </c>
      <c r="F15" s="257">
        <f t="shared" si="1"/>
        <v>9</v>
      </c>
      <c r="G15" s="257">
        <f t="shared" si="4"/>
        <v>67</v>
      </c>
      <c r="H15" s="437">
        <f t="shared" si="5"/>
        <v>132</v>
      </c>
      <c r="I15" s="437">
        <f t="shared" si="6"/>
        <v>24</v>
      </c>
      <c r="J15" s="437">
        <f t="shared" si="7"/>
        <v>0</v>
      </c>
      <c r="K15" s="437">
        <v>0</v>
      </c>
    </row>
    <row r="16" spans="2:43" x14ac:dyDescent="0.2">
      <c r="B16" s="438" t="s">
        <v>21628</v>
      </c>
      <c r="C16" s="164">
        <f t="shared" si="2"/>
        <v>1</v>
      </c>
      <c r="D16" s="544">
        <f t="shared" si="3"/>
        <v>1</v>
      </c>
      <c r="E16" s="164">
        <f t="shared" si="0"/>
        <v>0</v>
      </c>
      <c r="F16" s="164">
        <f t="shared" si="1"/>
        <v>0</v>
      </c>
      <c r="G16" s="164">
        <f t="shared" si="4"/>
        <v>6</v>
      </c>
      <c r="H16" s="169">
        <f t="shared" si="5"/>
        <v>0</v>
      </c>
      <c r="I16" s="169">
        <f t="shared" si="6"/>
        <v>12</v>
      </c>
      <c r="J16" s="169">
        <f t="shared" si="7"/>
        <v>50</v>
      </c>
      <c r="K16" s="440">
        <f>50*D16</f>
        <v>50</v>
      </c>
    </row>
    <row r="17" spans="2:11" x14ac:dyDescent="0.2">
      <c r="B17" s="435" t="s">
        <v>21629</v>
      </c>
      <c r="C17" s="257">
        <f t="shared" si="2"/>
        <v>0</v>
      </c>
      <c r="D17" s="257">
        <f t="shared" si="3"/>
        <v>0</v>
      </c>
      <c r="E17" s="257">
        <f t="shared" si="0"/>
        <v>2</v>
      </c>
      <c r="F17" s="257">
        <f t="shared" si="1"/>
        <v>3</v>
      </c>
      <c r="G17" s="257">
        <f t="shared" si="4"/>
        <v>25</v>
      </c>
      <c r="H17" s="437">
        <f t="shared" si="5"/>
        <v>60</v>
      </c>
      <c r="I17" s="437">
        <f t="shared" si="6"/>
        <v>0</v>
      </c>
      <c r="J17" s="437">
        <f t="shared" si="7"/>
        <v>0</v>
      </c>
      <c r="K17" s="437">
        <v>0</v>
      </c>
    </row>
    <row r="18" spans="2:11" x14ac:dyDescent="0.2">
      <c r="B18" s="428" t="s">
        <v>21630</v>
      </c>
      <c r="C18" s="164">
        <f t="shared" si="2"/>
        <v>5</v>
      </c>
      <c r="D18" s="164">
        <f t="shared" si="3"/>
        <v>0</v>
      </c>
      <c r="E18" s="164">
        <f t="shared" si="0"/>
        <v>0</v>
      </c>
      <c r="F18" s="164">
        <f t="shared" si="1"/>
        <v>0</v>
      </c>
      <c r="G18" s="164">
        <f t="shared" si="4"/>
        <v>30</v>
      </c>
      <c r="H18" s="169">
        <f t="shared" si="5"/>
        <v>0</v>
      </c>
      <c r="I18" s="169">
        <f t="shared" si="6"/>
        <v>60</v>
      </c>
      <c r="J18" s="169">
        <f t="shared" si="7"/>
        <v>0</v>
      </c>
      <c r="K18" s="169">
        <v>0</v>
      </c>
    </row>
    <row r="19" spans="2:11" x14ac:dyDescent="0.2">
      <c r="B19" s="435" t="s">
        <v>21631</v>
      </c>
      <c r="C19" s="257">
        <f t="shared" si="2"/>
        <v>0</v>
      </c>
      <c r="D19" s="257">
        <f t="shared" si="3"/>
        <v>0</v>
      </c>
      <c r="E19" s="257">
        <f t="shared" si="0"/>
        <v>1</v>
      </c>
      <c r="F19" s="257">
        <f t="shared" si="1"/>
        <v>1</v>
      </c>
      <c r="G19" s="257">
        <f t="shared" si="4"/>
        <v>10</v>
      </c>
      <c r="H19" s="437">
        <f t="shared" si="5"/>
        <v>24</v>
      </c>
      <c r="I19" s="437">
        <f t="shared" si="6"/>
        <v>0</v>
      </c>
      <c r="J19" s="437">
        <f t="shared" si="7"/>
        <v>0</v>
      </c>
      <c r="K19" s="437">
        <v>0</v>
      </c>
    </row>
    <row r="20" spans="2:11" x14ac:dyDescent="0.2">
      <c r="B20" s="428" t="s">
        <v>21632</v>
      </c>
      <c r="C20" s="164">
        <f t="shared" si="2"/>
        <v>6</v>
      </c>
      <c r="D20" s="164">
        <f t="shared" si="3"/>
        <v>0</v>
      </c>
      <c r="E20" s="164">
        <f t="shared" si="0"/>
        <v>0</v>
      </c>
      <c r="F20" s="164">
        <f t="shared" si="1"/>
        <v>0</v>
      </c>
      <c r="G20" s="164">
        <f t="shared" si="4"/>
        <v>36</v>
      </c>
      <c r="H20" s="169">
        <f t="shared" si="5"/>
        <v>0</v>
      </c>
      <c r="I20" s="169">
        <f t="shared" si="6"/>
        <v>72</v>
      </c>
      <c r="J20" s="169">
        <f t="shared" si="7"/>
        <v>0</v>
      </c>
      <c r="K20" s="169">
        <v>0</v>
      </c>
    </row>
    <row r="21" spans="2:11" x14ac:dyDescent="0.2">
      <c r="B21" s="435" t="s">
        <v>21633</v>
      </c>
      <c r="C21" s="257">
        <f t="shared" si="2"/>
        <v>0</v>
      </c>
      <c r="D21" s="257">
        <f t="shared" si="3"/>
        <v>0</v>
      </c>
      <c r="E21" s="257">
        <f t="shared" si="0"/>
        <v>1</v>
      </c>
      <c r="F21" s="257">
        <f t="shared" si="1"/>
        <v>18</v>
      </c>
      <c r="G21" s="257">
        <f t="shared" si="4"/>
        <v>95</v>
      </c>
      <c r="H21" s="437">
        <f t="shared" si="5"/>
        <v>228</v>
      </c>
      <c r="I21" s="437">
        <f t="shared" si="6"/>
        <v>0</v>
      </c>
      <c r="J21" s="437">
        <f t="shared" si="7"/>
        <v>0</v>
      </c>
      <c r="K21" s="437">
        <v>0</v>
      </c>
    </row>
    <row r="22" spans="2:11" x14ac:dyDescent="0.2">
      <c r="B22" s="438" t="s">
        <v>21634</v>
      </c>
      <c r="C22" s="164">
        <f t="shared" si="2"/>
        <v>0</v>
      </c>
      <c r="D22" s="544">
        <f t="shared" si="3"/>
        <v>1</v>
      </c>
      <c r="E22" s="164">
        <f t="shared" si="0"/>
        <v>0</v>
      </c>
      <c r="F22" s="164">
        <f t="shared" si="1"/>
        <v>0</v>
      </c>
      <c r="G22" s="164">
        <f t="shared" si="4"/>
        <v>0</v>
      </c>
      <c r="H22" s="169">
        <f t="shared" si="5"/>
        <v>0</v>
      </c>
      <c r="I22" s="169">
        <f t="shared" si="6"/>
        <v>0</v>
      </c>
      <c r="J22" s="169">
        <v>0</v>
      </c>
      <c r="K22" s="440">
        <f>50*D22</f>
        <v>50</v>
      </c>
    </row>
    <row r="23" spans="2:11" x14ac:dyDescent="0.2">
      <c r="B23" s="435" t="s">
        <v>21635</v>
      </c>
      <c r="C23" s="257">
        <f t="shared" si="2"/>
        <v>0</v>
      </c>
      <c r="D23" s="257">
        <f t="shared" si="3"/>
        <v>0</v>
      </c>
      <c r="E23" s="257">
        <f t="shared" si="0"/>
        <v>2</v>
      </c>
      <c r="F23" s="257">
        <f t="shared" si="1"/>
        <v>13</v>
      </c>
      <c r="G23" s="257">
        <f t="shared" si="4"/>
        <v>75</v>
      </c>
      <c r="H23" s="437">
        <f t="shared" si="5"/>
        <v>180</v>
      </c>
      <c r="I23" s="437">
        <f t="shared" si="6"/>
        <v>0</v>
      </c>
      <c r="J23" s="437">
        <f t="shared" si="7"/>
        <v>0</v>
      </c>
      <c r="K23" s="437">
        <v>0</v>
      </c>
    </row>
    <row r="24" spans="2:11" x14ac:dyDescent="0.2">
      <c r="B24" s="438" t="s">
        <v>21636</v>
      </c>
      <c r="C24" s="164">
        <f t="shared" si="2"/>
        <v>0</v>
      </c>
      <c r="D24" s="544">
        <f t="shared" si="3"/>
        <v>1</v>
      </c>
      <c r="E24" s="164">
        <f t="shared" si="0"/>
        <v>0</v>
      </c>
      <c r="F24" s="164">
        <f t="shared" si="1"/>
        <v>0</v>
      </c>
      <c r="G24" s="164">
        <f t="shared" si="4"/>
        <v>0</v>
      </c>
      <c r="H24" s="169">
        <f t="shared" ref="H24:H29" si="8">10*E24+10*F24</f>
        <v>0</v>
      </c>
      <c r="I24" s="169">
        <f t="shared" si="6"/>
        <v>0</v>
      </c>
      <c r="J24" s="169">
        <f t="shared" si="7"/>
        <v>50</v>
      </c>
      <c r="K24" s="440">
        <f>50*D24</f>
        <v>50</v>
      </c>
    </row>
    <row r="25" spans="2:11" x14ac:dyDescent="0.2">
      <c r="B25" s="438" t="s">
        <v>21639</v>
      </c>
      <c r="C25" s="164">
        <f t="shared" si="2"/>
        <v>2</v>
      </c>
      <c r="D25" s="544">
        <f t="shared" si="3"/>
        <v>1</v>
      </c>
      <c r="E25" s="164">
        <f t="shared" si="0"/>
        <v>0</v>
      </c>
      <c r="F25" s="164">
        <f t="shared" si="1"/>
        <v>0</v>
      </c>
      <c r="G25" s="164">
        <f t="shared" si="4"/>
        <v>12</v>
      </c>
      <c r="H25" s="169">
        <f t="shared" si="8"/>
        <v>0</v>
      </c>
      <c r="I25" s="169">
        <f t="shared" si="6"/>
        <v>24</v>
      </c>
      <c r="J25" s="169">
        <f t="shared" si="7"/>
        <v>50</v>
      </c>
      <c r="K25" s="440">
        <f>50*D25</f>
        <v>50</v>
      </c>
    </row>
    <row r="26" spans="2:11" x14ac:dyDescent="0.2">
      <c r="B26" s="428" t="s">
        <v>21640</v>
      </c>
      <c r="C26" s="164">
        <f t="shared" si="2"/>
        <v>3</v>
      </c>
      <c r="D26" s="164">
        <f t="shared" si="3"/>
        <v>0</v>
      </c>
      <c r="E26" s="164">
        <f t="shared" si="0"/>
        <v>0</v>
      </c>
      <c r="F26" s="164">
        <f t="shared" si="1"/>
        <v>0</v>
      </c>
      <c r="G26" s="164">
        <f t="shared" si="4"/>
        <v>18</v>
      </c>
      <c r="H26" s="169">
        <f t="shared" si="8"/>
        <v>0</v>
      </c>
      <c r="I26" s="169">
        <f t="shared" si="6"/>
        <v>36</v>
      </c>
      <c r="J26" s="169">
        <f t="shared" si="7"/>
        <v>0</v>
      </c>
      <c r="K26" s="169">
        <v>0</v>
      </c>
    </row>
    <row r="27" spans="2:11" x14ac:dyDescent="0.2">
      <c r="B27" s="428" t="s">
        <v>21641</v>
      </c>
      <c r="C27" s="164">
        <f t="shared" si="2"/>
        <v>4</v>
      </c>
      <c r="D27" s="164">
        <f t="shared" si="3"/>
        <v>1</v>
      </c>
      <c r="E27" s="164">
        <f t="shared" si="0"/>
        <v>0</v>
      </c>
      <c r="F27" s="164">
        <f t="shared" si="1"/>
        <v>0</v>
      </c>
      <c r="G27" s="164">
        <f t="shared" si="4"/>
        <v>24</v>
      </c>
      <c r="H27" s="169">
        <f t="shared" si="8"/>
        <v>0</v>
      </c>
      <c r="I27" s="169">
        <f t="shared" si="6"/>
        <v>48</v>
      </c>
      <c r="J27" s="169">
        <f t="shared" si="7"/>
        <v>50</v>
      </c>
      <c r="K27" s="169">
        <v>0</v>
      </c>
    </row>
    <row r="28" spans="2:11" x14ac:dyDescent="0.2">
      <c r="B28" s="428" t="s">
        <v>21642</v>
      </c>
      <c r="C28" s="164">
        <f t="shared" si="2"/>
        <v>3</v>
      </c>
      <c r="D28" s="164">
        <f t="shared" si="3"/>
        <v>0</v>
      </c>
      <c r="E28" s="164">
        <f t="shared" si="0"/>
        <v>0</v>
      </c>
      <c r="F28" s="164">
        <f t="shared" si="1"/>
        <v>0</v>
      </c>
      <c r="G28" s="164">
        <f t="shared" si="4"/>
        <v>18</v>
      </c>
      <c r="H28" s="169">
        <f t="shared" si="8"/>
        <v>0</v>
      </c>
      <c r="I28" s="169">
        <f t="shared" si="6"/>
        <v>36</v>
      </c>
      <c r="J28" s="169">
        <f t="shared" si="7"/>
        <v>0</v>
      </c>
      <c r="K28" s="169">
        <v>0</v>
      </c>
    </row>
    <row r="29" spans="2:11" x14ac:dyDescent="0.2">
      <c r="B29" s="428" t="s">
        <v>21643</v>
      </c>
      <c r="C29" s="164">
        <f t="shared" si="2"/>
        <v>11</v>
      </c>
      <c r="D29" s="164">
        <f t="shared" si="3"/>
        <v>2</v>
      </c>
      <c r="E29" s="164">
        <f t="shared" si="0"/>
        <v>0</v>
      </c>
      <c r="F29" s="164">
        <f t="shared" si="1"/>
        <v>0</v>
      </c>
      <c r="G29" s="164">
        <f t="shared" si="4"/>
        <v>66</v>
      </c>
      <c r="H29" s="169">
        <f t="shared" si="8"/>
        <v>0</v>
      </c>
      <c r="I29" s="169">
        <f t="shared" si="6"/>
        <v>132</v>
      </c>
      <c r="J29" s="169">
        <f t="shared" si="7"/>
        <v>100</v>
      </c>
      <c r="K29" s="169">
        <v>0</v>
      </c>
    </row>
    <row r="30" spans="2:11" x14ac:dyDescent="0.2">
      <c r="B30" s="435" t="s">
        <v>21650</v>
      </c>
      <c r="C30" s="257">
        <f t="shared" ref="C30:C35" si="9">D65+E65</f>
        <v>3</v>
      </c>
      <c r="D30" s="257">
        <f t="shared" ref="D30:D35" si="10">F65</f>
        <v>0</v>
      </c>
      <c r="E30" s="257">
        <f t="shared" ref="E30:E35" si="11">H65+I65+J65</f>
        <v>1</v>
      </c>
      <c r="F30" s="257">
        <f t="shared" ref="F30:F35" si="12">SUM(M65:T65)</f>
        <v>6</v>
      </c>
      <c r="G30" s="257">
        <f t="shared" ref="G30:G35" si="13">ROUND(6*C30+5*E30+5*F30,2)</f>
        <v>53</v>
      </c>
      <c r="H30" s="437">
        <f t="shared" ref="H30:H35" si="14">10*E30+10*F30</f>
        <v>70</v>
      </c>
      <c r="I30" s="437">
        <f t="shared" ref="I30:I35" si="15">12*C30</f>
        <v>36</v>
      </c>
      <c r="J30" s="437">
        <f t="shared" ref="J30:J35" si="16">50*D30</f>
        <v>0</v>
      </c>
      <c r="K30" s="169">
        <v>0</v>
      </c>
    </row>
    <row r="31" spans="2:11" x14ac:dyDescent="0.2">
      <c r="B31" s="428" t="s">
        <v>21651</v>
      </c>
      <c r="C31" s="164">
        <f t="shared" si="9"/>
        <v>10</v>
      </c>
      <c r="D31" s="164">
        <f t="shared" si="10"/>
        <v>0</v>
      </c>
      <c r="E31" s="164">
        <f t="shared" si="11"/>
        <v>0</v>
      </c>
      <c r="F31" s="164">
        <f t="shared" si="12"/>
        <v>0</v>
      </c>
      <c r="G31" s="164">
        <f t="shared" si="13"/>
        <v>60</v>
      </c>
      <c r="H31" s="169">
        <f t="shared" si="14"/>
        <v>0</v>
      </c>
      <c r="I31" s="169">
        <f t="shared" si="15"/>
        <v>120</v>
      </c>
      <c r="J31" s="169">
        <f t="shared" si="16"/>
        <v>0</v>
      </c>
      <c r="K31" s="169">
        <v>0</v>
      </c>
    </row>
    <row r="32" spans="2:11" x14ac:dyDescent="0.2">
      <c r="B32" s="435" t="s">
        <v>21652</v>
      </c>
      <c r="C32" s="164">
        <f t="shared" si="9"/>
        <v>0</v>
      </c>
      <c r="D32" s="257">
        <f t="shared" si="10"/>
        <v>0</v>
      </c>
      <c r="E32" s="257">
        <f t="shared" si="11"/>
        <v>3</v>
      </c>
      <c r="F32" s="257">
        <f t="shared" si="12"/>
        <v>4</v>
      </c>
      <c r="G32" s="257">
        <f t="shared" si="13"/>
        <v>35</v>
      </c>
      <c r="H32" s="437">
        <f t="shared" si="14"/>
        <v>70</v>
      </c>
      <c r="I32" s="437">
        <f t="shared" si="15"/>
        <v>0</v>
      </c>
      <c r="J32" s="437">
        <f t="shared" si="16"/>
        <v>0</v>
      </c>
      <c r="K32" s="169">
        <v>0</v>
      </c>
    </row>
    <row r="33" spans="2:34" x14ac:dyDescent="0.2">
      <c r="B33" s="428" t="s">
        <v>21653</v>
      </c>
      <c r="C33" s="164">
        <f t="shared" si="9"/>
        <v>3</v>
      </c>
      <c r="D33" s="164">
        <f t="shared" si="10"/>
        <v>0</v>
      </c>
      <c r="E33" s="164">
        <f t="shared" si="11"/>
        <v>0</v>
      </c>
      <c r="F33" s="164">
        <f t="shared" si="12"/>
        <v>0</v>
      </c>
      <c r="G33" s="164">
        <f t="shared" si="13"/>
        <v>18</v>
      </c>
      <c r="H33" s="169">
        <f t="shared" si="14"/>
        <v>0</v>
      </c>
      <c r="I33" s="169">
        <f t="shared" si="15"/>
        <v>36</v>
      </c>
      <c r="J33" s="169">
        <f t="shared" si="16"/>
        <v>0</v>
      </c>
      <c r="K33" s="169">
        <v>0</v>
      </c>
    </row>
    <row r="34" spans="2:34" x14ac:dyDescent="0.2">
      <c r="B34" s="435" t="s">
        <v>21654</v>
      </c>
      <c r="C34" s="164">
        <f t="shared" si="9"/>
        <v>1</v>
      </c>
      <c r="D34" s="257">
        <f t="shared" si="10"/>
        <v>0</v>
      </c>
      <c r="E34" s="257">
        <f t="shared" si="11"/>
        <v>1</v>
      </c>
      <c r="F34" s="257">
        <f t="shared" si="12"/>
        <v>6</v>
      </c>
      <c r="G34" s="257">
        <f t="shared" si="13"/>
        <v>41</v>
      </c>
      <c r="H34" s="437">
        <f t="shared" si="14"/>
        <v>70</v>
      </c>
      <c r="I34" s="437">
        <f t="shared" si="15"/>
        <v>12</v>
      </c>
      <c r="J34" s="437">
        <f t="shared" si="16"/>
        <v>0</v>
      </c>
      <c r="K34" s="169">
        <v>0</v>
      </c>
    </row>
    <row r="35" spans="2:34" x14ac:dyDescent="0.2">
      <c r="B35" s="428" t="s">
        <v>21655</v>
      </c>
      <c r="C35" s="164">
        <f t="shared" si="9"/>
        <v>10</v>
      </c>
      <c r="D35" s="164">
        <f t="shared" si="10"/>
        <v>0</v>
      </c>
      <c r="E35" s="164">
        <f t="shared" si="11"/>
        <v>0</v>
      </c>
      <c r="F35" s="164">
        <f t="shared" si="12"/>
        <v>0</v>
      </c>
      <c r="G35" s="164">
        <f t="shared" si="13"/>
        <v>60</v>
      </c>
      <c r="H35" s="169">
        <f t="shared" si="14"/>
        <v>0</v>
      </c>
      <c r="I35" s="169">
        <f t="shared" si="15"/>
        <v>120</v>
      </c>
      <c r="J35" s="169">
        <f t="shared" si="16"/>
        <v>0</v>
      </c>
      <c r="K35" s="169">
        <v>0</v>
      </c>
    </row>
    <row r="36" spans="2:34" x14ac:dyDescent="0.2">
      <c r="B36" s="165" t="s">
        <v>7</v>
      </c>
      <c r="C36" s="167">
        <f>SUM(C5:C35)</f>
        <v>117</v>
      </c>
      <c r="D36" s="167">
        <f t="shared" ref="D36:K36" si="17">SUM(D5:D35)</f>
        <v>10</v>
      </c>
      <c r="E36" s="167">
        <f t="shared" si="17"/>
        <v>31</v>
      </c>
      <c r="F36" s="167">
        <f t="shared" si="17"/>
        <v>113</v>
      </c>
      <c r="G36" s="167">
        <f t="shared" si="17"/>
        <v>1422</v>
      </c>
      <c r="H36" s="167">
        <f t="shared" si="17"/>
        <v>1686</v>
      </c>
      <c r="I36" s="167">
        <f t="shared" si="17"/>
        <v>1404</v>
      </c>
      <c r="J36" s="167">
        <f t="shared" si="17"/>
        <v>450</v>
      </c>
      <c r="K36" s="167">
        <f t="shared" si="17"/>
        <v>200</v>
      </c>
    </row>
    <row r="38" spans="2:34" x14ac:dyDescent="0.2">
      <c r="B38" s="133" t="s">
        <v>20412</v>
      </c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W38" s="798" t="s">
        <v>20415</v>
      </c>
      <c r="X38" s="799"/>
      <c r="Y38" s="799"/>
      <c r="Z38" s="799"/>
      <c r="AA38" s="799"/>
      <c r="AB38" s="799"/>
      <c r="AC38" s="799"/>
      <c r="AD38" s="799"/>
      <c r="AE38" s="799"/>
      <c r="AF38" s="799"/>
      <c r="AG38" s="799"/>
      <c r="AH38" s="800"/>
    </row>
    <row r="39" spans="2:34" ht="42" customHeight="1" x14ac:dyDescent="0.2">
      <c r="B39" s="161" t="s">
        <v>107</v>
      </c>
      <c r="C39" s="162" t="s">
        <v>21648</v>
      </c>
      <c r="D39" s="162" t="s">
        <v>21611</v>
      </c>
      <c r="E39" s="162" t="s">
        <v>21591</v>
      </c>
      <c r="F39" s="162" t="s">
        <v>21592</v>
      </c>
      <c r="G39" s="162" t="s">
        <v>20538</v>
      </c>
      <c r="H39" s="162" t="s">
        <v>21593</v>
      </c>
      <c r="I39" s="162" t="s">
        <v>21594</v>
      </c>
      <c r="J39" s="162" t="s">
        <v>21595</v>
      </c>
      <c r="K39" s="162" t="s">
        <v>20537</v>
      </c>
      <c r="L39" s="162" t="s">
        <v>20552</v>
      </c>
      <c r="M39" s="162" t="s">
        <v>20413</v>
      </c>
      <c r="N39" s="162" t="s">
        <v>21638</v>
      </c>
      <c r="O39" s="162" t="s">
        <v>21637</v>
      </c>
      <c r="P39" s="162" t="s">
        <v>21589</v>
      </c>
      <c r="Q39" s="162" t="s">
        <v>21659</v>
      </c>
      <c r="R39" s="162" t="s">
        <v>21590</v>
      </c>
      <c r="S39" s="162" t="s">
        <v>20414</v>
      </c>
      <c r="T39" s="162" t="s">
        <v>21588</v>
      </c>
      <c r="W39" s="161" t="s">
        <v>20407</v>
      </c>
      <c r="X39" s="162" t="s">
        <v>88</v>
      </c>
      <c r="Y39" s="162" t="s">
        <v>20740</v>
      </c>
      <c r="Z39" s="162" t="s">
        <v>20741</v>
      </c>
      <c r="AA39" s="162" t="s">
        <v>20416</v>
      </c>
      <c r="AB39" s="162" t="s">
        <v>20417</v>
      </c>
      <c r="AC39" s="162" t="s">
        <v>20418</v>
      </c>
      <c r="AD39" s="162" t="s">
        <v>20419</v>
      </c>
      <c r="AE39" s="162" t="s">
        <v>20420</v>
      </c>
      <c r="AF39" s="162" t="s">
        <v>20421</v>
      </c>
      <c r="AG39" s="162" t="s">
        <v>20422</v>
      </c>
      <c r="AH39" s="161" t="s">
        <v>20423</v>
      </c>
    </row>
    <row r="40" spans="2:34" x14ac:dyDescent="0.2">
      <c r="B40" s="435" t="s">
        <v>21608</v>
      </c>
      <c r="C40" s="257">
        <v>1</v>
      </c>
      <c r="D40" s="257"/>
      <c r="E40" s="257"/>
      <c r="F40" s="257"/>
      <c r="G40" s="257">
        <v>2</v>
      </c>
      <c r="H40" s="257"/>
      <c r="I40" s="257"/>
      <c r="J40" s="257"/>
      <c r="K40" s="257">
        <f t="shared" ref="K40:K64" si="18">SUM(D40:J40,M40:T40)</f>
        <v>16</v>
      </c>
      <c r="L40" s="257">
        <v>1</v>
      </c>
      <c r="M40" s="257"/>
      <c r="N40" s="257"/>
      <c r="O40" s="257"/>
      <c r="P40" s="257"/>
      <c r="Q40" s="257">
        <v>2</v>
      </c>
      <c r="R40" s="257"/>
      <c r="S40" s="257"/>
      <c r="T40" s="257">
        <f>AC40+AC42</f>
        <v>12</v>
      </c>
      <c r="U40" s="33">
        <f>ROUND(M40*14+N40*20+O40*40+P40*6+Q40*18+R40*18+S40*50+T40*200+300*D40+600*E40+1000*F40,2)</f>
        <v>2436</v>
      </c>
      <c r="V40" s="218">
        <f>ROUND(U40/220,0)</f>
        <v>11</v>
      </c>
      <c r="W40" s="250" t="s">
        <v>20721</v>
      </c>
      <c r="X40" s="267">
        <v>312.5</v>
      </c>
      <c r="Y40" s="300" t="s">
        <v>20742</v>
      </c>
      <c r="Z40" s="267" t="s">
        <v>20732</v>
      </c>
      <c r="AA40" s="302">
        <v>200</v>
      </c>
      <c r="AB40" s="303">
        <v>20000</v>
      </c>
      <c r="AC40" s="304">
        <v>4</v>
      </c>
      <c r="AD40" s="305">
        <f t="shared" ref="AD40" si="19">ROUND(AB40*AC40/X40,2)</f>
        <v>256</v>
      </c>
      <c r="AE40" s="303">
        <v>200</v>
      </c>
      <c r="AF40" s="303">
        <f t="shared" ref="AF40" si="20">AB40*AC40</f>
        <v>80000</v>
      </c>
      <c r="AG40" s="416">
        <f t="shared" ref="AG40" si="21">AE40*X40</f>
        <v>62500</v>
      </c>
      <c r="AH40" s="306" t="str">
        <f t="shared" ref="AH40:AH41" si="22">IF(AE40&lt;AD40,"Ok","Aumentar")</f>
        <v>Ok</v>
      </c>
    </row>
    <row r="41" spans="2:34" x14ac:dyDescent="0.2">
      <c r="B41" s="428" t="s">
        <v>21609</v>
      </c>
      <c r="C41" s="164">
        <v>1</v>
      </c>
      <c r="D41" s="164">
        <v>3</v>
      </c>
      <c r="E41" s="164">
        <v>7</v>
      </c>
      <c r="F41" s="164"/>
      <c r="G41" s="164"/>
      <c r="H41" s="164"/>
      <c r="I41" s="164"/>
      <c r="J41" s="164"/>
      <c r="K41" s="164">
        <f t="shared" si="18"/>
        <v>10</v>
      </c>
      <c r="L41" s="164"/>
      <c r="M41" s="164"/>
      <c r="N41" s="164"/>
      <c r="O41" s="164"/>
      <c r="P41" s="164"/>
      <c r="Q41" s="164"/>
      <c r="R41" s="164"/>
      <c r="S41" s="164"/>
      <c r="T41" s="164"/>
      <c r="U41" s="33">
        <f t="shared" ref="U41:U64" si="23">ROUND(M41*14+N41*20+O41*40+P41*6+Q41*18+R41*18+S41*50+T41*200+300*D41+600*E41+1000*F41,2)</f>
        <v>5100</v>
      </c>
      <c r="V41" s="218">
        <f t="shared" ref="V41:V65" si="24">ROUND(U41/220,0)</f>
        <v>23</v>
      </c>
      <c r="W41" s="250" t="s">
        <v>21610</v>
      </c>
      <c r="X41" s="267">
        <v>6.67</v>
      </c>
      <c r="Y41" s="300" t="s">
        <v>20742</v>
      </c>
      <c r="Z41" s="267" t="s">
        <v>20732</v>
      </c>
      <c r="AA41" s="429">
        <v>18</v>
      </c>
      <c r="AB41" s="430">
        <v>1650</v>
      </c>
      <c r="AC41" s="431">
        <v>2</v>
      </c>
      <c r="AD41" s="432">
        <f>ROUND(AB41*AC41/X41,2)</f>
        <v>494.75</v>
      </c>
      <c r="AE41" s="430">
        <v>10</v>
      </c>
      <c r="AF41" s="430">
        <f>AB41*AC41</f>
        <v>3300</v>
      </c>
      <c r="AG41" s="433">
        <f>AE41*X41</f>
        <v>66.7</v>
      </c>
      <c r="AH41" s="434" t="str">
        <f t="shared" si="22"/>
        <v>Ok</v>
      </c>
    </row>
    <row r="42" spans="2:34" x14ac:dyDescent="0.2">
      <c r="B42" s="435" t="s">
        <v>21612</v>
      </c>
      <c r="C42" s="257">
        <v>1</v>
      </c>
      <c r="D42" s="257">
        <v>2</v>
      </c>
      <c r="E42" s="257"/>
      <c r="F42" s="257"/>
      <c r="G42" s="257"/>
      <c r="H42" s="257"/>
      <c r="I42" s="257"/>
      <c r="J42" s="257">
        <v>2</v>
      </c>
      <c r="K42" s="257">
        <f t="shared" si="18"/>
        <v>19</v>
      </c>
      <c r="L42" s="257"/>
      <c r="M42" s="257"/>
      <c r="N42" s="257"/>
      <c r="O42" s="257"/>
      <c r="P42" s="257">
        <v>4</v>
      </c>
      <c r="Q42" s="257"/>
      <c r="R42" s="257">
        <v>11</v>
      </c>
      <c r="S42" s="257"/>
      <c r="T42" s="257"/>
      <c r="U42" s="33">
        <f t="shared" si="23"/>
        <v>822</v>
      </c>
      <c r="V42" s="218">
        <f t="shared" si="24"/>
        <v>4</v>
      </c>
      <c r="W42" s="251" t="s">
        <v>20722</v>
      </c>
      <c r="X42" s="267">
        <v>500</v>
      </c>
      <c r="Y42" s="300" t="s">
        <v>20742</v>
      </c>
      <c r="Z42" s="267" t="s">
        <v>20739</v>
      </c>
      <c r="AA42" s="302">
        <v>200</v>
      </c>
      <c r="AB42" s="303">
        <v>20000</v>
      </c>
      <c r="AC42" s="304">
        <v>8</v>
      </c>
      <c r="AD42" s="305">
        <f t="shared" ref="AD42" si="25">ROUND(AB42*AC42/X42,2)</f>
        <v>320</v>
      </c>
      <c r="AE42" s="303">
        <v>200</v>
      </c>
      <c r="AF42" s="303">
        <f t="shared" ref="AF42" si="26">AB42*AC42</f>
        <v>160000</v>
      </c>
      <c r="AG42" s="416">
        <f t="shared" ref="AG42" si="27">AE42*X42</f>
        <v>100000</v>
      </c>
      <c r="AH42" s="306" t="str">
        <f t="shared" ref="AH42" si="28">IF(AE42&lt;AD42,"Ok","Aumentar")</f>
        <v>Ok</v>
      </c>
    </row>
    <row r="43" spans="2:34" x14ac:dyDescent="0.2">
      <c r="B43" s="428" t="s">
        <v>21613</v>
      </c>
      <c r="C43" s="164">
        <v>1</v>
      </c>
      <c r="D43" s="164">
        <v>4</v>
      </c>
      <c r="E43" s="164"/>
      <c r="F43" s="164"/>
      <c r="G43" s="164"/>
      <c r="H43" s="164"/>
      <c r="I43" s="164"/>
      <c r="J43" s="164"/>
      <c r="K43" s="164">
        <f t="shared" si="18"/>
        <v>4</v>
      </c>
      <c r="L43" s="164"/>
      <c r="M43" s="164"/>
      <c r="N43" s="164"/>
      <c r="O43" s="164"/>
      <c r="P43" s="164"/>
      <c r="Q43" s="164"/>
      <c r="R43" s="164"/>
      <c r="S43" s="164"/>
      <c r="T43" s="164"/>
      <c r="U43" s="33">
        <f t="shared" si="23"/>
        <v>1200</v>
      </c>
      <c r="V43" s="218">
        <f t="shared" si="24"/>
        <v>5</v>
      </c>
      <c r="W43" s="252" t="s">
        <v>20691</v>
      </c>
      <c r="X43" s="307">
        <v>12.81</v>
      </c>
      <c r="Y43" s="301" t="s">
        <v>20743</v>
      </c>
      <c r="Z43" s="307" t="s">
        <v>20726</v>
      </c>
      <c r="AA43" s="264">
        <v>18</v>
      </c>
      <c r="AB43" s="265">
        <v>1700</v>
      </c>
      <c r="AC43" s="266">
        <v>4</v>
      </c>
      <c r="AD43" s="267">
        <f>ROUND(AB43*AC43/X43,2)</f>
        <v>530.84</v>
      </c>
      <c r="AE43" s="265">
        <v>400</v>
      </c>
      <c r="AF43" s="265">
        <f>AB43*AC43</f>
        <v>6800</v>
      </c>
      <c r="AG43" s="417">
        <f>AE43*X43</f>
        <v>5124</v>
      </c>
      <c r="AH43" s="268" t="str">
        <f t="shared" ref="AH43:AH56" si="29">IF(AE43&lt;AD43,"Ok","Aumentar")</f>
        <v>Ok</v>
      </c>
    </row>
    <row r="44" spans="2:34" x14ac:dyDescent="0.2">
      <c r="B44" s="435" t="s">
        <v>21614</v>
      </c>
      <c r="C44" s="257">
        <v>1</v>
      </c>
      <c r="D44" s="257"/>
      <c r="E44" s="257"/>
      <c r="F44" s="257"/>
      <c r="G44" s="257"/>
      <c r="H44" s="257">
        <v>4</v>
      </c>
      <c r="I44" s="257"/>
      <c r="J44" s="257"/>
      <c r="K44" s="257">
        <f t="shared" si="18"/>
        <v>10</v>
      </c>
      <c r="L44" s="257"/>
      <c r="M44" s="257"/>
      <c r="N44" s="257"/>
      <c r="O44" s="257"/>
      <c r="P44" s="257">
        <v>3</v>
      </c>
      <c r="Q44" s="257"/>
      <c r="R44" s="257">
        <v>3</v>
      </c>
      <c r="S44" s="257"/>
      <c r="T44" s="257"/>
      <c r="U44" s="33">
        <f t="shared" si="23"/>
        <v>72</v>
      </c>
      <c r="V44" s="218">
        <f t="shared" si="24"/>
        <v>0</v>
      </c>
      <c r="W44" s="252" t="s">
        <v>20692</v>
      </c>
      <c r="X44" s="307">
        <v>10.5</v>
      </c>
      <c r="Y44" s="301" t="s">
        <v>20743</v>
      </c>
      <c r="Z44" s="307" t="s">
        <v>20727</v>
      </c>
      <c r="AA44" s="264">
        <v>18</v>
      </c>
      <c r="AB44" s="265">
        <v>1700</v>
      </c>
      <c r="AC44" s="266">
        <v>3</v>
      </c>
      <c r="AD44" s="267">
        <f>ROUND(AB44*AC44/X44,2)</f>
        <v>485.71</v>
      </c>
      <c r="AE44" s="265">
        <v>400</v>
      </c>
      <c r="AF44" s="265">
        <f>AB44*AC44</f>
        <v>5100</v>
      </c>
      <c r="AG44" s="417">
        <f>AE44*X44</f>
        <v>4200</v>
      </c>
      <c r="AH44" s="268" t="str">
        <f t="shared" si="29"/>
        <v>Ok</v>
      </c>
    </row>
    <row r="45" spans="2:34" x14ac:dyDescent="0.2">
      <c r="B45" s="428" t="s">
        <v>21615</v>
      </c>
      <c r="C45" s="164">
        <v>1</v>
      </c>
      <c r="D45" s="164">
        <v>7</v>
      </c>
      <c r="E45" s="164">
        <v>4</v>
      </c>
      <c r="F45" s="164">
        <v>2</v>
      </c>
      <c r="G45" s="164"/>
      <c r="H45" s="164"/>
      <c r="I45" s="164"/>
      <c r="J45" s="164"/>
      <c r="K45" s="164">
        <f t="shared" si="18"/>
        <v>13</v>
      </c>
      <c r="L45" s="164"/>
      <c r="M45" s="164"/>
      <c r="N45" s="164"/>
      <c r="O45" s="164"/>
      <c r="P45" s="164"/>
      <c r="Q45" s="164"/>
      <c r="R45" s="164"/>
      <c r="S45" s="164"/>
      <c r="T45" s="164"/>
      <c r="U45" s="33">
        <f t="shared" si="23"/>
        <v>6500</v>
      </c>
      <c r="V45" s="218">
        <f t="shared" si="24"/>
        <v>30</v>
      </c>
      <c r="W45" s="252" t="s">
        <v>20693</v>
      </c>
      <c r="X45" s="307">
        <v>7.96</v>
      </c>
      <c r="Y45" s="301" t="s">
        <v>20743</v>
      </c>
      <c r="Z45" s="307" t="s">
        <v>20728</v>
      </c>
      <c r="AA45" s="269">
        <v>14</v>
      </c>
      <c r="AB45" s="270">
        <v>1250</v>
      </c>
      <c r="AC45" s="271">
        <v>2</v>
      </c>
      <c r="AD45" s="272">
        <f>ROUND(AB45*AC45/X45,2)</f>
        <v>314.07</v>
      </c>
      <c r="AE45" s="270">
        <v>50</v>
      </c>
      <c r="AF45" s="270">
        <f>AB45*AC45</f>
        <v>2500</v>
      </c>
      <c r="AG45" s="418">
        <f>AE45*X45</f>
        <v>398</v>
      </c>
      <c r="AH45" s="273" t="str">
        <f t="shared" si="29"/>
        <v>Ok</v>
      </c>
    </row>
    <row r="46" spans="2:34" x14ac:dyDescent="0.2">
      <c r="B46" s="435" t="s">
        <v>21623</v>
      </c>
      <c r="C46" s="257">
        <v>1</v>
      </c>
      <c r="D46" s="257"/>
      <c r="E46" s="257">
        <v>8</v>
      </c>
      <c r="F46" s="257"/>
      <c r="G46" s="257"/>
      <c r="H46" s="257">
        <v>7</v>
      </c>
      <c r="I46" s="257">
        <v>2</v>
      </c>
      <c r="J46" s="257"/>
      <c r="K46" s="257">
        <f t="shared" si="18"/>
        <v>31</v>
      </c>
      <c r="L46" s="257"/>
      <c r="M46" s="257">
        <v>5</v>
      </c>
      <c r="N46" s="257">
        <v>7</v>
      </c>
      <c r="O46" s="257">
        <v>2</v>
      </c>
      <c r="P46" s="257"/>
      <c r="Q46" s="257"/>
      <c r="R46" s="257"/>
      <c r="S46" s="257"/>
      <c r="T46" s="257"/>
      <c r="U46" s="33">
        <f t="shared" si="23"/>
        <v>5090</v>
      </c>
      <c r="V46" s="218">
        <f t="shared" si="24"/>
        <v>23</v>
      </c>
      <c r="W46" s="252" t="s">
        <v>20729</v>
      </c>
      <c r="X46" s="307">
        <v>7.96</v>
      </c>
      <c r="Y46" s="301" t="s">
        <v>20743</v>
      </c>
      <c r="Z46" s="307" t="s">
        <v>20730</v>
      </c>
      <c r="AA46" s="404">
        <v>6</v>
      </c>
      <c r="AB46" s="405">
        <v>400</v>
      </c>
      <c r="AC46" s="406">
        <v>4</v>
      </c>
      <c r="AD46" s="407">
        <f>ROUND(AB46*AC46/X46,2)</f>
        <v>201.01</v>
      </c>
      <c r="AE46" s="405">
        <v>50</v>
      </c>
      <c r="AF46" s="405">
        <f>AB46*AC46</f>
        <v>1600</v>
      </c>
      <c r="AG46" s="419">
        <f>AE46*X46</f>
        <v>398</v>
      </c>
      <c r="AH46" s="408" t="str">
        <f t="shared" si="29"/>
        <v>Ok</v>
      </c>
    </row>
    <row r="47" spans="2:34" x14ac:dyDescent="0.2">
      <c r="B47" s="428" t="s">
        <v>21624</v>
      </c>
      <c r="C47" s="164">
        <v>1</v>
      </c>
      <c r="D47" s="164">
        <v>8</v>
      </c>
      <c r="E47" s="164"/>
      <c r="F47" s="164"/>
      <c r="G47" s="164"/>
      <c r="H47" s="164"/>
      <c r="I47" s="164"/>
      <c r="J47" s="164"/>
      <c r="K47" s="164">
        <f t="shared" si="18"/>
        <v>8</v>
      </c>
      <c r="L47" s="164"/>
      <c r="M47" s="164"/>
      <c r="N47" s="164"/>
      <c r="O47" s="164"/>
      <c r="P47" s="164"/>
      <c r="Q47" s="164"/>
      <c r="R47" s="164"/>
      <c r="S47" s="164"/>
      <c r="T47" s="164"/>
      <c r="U47" s="33">
        <f t="shared" si="23"/>
        <v>2400</v>
      </c>
      <c r="V47" s="218">
        <f t="shared" si="24"/>
        <v>11</v>
      </c>
      <c r="W47" s="252" t="s">
        <v>20733</v>
      </c>
      <c r="X47" s="307">
        <v>26.41</v>
      </c>
      <c r="Y47" s="301" t="s">
        <v>20743</v>
      </c>
      <c r="Z47" s="307" t="s">
        <v>20728</v>
      </c>
      <c r="AA47" s="269">
        <v>14</v>
      </c>
      <c r="AB47" s="270">
        <v>1250</v>
      </c>
      <c r="AC47" s="274">
        <v>2</v>
      </c>
      <c r="AD47" s="272">
        <f>ROUND(AB47*AC47/X47,2)</f>
        <v>94.66</v>
      </c>
      <c r="AE47" s="270">
        <v>50</v>
      </c>
      <c r="AF47" s="270">
        <f>AB47*AC47</f>
        <v>2500</v>
      </c>
      <c r="AG47" s="418">
        <f>AE47*X47</f>
        <v>1320.5</v>
      </c>
      <c r="AH47" s="273" t="str">
        <f t="shared" si="29"/>
        <v>Ok</v>
      </c>
    </row>
    <row r="48" spans="2:34" x14ac:dyDescent="0.2">
      <c r="B48" s="435" t="s">
        <v>21625</v>
      </c>
      <c r="C48" s="257">
        <v>1</v>
      </c>
      <c r="D48" s="257"/>
      <c r="E48" s="257"/>
      <c r="F48" s="257"/>
      <c r="G48" s="257"/>
      <c r="H48" s="257">
        <v>2</v>
      </c>
      <c r="I48" s="257">
        <v>1</v>
      </c>
      <c r="J48" s="257"/>
      <c r="K48" s="257">
        <f t="shared" si="18"/>
        <v>7</v>
      </c>
      <c r="L48" s="257"/>
      <c r="M48" s="257"/>
      <c r="N48" s="257">
        <v>2</v>
      </c>
      <c r="O48" s="257">
        <v>2</v>
      </c>
      <c r="P48" s="257"/>
      <c r="Q48" s="257"/>
      <c r="R48" s="257"/>
      <c r="S48" s="257"/>
      <c r="T48" s="257"/>
      <c r="U48" s="33">
        <f t="shared" si="23"/>
        <v>120</v>
      </c>
      <c r="V48" s="218">
        <f t="shared" si="24"/>
        <v>1</v>
      </c>
      <c r="W48" s="252" t="s">
        <v>20694</v>
      </c>
      <c r="X48" s="307">
        <v>26.41</v>
      </c>
      <c r="Y48" s="301" t="s">
        <v>20743</v>
      </c>
      <c r="Z48" s="307" t="s">
        <v>20734</v>
      </c>
      <c r="AA48" s="264">
        <v>18</v>
      </c>
      <c r="AB48" s="265">
        <v>1700</v>
      </c>
      <c r="AC48" s="266">
        <v>4</v>
      </c>
      <c r="AD48" s="267">
        <f t="shared" ref="AD48" si="30">ROUND(AB48*AC48/X48,2)</f>
        <v>257.48</v>
      </c>
      <c r="AE48" s="265">
        <v>200</v>
      </c>
      <c r="AF48" s="265">
        <f t="shared" ref="AF48" si="31">AB48*AC48</f>
        <v>6800</v>
      </c>
      <c r="AG48" s="417">
        <f t="shared" ref="AG48" si="32">AE48*X48</f>
        <v>5282</v>
      </c>
      <c r="AH48" s="268" t="str">
        <f t="shared" ref="AH48" si="33">IF(AE48&lt;AD48,"Ok","Aumentar")</f>
        <v>Ok</v>
      </c>
    </row>
    <row r="49" spans="2:36" x14ac:dyDescent="0.2">
      <c r="B49" s="428" t="s">
        <v>21626</v>
      </c>
      <c r="C49" s="164">
        <v>1</v>
      </c>
      <c r="D49" s="164">
        <v>8</v>
      </c>
      <c r="E49" s="164">
        <v>2</v>
      </c>
      <c r="F49" s="164">
        <v>1</v>
      </c>
      <c r="G49" s="164"/>
      <c r="H49" s="164"/>
      <c r="I49" s="164"/>
      <c r="J49" s="164"/>
      <c r="K49" s="164">
        <f t="shared" si="18"/>
        <v>11</v>
      </c>
      <c r="L49" s="164"/>
      <c r="M49" s="164"/>
      <c r="N49" s="164"/>
      <c r="O49" s="164"/>
      <c r="P49" s="164"/>
      <c r="Q49" s="164"/>
      <c r="R49" s="164"/>
      <c r="S49" s="164"/>
      <c r="T49" s="164"/>
      <c r="U49" s="33">
        <f t="shared" si="23"/>
        <v>4600</v>
      </c>
      <c r="V49" s="218">
        <f t="shared" si="24"/>
        <v>21</v>
      </c>
      <c r="W49" s="252" t="s">
        <v>20735</v>
      </c>
      <c r="X49" s="307">
        <v>16.989999999999998</v>
      </c>
      <c r="Y49" s="301" t="s">
        <v>20743</v>
      </c>
      <c r="Z49" s="307" t="s">
        <v>20736</v>
      </c>
      <c r="AA49" s="264">
        <v>18</v>
      </c>
      <c r="AB49" s="265">
        <v>1700</v>
      </c>
      <c r="AC49" s="266">
        <v>2</v>
      </c>
      <c r="AD49" s="267">
        <f t="shared" ref="AD49" si="34">ROUND(AB49*AC49/X49,2)</f>
        <v>200.12</v>
      </c>
      <c r="AE49" s="265">
        <v>200</v>
      </c>
      <c r="AF49" s="265">
        <f t="shared" ref="AF49" si="35">AB49*AC49</f>
        <v>3400</v>
      </c>
      <c r="AG49" s="417">
        <f t="shared" ref="AG49" si="36">AE49*X49</f>
        <v>3397.9999999999995</v>
      </c>
      <c r="AH49" s="268" t="str">
        <f t="shared" ref="AH49" si="37">IF(AE49&lt;AD49,"Ok","Aumentar")</f>
        <v>Ok</v>
      </c>
    </row>
    <row r="50" spans="2:36" x14ac:dyDescent="0.2">
      <c r="B50" s="435" t="s">
        <v>21627</v>
      </c>
      <c r="C50" s="257">
        <v>1</v>
      </c>
      <c r="D50" s="257">
        <v>2</v>
      </c>
      <c r="E50" s="257"/>
      <c r="F50" s="257"/>
      <c r="G50" s="257"/>
      <c r="H50" s="257"/>
      <c r="I50" s="257">
        <v>2</v>
      </c>
      <c r="J50" s="257"/>
      <c r="K50" s="257">
        <f t="shared" si="18"/>
        <v>13</v>
      </c>
      <c r="L50" s="257"/>
      <c r="M50" s="257"/>
      <c r="N50" s="257"/>
      <c r="O50" s="257"/>
      <c r="P50" s="257"/>
      <c r="Q50" s="257"/>
      <c r="R50" s="257">
        <v>9</v>
      </c>
      <c r="S50" s="257"/>
      <c r="T50" s="257"/>
      <c r="U50" s="33">
        <f t="shared" si="23"/>
        <v>762</v>
      </c>
      <c r="V50" s="218">
        <f t="shared" si="24"/>
        <v>3</v>
      </c>
      <c r="W50" s="251" t="s">
        <v>20719</v>
      </c>
      <c r="X50" s="267">
        <v>2.8</v>
      </c>
      <c r="Y50" s="300" t="s">
        <v>20744</v>
      </c>
      <c r="Z50" s="267" t="s">
        <v>20731</v>
      </c>
      <c r="AA50" s="290">
        <v>9</v>
      </c>
      <c r="AB50" s="291">
        <v>850</v>
      </c>
      <c r="AC50" s="292">
        <v>1</v>
      </c>
      <c r="AD50" s="293">
        <f t="shared" ref="AD50:AD52" si="38">ROUND(AB50*AC50/X50,2)</f>
        <v>303.57</v>
      </c>
      <c r="AE50" s="291">
        <v>200</v>
      </c>
      <c r="AF50" s="291">
        <f t="shared" ref="AF50:AF55" si="39">AB50*AC50</f>
        <v>850</v>
      </c>
      <c r="AG50" s="420">
        <f t="shared" ref="AG50:AG52" si="40">AE50*X50</f>
        <v>560</v>
      </c>
      <c r="AH50" s="294" t="str">
        <f t="shared" ref="AH50:AH55" si="41">IF(AE50&lt;AD50,"Ok","Aumentar")</f>
        <v>Ok</v>
      </c>
    </row>
    <row r="51" spans="2:36" x14ac:dyDescent="0.2">
      <c r="B51" s="438" t="s">
        <v>21628</v>
      </c>
      <c r="C51" s="164">
        <v>1</v>
      </c>
      <c r="D51" s="164"/>
      <c r="E51" s="164">
        <v>1</v>
      </c>
      <c r="F51" s="164">
        <v>1</v>
      </c>
      <c r="G51" s="164"/>
      <c r="H51" s="164"/>
      <c r="I51" s="164"/>
      <c r="J51" s="164"/>
      <c r="K51" s="164">
        <f t="shared" si="18"/>
        <v>2</v>
      </c>
      <c r="L51" s="164"/>
      <c r="M51" s="164"/>
      <c r="N51" s="164"/>
      <c r="O51" s="164"/>
      <c r="P51" s="164"/>
      <c r="Q51" s="164"/>
      <c r="R51" s="164"/>
      <c r="S51" s="164"/>
      <c r="T51" s="164"/>
      <c r="U51" s="439">
        <f>ROUND(M51*14+N51*20+O51*40+P51*6+Q51*18+R51*18+S51*50+T51*200+300*D51+600*E51+8500*F51,2)</f>
        <v>9100</v>
      </c>
      <c r="V51" s="218">
        <f t="shared" si="24"/>
        <v>41</v>
      </c>
      <c r="W51" s="251" t="s">
        <v>20696</v>
      </c>
      <c r="X51" s="267">
        <v>4</v>
      </c>
      <c r="Y51" s="300" t="s">
        <v>20744</v>
      </c>
      <c r="Z51" s="267" t="s">
        <v>20737</v>
      </c>
      <c r="AA51" s="264">
        <v>18</v>
      </c>
      <c r="AB51" s="265">
        <v>1700</v>
      </c>
      <c r="AC51" s="266">
        <v>1</v>
      </c>
      <c r="AD51" s="267">
        <f t="shared" si="38"/>
        <v>425</v>
      </c>
      <c r="AE51" s="265">
        <v>400</v>
      </c>
      <c r="AF51" s="265">
        <f t="shared" si="39"/>
        <v>1700</v>
      </c>
      <c r="AG51" s="417">
        <f t="shared" si="40"/>
        <v>1600</v>
      </c>
      <c r="AH51" s="268" t="str">
        <f t="shared" si="41"/>
        <v>Ok</v>
      </c>
    </row>
    <row r="52" spans="2:36" x14ac:dyDescent="0.2">
      <c r="B52" s="435" t="s">
        <v>21629</v>
      </c>
      <c r="C52" s="257">
        <v>1</v>
      </c>
      <c r="D52" s="257"/>
      <c r="E52" s="257"/>
      <c r="F52" s="257"/>
      <c r="G52" s="257"/>
      <c r="H52" s="257">
        <v>1</v>
      </c>
      <c r="I52" s="257">
        <v>1</v>
      </c>
      <c r="J52" s="257"/>
      <c r="K52" s="257">
        <f t="shared" si="18"/>
        <v>5</v>
      </c>
      <c r="L52" s="257"/>
      <c r="M52" s="257"/>
      <c r="N52" s="257"/>
      <c r="O52" s="257">
        <v>1</v>
      </c>
      <c r="P52" s="257"/>
      <c r="Q52" s="257"/>
      <c r="R52" s="257">
        <v>2</v>
      </c>
      <c r="S52" s="257"/>
      <c r="T52" s="257"/>
      <c r="U52" s="33">
        <f t="shared" si="23"/>
        <v>76</v>
      </c>
      <c r="V52" s="218">
        <f t="shared" si="24"/>
        <v>0</v>
      </c>
      <c r="W52" s="251" t="s">
        <v>20697</v>
      </c>
      <c r="X52" s="267">
        <v>4</v>
      </c>
      <c r="Y52" s="300" t="s">
        <v>20744</v>
      </c>
      <c r="Z52" s="267" t="s">
        <v>20727</v>
      </c>
      <c r="AA52" s="264">
        <v>18</v>
      </c>
      <c r="AB52" s="265">
        <v>1700</v>
      </c>
      <c r="AC52" s="266">
        <v>1</v>
      </c>
      <c r="AD52" s="267">
        <f t="shared" si="38"/>
        <v>425</v>
      </c>
      <c r="AE52" s="265">
        <v>400</v>
      </c>
      <c r="AF52" s="265">
        <f t="shared" si="39"/>
        <v>1700</v>
      </c>
      <c r="AG52" s="417">
        <f t="shared" si="40"/>
        <v>1600</v>
      </c>
      <c r="AH52" s="268" t="str">
        <f t="shared" si="41"/>
        <v>Ok</v>
      </c>
    </row>
    <row r="53" spans="2:36" x14ac:dyDescent="0.2">
      <c r="B53" s="428" t="s">
        <v>21630</v>
      </c>
      <c r="C53" s="164">
        <v>1</v>
      </c>
      <c r="D53" s="164">
        <v>5</v>
      </c>
      <c r="E53" s="164"/>
      <c r="F53" s="164"/>
      <c r="G53" s="164"/>
      <c r="H53" s="164"/>
      <c r="I53" s="164"/>
      <c r="J53" s="164"/>
      <c r="K53" s="164">
        <f t="shared" si="18"/>
        <v>5</v>
      </c>
      <c r="L53" s="164"/>
      <c r="M53" s="164"/>
      <c r="N53" s="164"/>
      <c r="O53" s="164"/>
      <c r="P53" s="164"/>
      <c r="Q53" s="164"/>
      <c r="R53" s="164"/>
      <c r="S53" s="164"/>
      <c r="T53" s="164"/>
      <c r="U53" s="33">
        <f t="shared" si="23"/>
        <v>1500</v>
      </c>
      <c r="V53" s="218">
        <f t="shared" si="24"/>
        <v>7</v>
      </c>
      <c r="W53" s="250" t="s">
        <v>20695</v>
      </c>
      <c r="X53" s="267">
        <v>4.03</v>
      </c>
      <c r="Y53" s="300" t="s">
        <v>20744</v>
      </c>
      <c r="Z53" s="267" t="s">
        <v>20730</v>
      </c>
      <c r="AA53" s="404">
        <v>6</v>
      </c>
      <c r="AB53" s="405">
        <v>400</v>
      </c>
      <c r="AC53" s="409">
        <v>3</v>
      </c>
      <c r="AD53" s="407">
        <f>ROUND(AB53*AC53/X53,2)</f>
        <v>297.77</v>
      </c>
      <c r="AE53" s="405">
        <v>200</v>
      </c>
      <c r="AF53" s="405">
        <f t="shared" si="39"/>
        <v>1200</v>
      </c>
      <c r="AG53" s="419">
        <f>AE53*X53</f>
        <v>806</v>
      </c>
      <c r="AH53" s="408" t="str">
        <f t="shared" si="41"/>
        <v>Ok</v>
      </c>
    </row>
    <row r="54" spans="2:36" x14ac:dyDescent="0.2">
      <c r="B54" s="435" t="s">
        <v>21631</v>
      </c>
      <c r="C54" s="257">
        <v>1</v>
      </c>
      <c r="D54" s="257"/>
      <c r="E54" s="257"/>
      <c r="F54" s="257"/>
      <c r="G54" s="257"/>
      <c r="H54" s="257">
        <v>1</v>
      </c>
      <c r="I54" s="257"/>
      <c r="J54" s="257"/>
      <c r="K54" s="257">
        <f t="shared" si="18"/>
        <v>2</v>
      </c>
      <c r="L54" s="257"/>
      <c r="M54" s="257"/>
      <c r="N54" s="257"/>
      <c r="O54" s="257">
        <v>1</v>
      </c>
      <c r="P54" s="257"/>
      <c r="Q54" s="257"/>
      <c r="R54" s="257"/>
      <c r="S54" s="257"/>
      <c r="T54" s="257"/>
      <c r="U54" s="33">
        <f t="shared" si="23"/>
        <v>40</v>
      </c>
      <c r="V54" s="218">
        <f t="shared" si="24"/>
        <v>0</v>
      </c>
      <c r="W54" s="253" t="s">
        <v>20702</v>
      </c>
      <c r="X54" s="307">
        <v>12.56</v>
      </c>
      <c r="Y54" s="301" t="s">
        <v>20745</v>
      </c>
      <c r="Z54" s="307" t="s">
        <v>20726</v>
      </c>
      <c r="AA54" s="285" t="s">
        <v>20724</v>
      </c>
      <c r="AB54" s="286">
        <v>3800</v>
      </c>
      <c r="AC54" s="287">
        <v>2</v>
      </c>
      <c r="AD54" s="288">
        <f t="shared" ref="AD54:AD55" si="42">ROUND(AB54*AC54/X54,2)</f>
        <v>605.1</v>
      </c>
      <c r="AE54" s="286">
        <v>400</v>
      </c>
      <c r="AF54" s="286">
        <f t="shared" si="39"/>
        <v>7600</v>
      </c>
      <c r="AG54" s="421">
        <f t="shared" ref="AG54:AG55" si="43">AE54*X54</f>
        <v>5024</v>
      </c>
      <c r="AH54" s="289" t="str">
        <f t="shared" si="41"/>
        <v>Ok</v>
      </c>
    </row>
    <row r="55" spans="2:36" x14ac:dyDescent="0.2">
      <c r="B55" s="428" t="s">
        <v>21632</v>
      </c>
      <c r="C55" s="164">
        <v>1</v>
      </c>
      <c r="D55" s="164">
        <v>2</v>
      </c>
      <c r="E55" s="164">
        <v>4</v>
      </c>
      <c r="F55" s="164"/>
      <c r="G55" s="164"/>
      <c r="H55" s="164"/>
      <c r="I55" s="164"/>
      <c r="J55" s="164"/>
      <c r="K55" s="164">
        <f t="shared" si="18"/>
        <v>6</v>
      </c>
      <c r="L55" s="164"/>
      <c r="M55" s="164"/>
      <c r="N55" s="164"/>
      <c r="O55" s="164"/>
      <c r="P55" s="164"/>
      <c r="Q55" s="164"/>
      <c r="R55" s="164"/>
      <c r="S55" s="164"/>
      <c r="T55" s="164"/>
      <c r="U55" s="33">
        <f t="shared" si="23"/>
        <v>3000</v>
      </c>
      <c r="V55" s="218">
        <f t="shared" si="24"/>
        <v>14</v>
      </c>
      <c r="W55" s="253" t="s">
        <v>20703</v>
      </c>
      <c r="X55" s="307">
        <v>6.86</v>
      </c>
      <c r="Y55" s="301" t="s">
        <v>20745</v>
      </c>
      <c r="Z55" s="307" t="s">
        <v>20727</v>
      </c>
      <c r="AA55" s="295" t="s">
        <v>20725</v>
      </c>
      <c r="AB55" s="296">
        <v>1900</v>
      </c>
      <c r="AC55" s="297">
        <v>1</v>
      </c>
      <c r="AD55" s="298">
        <f t="shared" si="42"/>
        <v>276.97000000000003</v>
      </c>
      <c r="AE55" s="296">
        <v>200</v>
      </c>
      <c r="AF55" s="296">
        <f t="shared" si="39"/>
        <v>1900</v>
      </c>
      <c r="AG55" s="422">
        <f t="shared" si="43"/>
        <v>1372</v>
      </c>
      <c r="AH55" s="299" t="str">
        <f t="shared" si="41"/>
        <v>Ok</v>
      </c>
    </row>
    <row r="56" spans="2:36" x14ac:dyDescent="0.2">
      <c r="B56" s="435" t="s">
        <v>21633</v>
      </c>
      <c r="C56" s="257">
        <v>1</v>
      </c>
      <c r="D56" s="257"/>
      <c r="E56" s="257"/>
      <c r="F56" s="257"/>
      <c r="G56" s="257"/>
      <c r="H56" s="257"/>
      <c r="I56" s="257"/>
      <c r="J56" s="257">
        <v>1</v>
      </c>
      <c r="K56" s="257">
        <f t="shared" si="18"/>
        <v>19</v>
      </c>
      <c r="L56" s="257"/>
      <c r="M56" s="257">
        <v>16</v>
      </c>
      <c r="N56" s="257"/>
      <c r="O56" s="257"/>
      <c r="P56" s="257"/>
      <c r="Q56" s="257"/>
      <c r="R56" s="257">
        <v>2</v>
      </c>
      <c r="S56" s="257"/>
      <c r="T56" s="257"/>
      <c r="U56" s="33">
        <f t="shared" si="23"/>
        <v>260</v>
      </c>
      <c r="V56" s="218">
        <f t="shared" si="24"/>
        <v>1</v>
      </c>
      <c r="W56" s="253" t="s">
        <v>20698</v>
      </c>
      <c r="X56" s="307">
        <v>9</v>
      </c>
      <c r="Y56" s="301" t="s">
        <v>20745</v>
      </c>
      <c r="Z56" s="307" t="s">
        <v>20730</v>
      </c>
      <c r="AA56" s="254" t="s">
        <v>20723</v>
      </c>
      <c r="AB56" s="255">
        <v>850</v>
      </c>
      <c r="AC56" s="256">
        <v>3</v>
      </c>
      <c r="AD56" s="257">
        <f>ROUND(AB56*AC56/X56,2)</f>
        <v>283.33</v>
      </c>
      <c r="AE56" s="255">
        <v>200</v>
      </c>
      <c r="AF56" s="255">
        <f>AB56*AC56</f>
        <v>2550</v>
      </c>
      <c r="AG56" s="423">
        <f>AE56*X56</f>
        <v>1800</v>
      </c>
      <c r="AH56" s="258" t="str">
        <f t="shared" si="29"/>
        <v>Ok</v>
      </c>
      <c r="AJ56" s="33">
        <f>465/4</f>
        <v>116.25</v>
      </c>
    </row>
    <row r="57" spans="2:36" x14ac:dyDescent="0.2">
      <c r="B57" s="438" t="s">
        <v>21634</v>
      </c>
      <c r="C57" s="164">
        <v>1</v>
      </c>
      <c r="D57" s="164"/>
      <c r="E57" s="164"/>
      <c r="F57" s="164">
        <v>1</v>
      </c>
      <c r="G57" s="164"/>
      <c r="H57" s="164"/>
      <c r="I57" s="164"/>
      <c r="J57" s="164"/>
      <c r="K57" s="164">
        <f t="shared" si="18"/>
        <v>1</v>
      </c>
      <c r="L57" s="164"/>
      <c r="M57" s="164"/>
      <c r="N57" s="164"/>
      <c r="O57" s="164"/>
      <c r="P57" s="164"/>
      <c r="Q57" s="164"/>
      <c r="R57" s="164"/>
      <c r="S57" s="164"/>
      <c r="T57" s="164"/>
      <c r="U57" s="439">
        <f>ROUND(M57*14+N57*20+O57*40+P57*6+Q57*18+R57*18+S57*50+T57*200+300*D57+600*E57+8500*F57,2)</f>
        <v>8500</v>
      </c>
      <c r="V57" s="218">
        <f t="shared" si="24"/>
        <v>39</v>
      </c>
      <c r="W57" s="253" t="s">
        <v>20699</v>
      </c>
      <c r="X57" s="307">
        <v>11.04</v>
      </c>
      <c r="Y57" s="301" t="s">
        <v>20745</v>
      </c>
      <c r="Z57" s="307" t="s">
        <v>20728</v>
      </c>
      <c r="AA57" s="254" t="s">
        <v>20723</v>
      </c>
      <c r="AB57" s="255">
        <v>850</v>
      </c>
      <c r="AC57" s="256">
        <v>3</v>
      </c>
      <c r="AD57" s="257">
        <f>ROUND(AB57*AC57/X57,2)</f>
        <v>230.98</v>
      </c>
      <c r="AE57" s="255">
        <v>200</v>
      </c>
      <c r="AF57" s="255">
        <f>AB57*AC57</f>
        <v>2550</v>
      </c>
      <c r="AG57" s="423">
        <f>AE57*X57</f>
        <v>2208</v>
      </c>
      <c r="AH57" s="258" t="str">
        <f>IF(AE57&lt;AD57,"Ok","Aumentar")</f>
        <v>Ok</v>
      </c>
    </row>
    <row r="58" spans="2:36" x14ac:dyDescent="0.2">
      <c r="B58" s="435" t="s">
        <v>21635</v>
      </c>
      <c r="C58" s="257">
        <v>1</v>
      </c>
      <c r="D58" s="257"/>
      <c r="E58" s="257"/>
      <c r="F58" s="257"/>
      <c r="G58" s="257"/>
      <c r="H58" s="257"/>
      <c r="I58" s="257">
        <v>2</v>
      </c>
      <c r="J58" s="257"/>
      <c r="K58" s="257">
        <f t="shared" si="18"/>
        <v>15</v>
      </c>
      <c r="L58" s="257"/>
      <c r="M58" s="257"/>
      <c r="N58" s="257"/>
      <c r="O58" s="257">
        <v>6</v>
      </c>
      <c r="P58" s="257"/>
      <c r="Q58" s="257"/>
      <c r="R58" s="257"/>
      <c r="S58" s="257">
        <v>4</v>
      </c>
      <c r="T58" s="257">
        <v>3</v>
      </c>
      <c r="U58" s="33">
        <f t="shared" si="23"/>
        <v>1040</v>
      </c>
      <c r="V58" s="218">
        <f t="shared" si="24"/>
        <v>5</v>
      </c>
      <c r="W58" s="253" t="s">
        <v>20706</v>
      </c>
      <c r="X58" s="307">
        <v>7.57</v>
      </c>
      <c r="Y58" s="301" t="s">
        <v>20745</v>
      </c>
      <c r="Z58" s="307" t="s">
        <v>20734</v>
      </c>
      <c r="AA58" s="269">
        <v>14</v>
      </c>
      <c r="AB58" s="270">
        <v>1250</v>
      </c>
      <c r="AC58" s="274">
        <v>4</v>
      </c>
      <c r="AD58" s="272">
        <f>ROUND(AB58*AC58/X58,2)</f>
        <v>660.5</v>
      </c>
      <c r="AE58" s="270">
        <v>300</v>
      </c>
      <c r="AF58" s="270">
        <f t="shared" ref="AF58:AF59" si="44">AB58*AC58</f>
        <v>5000</v>
      </c>
      <c r="AG58" s="418">
        <f>AE58*X58</f>
        <v>2271</v>
      </c>
      <c r="AH58" s="273" t="str">
        <f>IF(AE58&lt;AD58,"Ok","Aumentar")</f>
        <v>Ok</v>
      </c>
    </row>
    <row r="59" spans="2:36" x14ac:dyDescent="0.2">
      <c r="B59" s="438" t="s">
        <v>21636</v>
      </c>
      <c r="C59" s="164">
        <v>1</v>
      </c>
      <c r="D59" s="164"/>
      <c r="E59" s="164"/>
      <c r="F59" s="164">
        <v>1</v>
      </c>
      <c r="G59" s="164"/>
      <c r="H59" s="436"/>
      <c r="I59" s="164"/>
      <c r="J59" s="164"/>
      <c r="K59" s="164">
        <f t="shared" si="18"/>
        <v>1</v>
      </c>
      <c r="L59" s="164"/>
      <c r="M59" s="164"/>
      <c r="N59" s="164"/>
      <c r="O59" s="164"/>
      <c r="P59" s="164"/>
      <c r="Q59" s="164"/>
      <c r="R59" s="164"/>
      <c r="S59" s="164"/>
      <c r="T59" s="164"/>
      <c r="U59" s="439">
        <f>ROUND(M59*14+N59*20+O59*40+P59*6+Q59*18+R59*18+S59*50+T59*200+300*D59+600*E59+8500*F59,2)</f>
        <v>8500</v>
      </c>
      <c r="V59" s="218">
        <f t="shared" si="24"/>
        <v>39</v>
      </c>
      <c r="W59" s="253" t="s">
        <v>21522</v>
      </c>
      <c r="X59" s="307">
        <v>2.76</v>
      </c>
      <c r="Y59" s="301" t="s">
        <v>20745</v>
      </c>
      <c r="Z59" s="307" t="s">
        <v>20736</v>
      </c>
      <c r="AA59" s="269">
        <v>14</v>
      </c>
      <c r="AB59" s="270">
        <v>1250</v>
      </c>
      <c r="AC59" s="274">
        <v>1</v>
      </c>
      <c r="AD59" s="272">
        <f>ROUND(AB59*AC59/X59,2)</f>
        <v>452.9</v>
      </c>
      <c r="AE59" s="270">
        <v>300</v>
      </c>
      <c r="AF59" s="270">
        <f t="shared" si="44"/>
        <v>1250</v>
      </c>
      <c r="AG59" s="418">
        <f>AE59*X59</f>
        <v>827.99999999999989</v>
      </c>
      <c r="AH59" s="273" t="str">
        <f>IF(AE59&lt;AD59,"Ok","Aumentar")</f>
        <v>Ok</v>
      </c>
    </row>
    <row r="60" spans="2:36" x14ac:dyDescent="0.2">
      <c r="B60" s="438" t="s">
        <v>21639</v>
      </c>
      <c r="C60" s="164">
        <v>1</v>
      </c>
      <c r="D60" s="164"/>
      <c r="E60" s="164">
        <v>2</v>
      </c>
      <c r="F60" s="164">
        <v>1</v>
      </c>
      <c r="G60" s="164"/>
      <c r="H60" s="164"/>
      <c r="I60" s="164"/>
      <c r="J60" s="164"/>
      <c r="K60" s="164">
        <f t="shared" si="18"/>
        <v>3</v>
      </c>
      <c r="L60" s="164"/>
      <c r="M60" s="164"/>
      <c r="N60" s="164"/>
      <c r="O60" s="164"/>
      <c r="P60" s="164"/>
      <c r="Q60" s="164"/>
      <c r="R60" s="164"/>
      <c r="S60" s="164"/>
      <c r="T60" s="164"/>
      <c r="U60" s="439">
        <f>ROUND(M60*14+N60*20+O60*40+P60*6+Q60*18+R60*18+S60*50+T60*200+300*D60+600*E60+8500*F60,2)</f>
        <v>9700</v>
      </c>
      <c r="V60" s="218">
        <f t="shared" si="24"/>
        <v>44</v>
      </c>
      <c r="W60" s="251" t="s">
        <v>20704</v>
      </c>
      <c r="X60" s="267">
        <v>13.2</v>
      </c>
      <c r="Y60" s="300" t="s">
        <v>21596</v>
      </c>
      <c r="Z60" s="267" t="s">
        <v>20726</v>
      </c>
      <c r="AA60" s="285" t="s">
        <v>20724</v>
      </c>
      <c r="AB60" s="286">
        <v>3800</v>
      </c>
      <c r="AC60" s="287">
        <v>2</v>
      </c>
      <c r="AD60" s="288">
        <f t="shared" ref="AD60" si="45">ROUND(AB60*AC60/X60,2)</f>
        <v>575.76</v>
      </c>
      <c r="AE60" s="286">
        <v>500</v>
      </c>
      <c r="AF60" s="286">
        <f t="shared" ref="AF60" si="46">AB60*AC60</f>
        <v>7600</v>
      </c>
      <c r="AG60" s="421">
        <f t="shared" ref="AG60" si="47">AE60*X60</f>
        <v>6600</v>
      </c>
      <c r="AH60" s="289" t="str">
        <f t="shared" ref="AH60" si="48">IF(AE60&lt;AD60,"Ok","Aumentar")</f>
        <v>Ok</v>
      </c>
    </row>
    <row r="61" spans="2:36" x14ac:dyDescent="0.2">
      <c r="B61" s="428" t="s">
        <v>21640</v>
      </c>
      <c r="C61" s="164">
        <v>1</v>
      </c>
      <c r="D61" s="164">
        <v>1</v>
      </c>
      <c r="E61" s="164">
        <v>2</v>
      </c>
      <c r="F61" s="164"/>
      <c r="G61" s="164"/>
      <c r="H61" s="164"/>
      <c r="I61" s="164"/>
      <c r="J61" s="164"/>
      <c r="K61" s="164">
        <f t="shared" si="18"/>
        <v>3</v>
      </c>
      <c r="L61" s="164"/>
      <c r="M61" s="164"/>
      <c r="N61" s="164"/>
      <c r="O61" s="164"/>
      <c r="P61" s="164"/>
      <c r="Q61" s="164"/>
      <c r="R61" s="164"/>
      <c r="S61" s="164"/>
      <c r="T61" s="164"/>
      <c r="U61" s="33">
        <f t="shared" si="23"/>
        <v>1500</v>
      </c>
      <c r="V61" s="218">
        <f t="shared" si="24"/>
        <v>7</v>
      </c>
      <c r="W61" s="251" t="s">
        <v>20705</v>
      </c>
      <c r="X61" s="267">
        <v>4.55</v>
      </c>
      <c r="Y61" s="300" t="s">
        <v>21596</v>
      </c>
      <c r="Z61" s="267" t="s">
        <v>20727</v>
      </c>
      <c r="AA61" s="295" t="s">
        <v>20725</v>
      </c>
      <c r="AB61" s="296">
        <v>1900</v>
      </c>
      <c r="AC61" s="297">
        <v>1</v>
      </c>
      <c r="AD61" s="298">
        <f t="shared" ref="AD61:AD62" si="49">ROUND(AB61*AC61/X61,2)</f>
        <v>417.58</v>
      </c>
      <c r="AE61" s="296">
        <v>200</v>
      </c>
      <c r="AF61" s="296">
        <f t="shared" ref="AF61:AF62" si="50">AB61*AC61</f>
        <v>1900</v>
      </c>
      <c r="AG61" s="422">
        <f t="shared" ref="AG61:AG62" si="51">AE61*X61</f>
        <v>910</v>
      </c>
      <c r="AH61" s="299" t="str">
        <f t="shared" ref="AH61:AH62" si="52">IF(AE61&lt;AD61,"Ok","Aumentar")</f>
        <v>Ok</v>
      </c>
    </row>
    <row r="62" spans="2:36" x14ac:dyDescent="0.2">
      <c r="B62" s="428" t="s">
        <v>21641</v>
      </c>
      <c r="C62" s="164">
        <v>1</v>
      </c>
      <c r="D62" s="164">
        <v>4</v>
      </c>
      <c r="E62" s="164"/>
      <c r="F62" s="164">
        <v>1</v>
      </c>
      <c r="G62" s="164"/>
      <c r="H62" s="164"/>
      <c r="I62" s="164"/>
      <c r="J62" s="164"/>
      <c r="K62" s="164">
        <f t="shared" si="18"/>
        <v>5</v>
      </c>
      <c r="L62" s="164"/>
      <c r="M62" s="164"/>
      <c r="N62" s="164"/>
      <c r="O62" s="164"/>
      <c r="P62" s="164"/>
      <c r="Q62" s="164"/>
      <c r="R62" s="164"/>
      <c r="S62" s="164"/>
      <c r="T62" s="164"/>
      <c r="U62" s="33">
        <f t="shared" si="23"/>
        <v>2200</v>
      </c>
      <c r="V62" s="218">
        <f t="shared" si="24"/>
        <v>10</v>
      </c>
      <c r="W62" s="251" t="s">
        <v>20701</v>
      </c>
      <c r="X62" s="267">
        <v>5.85</v>
      </c>
      <c r="Y62" s="300" t="s">
        <v>21596</v>
      </c>
      <c r="Z62" s="267" t="s">
        <v>20730</v>
      </c>
      <c r="AA62" s="295" t="s">
        <v>20725</v>
      </c>
      <c r="AB62" s="296">
        <v>1900</v>
      </c>
      <c r="AC62" s="297">
        <v>1</v>
      </c>
      <c r="AD62" s="298">
        <f t="shared" si="49"/>
        <v>324.79000000000002</v>
      </c>
      <c r="AE62" s="296">
        <v>200</v>
      </c>
      <c r="AF62" s="296">
        <f t="shared" si="50"/>
        <v>1900</v>
      </c>
      <c r="AG62" s="422">
        <f t="shared" si="51"/>
        <v>1170</v>
      </c>
      <c r="AH62" s="299" t="str">
        <f t="shared" si="52"/>
        <v>Ok</v>
      </c>
    </row>
    <row r="63" spans="2:36" x14ac:dyDescent="0.2">
      <c r="B63" s="428" t="s">
        <v>21642</v>
      </c>
      <c r="C63" s="164">
        <v>1</v>
      </c>
      <c r="D63" s="164">
        <v>3</v>
      </c>
      <c r="E63" s="164"/>
      <c r="F63" s="164"/>
      <c r="G63" s="164"/>
      <c r="H63" s="164"/>
      <c r="I63" s="164"/>
      <c r="J63" s="164"/>
      <c r="K63" s="164">
        <f t="shared" si="18"/>
        <v>3</v>
      </c>
      <c r="L63" s="164"/>
      <c r="M63" s="164"/>
      <c r="N63" s="164"/>
      <c r="O63" s="164"/>
      <c r="P63" s="164"/>
      <c r="Q63" s="164"/>
      <c r="R63" s="164"/>
      <c r="S63" s="164"/>
      <c r="T63" s="164"/>
      <c r="U63" s="33">
        <f t="shared" si="23"/>
        <v>900</v>
      </c>
      <c r="V63" s="218">
        <f t="shared" si="24"/>
        <v>4</v>
      </c>
      <c r="W63" s="253" t="s">
        <v>20712</v>
      </c>
      <c r="X63" s="307">
        <v>9</v>
      </c>
      <c r="Y63" s="301" t="s">
        <v>21597</v>
      </c>
      <c r="Z63" s="307" t="s">
        <v>20737</v>
      </c>
      <c r="AA63" s="264">
        <v>18</v>
      </c>
      <c r="AB63" s="265">
        <v>1700</v>
      </c>
      <c r="AC63" s="266">
        <v>3</v>
      </c>
      <c r="AD63" s="267">
        <f>ROUND(AB63*AC63/X63,2)</f>
        <v>566.66999999999996</v>
      </c>
      <c r="AE63" s="265">
        <v>400</v>
      </c>
      <c r="AF63" s="265">
        <f>AB63*AC63</f>
        <v>5100</v>
      </c>
      <c r="AG63" s="417">
        <f>AE63*X63</f>
        <v>3600</v>
      </c>
      <c r="AH63" s="268" t="str">
        <f>IF(AE63&lt;AD63,"Ok","Aumentar")</f>
        <v>Ok</v>
      </c>
    </row>
    <row r="64" spans="2:36" x14ac:dyDescent="0.2">
      <c r="B64" s="428" t="s">
        <v>21643</v>
      </c>
      <c r="C64" s="164">
        <v>1</v>
      </c>
      <c r="D64" s="164">
        <v>11</v>
      </c>
      <c r="E64" s="164"/>
      <c r="F64" s="164">
        <v>2</v>
      </c>
      <c r="G64" s="164"/>
      <c r="H64" s="164"/>
      <c r="I64" s="164"/>
      <c r="J64" s="164"/>
      <c r="K64" s="164">
        <f t="shared" si="18"/>
        <v>13</v>
      </c>
      <c r="L64" s="164"/>
      <c r="M64" s="164"/>
      <c r="N64" s="164"/>
      <c r="O64" s="164"/>
      <c r="P64" s="164"/>
      <c r="Q64" s="164"/>
      <c r="R64" s="164"/>
      <c r="S64" s="164"/>
      <c r="T64" s="164"/>
      <c r="U64" s="33">
        <f t="shared" si="23"/>
        <v>5300</v>
      </c>
      <c r="V64" s="218">
        <f t="shared" si="24"/>
        <v>24</v>
      </c>
      <c r="W64" s="253" t="s">
        <v>20713</v>
      </c>
      <c r="X64" s="307">
        <v>17.25</v>
      </c>
      <c r="Y64" s="301" t="s">
        <v>21597</v>
      </c>
      <c r="Z64" s="307" t="s">
        <v>20738</v>
      </c>
      <c r="AA64" s="264">
        <v>18</v>
      </c>
      <c r="AB64" s="265">
        <v>1700</v>
      </c>
      <c r="AC64" s="266">
        <v>6</v>
      </c>
      <c r="AD64" s="267">
        <f t="shared" ref="AD64" si="53">ROUND(AB64*AC64/X64,2)</f>
        <v>591.29999999999995</v>
      </c>
      <c r="AE64" s="265">
        <v>400</v>
      </c>
      <c r="AF64" s="265">
        <f t="shared" ref="AF64" si="54">AB64*AC64</f>
        <v>10200</v>
      </c>
      <c r="AG64" s="417">
        <f t="shared" ref="AG64" si="55">AE64*X64</f>
        <v>6900</v>
      </c>
      <c r="AH64" s="268" t="str">
        <f t="shared" ref="AH64" si="56">IF(AE64&lt;AD64,"Ok","Aumentar")</f>
        <v>Ok</v>
      </c>
      <c r="AJ64" s="33">
        <f>5.2/2</f>
        <v>2.6</v>
      </c>
    </row>
    <row r="65" spans="2:36" x14ac:dyDescent="0.2">
      <c r="B65" s="435" t="s">
        <v>21650</v>
      </c>
      <c r="C65" s="257">
        <v>1</v>
      </c>
      <c r="D65" s="257">
        <v>3</v>
      </c>
      <c r="E65" s="257"/>
      <c r="F65" s="257"/>
      <c r="G65" s="257"/>
      <c r="H65" s="257"/>
      <c r="I65" s="257"/>
      <c r="J65" s="257">
        <v>1</v>
      </c>
      <c r="K65" s="257">
        <f t="shared" ref="K65:K66" si="57">SUM(D65:J65,M65:T65)</f>
        <v>10</v>
      </c>
      <c r="L65" s="257"/>
      <c r="M65" s="257"/>
      <c r="N65" s="257"/>
      <c r="O65" s="257">
        <v>6</v>
      </c>
      <c r="P65" s="257"/>
      <c r="Q65" s="257"/>
      <c r="R65" s="257"/>
      <c r="S65" s="257"/>
      <c r="T65" s="257"/>
      <c r="U65" s="33">
        <f>ROUND(M65*14+N65*20+O65*40+P65*6+Q65*18+R65*18+S65*50+T65*200+300*D65+600*E65+1000*F65,2)</f>
        <v>1140</v>
      </c>
      <c r="V65" s="218">
        <f t="shared" si="24"/>
        <v>5</v>
      </c>
      <c r="W65" s="251" t="s">
        <v>20707</v>
      </c>
      <c r="X65" s="267">
        <v>9.91</v>
      </c>
      <c r="Y65" s="300" t="s">
        <v>20746</v>
      </c>
      <c r="Z65" s="267" t="s">
        <v>20731</v>
      </c>
      <c r="AA65" s="285" t="s">
        <v>20724</v>
      </c>
      <c r="AB65" s="286">
        <v>3800</v>
      </c>
      <c r="AC65" s="287">
        <v>1</v>
      </c>
      <c r="AD65" s="288">
        <f>ROUND(AB65*AC65/X65,2)</f>
        <v>383.45</v>
      </c>
      <c r="AE65" s="286">
        <v>200</v>
      </c>
      <c r="AF65" s="286">
        <f>AB65*AC65</f>
        <v>3800</v>
      </c>
      <c r="AG65" s="421">
        <f>AE65*X65</f>
        <v>1982</v>
      </c>
      <c r="AH65" s="289" t="str">
        <f>IF(AE65&lt;AD65,"Ok","Aumentar")</f>
        <v>Ok</v>
      </c>
    </row>
    <row r="66" spans="2:36" x14ac:dyDescent="0.2">
      <c r="B66" s="428" t="s">
        <v>21651</v>
      </c>
      <c r="C66" s="164">
        <v>1</v>
      </c>
      <c r="D66" s="164">
        <v>8</v>
      </c>
      <c r="E66" s="164">
        <v>2</v>
      </c>
      <c r="F66" s="164"/>
      <c r="G66" s="164"/>
      <c r="H66" s="164"/>
      <c r="I66" s="164"/>
      <c r="J66" s="164"/>
      <c r="K66" s="164">
        <f t="shared" si="57"/>
        <v>10</v>
      </c>
      <c r="L66" s="164"/>
      <c r="M66" s="164"/>
      <c r="N66" s="164"/>
      <c r="O66" s="164"/>
      <c r="P66" s="164"/>
      <c r="Q66" s="164"/>
      <c r="R66" s="164"/>
      <c r="S66" s="164"/>
      <c r="T66" s="164"/>
      <c r="W66" s="251" t="s">
        <v>20708</v>
      </c>
      <c r="X66" s="267">
        <v>4.55</v>
      </c>
      <c r="Y66" s="300" t="s">
        <v>20746</v>
      </c>
      <c r="Z66" s="267" t="s">
        <v>21598</v>
      </c>
      <c r="AA66" s="264">
        <v>9</v>
      </c>
      <c r="AB66" s="265">
        <v>850</v>
      </c>
      <c r="AC66" s="266">
        <v>2</v>
      </c>
      <c r="AD66" s="267">
        <f>ROUND(AB66*AC66/X66,2)</f>
        <v>373.63</v>
      </c>
      <c r="AE66" s="265">
        <v>400</v>
      </c>
      <c r="AF66" s="265">
        <f>AB66*AC66</f>
        <v>1700</v>
      </c>
      <c r="AG66" s="417">
        <f>AE66*X66</f>
        <v>1820</v>
      </c>
      <c r="AH66" s="268" t="str">
        <f t="shared" ref="AH66:AH68" si="58">IF(AE66&lt;AD66,"Ok","Aumentar")</f>
        <v>Aumentar</v>
      </c>
    </row>
    <row r="67" spans="2:36" x14ac:dyDescent="0.2">
      <c r="B67" s="435" t="s">
        <v>21652</v>
      </c>
      <c r="C67" s="257">
        <v>1</v>
      </c>
      <c r="D67" s="257"/>
      <c r="E67" s="257"/>
      <c r="F67" s="257"/>
      <c r="G67" s="257"/>
      <c r="H67" s="257">
        <v>3</v>
      </c>
      <c r="I67" s="257"/>
      <c r="J67" s="257"/>
      <c r="K67" s="257">
        <f t="shared" ref="K67:K68" si="59">SUM(D67:J67,M67:T67)</f>
        <v>7</v>
      </c>
      <c r="L67" s="257"/>
      <c r="M67" s="257"/>
      <c r="N67" s="257"/>
      <c r="O67" s="257"/>
      <c r="P67" s="257">
        <v>1</v>
      </c>
      <c r="Q67" s="257"/>
      <c r="R67" s="257">
        <v>3</v>
      </c>
      <c r="S67" s="257"/>
      <c r="T67" s="257"/>
      <c r="W67" s="251" t="s">
        <v>20709</v>
      </c>
      <c r="X67" s="267">
        <v>9.42</v>
      </c>
      <c r="Y67" s="300" t="s">
        <v>20746</v>
      </c>
      <c r="Z67" s="267" t="s">
        <v>20730</v>
      </c>
      <c r="AA67" s="285" t="s">
        <v>20724</v>
      </c>
      <c r="AB67" s="286">
        <v>3800</v>
      </c>
      <c r="AC67" s="287">
        <v>1</v>
      </c>
      <c r="AD67" s="288">
        <f t="shared" ref="AD67:AD68" si="60">ROUND(AB67*AC67/X67,2)</f>
        <v>403.4</v>
      </c>
      <c r="AE67" s="286">
        <v>200</v>
      </c>
      <c r="AF67" s="286">
        <f t="shared" ref="AF67:AF68" si="61">AB67*AC67</f>
        <v>3800</v>
      </c>
      <c r="AG67" s="421">
        <f t="shared" ref="AG67:AG68" si="62">AE67*X67</f>
        <v>1884</v>
      </c>
      <c r="AH67" s="289" t="str">
        <f t="shared" si="58"/>
        <v>Ok</v>
      </c>
    </row>
    <row r="68" spans="2:36" x14ac:dyDescent="0.2">
      <c r="B68" s="428" t="s">
        <v>21653</v>
      </c>
      <c r="C68" s="164">
        <v>1</v>
      </c>
      <c r="D68" s="164">
        <v>3</v>
      </c>
      <c r="E68" s="164"/>
      <c r="F68" s="164"/>
      <c r="G68" s="164"/>
      <c r="H68" s="164"/>
      <c r="I68" s="164"/>
      <c r="J68" s="164"/>
      <c r="K68" s="164">
        <f t="shared" si="59"/>
        <v>3</v>
      </c>
      <c r="L68" s="164"/>
      <c r="M68" s="164"/>
      <c r="N68" s="164"/>
      <c r="O68" s="164"/>
      <c r="P68" s="164"/>
      <c r="Q68" s="164"/>
      <c r="R68" s="164"/>
      <c r="S68" s="164"/>
      <c r="T68" s="164"/>
      <c r="W68" s="251" t="s">
        <v>20710</v>
      </c>
      <c r="X68" s="267">
        <v>4.55</v>
      </c>
      <c r="Y68" s="300" t="s">
        <v>20746</v>
      </c>
      <c r="Z68" s="267" t="s">
        <v>21599</v>
      </c>
      <c r="AA68" s="280" t="s">
        <v>20725</v>
      </c>
      <c r="AB68" s="281">
        <v>1900</v>
      </c>
      <c r="AC68" s="282">
        <v>1</v>
      </c>
      <c r="AD68" s="283">
        <f t="shared" si="60"/>
        <v>417.58</v>
      </c>
      <c r="AE68" s="281">
        <v>200</v>
      </c>
      <c r="AF68" s="281">
        <f t="shared" si="61"/>
        <v>1900</v>
      </c>
      <c r="AG68" s="424">
        <f t="shared" si="62"/>
        <v>910</v>
      </c>
      <c r="AH68" s="284" t="str">
        <f t="shared" si="58"/>
        <v>Ok</v>
      </c>
    </row>
    <row r="69" spans="2:36" x14ac:dyDescent="0.2">
      <c r="B69" s="435" t="s">
        <v>21654</v>
      </c>
      <c r="C69" s="257">
        <v>1</v>
      </c>
      <c r="D69" s="257">
        <v>1</v>
      </c>
      <c r="E69" s="257"/>
      <c r="F69" s="257"/>
      <c r="G69" s="257"/>
      <c r="H69" s="257"/>
      <c r="I69" s="257"/>
      <c r="J69" s="257">
        <v>1</v>
      </c>
      <c r="K69" s="257">
        <f t="shared" ref="K69:K70" si="63">SUM(D69:J69,M69:T69)</f>
        <v>8</v>
      </c>
      <c r="L69" s="257"/>
      <c r="M69" s="257"/>
      <c r="N69" s="257"/>
      <c r="O69" s="257"/>
      <c r="P69" s="257"/>
      <c r="Q69" s="257"/>
      <c r="R69" s="257">
        <v>6</v>
      </c>
      <c r="S69" s="257"/>
      <c r="T69" s="257"/>
      <c r="W69" s="253" t="s">
        <v>20711</v>
      </c>
      <c r="X69" s="307">
        <v>12.58</v>
      </c>
      <c r="Y69" s="301" t="s">
        <v>21601</v>
      </c>
      <c r="Z69" s="307" t="s">
        <v>20731</v>
      </c>
      <c r="AA69" s="410" t="s">
        <v>20724</v>
      </c>
      <c r="AB69" s="411">
        <v>3800</v>
      </c>
      <c r="AC69" s="412">
        <v>1</v>
      </c>
      <c r="AD69" s="307">
        <f>ROUND(AB69*AC69/X69,2)</f>
        <v>302.07</v>
      </c>
      <c r="AE69" s="411">
        <v>300</v>
      </c>
      <c r="AF69" s="411">
        <f>AB69*AC69</f>
        <v>3800</v>
      </c>
      <c r="AG69" s="425">
        <f>AE69*X69</f>
        <v>3774</v>
      </c>
      <c r="AH69" s="413" t="str">
        <f>IF(AE69&lt;AD69,"Ok","Aumentar")</f>
        <v>Ok</v>
      </c>
    </row>
    <row r="70" spans="2:36" x14ac:dyDescent="0.2">
      <c r="B70" s="428" t="s">
        <v>21655</v>
      </c>
      <c r="C70" s="164">
        <v>1</v>
      </c>
      <c r="D70" s="164">
        <v>2</v>
      </c>
      <c r="E70" s="164">
        <v>8</v>
      </c>
      <c r="F70" s="164"/>
      <c r="G70" s="164"/>
      <c r="H70" s="164"/>
      <c r="I70" s="164"/>
      <c r="J70" s="164"/>
      <c r="K70" s="164">
        <f t="shared" si="63"/>
        <v>10</v>
      </c>
      <c r="L70" s="164"/>
      <c r="M70" s="164"/>
      <c r="N70" s="164"/>
      <c r="O70" s="164"/>
      <c r="P70" s="164"/>
      <c r="Q70" s="164"/>
      <c r="R70" s="164"/>
      <c r="S70" s="164"/>
      <c r="T70" s="164"/>
      <c r="W70" s="251" t="s">
        <v>20700</v>
      </c>
      <c r="X70" s="267">
        <v>6.04</v>
      </c>
      <c r="Y70" s="300" t="s">
        <v>21602</v>
      </c>
      <c r="Z70" s="267" t="s">
        <v>20731</v>
      </c>
      <c r="AA70" s="264">
        <v>18</v>
      </c>
      <c r="AB70" s="265">
        <v>1700</v>
      </c>
      <c r="AC70" s="266">
        <v>2</v>
      </c>
      <c r="AD70" s="267">
        <f t="shared" ref="AD70" si="64">ROUND(AB70*AC70/X70,2)</f>
        <v>562.91</v>
      </c>
      <c r="AE70" s="265">
        <v>400</v>
      </c>
      <c r="AF70" s="265">
        <f t="shared" ref="AF70" si="65">AB70*AC70</f>
        <v>3400</v>
      </c>
      <c r="AG70" s="417">
        <f t="shared" ref="AG70" si="66">AE70*X70</f>
        <v>2416</v>
      </c>
      <c r="AH70" s="268" t="str">
        <f t="shared" ref="AH70" si="67">IF(AE70&lt;AD70,"Ok","Aumentar")</f>
        <v>Ok</v>
      </c>
    </row>
    <row r="71" spans="2:36" x14ac:dyDescent="0.2">
      <c r="B71" s="132" t="s">
        <v>7</v>
      </c>
      <c r="C71" s="166">
        <f>SUM(C40:C70)</f>
        <v>31</v>
      </c>
      <c r="D71" s="166">
        <f t="shared" ref="D71:T71" si="68">SUM(D40:D70)</f>
        <v>77</v>
      </c>
      <c r="E71" s="166">
        <f t="shared" si="68"/>
        <v>40</v>
      </c>
      <c r="F71" s="166">
        <f t="shared" si="68"/>
        <v>10</v>
      </c>
      <c r="G71" s="166">
        <f t="shared" si="68"/>
        <v>2</v>
      </c>
      <c r="H71" s="166">
        <f t="shared" si="68"/>
        <v>18</v>
      </c>
      <c r="I71" s="166">
        <f t="shared" si="68"/>
        <v>8</v>
      </c>
      <c r="J71" s="166">
        <f t="shared" si="68"/>
        <v>5</v>
      </c>
      <c r="K71" s="166">
        <f t="shared" si="68"/>
        <v>273</v>
      </c>
      <c r="L71" s="166">
        <f t="shared" si="68"/>
        <v>1</v>
      </c>
      <c r="M71" s="166">
        <f t="shared" si="68"/>
        <v>21</v>
      </c>
      <c r="N71" s="166">
        <f t="shared" si="68"/>
        <v>9</v>
      </c>
      <c r="O71" s="166">
        <f t="shared" si="68"/>
        <v>18</v>
      </c>
      <c r="P71" s="166">
        <f t="shared" si="68"/>
        <v>8</v>
      </c>
      <c r="Q71" s="166">
        <f t="shared" si="68"/>
        <v>2</v>
      </c>
      <c r="R71" s="166">
        <f t="shared" si="68"/>
        <v>36</v>
      </c>
      <c r="S71" s="166">
        <f t="shared" si="68"/>
        <v>4</v>
      </c>
      <c r="T71" s="166">
        <f t="shared" si="68"/>
        <v>15</v>
      </c>
      <c r="W71" s="251" t="s">
        <v>20720</v>
      </c>
      <c r="X71" s="267">
        <v>21.8</v>
      </c>
      <c r="Y71" s="300" t="s">
        <v>20745</v>
      </c>
      <c r="Z71" s="267" t="s">
        <v>20737</v>
      </c>
      <c r="AA71" s="269">
        <v>14</v>
      </c>
      <c r="AB71" s="270">
        <v>1250</v>
      </c>
      <c r="AC71" s="274">
        <v>4</v>
      </c>
      <c r="AD71" s="272">
        <f t="shared" ref="AD71" si="69">ROUND(AB71*AC71/X71,2)</f>
        <v>229.36</v>
      </c>
      <c r="AE71" s="270">
        <v>200</v>
      </c>
      <c r="AF71" s="270">
        <f t="shared" ref="AF71:AF76" si="70">AB71*AC71</f>
        <v>5000</v>
      </c>
      <c r="AG71" s="418">
        <f t="shared" ref="AG71" si="71">AE71*X71</f>
        <v>4360</v>
      </c>
      <c r="AH71" s="273" t="str">
        <f t="shared" ref="AH71:AH76" si="72">IF(AE71&lt;AD71,"Ok","Aumentar")</f>
        <v>Ok</v>
      </c>
    </row>
    <row r="72" spans="2:36" x14ac:dyDescent="0.2"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W72" s="251" t="s">
        <v>20714</v>
      </c>
      <c r="X72" s="267">
        <v>47.9</v>
      </c>
      <c r="Y72" s="300" t="s">
        <v>20745</v>
      </c>
      <c r="Z72" s="267" t="s">
        <v>20727</v>
      </c>
      <c r="AA72" s="269">
        <v>14</v>
      </c>
      <c r="AB72" s="270">
        <v>1250</v>
      </c>
      <c r="AC72" s="274">
        <v>8</v>
      </c>
      <c r="AD72" s="272">
        <f>ROUND(AB72*AC72/X72,2)</f>
        <v>208.77</v>
      </c>
      <c r="AE72" s="270">
        <v>150</v>
      </c>
      <c r="AF72" s="270">
        <f t="shared" si="70"/>
        <v>10000</v>
      </c>
      <c r="AG72" s="418">
        <f>AE72*X72</f>
        <v>7185</v>
      </c>
      <c r="AH72" s="273" t="str">
        <f t="shared" si="72"/>
        <v>Ok</v>
      </c>
      <c r="AJ72" s="33">
        <f>12+9.8</f>
        <v>21.8</v>
      </c>
    </row>
    <row r="73" spans="2:36" x14ac:dyDescent="0.2">
      <c r="B73"/>
      <c r="C73"/>
      <c r="D73" s="52" t="s">
        <v>21667</v>
      </c>
      <c r="E73" s="52" t="s">
        <v>21669</v>
      </c>
      <c r="F73" s="52" t="s">
        <v>21668</v>
      </c>
      <c r="G73"/>
      <c r="H73"/>
      <c r="I73"/>
      <c r="J73"/>
      <c r="K73"/>
      <c r="L73"/>
      <c r="M73" t="s">
        <v>21670</v>
      </c>
      <c r="N73" t="s">
        <v>21671</v>
      </c>
      <c r="O73" t="s">
        <v>21672</v>
      </c>
      <c r="P73" t="s">
        <v>21673</v>
      </c>
      <c r="Q73" t="s">
        <v>21674</v>
      </c>
      <c r="R73" t="s">
        <v>21675</v>
      </c>
      <c r="S73" t="s">
        <v>21676</v>
      </c>
      <c r="T73" t="s">
        <v>21677</v>
      </c>
      <c r="W73" s="251"/>
      <c r="X73" s="267"/>
      <c r="Y73" s="300"/>
      <c r="Z73" s="267"/>
      <c r="AA73" s="269"/>
      <c r="AB73" s="270"/>
      <c r="AC73" s="274"/>
      <c r="AD73" s="272"/>
      <c r="AE73" s="270"/>
      <c r="AF73" s="270"/>
      <c r="AG73" s="418"/>
      <c r="AH73" s="273"/>
    </row>
    <row r="74" spans="2:36" x14ac:dyDescent="0.2">
      <c r="B74"/>
      <c r="C74"/>
      <c r="D74">
        <f>300*D71</f>
        <v>23100</v>
      </c>
      <c r="E74">
        <f>E71*600</f>
        <v>24000</v>
      </c>
      <c r="F74">
        <f>900*F71</f>
        <v>9000</v>
      </c>
      <c r="G74"/>
      <c r="H74"/>
      <c r="I74"/>
      <c r="J74"/>
      <c r="K74"/>
      <c r="L74"/>
      <c r="M74">
        <f>14*M71</f>
        <v>294</v>
      </c>
      <c r="N74">
        <f>20*N71</f>
        <v>180</v>
      </c>
      <c r="O74">
        <f>40*O71</f>
        <v>720</v>
      </c>
      <c r="P74">
        <f>6*P71</f>
        <v>48</v>
      </c>
      <c r="Q74">
        <f>30*Q71</f>
        <v>60</v>
      </c>
      <c r="R74">
        <f>18*R71</f>
        <v>648</v>
      </c>
      <c r="S74">
        <f>50*S71</f>
        <v>200</v>
      </c>
      <c r="T74">
        <f>200*T71</f>
        <v>3000</v>
      </c>
      <c r="W74" s="253" t="s">
        <v>20715</v>
      </c>
      <c r="X74" s="164">
        <v>61.2</v>
      </c>
      <c r="Y74" s="301" t="s">
        <v>20747</v>
      </c>
      <c r="Z74" s="307" t="s">
        <v>20726</v>
      </c>
      <c r="AA74" s="176" t="s">
        <v>20718</v>
      </c>
      <c r="AB74" s="168">
        <v>3800</v>
      </c>
      <c r="AC74" s="177">
        <v>6</v>
      </c>
      <c r="AD74" s="164">
        <f t="shared" ref="AD74:AD76" si="73">ROUND(AB74*AC74/X74,2)</f>
        <v>372.55</v>
      </c>
      <c r="AE74" s="168">
        <v>200</v>
      </c>
      <c r="AF74" s="168">
        <f t="shared" si="70"/>
        <v>22800</v>
      </c>
      <c r="AG74" s="217">
        <f t="shared" ref="AG74:AG76" si="74">AE74*X74</f>
        <v>12240</v>
      </c>
      <c r="AH74" s="170" t="str">
        <f t="shared" si="72"/>
        <v>Ok</v>
      </c>
      <c r="AJ74" s="33">
        <v>131.96</v>
      </c>
    </row>
    <row r="75" spans="2:36" x14ac:dyDescent="0.2"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>
        <f>SUM(D74:T74)</f>
        <v>61250</v>
      </c>
      <c r="U75" s="33">
        <f>T75/220</f>
        <v>278.40909090909093</v>
      </c>
      <c r="W75" s="253" t="s">
        <v>20716</v>
      </c>
      <c r="X75" s="164">
        <v>110.16</v>
      </c>
      <c r="Y75" s="301" t="s">
        <v>20747</v>
      </c>
      <c r="Z75" s="307" t="s">
        <v>20727</v>
      </c>
      <c r="AA75" s="302">
        <v>150</v>
      </c>
      <c r="AB75" s="303">
        <v>15000</v>
      </c>
      <c r="AC75" s="304">
        <v>4</v>
      </c>
      <c r="AD75" s="305">
        <f t="shared" si="73"/>
        <v>544.66</v>
      </c>
      <c r="AE75" s="303">
        <v>200</v>
      </c>
      <c r="AF75" s="303">
        <f t="shared" si="70"/>
        <v>60000</v>
      </c>
      <c r="AG75" s="416">
        <f t="shared" si="74"/>
        <v>22032</v>
      </c>
      <c r="AH75" s="306" t="str">
        <f t="shared" si="72"/>
        <v>Ok</v>
      </c>
      <c r="AJ75" s="33">
        <f>AJ74-AJ72</f>
        <v>110.16000000000001</v>
      </c>
    </row>
    <row r="76" spans="2:36" x14ac:dyDescent="0.2">
      <c r="B76"/>
      <c r="C76"/>
      <c r="D76">
        <f>0.5*D74</f>
        <v>11550</v>
      </c>
      <c r="E76">
        <f t="shared" ref="E76:F76" si="75">0.5*E74</f>
        <v>12000</v>
      </c>
      <c r="F76">
        <f t="shared" si="75"/>
        <v>4500</v>
      </c>
      <c r="G76"/>
      <c r="H76"/>
      <c r="I76"/>
      <c r="J76"/>
      <c r="K76"/>
      <c r="L76"/>
      <c r="M76">
        <f>0.75*M74</f>
        <v>220.5</v>
      </c>
      <c r="N76">
        <f t="shared" ref="N76:T76" si="76">0.75*N74</f>
        <v>135</v>
      </c>
      <c r="O76">
        <f t="shared" si="76"/>
        <v>540</v>
      </c>
      <c r="P76">
        <f t="shared" si="76"/>
        <v>36</v>
      </c>
      <c r="Q76">
        <f t="shared" si="76"/>
        <v>45</v>
      </c>
      <c r="R76">
        <f t="shared" si="76"/>
        <v>486</v>
      </c>
      <c r="S76">
        <f t="shared" si="76"/>
        <v>150</v>
      </c>
      <c r="T76">
        <f t="shared" si="76"/>
        <v>2250</v>
      </c>
      <c r="W76" s="253" t="s">
        <v>20717</v>
      </c>
      <c r="X76" s="164">
        <v>72.239999999999995</v>
      </c>
      <c r="Y76" s="301" t="s">
        <v>20747</v>
      </c>
      <c r="Z76" s="307" t="s">
        <v>20730</v>
      </c>
      <c r="AA76" s="259">
        <v>50</v>
      </c>
      <c r="AB76" s="260">
        <v>5000</v>
      </c>
      <c r="AC76" s="261">
        <v>4</v>
      </c>
      <c r="AD76" s="262">
        <f t="shared" si="73"/>
        <v>276.85000000000002</v>
      </c>
      <c r="AE76" s="260">
        <v>200</v>
      </c>
      <c r="AF76" s="260">
        <f t="shared" si="70"/>
        <v>20000</v>
      </c>
      <c r="AG76" s="426">
        <f t="shared" si="74"/>
        <v>14447.999999999998</v>
      </c>
      <c r="AH76" s="263" t="str">
        <f t="shared" si="72"/>
        <v>Ok</v>
      </c>
    </row>
    <row r="77" spans="2:36" x14ac:dyDescent="0.2"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>
        <f>SUM(D76:T76)</f>
        <v>31912.5</v>
      </c>
      <c r="U77" s="33">
        <f>T77/220</f>
        <v>145.05681818181819</v>
      </c>
      <c r="W77" s="251" t="s">
        <v>21179</v>
      </c>
      <c r="X77" s="267">
        <v>38.450000000000003</v>
      </c>
      <c r="Y77" s="300" t="s">
        <v>21606</v>
      </c>
      <c r="Z77" s="267" t="s">
        <v>21603</v>
      </c>
      <c r="AA77" s="176" t="s">
        <v>20718</v>
      </c>
      <c r="AB77" s="168">
        <v>3800</v>
      </c>
      <c r="AC77" s="177">
        <v>6</v>
      </c>
      <c r="AD77" s="164">
        <f t="shared" ref="AD77" si="77">ROUND(AB77*AC77/X77,2)</f>
        <v>592.98</v>
      </c>
      <c r="AE77" s="168">
        <v>400</v>
      </c>
      <c r="AF77" s="168">
        <f t="shared" ref="AF77" si="78">AB77*AC77</f>
        <v>22800</v>
      </c>
      <c r="AG77" s="217">
        <f t="shared" ref="AG77" si="79">AE77*X77</f>
        <v>15380.000000000002</v>
      </c>
      <c r="AH77" s="170" t="str">
        <f t="shared" ref="AH77" si="80">IF(AE77&lt;AD77,"Ok","Aumentar")</f>
        <v>Ok</v>
      </c>
    </row>
    <row r="78" spans="2:36" x14ac:dyDescent="0.2"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W78" s="253" t="s">
        <v>21600</v>
      </c>
      <c r="X78" s="307">
        <v>1.56</v>
      </c>
      <c r="Y78" s="301" t="s">
        <v>21605</v>
      </c>
      <c r="Z78" s="307" t="s">
        <v>20731</v>
      </c>
      <c r="AA78" s="275">
        <v>6</v>
      </c>
      <c r="AB78" s="276">
        <v>400</v>
      </c>
      <c r="AC78" s="277">
        <v>1</v>
      </c>
      <c r="AD78" s="278">
        <f>ROUND(AB78*AC78/X78,2)</f>
        <v>256.41000000000003</v>
      </c>
      <c r="AE78" s="276">
        <v>200</v>
      </c>
      <c r="AF78" s="276">
        <f>AB78*AC78</f>
        <v>400</v>
      </c>
      <c r="AG78" s="427">
        <f>AE78*X78</f>
        <v>312</v>
      </c>
      <c r="AH78" s="279" t="str">
        <f>IF(AE78&lt;AD78,"Ok","Aumentar")</f>
        <v>Ok</v>
      </c>
    </row>
    <row r="79" spans="2:36" x14ac:dyDescent="0.2"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W79" s="253" t="s">
        <v>21604</v>
      </c>
      <c r="X79" s="307">
        <v>2.5499999999999998</v>
      </c>
      <c r="Y79" s="301" t="s">
        <v>21605</v>
      </c>
      <c r="Z79" s="307" t="s">
        <v>20737</v>
      </c>
      <c r="AA79" s="264">
        <v>18</v>
      </c>
      <c r="AB79" s="265">
        <v>1700</v>
      </c>
      <c r="AC79" s="266">
        <v>1</v>
      </c>
      <c r="AD79" s="267">
        <f t="shared" ref="AD79" si="81">ROUND(AB79*AC79/X79,2)</f>
        <v>666.67</v>
      </c>
      <c r="AE79" s="265">
        <v>200</v>
      </c>
      <c r="AF79" s="265">
        <f t="shared" ref="AF79" si="82">AB79*AC79</f>
        <v>1700</v>
      </c>
      <c r="AG79" s="417">
        <f t="shared" ref="AG79" si="83">AE79*X79</f>
        <v>509.99999999999994</v>
      </c>
      <c r="AH79" s="268" t="str">
        <f t="shared" ref="AH79" si="84">IF(AE79&lt;AD79,"Ok","Aumentar")</f>
        <v>Ok</v>
      </c>
    </row>
    <row r="80" spans="2:36" x14ac:dyDescent="0.2"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W80" s="253" t="s">
        <v>21367</v>
      </c>
      <c r="X80" s="307">
        <v>6.39</v>
      </c>
      <c r="Y80" s="301" t="s">
        <v>21605</v>
      </c>
      <c r="Z80" s="307" t="s">
        <v>20727</v>
      </c>
      <c r="AA80" s="264">
        <v>18</v>
      </c>
      <c r="AB80" s="265">
        <v>1700</v>
      </c>
      <c r="AC80" s="266">
        <v>2</v>
      </c>
      <c r="AD80" s="267">
        <f>ROUND(AB80*AC80/X80,2)</f>
        <v>532.08000000000004</v>
      </c>
      <c r="AE80" s="265">
        <v>200</v>
      </c>
      <c r="AF80" s="265">
        <f>AB80*AC80</f>
        <v>3400</v>
      </c>
      <c r="AG80" s="417">
        <f>AE80*X80</f>
        <v>1278</v>
      </c>
      <c r="AH80" s="268" t="str">
        <f>IF(AE80&lt;AD80,"Ok","Aumentar")</f>
        <v>Ok</v>
      </c>
    </row>
    <row r="81" spans="2:34" x14ac:dyDescent="0.2"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W81" s="251" t="s">
        <v>21520</v>
      </c>
      <c r="X81" s="267">
        <v>18.760000000000002</v>
      </c>
      <c r="Y81" s="300" t="s">
        <v>21607</v>
      </c>
      <c r="Z81" s="267" t="s">
        <v>21603</v>
      </c>
      <c r="AA81" s="264">
        <v>18</v>
      </c>
      <c r="AB81" s="265">
        <v>1700</v>
      </c>
      <c r="AC81" s="266">
        <v>6</v>
      </c>
      <c r="AD81" s="267">
        <f t="shared" ref="AD81" si="85">ROUND(AB81*AC81/X81,2)</f>
        <v>543.71</v>
      </c>
      <c r="AE81" s="265">
        <v>400</v>
      </c>
      <c r="AF81" s="265">
        <f t="shared" ref="AF81" si="86">AB81*AC81</f>
        <v>10200</v>
      </c>
      <c r="AG81" s="417">
        <f t="shared" ref="AG81" si="87">AE81*X81</f>
        <v>7504.0000000000009</v>
      </c>
      <c r="AH81" s="268" t="str">
        <f t="shared" ref="AH81" si="88">IF(AE81&lt;AD81,"Ok","Aumentar")</f>
        <v>Ok</v>
      </c>
    </row>
    <row r="82" spans="2:34" x14ac:dyDescent="0.2"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W82" s="165" t="s">
        <v>7</v>
      </c>
      <c r="X82" s="167">
        <f>SUM(X40:X81)</f>
        <v>1470.74</v>
      </c>
      <c r="Y82" s="167"/>
      <c r="Z82" s="167"/>
      <c r="AA82" s="167"/>
      <c r="AB82" s="171">
        <f>SUM(AB40:AB81)</f>
        <v>128350</v>
      </c>
      <c r="AC82" s="171">
        <f>SUM(AC40:AC81)</f>
        <v>118</v>
      </c>
      <c r="AD82" s="167">
        <f>SUM(AD43:AD76)</f>
        <v>12596.339999999998</v>
      </c>
      <c r="AE82" s="171">
        <f>SUM(AE40:AE81)</f>
        <v>10310</v>
      </c>
      <c r="AF82" s="171">
        <f>SUM(AF40:AF81)</f>
        <v>499700</v>
      </c>
      <c r="AG82" s="415">
        <f>SUM(AG40:AG81)</f>
        <v>317971.20000000001</v>
      </c>
      <c r="AH82" s="165"/>
    </row>
    <row r="83" spans="2:34" x14ac:dyDescent="0.2"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W83"/>
      <c r="X83"/>
      <c r="Y83"/>
      <c r="Z83"/>
      <c r="AA83"/>
      <c r="AB83"/>
      <c r="AC83"/>
      <c r="AD83"/>
      <c r="AE83"/>
      <c r="AF83"/>
      <c r="AG83"/>
      <c r="AH83"/>
    </row>
    <row r="84" spans="2:34" x14ac:dyDescent="0.2"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W84"/>
      <c r="X84"/>
      <c r="Y84"/>
      <c r="Z84"/>
      <c r="AA84"/>
      <c r="AB84"/>
      <c r="AC84"/>
      <c r="AD84"/>
      <c r="AE84"/>
      <c r="AF84"/>
      <c r="AG84"/>
      <c r="AH84"/>
    </row>
    <row r="85" spans="2:34" x14ac:dyDescent="0.2"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W85"/>
      <c r="X85"/>
      <c r="Y85"/>
      <c r="Z85"/>
      <c r="AA85"/>
      <c r="AB85"/>
      <c r="AC85"/>
      <c r="AD85"/>
      <c r="AE85"/>
      <c r="AF85"/>
      <c r="AG85"/>
      <c r="AH85"/>
    </row>
    <row r="86" spans="2:34" x14ac:dyDescent="0.2"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</row>
    <row r="87" spans="2:34" x14ac:dyDescent="0.2"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</row>
    <row r="88" spans="2:34" x14ac:dyDescent="0.2"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</row>
    <row r="89" spans="2:34" x14ac:dyDescent="0.2"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</row>
    <row r="90" spans="2:34" x14ac:dyDescent="0.2"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W90"/>
      <c r="X90"/>
      <c r="Y90"/>
      <c r="Z90"/>
      <c r="AA90"/>
      <c r="AB90"/>
      <c r="AC90"/>
      <c r="AD90"/>
      <c r="AE90"/>
      <c r="AF90"/>
      <c r="AG90"/>
      <c r="AH90"/>
    </row>
    <row r="91" spans="2:34" x14ac:dyDescent="0.2"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W91"/>
      <c r="X91"/>
      <c r="Y91"/>
      <c r="Z91"/>
      <c r="AA91"/>
      <c r="AB91"/>
      <c r="AC91"/>
      <c r="AD91"/>
      <c r="AE91"/>
      <c r="AF91"/>
      <c r="AG91"/>
      <c r="AH91"/>
    </row>
    <row r="92" spans="2:34" x14ac:dyDescent="0.2">
      <c r="W92"/>
      <c r="X92"/>
      <c r="Y92"/>
      <c r="Z92"/>
      <c r="AA92"/>
      <c r="AB92"/>
      <c r="AC92"/>
      <c r="AD92"/>
      <c r="AE92"/>
      <c r="AF92"/>
      <c r="AG92"/>
      <c r="AH92"/>
    </row>
    <row r="94" spans="2:34" s="228" customFormat="1" x14ac:dyDescent="0.2"/>
    <row r="96" spans="2:34" x14ac:dyDescent="0.2">
      <c r="B96" s="803" t="s">
        <v>20580</v>
      </c>
      <c r="C96" s="804"/>
      <c r="D96" s="804"/>
      <c r="E96" s="804"/>
      <c r="F96" s="804"/>
      <c r="G96" s="804"/>
      <c r="H96" s="805"/>
      <c r="W96" s="802" t="s">
        <v>21621</v>
      </c>
      <c r="X96" s="802"/>
      <c r="Y96" s="802"/>
      <c r="Z96" s="802"/>
      <c r="AA96" s="802"/>
      <c r="AB96" s="802"/>
      <c r="AC96" s="802"/>
    </row>
    <row r="97" spans="2:30" ht="27.75" customHeight="1" x14ac:dyDescent="0.2">
      <c r="B97" s="181" t="s">
        <v>20407</v>
      </c>
      <c r="C97" s="182" t="s">
        <v>20408</v>
      </c>
      <c r="D97" s="182" t="s">
        <v>20409</v>
      </c>
      <c r="E97" s="182" t="s">
        <v>20539</v>
      </c>
      <c r="F97" s="182" t="s">
        <v>20540</v>
      </c>
      <c r="G97" s="182" t="s">
        <v>20410</v>
      </c>
      <c r="H97" s="182" t="s">
        <v>20411</v>
      </c>
      <c r="W97" s="181" t="s">
        <v>20407</v>
      </c>
      <c r="X97" s="182" t="s">
        <v>88</v>
      </c>
      <c r="Y97" s="182" t="s">
        <v>21616</v>
      </c>
      <c r="Z97" s="182" t="s">
        <v>21617</v>
      </c>
      <c r="AA97" s="182" t="s">
        <v>21618</v>
      </c>
      <c r="AB97" s="182" t="s">
        <v>21619</v>
      </c>
      <c r="AC97" s="182" t="s">
        <v>21620</v>
      </c>
      <c r="AD97" s="182" t="s">
        <v>21622</v>
      </c>
    </row>
    <row r="98" spans="2:30" x14ac:dyDescent="0.2">
      <c r="B98" s="163" t="s">
        <v>20541</v>
      </c>
      <c r="C98" s="164"/>
      <c r="D98" s="164"/>
      <c r="E98" s="164"/>
      <c r="F98" s="164"/>
      <c r="G98" s="169">
        <f>3*E98+3*F98</f>
        <v>0</v>
      </c>
      <c r="H98" s="169">
        <f>10*C98</f>
        <v>0</v>
      </c>
      <c r="W98" s="163" t="s">
        <v>20691</v>
      </c>
      <c r="X98" s="164">
        <v>12.81</v>
      </c>
      <c r="Y98" s="164">
        <v>2</v>
      </c>
      <c r="Z98" s="164">
        <v>4</v>
      </c>
      <c r="AA98" s="168">
        <f>ROUND(600*(X98+Y98+Z98),0)</f>
        <v>11286</v>
      </c>
      <c r="AB98" s="168">
        <v>12000</v>
      </c>
      <c r="AC98" s="168">
        <v>1100</v>
      </c>
      <c r="AD98" s="168">
        <f>ROUNDUP(AC98/220,0)</f>
        <v>5</v>
      </c>
    </row>
    <row r="99" spans="2:30" x14ac:dyDescent="0.2">
      <c r="B99" s="163" t="s">
        <v>20542</v>
      </c>
      <c r="C99" s="164"/>
      <c r="D99" s="164"/>
      <c r="E99" s="164"/>
      <c r="F99" s="164"/>
      <c r="G99" s="169">
        <f t="shared" ref="G99:G108" si="89">3*E99+3*F99</f>
        <v>0</v>
      </c>
      <c r="H99" s="169">
        <f>10*C99</f>
        <v>0</v>
      </c>
      <c r="W99" s="163" t="s">
        <v>20692</v>
      </c>
      <c r="X99" s="164">
        <v>10.5</v>
      </c>
      <c r="Y99" s="164">
        <v>2</v>
      </c>
      <c r="Z99" s="164">
        <v>1</v>
      </c>
      <c r="AA99" s="168">
        <f t="shared" ref="AA99:AA104" si="90">ROUND(600*(X99+Y99+Z99),0)</f>
        <v>8100</v>
      </c>
      <c r="AB99" s="168">
        <v>9000</v>
      </c>
      <c r="AC99" s="168">
        <v>900</v>
      </c>
      <c r="AD99" s="168">
        <f t="shared" ref="AD99:AD104" si="91">ROUNDUP(AC99/220,0)</f>
        <v>5</v>
      </c>
    </row>
    <row r="100" spans="2:30" x14ac:dyDescent="0.2">
      <c r="B100" s="163" t="s">
        <v>20543</v>
      </c>
      <c r="C100" s="164"/>
      <c r="D100" s="164"/>
      <c r="E100" s="164"/>
      <c r="F100" s="164"/>
      <c r="G100" s="169">
        <f t="shared" si="89"/>
        <v>0</v>
      </c>
      <c r="H100" s="169">
        <f>10*C100</f>
        <v>0</v>
      </c>
      <c r="W100" s="414" t="s">
        <v>20707</v>
      </c>
      <c r="X100" s="164">
        <v>9.91</v>
      </c>
      <c r="Y100" s="164">
        <v>2</v>
      </c>
      <c r="Z100" s="164">
        <v>2</v>
      </c>
      <c r="AA100" s="168">
        <f t="shared" si="90"/>
        <v>8346</v>
      </c>
      <c r="AB100" s="168">
        <v>9000</v>
      </c>
      <c r="AC100" s="168">
        <v>900</v>
      </c>
      <c r="AD100" s="168">
        <f t="shared" si="91"/>
        <v>5</v>
      </c>
    </row>
    <row r="101" spans="2:30" x14ac:dyDescent="0.2">
      <c r="B101" s="163" t="s">
        <v>20544</v>
      </c>
      <c r="C101" s="164"/>
      <c r="D101" s="164"/>
      <c r="E101" s="164"/>
      <c r="F101" s="164"/>
      <c r="G101" s="169">
        <f t="shared" si="89"/>
        <v>0</v>
      </c>
      <c r="H101" s="169">
        <f>10*C101</f>
        <v>0</v>
      </c>
      <c r="W101" s="414" t="s">
        <v>20709</v>
      </c>
      <c r="X101" s="164">
        <v>9.42</v>
      </c>
      <c r="Y101" s="164">
        <v>1</v>
      </c>
      <c r="Z101" s="164">
        <v>2</v>
      </c>
      <c r="AA101" s="168">
        <f t="shared" si="90"/>
        <v>7452</v>
      </c>
      <c r="AB101" s="168">
        <v>9000</v>
      </c>
      <c r="AC101" s="168">
        <v>900</v>
      </c>
      <c r="AD101" s="168">
        <f t="shared" si="91"/>
        <v>5</v>
      </c>
    </row>
    <row r="102" spans="2:30" x14ac:dyDescent="0.2">
      <c r="B102" s="163" t="s">
        <v>20545</v>
      </c>
      <c r="C102" s="164"/>
      <c r="D102" s="164"/>
      <c r="E102" s="164"/>
      <c r="F102" s="164"/>
      <c r="G102" s="169">
        <f t="shared" si="89"/>
        <v>0</v>
      </c>
      <c r="H102" s="169">
        <f>10*C102</f>
        <v>0</v>
      </c>
      <c r="W102" s="414" t="s">
        <v>20711</v>
      </c>
      <c r="X102" s="164">
        <v>12.58</v>
      </c>
      <c r="Y102" s="164">
        <v>2</v>
      </c>
      <c r="Z102" s="164">
        <v>2</v>
      </c>
      <c r="AA102" s="168">
        <f t="shared" si="90"/>
        <v>9948</v>
      </c>
      <c r="AB102" s="168">
        <v>12000</v>
      </c>
      <c r="AC102" s="168">
        <v>1100</v>
      </c>
      <c r="AD102" s="168">
        <f t="shared" si="91"/>
        <v>5</v>
      </c>
    </row>
    <row r="103" spans="2:30" x14ac:dyDescent="0.2">
      <c r="B103" s="163" t="s">
        <v>20546</v>
      </c>
      <c r="C103" s="164"/>
      <c r="D103" s="164"/>
      <c r="E103" s="164"/>
      <c r="F103" s="164"/>
      <c r="G103" s="169">
        <f t="shared" si="89"/>
        <v>0</v>
      </c>
      <c r="H103" s="169">
        <f>250*C103</f>
        <v>0</v>
      </c>
      <c r="W103" s="414" t="s">
        <v>21179</v>
      </c>
      <c r="X103" s="164">
        <v>38.450000000000003</v>
      </c>
      <c r="Y103" s="164">
        <v>10</v>
      </c>
      <c r="Z103" s="164">
        <v>2</v>
      </c>
      <c r="AA103" s="168">
        <f t="shared" si="90"/>
        <v>30270</v>
      </c>
      <c r="AB103" s="168">
        <v>30000</v>
      </c>
      <c r="AC103" s="168">
        <v>2800</v>
      </c>
      <c r="AD103" s="168">
        <f t="shared" si="91"/>
        <v>13</v>
      </c>
    </row>
    <row r="104" spans="2:30" x14ac:dyDescent="0.2">
      <c r="B104" s="163" t="s">
        <v>20547</v>
      </c>
      <c r="C104" s="164"/>
      <c r="D104" s="164"/>
      <c r="E104" s="164"/>
      <c r="F104" s="164">
        <f>10*C104+10*D104</f>
        <v>0</v>
      </c>
      <c r="G104" s="169">
        <f t="shared" si="89"/>
        <v>0</v>
      </c>
      <c r="H104" s="169">
        <f>10*C104</f>
        <v>0</v>
      </c>
      <c r="W104" s="163" t="s">
        <v>21520</v>
      </c>
      <c r="X104" s="164">
        <v>18.760000000000002</v>
      </c>
      <c r="Y104" s="164">
        <v>2</v>
      </c>
      <c r="Z104" s="164">
        <v>4</v>
      </c>
      <c r="AA104" s="168">
        <f t="shared" si="90"/>
        <v>14856</v>
      </c>
      <c r="AB104" s="168">
        <v>15000</v>
      </c>
      <c r="AC104" s="168">
        <v>1800</v>
      </c>
      <c r="AD104" s="168">
        <f t="shared" si="91"/>
        <v>9</v>
      </c>
    </row>
    <row r="105" spans="2:30" x14ac:dyDescent="0.2">
      <c r="B105" s="163" t="s">
        <v>20548</v>
      </c>
      <c r="C105" s="164"/>
      <c r="D105" s="164"/>
      <c r="E105" s="164"/>
      <c r="F105" s="164"/>
      <c r="G105" s="169">
        <f t="shared" si="89"/>
        <v>0</v>
      </c>
      <c r="H105" s="169">
        <f>10*C105</f>
        <v>0</v>
      </c>
    </row>
    <row r="106" spans="2:30" x14ac:dyDescent="0.2">
      <c r="B106" s="163" t="s">
        <v>20549</v>
      </c>
      <c r="C106" s="164"/>
      <c r="D106" s="164"/>
      <c r="E106" s="164"/>
      <c r="F106" s="164"/>
      <c r="G106" s="169">
        <f t="shared" si="89"/>
        <v>0</v>
      </c>
      <c r="H106" s="169">
        <f>10*C106</f>
        <v>0</v>
      </c>
    </row>
    <row r="107" spans="2:30" x14ac:dyDescent="0.2">
      <c r="B107" s="163" t="s">
        <v>20550</v>
      </c>
      <c r="C107" s="164"/>
      <c r="D107" s="164"/>
      <c r="E107" s="164"/>
      <c r="F107" s="164"/>
      <c r="G107" s="169">
        <f t="shared" si="89"/>
        <v>0</v>
      </c>
      <c r="H107" s="169">
        <f>10*C107</f>
        <v>0</v>
      </c>
    </row>
    <row r="108" spans="2:30" x14ac:dyDescent="0.2">
      <c r="B108" s="163" t="s">
        <v>20551</v>
      </c>
      <c r="C108" s="164"/>
      <c r="D108" s="164"/>
      <c r="E108" s="164"/>
      <c r="F108" s="164"/>
      <c r="G108" s="169">
        <f t="shared" si="89"/>
        <v>0</v>
      </c>
      <c r="H108" s="169">
        <f>10*C108</f>
        <v>0</v>
      </c>
    </row>
    <row r="109" spans="2:30" x14ac:dyDescent="0.2">
      <c r="B109" s="184" t="s">
        <v>7</v>
      </c>
      <c r="C109" s="159">
        <f t="shared" ref="C109:H109" si="92">SUM(C98:C108)</f>
        <v>0</v>
      </c>
      <c r="D109" s="159">
        <f t="shared" si="92"/>
        <v>0</v>
      </c>
      <c r="E109" s="159">
        <f t="shared" si="92"/>
        <v>0</v>
      </c>
      <c r="F109" s="159">
        <f t="shared" si="92"/>
        <v>0</v>
      </c>
      <c r="G109" s="174">
        <f t="shared" si="92"/>
        <v>0</v>
      </c>
      <c r="H109" s="159">
        <f t="shared" si="92"/>
        <v>0</v>
      </c>
    </row>
    <row r="114" spans="2:43" x14ac:dyDescent="0.2">
      <c r="B114" s="180" t="s">
        <v>20554</v>
      </c>
      <c r="C114" s="180" t="s">
        <v>20517</v>
      </c>
      <c r="D114" s="180" t="s">
        <v>20555</v>
      </c>
      <c r="E114" s="180" t="s">
        <v>20556</v>
      </c>
      <c r="F114" s="180" t="s">
        <v>20553</v>
      </c>
    </row>
    <row r="115" spans="2:43" x14ac:dyDescent="0.2">
      <c r="B115" s="178">
        <v>4</v>
      </c>
      <c r="C115" s="180">
        <v>16</v>
      </c>
      <c r="D115" s="180">
        <v>75</v>
      </c>
      <c r="E115" s="33">
        <f>ROUND(PI()*65^2/4,0)</f>
        <v>3318</v>
      </c>
      <c r="F115" s="225" t="e">
        <f>#REF!/E115</f>
        <v>#REF!</v>
      </c>
    </row>
    <row r="116" spans="2:43" x14ac:dyDescent="0.2">
      <c r="B116" s="178">
        <v>4</v>
      </c>
      <c r="C116" s="180">
        <v>9</v>
      </c>
      <c r="D116" s="180">
        <v>25</v>
      </c>
      <c r="E116" s="33">
        <f>ROUND(PI()*20^2/4,0)</f>
        <v>314</v>
      </c>
      <c r="F116" s="225" t="e">
        <f>#REF!/E116</f>
        <v>#REF!</v>
      </c>
    </row>
    <row r="118" spans="2:43" x14ac:dyDescent="0.2">
      <c r="I118" s="33">
        <f>78*1500</f>
        <v>117000</v>
      </c>
    </row>
    <row r="120" spans="2:43" x14ac:dyDescent="0.2">
      <c r="K120" s="802" t="s">
        <v>20590</v>
      </c>
      <c r="L120" s="802"/>
      <c r="M120" s="802"/>
      <c r="N120" s="802"/>
      <c r="O120" s="802"/>
      <c r="P120" s="802"/>
      <c r="Q120" s="802"/>
      <c r="R120" s="802"/>
      <c r="S120" s="402"/>
      <c r="T120" s="402"/>
      <c r="U120" s="402"/>
      <c r="AJ120" s="806" t="s">
        <v>20559</v>
      </c>
      <c r="AK120" s="806"/>
      <c r="AL120" s="806"/>
      <c r="AM120" s="806"/>
      <c r="AN120" s="806"/>
      <c r="AO120" s="806"/>
      <c r="AP120" s="806"/>
      <c r="AQ120" s="806"/>
    </row>
    <row r="121" spans="2:43" ht="38.25" x14ac:dyDescent="0.2">
      <c r="K121" s="182" t="s">
        <v>20539</v>
      </c>
      <c r="L121" s="182" t="s">
        <v>20540</v>
      </c>
      <c r="M121" s="182" t="s">
        <v>89</v>
      </c>
      <c r="N121" s="182"/>
      <c r="O121" s="182"/>
      <c r="P121" s="182" t="s">
        <v>87</v>
      </c>
      <c r="Q121" s="182"/>
      <c r="R121" s="182" t="s">
        <v>20557</v>
      </c>
      <c r="S121" s="403"/>
      <c r="T121" s="403"/>
      <c r="U121" s="403"/>
      <c r="AJ121" s="185" t="s">
        <v>20451</v>
      </c>
      <c r="AK121" s="185" t="s">
        <v>20539</v>
      </c>
      <c r="AL121" s="185" t="s">
        <v>20560</v>
      </c>
      <c r="AM121" s="185" t="s">
        <v>20563</v>
      </c>
      <c r="AN121" s="185" t="s">
        <v>20540</v>
      </c>
      <c r="AO121" s="185" t="s">
        <v>20561</v>
      </c>
      <c r="AP121" s="185" t="s">
        <v>20564</v>
      </c>
      <c r="AQ121" s="185" t="s">
        <v>20562</v>
      </c>
    </row>
    <row r="122" spans="2:43" x14ac:dyDescent="0.2">
      <c r="K122" s="223">
        <f>E109</f>
        <v>0</v>
      </c>
      <c r="L122" s="215">
        <f>F109</f>
        <v>0</v>
      </c>
      <c r="M122" s="215">
        <v>0.2</v>
      </c>
      <c r="N122" s="215"/>
      <c r="O122" s="215"/>
      <c r="P122" s="215">
        <v>0.2</v>
      </c>
      <c r="Q122" s="215"/>
      <c r="R122" s="215">
        <f>ROUND((K122+L122)*M122*P122-(PI()*0.015*0.015*K122+PI()*0.0375*0.0375*L122),2)</f>
        <v>0</v>
      </c>
      <c r="S122" s="401"/>
      <c r="T122" s="401"/>
      <c r="U122" s="401"/>
      <c r="AJ122" s="223">
        <f>R122</f>
        <v>0</v>
      </c>
      <c r="AK122" s="215">
        <f>K122</f>
        <v>0</v>
      </c>
      <c r="AL122" s="224">
        <f>ROUND(PI()*0.015*0.015,5)</f>
        <v>7.1000000000000002E-4</v>
      </c>
      <c r="AM122" s="215">
        <f>ROUND(AK122*AL122,2)</f>
        <v>0</v>
      </c>
      <c r="AN122" s="215">
        <f>L122</f>
        <v>0</v>
      </c>
      <c r="AO122" s="224">
        <f>ROUND(PI()*0.035*0.035,5)</f>
        <v>3.8500000000000001E-3</v>
      </c>
      <c r="AP122" s="215">
        <f>ROUND(AN122*AO122,2)</f>
        <v>0</v>
      </c>
      <c r="AQ122" s="215">
        <f>AJ122-AM122-AP122</f>
        <v>0</v>
      </c>
    </row>
    <row r="124" spans="2:43" x14ac:dyDescent="0.2">
      <c r="K124" s="802" t="s">
        <v>20558</v>
      </c>
      <c r="L124" s="802"/>
      <c r="M124" s="802"/>
      <c r="N124" s="802"/>
      <c r="O124" s="802"/>
      <c r="P124" s="802"/>
      <c r="Q124" s="802"/>
      <c r="R124" s="802"/>
      <c r="S124" s="402"/>
      <c r="T124" s="402"/>
      <c r="U124" s="402"/>
    </row>
    <row r="125" spans="2:43" ht="38.25" x14ac:dyDescent="0.2">
      <c r="K125" s="182" t="s">
        <v>20539</v>
      </c>
      <c r="L125" s="182" t="s">
        <v>20540</v>
      </c>
      <c r="M125" s="182" t="s">
        <v>89</v>
      </c>
      <c r="N125" s="182"/>
      <c r="O125" s="182"/>
      <c r="P125" s="182" t="s">
        <v>87</v>
      </c>
      <c r="Q125" s="182"/>
      <c r="R125" s="182" t="s">
        <v>20557</v>
      </c>
      <c r="S125" s="403"/>
      <c r="T125" s="403"/>
      <c r="U125" s="403"/>
    </row>
    <row r="126" spans="2:43" x14ac:dyDescent="0.2">
      <c r="K126" s="223">
        <f>K122</f>
        <v>0</v>
      </c>
      <c r="L126" s="215">
        <f>L122</f>
        <v>0</v>
      </c>
      <c r="M126" s="215">
        <v>0.2</v>
      </c>
      <c r="N126" s="215"/>
      <c r="O126" s="215"/>
      <c r="P126" s="215">
        <v>0.2</v>
      </c>
      <c r="Q126" s="215"/>
      <c r="R126" s="215">
        <f>ROUND((K126+L126)*M126*P126,2)</f>
        <v>0</v>
      </c>
      <c r="S126" s="401"/>
      <c r="T126" s="401"/>
      <c r="U126" s="401"/>
    </row>
    <row r="130" spans="2:12" x14ac:dyDescent="0.2">
      <c r="L130" s="33">
        <f>ROUND(PI()*0.015*0.015*530,2)</f>
        <v>0.37</v>
      </c>
    </row>
    <row r="131" spans="2:12" x14ac:dyDescent="0.2">
      <c r="L131" s="33">
        <f>ROUND(560*PI()*0.0375*0.0375,2)</f>
        <v>2.4700000000000002</v>
      </c>
    </row>
    <row r="133" spans="2:12" x14ac:dyDescent="0.2">
      <c r="B133" s="802" t="s">
        <v>21621</v>
      </c>
      <c r="C133" s="802"/>
      <c r="D133" s="802"/>
      <c r="E133" s="802"/>
      <c r="F133" s="802"/>
      <c r="G133" s="802"/>
      <c r="H133" s="802"/>
      <c r="L133" s="33">
        <f>40.8-L130-L131</f>
        <v>37.96</v>
      </c>
    </row>
    <row r="134" spans="2:12" ht="25.5" x14ac:dyDescent="0.2">
      <c r="B134" s="181" t="s">
        <v>20407</v>
      </c>
      <c r="C134" s="182" t="s">
        <v>88</v>
      </c>
      <c r="D134" s="182" t="s">
        <v>21616</v>
      </c>
      <c r="E134" s="182" t="s">
        <v>21617</v>
      </c>
      <c r="F134" s="182" t="s">
        <v>21618</v>
      </c>
      <c r="G134" s="182" t="s">
        <v>21619</v>
      </c>
      <c r="H134" s="182" t="s">
        <v>21620</v>
      </c>
    </row>
    <row r="135" spans="2:12" x14ac:dyDescent="0.2">
      <c r="B135" s="163" t="s">
        <v>20691</v>
      </c>
      <c r="C135" s="164">
        <v>12.81</v>
      </c>
      <c r="D135" s="164">
        <v>2</v>
      </c>
      <c r="E135" s="164">
        <v>4</v>
      </c>
      <c r="F135" s="177">
        <f>ROUND(600*(C135+D135+E185),0)</f>
        <v>8886</v>
      </c>
      <c r="G135" s="164"/>
      <c r="H135" s="164"/>
    </row>
    <row r="136" spans="2:12" x14ac:dyDescent="0.2">
      <c r="B136" s="163" t="s">
        <v>20692</v>
      </c>
      <c r="C136" s="164">
        <v>10.5</v>
      </c>
      <c r="D136" s="164"/>
      <c r="E136" s="164"/>
      <c r="F136" s="177">
        <f t="shared" ref="F136:F141" si="93">ROUND(600*(C136+D136+E186),0)</f>
        <v>6300</v>
      </c>
      <c r="G136" s="164"/>
      <c r="H136" s="164"/>
    </row>
    <row r="137" spans="2:12" x14ac:dyDescent="0.2">
      <c r="B137" s="414" t="s">
        <v>20707</v>
      </c>
      <c r="C137" s="164">
        <v>9.91</v>
      </c>
      <c r="D137" s="164"/>
      <c r="E137" s="164"/>
      <c r="F137" s="177">
        <f t="shared" si="93"/>
        <v>5946</v>
      </c>
      <c r="G137" s="164"/>
      <c r="H137" s="164"/>
    </row>
    <row r="138" spans="2:12" x14ac:dyDescent="0.2">
      <c r="B138" s="414" t="s">
        <v>20709</v>
      </c>
      <c r="C138" s="164">
        <v>9.42</v>
      </c>
      <c r="D138" s="164"/>
      <c r="E138" s="164"/>
      <c r="F138" s="177">
        <f t="shared" si="93"/>
        <v>5652</v>
      </c>
      <c r="G138" s="164"/>
      <c r="H138" s="164"/>
    </row>
    <row r="139" spans="2:12" x14ac:dyDescent="0.2">
      <c r="B139" s="414" t="s">
        <v>20711</v>
      </c>
      <c r="C139" s="164">
        <v>12.58</v>
      </c>
      <c r="D139" s="164"/>
      <c r="E139" s="164"/>
      <c r="F139" s="177">
        <f t="shared" si="93"/>
        <v>7548</v>
      </c>
      <c r="G139" s="164"/>
      <c r="H139" s="164"/>
    </row>
    <row r="140" spans="2:12" x14ac:dyDescent="0.2">
      <c r="B140" s="414" t="s">
        <v>21179</v>
      </c>
      <c r="C140" s="164">
        <v>38.450000000000003</v>
      </c>
      <c r="D140" s="164"/>
      <c r="E140" s="164"/>
      <c r="F140" s="177">
        <f t="shared" si="93"/>
        <v>23070</v>
      </c>
      <c r="G140" s="164"/>
      <c r="H140" s="164"/>
    </row>
    <row r="141" spans="2:12" x14ac:dyDescent="0.2">
      <c r="B141" s="163" t="s">
        <v>21520</v>
      </c>
      <c r="C141" s="164">
        <v>18.760000000000002</v>
      </c>
      <c r="D141" s="164"/>
      <c r="E141" s="164"/>
      <c r="F141" s="177">
        <f t="shared" si="93"/>
        <v>11256</v>
      </c>
      <c r="G141" s="164"/>
      <c r="H141" s="164"/>
    </row>
  </sheetData>
  <mergeCells count="10">
    <mergeCell ref="AJ3:AQ3"/>
    <mergeCell ref="W38:AH38"/>
    <mergeCell ref="M3:T3"/>
    <mergeCell ref="B3:K3"/>
    <mergeCell ref="B133:H133"/>
    <mergeCell ref="W96:AC96"/>
    <mergeCell ref="B96:H96"/>
    <mergeCell ref="K120:R120"/>
    <mergeCell ref="AJ120:AQ120"/>
    <mergeCell ref="K124:R124"/>
  </mergeCells>
  <phoneticPr fontId="82" type="noConversion"/>
  <conditionalFormatting sqref="E104">
    <cfRule type="cellIs" dxfId="2" priority="8" operator="lessThan">
      <formula>1</formula>
    </cfRule>
  </conditionalFormatting>
  <conditionalFormatting sqref="F98:F103 F105:F108">
    <cfRule type="cellIs" dxfId="1" priority="14" operator="lessThan">
      <formula>1</formula>
    </cfRule>
  </conditionalFormatting>
  <conditionalFormatting sqref="L40:T70">
    <cfRule type="cellIs" dxfId="0" priority="1" operator="lessThan">
      <formula>1</formula>
    </cfRule>
  </conditionalFormatting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1"/>
  </sheetPr>
  <dimension ref="B2:AH52"/>
  <sheetViews>
    <sheetView workbookViewId="0">
      <selection activeCell="B24" sqref="B24"/>
    </sheetView>
  </sheetViews>
  <sheetFormatPr defaultColWidth="9.140625" defaultRowHeight="12.75" x14ac:dyDescent="0.2"/>
  <cols>
    <col min="1" max="1" width="5.42578125" style="33" customWidth="1"/>
    <col min="2" max="2" width="14.5703125" style="33" bestFit="1" customWidth="1"/>
    <col min="3" max="3" width="13.28515625" style="33" customWidth="1"/>
    <col min="4" max="5" width="9" style="33" bestFit="1" customWidth="1"/>
    <col min="6" max="7" width="9.140625" style="33"/>
    <col min="8" max="8" width="20.28515625" style="33" customWidth="1"/>
    <col min="9" max="9" width="13.42578125" style="33" bestFit="1" customWidth="1"/>
    <col min="10" max="11" width="9.28515625" style="33" customWidth="1"/>
    <col min="12" max="15" width="9.140625" style="33"/>
    <col min="16" max="16" width="10.42578125" style="33" customWidth="1"/>
    <col min="17" max="20" width="9.140625" style="33"/>
    <col min="21" max="21" width="10.5703125" style="33" customWidth="1"/>
    <col min="22" max="29" width="9.140625" style="33"/>
    <col min="30" max="30" width="10.42578125" style="33" customWidth="1"/>
    <col min="31" max="33" width="9.140625" style="33"/>
    <col min="34" max="34" width="10.5703125" style="33" bestFit="1" customWidth="1"/>
    <col min="35" max="16384" width="9.140625" style="33"/>
  </cols>
  <sheetData>
    <row r="2" spans="2:14" x14ac:dyDescent="0.2">
      <c r="B2" s="802" t="s">
        <v>20480</v>
      </c>
      <c r="C2" s="802"/>
      <c r="D2" s="802"/>
      <c r="E2" s="802"/>
      <c r="F2" s="802"/>
      <c r="H2" s="808" t="s">
        <v>20486</v>
      </c>
      <c r="I2" s="809"/>
      <c r="J2" s="809"/>
      <c r="K2" s="809"/>
      <c r="L2" s="809"/>
      <c r="M2" s="809"/>
      <c r="N2" s="810"/>
    </row>
    <row r="3" spans="2:14" ht="25.5" x14ac:dyDescent="0.2">
      <c r="B3" s="220" t="s">
        <v>107</v>
      </c>
      <c r="C3" s="221" t="s">
        <v>98</v>
      </c>
      <c r="D3" s="221" t="s">
        <v>89</v>
      </c>
      <c r="E3" s="221" t="s">
        <v>87</v>
      </c>
      <c r="F3" s="221" t="s">
        <v>20400</v>
      </c>
      <c r="H3" s="220" t="s">
        <v>107</v>
      </c>
      <c r="I3" s="221" t="s">
        <v>98</v>
      </c>
      <c r="J3" s="221" t="s">
        <v>89</v>
      </c>
      <c r="K3" s="221" t="s">
        <v>87</v>
      </c>
      <c r="L3" s="221" t="s">
        <v>20400</v>
      </c>
      <c r="M3" s="221" t="s">
        <v>20481</v>
      </c>
      <c r="N3" s="221" t="s">
        <v>20485</v>
      </c>
    </row>
    <row r="4" spans="2:14" x14ac:dyDescent="0.2">
      <c r="B4" s="170" t="s">
        <v>20483</v>
      </c>
      <c r="C4" s="173">
        <v>4.93</v>
      </c>
      <c r="D4" s="164">
        <v>0.2</v>
      </c>
      <c r="E4" s="164">
        <v>0.05</v>
      </c>
      <c r="F4" s="164">
        <f>ROUND(C4*D4*E4,2)</f>
        <v>0.05</v>
      </c>
      <c r="H4" s="170" t="s">
        <v>20483</v>
      </c>
      <c r="I4" s="173">
        <v>4.93</v>
      </c>
      <c r="J4" s="164">
        <v>0.2</v>
      </c>
      <c r="K4" s="164">
        <v>0.4</v>
      </c>
      <c r="L4" s="164">
        <f>ROUND(I4*J4*K4,2)</f>
        <v>0.39</v>
      </c>
      <c r="M4" s="164">
        <v>85</v>
      </c>
      <c r="N4" s="158">
        <f>ROUND(L4*M4,2)</f>
        <v>33.15</v>
      </c>
    </row>
    <row r="5" spans="2:14" x14ac:dyDescent="0.2">
      <c r="B5" s="170" t="s">
        <v>20484</v>
      </c>
      <c r="C5" s="215">
        <v>1.8</v>
      </c>
      <c r="D5" s="164">
        <v>0.3</v>
      </c>
      <c r="E5" s="164">
        <v>0.05</v>
      </c>
      <c r="F5" s="164">
        <f>ROUND(C5*D5*E5,2)</f>
        <v>0.03</v>
      </c>
      <c r="H5" s="170" t="s">
        <v>20484</v>
      </c>
      <c r="I5" s="215">
        <v>1.8</v>
      </c>
      <c r="J5" s="164">
        <v>0.3</v>
      </c>
      <c r="K5" s="164">
        <v>0.4</v>
      </c>
      <c r="L5" s="164">
        <f>ROUND(I5*J5*K5,2)</f>
        <v>0.22</v>
      </c>
      <c r="M5" s="164">
        <v>85</v>
      </c>
      <c r="N5" s="164">
        <f>ROUND(L5*M5,2)</f>
        <v>18.7</v>
      </c>
    </row>
    <row r="6" spans="2:14" x14ac:dyDescent="0.2">
      <c r="B6" s="170" t="s">
        <v>20494</v>
      </c>
      <c r="C6" s="215">
        <v>8.99</v>
      </c>
      <c r="D6" s="164">
        <v>1.5</v>
      </c>
      <c r="E6" s="164">
        <v>0.05</v>
      </c>
      <c r="F6" s="164">
        <f>ROUND(C6*D6*E6,2)</f>
        <v>0.67</v>
      </c>
      <c r="H6" s="170" t="s">
        <v>20487</v>
      </c>
      <c r="I6" s="173">
        <v>13.72</v>
      </c>
      <c r="J6" s="173">
        <v>0.14000000000000001</v>
      </c>
      <c r="K6" s="215">
        <v>2.2000000000000002</v>
      </c>
      <c r="L6" s="164">
        <f>ROUND(I6*J6*K6,2)</f>
        <v>4.2300000000000004</v>
      </c>
      <c r="M6" s="164">
        <v>60</v>
      </c>
      <c r="N6" s="164">
        <f>ROUND(L6*M6,2)</f>
        <v>253.8</v>
      </c>
    </row>
    <row r="7" spans="2:14" x14ac:dyDescent="0.2">
      <c r="B7" s="802" t="s">
        <v>7</v>
      </c>
      <c r="C7" s="802"/>
      <c r="D7" s="802"/>
      <c r="E7" s="802"/>
      <c r="F7" s="159">
        <f>SUM(F4:F6)</f>
        <v>0.75</v>
      </c>
      <c r="H7" s="170" t="s">
        <v>20488</v>
      </c>
      <c r="I7" s="173" t="s">
        <v>106</v>
      </c>
      <c r="J7" s="173" t="s">
        <v>106</v>
      </c>
      <c r="K7" s="173" t="s">
        <v>106</v>
      </c>
      <c r="L7" s="164">
        <f>ROUND(10.59*0.14,2)</f>
        <v>1.48</v>
      </c>
      <c r="M7" s="164">
        <v>60</v>
      </c>
      <c r="N7" s="164">
        <f>ROUND(L7*M7,2)</f>
        <v>88.8</v>
      </c>
    </row>
    <row r="8" spans="2:14" x14ac:dyDescent="0.2">
      <c r="H8" s="170" t="s">
        <v>20489</v>
      </c>
      <c r="I8" s="215">
        <v>1.8</v>
      </c>
      <c r="J8" s="173" t="s">
        <v>106</v>
      </c>
      <c r="K8" s="173" t="s">
        <v>20490</v>
      </c>
      <c r="L8" s="222">
        <f>ROUND(1.98*I8,2)</f>
        <v>3.56</v>
      </c>
      <c r="M8" s="164">
        <v>85</v>
      </c>
      <c r="N8" s="164">
        <f>ROUND(L8*M8,2)</f>
        <v>302.60000000000002</v>
      </c>
    </row>
    <row r="9" spans="2:14" x14ac:dyDescent="0.2">
      <c r="H9" s="808" t="s">
        <v>7</v>
      </c>
      <c r="I9" s="809"/>
      <c r="J9" s="809"/>
      <c r="K9" s="809"/>
      <c r="L9" s="809"/>
      <c r="M9" s="810"/>
      <c r="N9" s="183">
        <f>SUM(N4:N8)</f>
        <v>697.05</v>
      </c>
    </row>
    <row r="10" spans="2:14" x14ac:dyDescent="0.2">
      <c r="B10" s="802" t="s">
        <v>20495</v>
      </c>
      <c r="C10" s="802"/>
      <c r="D10" s="802"/>
      <c r="E10" s="802"/>
      <c r="F10" s="802"/>
    </row>
    <row r="11" spans="2:14" ht="25.5" x14ac:dyDescent="0.2">
      <c r="B11" s="220" t="s">
        <v>107</v>
      </c>
      <c r="C11" s="221" t="s">
        <v>98</v>
      </c>
      <c r="D11" s="221" t="s">
        <v>89</v>
      </c>
      <c r="E11" s="221" t="s">
        <v>87</v>
      </c>
      <c r="F11" s="221" t="s">
        <v>20400</v>
      </c>
    </row>
    <row r="12" spans="2:14" x14ac:dyDescent="0.2">
      <c r="B12" s="170" t="s">
        <v>20483</v>
      </c>
      <c r="C12" s="173">
        <v>4.93</v>
      </c>
      <c r="D12" s="164">
        <v>0.2</v>
      </c>
      <c r="E12" s="164">
        <v>0.4</v>
      </c>
      <c r="F12" s="164">
        <f>ROUND(2*C12*E12,2)</f>
        <v>3.94</v>
      </c>
    </row>
    <row r="13" spans="2:14" x14ac:dyDescent="0.2">
      <c r="B13" s="170" t="s">
        <v>20484</v>
      </c>
      <c r="C13" s="215">
        <v>1.8</v>
      </c>
      <c r="D13" s="164">
        <v>0.3</v>
      </c>
      <c r="E13" s="164">
        <v>0.4</v>
      </c>
      <c r="F13" s="164">
        <f>ROUND(2*C13*E13,2)</f>
        <v>1.44</v>
      </c>
    </row>
    <row r="14" spans="2:14" x14ac:dyDescent="0.2">
      <c r="B14" s="170" t="s">
        <v>20493</v>
      </c>
      <c r="C14" s="215">
        <v>1.8</v>
      </c>
      <c r="D14" s="164"/>
      <c r="E14" s="164">
        <v>0.17</v>
      </c>
      <c r="F14" s="164">
        <f>C14*E14*25</f>
        <v>7.6500000000000012</v>
      </c>
    </row>
    <row r="15" spans="2:14" x14ac:dyDescent="0.2">
      <c r="B15" s="170" t="s">
        <v>20492</v>
      </c>
      <c r="C15" s="215" t="s">
        <v>106</v>
      </c>
      <c r="D15" s="215" t="s">
        <v>106</v>
      </c>
      <c r="E15" s="215" t="s">
        <v>106</v>
      </c>
      <c r="F15" s="164">
        <f>2*1.98</f>
        <v>3.96</v>
      </c>
    </row>
    <row r="16" spans="2:14" x14ac:dyDescent="0.2">
      <c r="B16" s="802" t="s">
        <v>7</v>
      </c>
      <c r="C16" s="802"/>
      <c r="D16" s="802"/>
      <c r="E16" s="802"/>
      <c r="F16" s="159">
        <f>SUM(F12:F15)</f>
        <v>16.990000000000002</v>
      </c>
    </row>
    <row r="18" spans="2:34" x14ac:dyDescent="0.2">
      <c r="B18" s="802" t="s">
        <v>20491</v>
      </c>
      <c r="C18" s="802"/>
      <c r="D18" s="802"/>
      <c r="E18" s="802"/>
      <c r="F18" s="802"/>
    </row>
    <row r="19" spans="2:34" ht="25.5" x14ac:dyDescent="0.2">
      <c r="B19" s="220" t="s">
        <v>107</v>
      </c>
      <c r="C19" s="221" t="s">
        <v>98</v>
      </c>
      <c r="D19" s="221" t="s">
        <v>89</v>
      </c>
      <c r="E19" s="221" t="s">
        <v>87</v>
      </c>
      <c r="F19" s="221" t="s">
        <v>20400</v>
      </c>
    </row>
    <row r="20" spans="2:34" x14ac:dyDescent="0.2">
      <c r="B20" s="170" t="s">
        <v>20483</v>
      </c>
      <c r="C20" s="173">
        <v>4.93</v>
      </c>
      <c r="D20" s="164">
        <v>0.2</v>
      </c>
      <c r="E20" s="164">
        <v>0.4</v>
      </c>
      <c r="F20" s="164">
        <f>ROUND(C20*D20*E20,2)</f>
        <v>0.39</v>
      </c>
    </row>
    <row r="21" spans="2:34" x14ac:dyDescent="0.2">
      <c r="B21" s="170" t="s">
        <v>20484</v>
      </c>
      <c r="C21" s="215">
        <v>1.8</v>
      </c>
      <c r="D21" s="164">
        <v>0.3</v>
      </c>
      <c r="E21" s="164">
        <v>0.4</v>
      </c>
      <c r="F21" s="164">
        <f>ROUND(C21*D21*E21,2)</f>
        <v>0.22</v>
      </c>
    </row>
    <row r="22" spans="2:34" x14ac:dyDescent="0.2">
      <c r="B22" s="170" t="s">
        <v>20489</v>
      </c>
      <c r="C22" s="173" t="s">
        <v>106</v>
      </c>
      <c r="D22" s="173" t="s">
        <v>106</v>
      </c>
      <c r="E22" s="173" t="s">
        <v>106</v>
      </c>
      <c r="F22" s="158">
        <f>ROUND(1.8*1.98,2)</f>
        <v>3.56</v>
      </c>
    </row>
    <row r="23" spans="2:34" x14ac:dyDescent="0.2">
      <c r="B23" s="802" t="s">
        <v>7</v>
      </c>
      <c r="C23" s="802"/>
      <c r="D23" s="802"/>
      <c r="E23" s="802"/>
      <c r="F23" s="159">
        <f>SUM(F20:F22)</f>
        <v>4.17</v>
      </c>
    </row>
    <row r="30" spans="2:34" x14ac:dyDescent="0.2">
      <c r="R30" s="170" t="s">
        <v>21870</v>
      </c>
      <c r="S30" s="170" t="s">
        <v>21871</v>
      </c>
      <c r="T30" s="170" t="s">
        <v>21872</v>
      </c>
      <c r="U30" s="170" t="s">
        <v>21873</v>
      </c>
      <c r="V30" s="170" t="s">
        <v>21874</v>
      </c>
      <c r="W30" s="170" t="s">
        <v>21875</v>
      </c>
      <c r="X30" s="170" t="s">
        <v>21876</v>
      </c>
      <c r="Y30" s="170" t="s">
        <v>21877</v>
      </c>
      <c r="Z30" s="170" t="s">
        <v>21878</v>
      </c>
      <c r="AA30" s="170" t="s">
        <v>21879</v>
      </c>
      <c r="AB30" s="170" t="s">
        <v>21880</v>
      </c>
      <c r="AC30" s="170" t="s">
        <v>21881</v>
      </c>
      <c r="AD30" s="158" t="s">
        <v>21865</v>
      </c>
    </row>
    <row r="31" spans="2:34" ht="15" x14ac:dyDescent="0.25">
      <c r="P31" s="33" t="s">
        <v>21868</v>
      </c>
      <c r="Q31" s="536">
        <v>2026</v>
      </c>
      <c r="R31" s="170"/>
      <c r="S31" s="170"/>
      <c r="T31" s="170"/>
      <c r="U31" s="170"/>
      <c r="V31" s="170"/>
      <c r="W31" s="170"/>
      <c r="X31" s="170"/>
      <c r="Y31" s="170"/>
      <c r="Z31" s="170"/>
      <c r="AA31" s="170"/>
      <c r="AB31" s="170"/>
      <c r="AC31" s="170"/>
      <c r="AD31" s="170"/>
      <c r="AE31" s="170"/>
      <c r="AF31" s="170"/>
      <c r="AG31" s="170"/>
      <c r="AH31" s="535">
        <f t="shared" ref="AH31:AH36" si="0">ROUND($AH$39*AF32,2)</f>
        <v>449.44</v>
      </c>
    </row>
    <row r="32" spans="2:34" ht="15" x14ac:dyDescent="0.2">
      <c r="P32" s="33" t="s">
        <v>21868</v>
      </c>
      <c r="Q32" s="537">
        <v>2025</v>
      </c>
      <c r="R32" s="472">
        <v>1.6000000000000001E-3</v>
      </c>
      <c r="S32" s="473">
        <v>1.3100000000000001E-2</v>
      </c>
      <c r="T32" s="474">
        <v>5.5999999999999999E-3</v>
      </c>
      <c r="U32" s="475">
        <v>4.3E-3</v>
      </c>
      <c r="V32" s="476">
        <v>2.5999999999999999E-3</v>
      </c>
      <c r="W32" s="477">
        <v>2.3999999999999998E-3</v>
      </c>
      <c r="X32" s="476">
        <v>2.5999999999999999E-3</v>
      </c>
      <c r="Y32" s="478">
        <v>-1.1000000000000001E-3</v>
      </c>
      <c r="Z32" s="479">
        <v>4.7999999999999996E-3</v>
      </c>
      <c r="AA32" s="480">
        <v>8.9999999999999998E-4</v>
      </c>
      <c r="AB32" s="481" t="s">
        <v>21864</v>
      </c>
      <c r="AC32" s="481" t="s">
        <v>21864</v>
      </c>
      <c r="AD32" s="533">
        <v>3.73E-2</v>
      </c>
      <c r="AE32" s="170">
        <v>1.0373000000000001</v>
      </c>
      <c r="AF32" s="170">
        <f t="shared" ref="AF32:AF36" si="1">AE32*AF33</f>
        <v>1.4981358696254241</v>
      </c>
      <c r="AG32" s="482">
        <f>ROUND(AF32-1,4)</f>
        <v>0.49809999999999999</v>
      </c>
      <c r="AH32" s="535">
        <f t="shared" si="0"/>
        <v>433.28</v>
      </c>
    </row>
    <row r="33" spans="16:34" ht="15" x14ac:dyDescent="0.2">
      <c r="P33" s="33" t="s">
        <v>21867</v>
      </c>
      <c r="Q33" s="537">
        <v>2024</v>
      </c>
      <c r="R33" s="483">
        <v>4.1999999999999997E-3</v>
      </c>
      <c r="S33" s="484">
        <v>8.3000000000000001E-3</v>
      </c>
      <c r="T33" s="472">
        <v>1.6000000000000001E-3</v>
      </c>
      <c r="U33" s="485">
        <v>3.8E-3</v>
      </c>
      <c r="V33" s="486">
        <v>4.5999999999999999E-3</v>
      </c>
      <c r="W33" s="487">
        <v>2.0999999999999999E-3</v>
      </c>
      <c r="X33" s="485">
        <v>3.8E-3</v>
      </c>
      <c r="Y33" s="488">
        <v>-2.0000000000000001E-4</v>
      </c>
      <c r="Z33" s="475">
        <v>4.4000000000000003E-3</v>
      </c>
      <c r="AA33" s="474">
        <v>5.5999999999999999E-3</v>
      </c>
      <c r="AB33" s="489">
        <v>3.8999999999999998E-3</v>
      </c>
      <c r="AC33" s="490">
        <v>5.1999999999999998E-3</v>
      </c>
      <c r="AD33" s="533">
        <v>4.8300000000000003E-2</v>
      </c>
      <c r="AE33" s="170">
        <v>1.0483</v>
      </c>
      <c r="AF33" s="170">
        <f t="shared" si="1"/>
        <v>1.4442647928520427</v>
      </c>
      <c r="AG33" s="170"/>
      <c r="AH33" s="535">
        <f t="shared" si="0"/>
        <v>413.32</v>
      </c>
    </row>
    <row r="34" spans="16:34" ht="15" x14ac:dyDescent="0.2">
      <c r="P34" s="33" t="s">
        <v>21867</v>
      </c>
      <c r="Q34" s="537">
        <v>2023</v>
      </c>
      <c r="R34" s="490">
        <v>5.3E-3</v>
      </c>
      <c r="S34" s="484">
        <v>8.3999999999999995E-3</v>
      </c>
      <c r="T34" s="491">
        <v>7.1000000000000004E-3</v>
      </c>
      <c r="U34" s="492">
        <v>6.1000000000000004E-3</v>
      </c>
      <c r="V34" s="487">
        <v>2.3E-3</v>
      </c>
      <c r="W34" s="493">
        <v>-8.0000000000000004E-4</v>
      </c>
      <c r="X34" s="494">
        <v>1.1999999999999999E-3</v>
      </c>
      <c r="Y34" s="487">
        <v>2.3E-3</v>
      </c>
      <c r="Z34" s="476">
        <v>2.5999999999999999E-3</v>
      </c>
      <c r="AA34" s="477">
        <v>2.3999999999999998E-3</v>
      </c>
      <c r="AB34" s="495">
        <v>2.8E-3</v>
      </c>
      <c r="AC34" s="474">
        <v>5.5999999999999999E-3</v>
      </c>
      <c r="AD34" s="533">
        <v>4.6199999999999998E-2</v>
      </c>
      <c r="AE34" s="170">
        <v>1.0462</v>
      </c>
      <c r="AF34" s="170">
        <f t="shared" si="1"/>
        <v>1.3777208746084544</v>
      </c>
      <c r="AG34" s="170"/>
      <c r="AH34" s="535">
        <f t="shared" si="0"/>
        <v>395.06</v>
      </c>
    </row>
    <row r="35" spans="16:34" ht="15" x14ac:dyDescent="0.2">
      <c r="P35" s="33" t="s">
        <v>21867</v>
      </c>
      <c r="Q35" s="537">
        <v>2022</v>
      </c>
      <c r="R35" s="496">
        <v>5.4000000000000003E-3</v>
      </c>
      <c r="S35" s="497">
        <v>1.01E-2</v>
      </c>
      <c r="T35" s="498">
        <v>1.6199999999999999E-2</v>
      </c>
      <c r="U35" s="499">
        <v>1.06E-2</v>
      </c>
      <c r="V35" s="486">
        <v>4.7000000000000002E-3</v>
      </c>
      <c r="W35" s="500">
        <v>6.7000000000000002E-3</v>
      </c>
      <c r="X35" s="501">
        <v>-6.7999999999999996E-3</v>
      </c>
      <c r="Y35" s="502">
        <v>-3.5999999999999999E-3</v>
      </c>
      <c r="Z35" s="503">
        <v>-2.8999999999999998E-3</v>
      </c>
      <c r="AA35" s="504">
        <v>5.8999999999999999E-3</v>
      </c>
      <c r="AB35" s="483">
        <v>4.1000000000000003E-3</v>
      </c>
      <c r="AC35" s="492">
        <v>6.1999999999999998E-3</v>
      </c>
      <c r="AD35" s="533">
        <v>5.7799999999999997E-2</v>
      </c>
      <c r="AE35" s="170">
        <v>1.0578000000000001</v>
      </c>
      <c r="AF35" s="170">
        <f t="shared" si="1"/>
        <v>1.316880973626892</v>
      </c>
      <c r="AG35" s="170"/>
      <c r="AH35" s="535">
        <f t="shared" si="0"/>
        <v>373.48</v>
      </c>
    </row>
    <row r="36" spans="16:34" ht="15" x14ac:dyDescent="0.2">
      <c r="P36" s="33" t="s">
        <v>21867</v>
      </c>
      <c r="Q36" s="537">
        <v>2021</v>
      </c>
      <c r="R36" s="477">
        <v>2.5000000000000001E-3</v>
      </c>
      <c r="S36" s="505">
        <v>8.6E-3</v>
      </c>
      <c r="T36" s="506">
        <v>9.2999999999999992E-3</v>
      </c>
      <c r="U36" s="507">
        <v>3.0999999999999999E-3</v>
      </c>
      <c r="V36" s="484">
        <v>8.3000000000000001E-3</v>
      </c>
      <c r="W36" s="490">
        <v>5.3E-3</v>
      </c>
      <c r="X36" s="508">
        <v>9.5999999999999992E-3</v>
      </c>
      <c r="Y36" s="509">
        <v>8.6999999999999994E-3</v>
      </c>
      <c r="Z36" s="510">
        <v>1.1599999999999999E-2</v>
      </c>
      <c r="AA36" s="511">
        <v>1.2500000000000001E-2</v>
      </c>
      <c r="AB36" s="512">
        <v>9.4999999999999998E-3</v>
      </c>
      <c r="AC36" s="513">
        <v>7.3000000000000001E-3</v>
      </c>
      <c r="AD36" s="533">
        <v>0.10059999999999999</v>
      </c>
      <c r="AE36" s="170">
        <v>1.1006</v>
      </c>
      <c r="AF36" s="170">
        <f t="shared" si="1"/>
        <v>1.2449243464047002</v>
      </c>
      <c r="AG36" s="170"/>
      <c r="AH36" s="535">
        <f t="shared" si="0"/>
        <v>339.34</v>
      </c>
    </row>
    <row r="37" spans="16:34" ht="15" x14ac:dyDescent="0.2">
      <c r="P37" s="33" t="s">
        <v>21866</v>
      </c>
      <c r="Q37" s="537">
        <v>2020</v>
      </c>
      <c r="R37" s="487">
        <v>2.0999999999999999E-3</v>
      </c>
      <c r="S37" s="477">
        <v>2.5000000000000001E-3</v>
      </c>
      <c r="T37" s="514">
        <v>6.9999999999999999E-4</v>
      </c>
      <c r="U37" s="515">
        <v>-3.0999999999999999E-3</v>
      </c>
      <c r="V37" s="516">
        <v>-3.8E-3</v>
      </c>
      <c r="W37" s="476">
        <v>2.5999999999999999E-3</v>
      </c>
      <c r="X37" s="517">
        <v>3.5999999999999999E-3</v>
      </c>
      <c r="Y37" s="477">
        <v>2.3999999999999998E-3</v>
      </c>
      <c r="Z37" s="518">
        <v>6.4000000000000003E-3</v>
      </c>
      <c r="AA37" s="505">
        <v>8.6E-3</v>
      </c>
      <c r="AB37" s="519">
        <v>8.8999999999999999E-3</v>
      </c>
      <c r="AC37" s="520">
        <v>1.35E-2</v>
      </c>
      <c r="AD37" s="533">
        <v>4.5199999999999997E-2</v>
      </c>
      <c r="AE37" s="170">
        <v>1.0451999999999999</v>
      </c>
      <c r="AF37" s="170">
        <f>AE37*AF38</f>
        <v>1.1311324245000001</v>
      </c>
      <c r="AG37" s="170"/>
      <c r="AH37" s="535">
        <f>ROUND($AH$39*AF38,2)</f>
        <v>324.66000000000003</v>
      </c>
    </row>
    <row r="38" spans="16:34" ht="15" x14ac:dyDescent="0.2">
      <c r="P38" s="33" t="s">
        <v>21866</v>
      </c>
      <c r="Q38" s="537">
        <v>2019</v>
      </c>
      <c r="R38" s="521">
        <v>3.2000000000000002E-3</v>
      </c>
      <c r="S38" s="475">
        <v>4.3E-3</v>
      </c>
      <c r="T38" s="522">
        <v>7.4999999999999997E-3</v>
      </c>
      <c r="U38" s="474">
        <v>5.7000000000000002E-3</v>
      </c>
      <c r="V38" s="523">
        <v>1.2999999999999999E-3</v>
      </c>
      <c r="W38" s="488">
        <v>1E-4</v>
      </c>
      <c r="X38" s="524">
        <v>1.9E-3</v>
      </c>
      <c r="Y38" s="494">
        <v>1.1000000000000001E-3</v>
      </c>
      <c r="Z38" s="525">
        <v>-4.0000000000000002E-4</v>
      </c>
      <c r="AA38" s="526">
        <v>1E-3</v>
      </c>
      <c r="AB38" s="527">
        <v>5.1000000000000004E-3</v>
      </c>
      <c r="AC38" s="528">
        <v>1.15E-2</v>
      </c>
      <c r="AD38" s="533">
        <v>4.3099999999999999E-2</v>
      </c>
      <c r="AE38" s="170">
        <v>1.0430999999999999</v>
      </c>
      <c r="AF38" s="170">
        <f>AE39*AE38</f>
        <v>1.0822162500000001</v>
      </c>
      <c r="AG38" s="170"/>
      <c r="AH38" s="535">
        <f>ROUND($AH$39*AE39,2)</f>
        <v>311.25</v>
      </c>
    </row>
    <row r="39" spans="16:34" ht="15" x14ac:dyDescent="0.2">
      <c r="P39" s="33" t="s">
        <v>21866</v>
      </c>
      <c r="Q39" s="538">
        <v>2018</v>
      </c>
      <c r="R39" s="495">
        <v>2.8999999999999998E-3</v>
      </c>
      <c r="S39" s="521">
        <v>3.2000000000000002E-3</v>
      </c>
      <c r="T39" s="480">
        <v>8.9999999999999998E-4</v>
      </c>
      <c r="U39" s="487">
        <v>2.2000000000000001E-3</v>
      </c>
      <c r="V39" s="489">
        <v>4.0000000000000001E-3</v>
      </c>
      <c r="W39" s="511">
        <v>1.26E-2</v>
      </c>
      <c r="X39" s="529">
        <v>3.3E-3</v>
      </c>
      <c r="Y39" s="530">
        <v>-8.9999999999999998E-4</v>
      </c>
      <c r="Z39" s="479">
        <v>4.7999999999999996E-3</v>
      </c>
      <c r="AA39" s="531">
        <v>4.4999999999999997E-3</v>
      </c>
      <c r="AB39" s="532">
        <v>-2.0999999999999999E-3</v>
      </c>
      <c r="AC39" s="472">
        <v>1.5E-3</v>
      </c>
      <c r="AD39" s="534">
        <v>3.7499999999999999E-2</v>
      </c>
      <c r="AE39" s="170">
        <v>1.0375000000000001</v>
      </c>
      <c r="AF39" s="170"/>
      <c r="AG39" s="170"/>
      <c r="AH39" s="535">
        <v>300</v>
      </c>
    </row>
    <row r="40" spans="16:34" ht="15" thickBot="1" x14ac:dyDescent="0.25">
      <c r="Q40" s="459"/>
      <c r="R40" s="465"/>
      <c r="S40" s="470"/>
      <c r="T40" s="462"/>
      <c r="U40" s="468"/>
      <c r="V40" s="467"/>
      <c r="W40" s="471"/>
      <c r="X40" s="462"/>
      <c r="Y40" s="469"/>
      <c r="Z40" s="460"/>
      <c r="AA40" s="464"/>
      <c r="AB40" s="466"/>
      <c r="AC40" s="461"/>
      <c r="AD40" s="463"/>
    </row>
    <row r="42" spans="16:34" x14ac:dyDescent="0.2">
      <c r="Q42" s="807" t="s">
        <v>21882</v>
      </c>
      <c r="R42" s="807"/>
      <c r="S42" s="807"/>
      <c r="T42" s="807"/>
      <c r="U42" s="807"/>
    </row>
    <row r="43" spans="16:34" x14ac:dyDescent="0.2">
      <c r="R43" s="33" t="s">
        <v>21869</v>
      </c>
    </row>
    <row r="44" spans="16:34" ht="15" x14ac:dyDescent="0.25">
      <c r="P44" s="33" t="s">
        <v>21868</v>
      </c>
      <c r="Q44" s="536">
        <v>2026</v>
      </c>
      <c r="R44" s="540">
        <v>7.0000000000000007E-2</v>
      </c>
      <c r="S44" s="541">
        <v>1.07</v>
      </c>
      <c r="T44" s="539">
        <f t="shared" ref="T44:T49" si="2">ROUND(T45*S44,4)</f>
        <v>1.7749999999999999</v>
      </c>
      <c r="U44" s="535">
        <f t="shared" ref="U44:U50" si="3">ROUND($U$52*T44,2)</f>
        <v>532.5</v>
      </c>
    </row>
    <row r="45" spans="16:34" ht="15" x14ac:dyDescent="0.2">
      <c r="P45" s="33" t="s">
        <v>21868</v>
      </c>
      <c r="Q45" s="537">
        <v>2025</v>
      </c>
      <c r="R45" s="472">
        <v>7.2499999999999995E-2</v>
      </c>
      <c r="S45" s="539">
        <f t="shared" ref="S45:S50" si="4">1+R45</f>
        <v>1.0725</v>
      </c>
      <c r="T45" s="539">
        <f t="shared" si="2"/>
        <v>1.6589</v>
      </c>
      <c r="U45" s="535">
        <f t="shared" si="3"/>
        <v>497.67</v>
      </c>
    </row>
    <row r="46" spans="16:34" ht="15" x14ac:dyDescent="0.2">
      <c r="P46" s="33" t="s">
        <v>21867</v>
      </c>
      <c r="Q46" s="537">
        <v>2024</v>
      </c>
      <c r="R46" s="472">
        <v>1.8200000000000001E-2</v>
      </c>
      <c r="S46" s="539">
        <f t="shared" si="4"/>
        <v>1.0182</v>
      </c>
      <c r="T46" s="539">
        <f t="shared" si="2"/>
        <v>1.5468</v>
      </c>
      <c r="U46" s="535">
        <f t="shared" si="3"/>
        <v>464.04</v>
      </c>
    </row>
    <row r="47" spans="16:34" ht="15" x14ac:dyDescent="0.2">
      <c r="P47" s="33" t="s">
        <v>21867</v>
      </c>
      <c r="Q47" s="537">
        <v>2023</v>
      </c>
      <c r="R47" s="472">
        <v>0.1106</v>
      </c>
      <c r="S47" s="539">
        <f t="shared" si="4"/>
        <v>1.1106</v>
      </c>
      <c r="T47" s="539">
        <f t="shared" si="2"/>
        <v>1.5192000000000001</v>
      </c>
      <c r="U47" s="535">
        <f t="shared" si="3"/>
        <v>455.76</v>
      </c>
    </row>
    <row r="48" spans="16:34" ht="15" x14ac:dyDescent="0.2">
      <c r="P48" s="33" t="s">
        <v>21867</v>
      </c>
      <c r="Q48" s="537">
        <v>2022</v>
      </c>
      <c r="R48" s="472">
        <v>8.0299999999999996E-2</v>
      </c>
      <c r="S48" s="539">
        <f t="shared" si="4"/>
        <v>1.0803</v>
      </c>
      <c r="T48" s="539">
        <f t="shared" si="2"/>
        <v>1.3678999999999999</v>
      </c>
      <c r="U48" s="535">
        <f t="shared" si="3"/>
        <v>410.37</v>
      </c>
    </row>
    <row r="49" spans="16:21" ht="15" x14ac:dyDescent="0.2">
      <c r="P49" s="33" t="s">
        <v>21867</v>
      </c>
      <c r="Q49" s="537">
        <v>2021</v>
      </c>
      <c r="R49" s="472">
        <v>0.14810000000000001</v>
      </c>
      <c r="S49" s="539">
        <f t="shared" si="4"/>
        <v>1.1480999999999999</v>
      </c>
      <c r="T49" s="539">
        <f t="shared" si="2"/>
        <v>1.2662</v>
      </c>
      <c r="U49" s="535">
        <f t="shared" si="3"/>
        <v>379.86</v>
      </c>
    </row>
    <row r="50" spans="16:21" ht="15" x14ac:dyDescent="0.2">
      <c r="P50" s="33" t="s">
        <v>21866</v>
      </c>
      <c r="Q50" s="537">
        <v>2020</v>
      </c>
      <c r="R50" s="472">
        <v>5.8299999999999998E-2</v>
      </c>
      <c r="S50" s="539">
        <f t="shared" si="4"/>
        <v>1.0583</v>
      </c>
      <c r="T50" s="539">
        <f>ROUND(T51*S50,4)</f>
        <v>1.1029</v>
      </c>
      <c r="U50" s="535">
        <f t="shared" si="3"/>
        <v>330.87</v>
      </c>
    </row>
    <row r="51" spans="16:21" ht="15" x14ac:dyDescent="0.2">
      <c r="P51" s="33" t="s">
        <v>21866</v>
      </c>
      <c r="Q51" s="537">
        <v>2019</v>
      </c>
      <c r="R51" s="472">
        <v>4.2099999999999999E-2</v>
      </c>
      <c r="S51" s="539">
        <f>1+R51</f>
        <v>1.0421</v>
      </c>
      <c r="T51" s="539">
        <f>S51</f>
        <v>1.0421</v>
      </c>
      <c r="U51" s="535">
        <f>ROUND($U$52*T51,2)</f>
        <v>312.63</v>
      </c>
    </row>
    <row r="52" spans="16:21" x14ac:dyDescent="0.2">
      <c r="U52" s="535">
        <v>300</v>
      </c>
    </row>
  </sheetData>
  <mergeCells count="9">
    <mergeCell ref="Q42:U42"/>
    <mergeCell ref="B16:E16"/>
    <mergeCell ref="B18:F18"/>
    <mergeCell ref="B23:E23"/>
    <mergeCell ref="H2:N2"/>
    <mergeCell ref="H9:M9"/>
    <mergeCell ref="B2:F2"/>
    <mergeCell ref="B7:E7"/>
    <mergeCell ref="B10:F10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1" tint="0.14999847407452621"/>
  </sheetPr>
  <dimension ref="B2:AD66"/>
  <sheetViews>
    <sheetView topLeftCell="E37" workbookViewId="0">
      <selection activeCell="L57" sqref="L57"/>
    </sheetView>
  </sheetViews>
  <sheetFormatPr defaultColWidth="9.140625" defaultRowHeight="15" x14ac:dyDescent="0.25"/>
  <cols>
    <col min="1" max="1" width="3.140625" style="316" customWidth="1"/>
    <col min="2" max="2" width="21.42578125" style="316" customWidth="1"/>
    <col min="3" max="3" width="10" style="316" bestFit="1" customWidth="1"/>
    <col min="4" max="4" width="7.85546875" style="316" customWidth="1"/>
    <col min="5" max="5" width="7.42578125" style="316" customWidth="1"/>
    <col min="6" max="6" width="3.5703125" style="316" customWidth="1"/>
    <col min="7" max="7" width="21" style="316" bestFit="1" customWidth="1"/>
    <col min="8" max="8" width="9.5703125" style="316" bestFit="1" customWidth="1"/>
    <col min="9" max="9" width="8.7109375" style="316" bestFit="1" customWidth="1"/>
    <col min="10" max="10" width="8.7109375" style="316" customWidth="1"/>
    <col min="11" max="11" width="11.5703125" style="316" customWidth="1"/>
    <col min="12" max="12" width="9.28515625" style="316" bestFit="1" customWidth="1"/>
    <col min="13" max="14" width="12" style="316" bestFit="1" customWidth="1"/>
    <col min="15" max="15" width="10.28515625" style="316" bestFit="1" customWidth="1"/>
    <col min="16" max="16" width="8.140625" style="316" hidden="1" customWidth="1"/>
    <col min="17" max="17" width="3.7109375" style="316" customWidth="1"/>
    <col min="18" max="18" width="21" style="316" bestFit="1" customWidth="1"/>
    <col min="19" max="19" width="12.5703125" style="316" customWidth="1"/>
    <col min="20" max="20" width="11.85546875" style="316" customWidth="1"/>
    <col min="21" max="21" width="13.42578125" style="316" customWidth="1"/>
    <col min="22" max="22" width="9.140625" style="316"/>
    <col min="23" max="23" width="9.28515625" style="316" customWidth="1"/>
    <col min="24" max="25" width="9.140625" style="316"/>
    <col min="26" max="26" width="21.85546875" style="316" bestFit="1" customWidth="1"/>
    <col min="27" max="29" width="13.5703125" style="316" customWidth="1"/>
    <col min="30" max="16384" width="9.140625" style="316"/>
  </cols>
  <sheetData>
    <row r="2" spans="2:12" x14ac:dyDescent="0.25">
      <c r="B2" s="771" t="s">
        <v>21354</v>
      </c>
      <c r="C2" s="771"/>
      <c r="D2" s="771"/>
      <c r="E2" s="771"/>
      <c r="H2" s="771" t="s">
        <v>21490</v>
      </c>
      <c r="I2" s="771"/>
      <c r="J2" s="771"/>
      <c r="K2" s="771"/>
      <c r="L2" s="771"/>
    </row>
    <row r="3" spans="2:12" ht="30" x14ac:dyDescent="0.25">
      <c r="B3" s="542" t="s">
        <v>20407</v>
      </c>
      <c r="C3" s="542" t="s">
        <v>20359</v>
      </c>
      <c r="D3" s="542" t="s">
        <v>87</v>
      </c>
      <c r="E3" s="542" t="s">
        <v>88</v>
      </c>
      <c r="H3" s="319" t="s">
        <v>20914</v>
      </c>
      <c r="I3" s="319" t="s">
        <v>21489</v>
      </c>
      <c r="J3" s="319" t="s">
        <v>21484</v>
      </c>
      <c r="K3" s="542" t="s">
        <v>89</v>
      </c>
      <c r="L3" s="542" t="s">
        <v>21357</v>
      </c>
    </row>
    <row r="4" spans="2:12" x14ac:dyDescent="0.25">
      <c r="B4" s="369" t="s">
        <v>20712</v>
      </c>
      <c r="C4" s="321">
        <f>2*(1.25+0.38)+1.25</f>
        <v>4.51</v>
      </c>
      <c r="D4" s="324">
        <v>2</v>
      </c>
      <c r="E4" s="324">
        <f>ROUND(C4*D4,2)</f>
        <v>9.02</v>
      </c>
      <c r="H4" s="369" t="s">
        <v>20705</v>
      </c>
      <c r="I4" s="324">
        <v>5</v>
      </c>
      <c r="J4" s="324">
        <v>3.25</v>
      </c>
      <c r="K4" s="324">
        <v>0.4</v>
      </c>
      <c r="L4" s="324">
        <f>ROUND(I4*J4*K4,2)</f>
        <v>6.5</v>
      </c>
    </row>
    <row r="5" spans="2:12" x14ac:dyDescent="0.25">
      <c r="B5" s="369" t="s">
        <v>20695</v>
      </c>
      <c r="C5" s="324">
        <v>1</v>
      </c>
      <c r="D5" s="324">
        <v>2.2000000000000002</v>
      </c>
      <c r="E5" s="324">
        <f>ROUND(C5*D5,2)</f>
        <v>2.2000000000000002</v>
      </c>
    </row>
    <row r="6" spans="2:12" x14ac:dyDescent="0.25">
      <c r="B6" s="778" t="s">
        <v>7</v>
      </c>
      <c r="C6" s="778"/>
      <c r="D6" s="778"/>
      <c r="E6" s="315">
        <f>SUM(E4:E5)</f>
        <v>11.219999999999999</v>
      </c>
    </row>
    <row r="8" spans="2:12" x14ac:dyDescent="0.25">
      <c r="B8" s="771" t="s">
        <v>21355</v>
      </c>
      <c r="C8" s="771"/>
      <c r="D8" s="771"/>
      <c r="E8" s="771"/>
    </row>
    <row r="9" spans="2:12" ht="30" x14ac:dyDescent="0.25">
      <c r="B9" s="319" t="s">
        <v>107</v>
      </c>
      <c r="C9" s="319" t="s">
        <v>21484</v>
      </c>
      <c r="D9" s="542" t="s">
        <v>87</v>
      </c>
      <c r="E9" s="542" t="s">
        <v>88</v>
      </c>
    </row>
    <row r="10" spans="2:12" x14ac:dyDescent="0.25">
      <c r="B10" s="369" t="s">
        <v>21365</v>
      </c>
      <c r="C10" s="324">
        <v>0.6</v>
      </c>
      <c r="D10" s="324">
        <v>0.6</v>
      </c>
      <c r="E10" s="324">
        <f>ROUND(C10*D10,2)</f>
        <v>0.36</v>
      </c>
    </row>
    <row r="11" spans="2:12" x14ac:dyDescent="0.25">
      <c r="B11" s="369" t="s">
        <v>21366</v>
      </c>
      <c r="C11" s="391">
        <v>0.6</v>
      </c>
      <c r="D11" s="324">
        <v>0.6</v>
      </c>
      <c r="E11" s="324">
        <f t="shared" ref="E11:E14" si="0">ROUND(C11*D11,2)</f>
        <v>0.36</v>
      </c>
    </row>
    <row r="12" spans="2:12" x14ac:dyDescent="0.25">
      <c r="B12" s="369" t="s">
        <v>20712</v>
      </c>
      <c r="C12" s="324">
        <v>1.2</v>
      </c>
      <c r="D12" s="324">
        <v>1</v>
      </c>
      <c r="E12" s="324">
        <f t="shared" si="0"/>
        <v>1.2</v>
      </c>
    </row>
    <row r="13" spans="2:12" x14ac:dyDescent="0.25">
      <c r="B13" s="369" t="s">
        <v>20708</v>
      </c>
      <c r="C13" s="324">
        <v>0.6</v>
      </c>
      <c r="D13" s="324">
        <v>1</v>
      </c>
      <c r="E13" s="324">
        <f t="shared" si="0"/>
        <v>0.6</v>
      </c>
    </row>
    <row r="14" spans="2:12" x14ac:dyDescent="0.25">
      <c r="B14" s="369" t="s">
        <v>20710</v>
      </c>
      <c r="C14" s="324">
        <v>0.6</v>
      </c>
      <c r="D14" s="324">
        <v>1</v>
      </c>
      <c r="E14" s="324">
        <f t="shared" si="0"/>
        <v>0.6</v>
      </c>
    </row>
    <row r="15" spans="2:12" x14ac:dyDescent="0.25">
      <c r="B15" s="369" t="s">
        <v>21367</v>
      </c>
      <c r="C15" s="324">
        <v>0.6</v>
      </c>
      <c r="D15" s="324">
        <v>0.6</v>
      </c>
      <c r="E15" s="324">
        <f>ROUND(C15*D15,2)</f>
        <v>0.36</v>
      </c>
    </row>
    <row r="16" spans="2:12" x14ac:dyDescent="0.25">
      <c r="B16" s="369" t="s">
        <v>21368</v>
      </c>
      <c r="C16" s="391">
        <v>0.6</v>
      </c>
      <c r="D16" s="324">
        <v>0.6</v>
      </c>
      <c r="E16" s="324">
        <f t="shared" ref="E16" si="1">ROUND(C16*D16,2)</f>
        <v>0.36</v>
      </c>
    </row>
    <row r="17" spans="2:23" x14ac:dyDescent="0.25">
      <c r="B17" s="778" t="s">
        <v>7</v>
      </c>
      <c r="C17" s="778"/>
      <c r="D17" s="778"/>
      <c r="E17" s="330">
        <f>SUM(E10:E16)</f>
        <v>3.84</v>
      </c>
    </row>
    <row r="19" spans="2:23" x14ac:dyDescent="0.25">
      <c r="B19" s="771" t="s">
        <v>21356</v>
      </c>
      <c r="C19" s="771"/>
      <c r="D19" s="771"/>
      <c r="E19" s="771"/>
      <c r="T19" s="812" t="s">
        <v>21358</v>
      </c>
      <c r="U19" s="812"/>
      <c r="V19" s="812"/>
      <c r="W19" s="812"/>
    </row>
    <row r="20" spans="2:23" ht="30" x14ac:dyDescent="0.25">
      <c r="B20" s="319" t="s">
        <v>20914</v>
      </c>
      <c r="C20" s="319" t="s">
        <v>21484</v>
      </c>
      <c r="D20" s="542" t="s">
        <v>89</v>
      </c>
      <c r="E20" s="542" t="s">
        <v>21357</v>
      </c>
      <c r="T20" s="458" t="s">
        <v>107</v>
      </c>
      <c r="U20" s="458" t="s">
        <v>21359</v>
      </c>
      <c r="V20" s="458" t="s">
        <v>21360</v>
      </c>
      <c r="W20" s="458" t="s">
        <v>98</v>
      </c>
    </row>
    <row r="21" spans="2:23" x14ac:dyDescent="0.25">
      <c r="B21" s="369" t="s">
        <v>20712</v>
      </c>
      <c r="C21" s="324">
        <v>1.2</v>
      </c>
      <c r="D21" s="324">
        <v>0.5</v>
      </c>
      <c r="E21" s="324">
        <f>ROUND(C21*D21,2)</f>
        <v>0.6</v>
      </c>
      <c r="T21" s="164" t="s">
        <v>21361</v>
      </c>
      <c r="U21" s="177">
        <v>400</v>
      </c>
      <c r="V21" s="164">
        <v>4</v>
      </c>
      <c r="W21" s="164">
        <f>ROUND(U21*V21/1000,2)</f>
        <v>1.6</v>
      </c>
    </row>
    <row r="22" spans="2:23" x14ac:dyDescent="0.25">
      <c r="B22" s="369" t="s">
        <v>20708</v>
      </c>
      <c r="C22" s="324">
        <v>0.8</v>
      </c>
      <c r="D22" s="324">
        <v>0.5</v>
      </c>
      <c r="E22" s="324">
        <f>ROUND(C22*D22,2)</f>
        <v>0.4</v>
      </c>
      <c r="T22" s="164" t="s">
        <v>21361</v>
      </c>
      <c r="U22" s="177">
        <v>700</v>
      </c>
      <c r="V22" s="164">
        <v>2</v>
      </c>
      <c r="W22" s="164">
        <f t="shared" ref="W22:W23" si="2">ROUND(U22*V22/1000,2)</f>
        <v>1.4</v>
      </c>
    </row>
    <row r="23" spans="2:23" x14ac:dyDescent="0.25">
      <c r="B23" s="369" t="s">
        <v>20710</v>
      </c>
      <c r="C23" s="324">
        <v>0.8</v>
      </c>
      <c r="D23" s="324">
        <v>0.5</v>
      </c>
      <c r="E23" s="324">
        <f>ROUND(C23*D23,2)</f>
        <v>0.4</v>
      </c>
      <c r="T23" s="164" t="s">
        <v>21361</v>
      </c>
      <c r="U23" s="177">
        <v>800</v>
      </c>
      <c r="V23" s="164">
        <v>4</v>
      </c>
      <c r="W23" s="164">
        <f t="shared" si="2"/>
        <v>3.2</v>
      </c>
    </row>
    <row r="24" spans="2:23" x14ac:dyDescent="0.25">
      <c r="B24" s="369" t="s">
        <v>21364</v>
      </c>
      <c r="C24" s="324">
        <v>2.2000000000000002</v>
      </c>
      <c r="D24" s="324">
        <v>0.62</v>
      </c>
      <c r="E24" s="324">
        <f t="shared" ref="E24:E27" si="3">ROUND(C24*D24,2)</f>
        <v>1.36</v>
      </c>
      <c r="T24" s="812" t="s">
        <v>7</v>
      </c>
      <c r="U24" s="812"/>
      <c r="V24" s="812"/>
      <c r="W24" s="398">
        <f>SUM(W21:W23)</f>
        <v>6.2</v>
      </c>
    </row>
    <row r="25" spans="2:23" x14ac:dyDescent="0.25">
      <c r="B25" s="369" t="s">
        <v>21367</v>
      </c>
      <c r="C25" s="324">
        <v>0.8</v>
      </c>
      <c r="D25" s="324">
        <v>0.5</v>
      </c>
      <c r="E25" s="324">
        <f t="shared" si="3"/>
        <v>0.4</v>
      </c>
      <c r="T25"/>
      <c r="U25"/>
      <c r="V25"/>
      <c r="W25"/>
    </row>
    <row r="26" spans="2:23" x14ac:dyDescent="0.25">
      <c r="B26" s="369" t="s">
        <v>21368</v>
      </c>
      <c r="C26" s="324">
        <v>0.8</v>
      </c>
      <c r="D26" s="324">
        <v>0.5</v>
      </c>
      <c r="E26" s="324">
        <f t="shared" si="3"/>
        <v>0.4</v>
      </c>
      <c r="T26"/>
      <c r="U26"/>
      <c r="V26"/>
      <c r="W26"/>
    </row>
    <row r="27" spans="2:23" x14ac:dyDescent="0.25">
      <c r="B27" s="369" t="s">
        <v>21485</v>
      </c>
      <c r="C27" s="324">
        <v>0.8</v>
      </c>
      <c r="D27" s="324">
        <v>0.15</v>
      </c>
      <c r="E27" s="324">
        <f t="shared" si="3"/>
        <v>0.12</v>
      </c>
      <c r="T27"/>
      <c r="U27"/>
      <c r="V27"/>
      <c r="W27"/>
    </row>
    <row r="28" spans="2:23" x14ac:dyDescent="0.25">
      <c r="B28" s="778" t="s">
        <v>7</v>
      </c>
      <c r="C28" s="778"/>
      <c r="D28" s="778"/>
      <c r="E28" s="330">
        <f>SUM(E21:E27)</f>
        <v>3.6799999999999997</v>
      </c>
    </row>
    <row r="30" spans="2:23" x14ac:dyDescent="0.25">
      <c r="B30" s="771" t="s">
        <v>21372</v>
      </c>
      <c r="C30" s="771"/>
      <c r="D30" s="771"/>
      <c r="E30" s="771"/>
    </row>
    <row r="31" spans="2:23" ht="30" x14ac:dyDescent="0.25">
      <c r="B31" s="319" t="s">
        <v>20914</v>
      </c>
      <c r="C31" s="319" t="s">
        <v>21484</v>
      </c>
      <c r="D31" s="542" t="s">
        <v>89</v>
      </c>
      <c r="E31" s="542" t="s">
        <v>21357</v>
      </c>
    </row>
    <row r="32" spans="2:23" x14ac:dyDescent="0.25">
      <c r="B32" s="369" t="s">
        <v>21150</v>
      </c>
      <c r="C32" s="324">
        <v>0.6</v>
      </c>
      <c r="D32" s="324">
        <v>1.6</v>
      </c>
      <c r="E32" s="324">
        <f>ROUND(C32*D32,2)</f>
        <v>0.96</v>
      </c>
    </row>
    <row r="33" spans="2:5" x14ac:dyDescent="0.25">
      <c r="B33" s="369" t="s">
        <v>21150</v>
      </c>
      <c r="C33" s="324">
        <v>0.6</v>
      </c>
      <c r="D33" s="324">
        <v>1.6</v>
      </c>
      <c r="E33" s="324">
        <f>ROUND(C33*D33,2)</f>
        <v>0.96</v>
      </c>
    </row>
    <row r="34" spans="2:5" x14ac:dyDescent="0.25">
      <c r="B34" s="369" t="s">
        <v>21150</v>
      </c>
      <c r="C34" s="324">
        <v>0.6</v>
      </c>
      <c r="D34" s="324">
        <v>1.6</v>
      </c>
      <c r="E34" s="324">
        <f>ROUND(C34*D34,2)</f>
        <v>0.96</v>
      </c>
    </row>
    <row r="35" spans="2:5" x14ac:dyDescent="0.25">
      <c r="B35" s="369" t="s">
        <v>21150</v>
      </c>
      <c r="C35" s="324">
        <v>0.6</v>
      </c>
      <c r="D35" s="324">
        <v>1.6</v>
      </c>
      <c r="E35" s="324">
        <f>ROUND(C35*D35,2)</f>
        <v>0.96</v>
      </c>
    </row>
    <row r="36" spans="2:5" x14ac:dyDescent="0.25">
      <c r="B36" s="369" t="s">
        <v>21483</v>
      </c>
      <c r="C36" s="324">
        <f>3*0.29</f>
        <v>0.86999999999999988</v>
      </c>
      <c r="D36" s="324">
        <v>2</v>
      </c>
      <c r="E36" s="324">
        <f t="shared" ref="E36:E39" si="4">ROUND(C36*D36,2)</f>
        <v>1.74</v>
      </c>
    </row>
    <row r="37" spans="2:5" x14ac:dyDescent="0.25">
      <c r="B37" s="369" t="s">
        <v>21483</v>
      </c>
      <c r="C37" s="324">
        <v>0.87</v>
      </c>
      <c r="D37" s="324">
        <v>2</v>
      </c>
      <c r="E37" s="324">
        <f t="shared" si="4"/>
        <v>1.74</v>
      </c>
    </row>
    <row r="38" spans="2:5" x14ac:dyDescent="0.25">
      <c r="B38" s="369" t="s">
        <v>21883</v>
      </c>
      <c r="C38" s="324">
        <v>1.42</v>
      </c>
      <c r="D38" s="324">
        <v>2</v>
      </c>
      <c r="E38" s="324">
        <f t="shared" si="4"/>
        <v>2.84</v>
      </c>
    </row>
    <row r="39" spans="2:5" x14ac:dyDescent="0.25">
      <c r="B39" s="369" t="s">
        <v>21883</v>
      </c>
      <c r="C39" s="324">
        <v>1.42</v>
      </c>
      <c r="D39" s="324">
        <v>2</v>
      </c>
      <c r="E39" s="324">
        <f t="shared" si="4"/>
        <v>2.84</v>
      </c>
    </row>
    <row r="40" spans="2:5" x14ac:dyDescent="0.25">
      <c r="B40" s="778" t="s">
        <v>7</v>
      </c>
      <c r="C40" s="778"/>
      <c r="D40" s="778"/>
      <c r="E40" s="330">
        <f>SUM(E32:E39)</f>
        <v>13</v>
      </c>
    </row>
    <row r="41" spans="2:5" x14ac:dyDescent="0.25">
      <c r="B41"/>
      <c r="C41"/>
      <c r="D41"/>
      <c r="E41"/>
    </row>
    <row r="42" spans="2:5" x14ac:dyDescent="0.25">
      <c r="B42" s="771" t="s">
        <v>21486</v>
      </c>
      <c r="C42" s="771"/>
      <c r="D42" s="771"/>
      <c r="E42" s="771"/>
    </row>
    <row r="43" spans="2:5" ht="30" x14ac:dyDescent="0.25">
      <c r="B43" s="319" t="s">
        <v>20914</v>
      </c>
      <c r="C43" s="319" t="s">
        <v>21484</v>
      </c>
      <c r="D43" s="542" t="s">
        <v>87</v>
      </c>
      <c r="E43" s="542" t="s">
        <v>21357</v>
      </c>
    </row>
    <row r="44" spans="2:5" x14ac:dyDescent="0.25">
      <c r="B44" s="369" t="s">
        <v>21487</v>
      </c>
      <c r="C44" s="324">
        <v>2.2000000000000002</v>
      </c>
      <c r="D44" s="324">
        <v>0.9</v>
      </c>
      <c r="E44" s="324">
        <f>ROUND(C44*D44,2)</f>
        <v>1.98</v>
      </c>
    </row>
    <row r="45" spans="2:5" x14ac:dyDescent="0.25">
      <c r="B45" s="369" t="s">
        <v>20712</v>
      </c>
      <c r="C45" s="324">
        <v>1.2</v>
      </c>
      <c r="D45" s="324">
        <v>0.9</v>
      </c>
      <c r="E45" s="324">
        <f>ROUND(C45*D45,2)</f>
        <v>1.08</v>
      </c>
    </row>
    <row r="46" spans="2:5" x14ac:dyDescent="0.25">
      <c r="B46" s="369" t="s">
        <v>20708</v>
      </c>
      <c r="C46" s="324">
        <v>0.6</v>
      </c>
      <c r="D46" s="324">
        <v>0.9</v>
      </c>
      <c r="E46" s="324">
        <f t="shared" ref="E46:E48" si="5">ROUND(C46*D46,2)</f>
        <v>0.54</v>
      </c>
    </row>
    <row r="47" spans="2:5" x14ac:dyDescent="0.25">
      <c r="B47" s="369" t="s">
        <v>20710</v>
      </c>
      <c r="C47" s="324">
        <v>0.2</v>
      </c>
      <c r="D47" s="324">
        <v>0.9</v>
      </c>
      <c r="E47" s="324">
        <f t="shared" si="5"/>
        <v>0.18</v>
      </c>
    </row>
    <row r="48" spans="2:5" x14ac:dyDescent="0.25">
      <c r="B48" s="369" t="s">
        <v>21488</v>
      </c>
      <c r="C48" s="324">
        <v>2</v>
      </c>
      <c r="D48" s="324">
        <v>0.75</v>
      </c>
      <c r="E48" s="324">
        <f t="shared" si="5"/>
        <v>1.5</v>
      </c>
    </row>
    <row r="49" spans="2:30" x14ac:dyDescent="0.25">
      <c r="B49" s="778" t="s">
        <v>7</v>
      </c>
      <c r="C49" s="778"/>
      <c r="D49" s="778"/>
      <c r="E49" s="330">
        <f>SUM(E44:E48)</f>
        <v>5.28</v>
      </c>
    </row>
    <row r="50" spans="2:30" x14ac:dyDescent="0.25">
      <c r="B50"/>
      <c r="C50"/>
      <c r="D50"/>
      <c r="E50"/>
    </row>
    <row r="51" spans="2:30" x14ac:dyDescent="0.25">
      <c r="B51"/>
      <c r="C51"/>
      <c r="D51"/>
      <c r="E51"/>
    </row>
    <row r="53" spans="2:30" x14ac:dyDescent="0.25">
      <c r="G53" s="771" t="s">
        <v>21369</v>
      </c>
      <c r="H53" s="771"/>
      <c r="I53" s="771"/>
      <c r="J53" s="771"/>
      <c r="K53" s="771"/>
      <c r="L53" s="771"/>
      <c r="M53" s="771"/>
      <c r="N53" s="771"/>
      <c r="O53" s="771"/>
      <c r="P53" s="771"/>
      <c r="Q53"/>
      <c r="R53" s="771" t="s">
        <v>21472</v>
      </c>
      <c r="S53" s="771"/>
      <c r="T53" s="771"/>
      <c r="U53" s="771"/>
      <c r="V53" s="771"/>
      <c r="W53" s="771"/>
      <c r="X53" s="771"/>
      <c r="Z53" s="811" t="s">
        <v>21473</v>
      </c>
      <c r="AA53" s="811"/>
      <c r="AB53" s="811"/>
      <c r="AC53" s="811"/>
    </row>
    <row r="54" spans="2:30" ht="45.4" customHeight="1" x14ac:dyDescent="0.25">
      <c r="G54" s="318" t="s">
        <v>20914</v>
      </c>
      <c r="H54" s="319" t="s">
        <v>21362</v>
      </c>
      <c r="I54" s="319" t="s">
        <v>21363</v>
      </c>
      <c r="J54" s="319" t="s">
        <v>21463</v>
      </c>
      <c r="K54" s="319" t="s">
        <v>21371</v>
      </c>
      <c r="L54" s="319" t="s">
        <v>21370</v>
      </c>
      <c r="M54" s="319" t="s">
        <v>21464</v>
      </c>
      <c r="N54" s="319" t="s">
        <v>21860</v>
      </c>
      <c r="O54" s="319" t="s">
        <v>21863</v>
      </c>
      <c r="P54" s="319" t="s">
        <v>21468</v>
      </c>
      <c r="Q54"/>
      <c r="R54" s="318" t="s">
        <v>20914</v>
      </c>
      <c r="S54" s="319" t="s">
        <v>21469</v>
      </c>
      <c r="T54" s="319" t="s">
        <v>21470</v>
      </c>
      <c r="U54" s="319" t="s">
        <v>21471</v>
      </c>
      <c r="V54" s="319" t="s">
        <v>21465</v>
      </c>
      <c r="W54" s="319" t="s">
        <v>21467</v>
      </c>
      <c r="X54" s="319" t="s">
        <v>21466</v>
      </c>
      <c r="Z54" s="318" t="s">
        <v>20914</v>
      </c>
      <c r="AA54" s="319" t="s">
        <v>21474</v>
      </c>
      <c r="AB54" s="319" t="s">
        <v>21476</v>
      </c>
      <c r="AC54" s="319" t="s">
        <v>21475</v>
      </c>
      <c r="AD54"/>
    </row>
    <row r="55" spans="2:30" x14ac:dyDescent="0.25">
      <c r="G55" s="369" t="s">
        <v>21365</v>
      </c>
      <c r="H55" s="321">
        <v>1</v>
      </c>
      <c r="I55" s="321">
        <v>2</v>
      </c>
      <c r="J55" s="321">
        <v>1</v>
      </c>
      <c r="K55" s="321"/>
      <c r="L55" s="321">
        <v>1</v>
      </c>
      <c r="M55" s="321">
        <v>1</v>
      </c>
      <c r="N55" s="321"/>
      <c r="O55" s="321">
        <v>1</v>
      </c>
      <c r="P55" s="321">
        <v>1</v>
      </c>
      <c r="Q55"/>
      <c r="R55" s="369" t="s">
        <v>21365</v>
      </c>
      <c r="S55" s="321">
        <f t="shared" ref="S55:S64" si="6">H55+I55+M55+N55</f>
        <v>4</v>
      </c>
      <c r="T55" s="321">
        <f>M55+N55+O55</f>
        <v>2</v>
      </c>
      <c r="U55" s="321">
        <f>J55</f>
        <v>1</v>
      </c>
      <c r="V55" s="324">
        <f>8*S55</f>
        <v>32</v>
      </c>
      <c r="W55" s="324">
        <f>6*T55</f>
        <v>12</v>
      </c>
      <c r="X55" s="324">
        <f>U55*8</f>
        <v>8</v>
      </c>
      <c r="Z55" s="369" t="s">
        <v>21365</v>
      </c>
      <c r="AA55" s="321">
        <v>1</v>
      </c>
      <c r="AB55" s="321">
        <v>1</v>
      </c>
      <c r="AC55" s="321">
        <v>1</v>
      </c>
    </row>
    <row r="56" spans="2:30" x14ac:dyDescent="0.25">
      <c r="G56" s="369" t="s">
        <v>21366</v>
      </c>
      <c r="H56" s="321">
        <v>1</v>
      </c>
      <c r="I56" s="321">
        <v>2</v>
      </c>
      <c r="J56" s="321">
        <v>1</v>
      </c>
      <c r="K56" s="321"/>
      <c r="L56" s="321">
        <v>1</v>
      </c>
      <c r="M56" s="321">
        <v>1</v>
      </c>
      <c r="N56" s="321"/>
      <c r="O56" s="321">
        <v>1</v>
      </c>
      <c r="P56" s="321">
        <v>1</v>
      </c>
      <c r="Q56"/>
      <c r="R56" s="369" t="s">
        <v>21366</v>
      </c>
      <c r="S56" s="321">
        <f t="shared" si="6"/>
        <v>4</v>
      </c>
      <c r="T56" s="321">
        <f t="shared" ref="T56:T64" si="7">M56+N56+O56</f>
        <v>2</v>
      </c>
      <c r="U56" s="321">
        <f t="shared" ref="U56:U64" si="8">J56</f>
        <v>1</v>
      </c>
      <c r="V56" s="324">
        <f t="shared" ref="V56:V64" si="9">8*S56</f>
        <v>32</v>
      </c>
      <c r="W56" s="324">
        <f t="shared" ref="W56:W64" si="10">6*T56</f>
        <v>12</v>
      </c>
      <c r="X56" s="324">
        <f t="shared" ref="X56:X64" si="11">U56*8</f>
        <v>8</v>
      </c>
      <c r="Z56" s="369" t="s">
        <v>21366</v>
      </c>
      <c r="AA56" s="321">
        <v>1</v>
      </c>
      <c r="AB56" s="321">
        <v>1</v>
      </c>
      <c r="AC56" s="321">
        <v>1</v>
      </c>
    </row>
    <row r="57" spans="2:30" x14ac:dyDescent="0.25">
      <c r="G57" s="369" t="s">
        <v>21364</v>
      </c>
      <c r="H57" s="321">
        <v>1</v>
      </c>
      <c r="I57" s="321"/>
      <c r="J57" s="321"/>
      <c r="K57" s="321"/>
      <c r="L57" s="321"/>
      <c r="M57" s="321"/>
      <c r="N57" s="321">
        <v>1</v>
      </c>
      <c r="O57" s="321">
        <v>1</v>
      </c>
      <c r="P57" s="321">
        <v>1</v>
      </c>
      <c r="Q57"/>
      <c r="R57" s="369" t="s">
        <v>21364</v>
      </c>
      <c r="S57" s="321">
        <f t="shared" si="6"/>
        <v>2</v>
      </c>
      <c r="T57" s="321">
        <f t="shared" si="7"/>
        <v>2</v>
      </c>
      <c r="U57" s="321">
        <f t="shared" si="8"/>
        <v>0</v>
      </c>
      <c r="V57" s="324">
        <f t="shared" si="9"/>
        <v>16</v>
      </c>
      <c r="W57" s="324">
        <f t="shared" si="10"/>
        <v>12</v>
      </c>
      <c r="X57" s="324">
        <f t="shared" si="11"/>
        <v>0</v>
      </c>
      <c r="Z57" s="369" t="s">
        <v>21364</v>
      </c>
      <c r="AA57" s="321"/>
      <c r="AB57" s="321">
        <v>1</v>
      </c>
      <c r="AC57" s="321"/>
    </row>
    <row r="58" spans="2:30" x14ac:dyDescent="0.25">
      <c r="G58" s="369" t="s">
        <v>20700</v>
      </c>
      <c r="H58" s="321">
        <v>1</v>
      </c>
      <c r="I58" s="321">
        <v>2</v>
      </c>
      <c r="J58" s="321"/>
      <c r="K58" s="321"/>
      <c r="L58" s="321"/>
      <c r="M58" s="321"/>
      <c r="N58" s="321">
        <v>1</v>
      </c>
      <c r="O58" s="321">
        <v>1</v>
      </c>
      <c r="P58" s="321">
        <v>1</v>
      </c>
      <c r="Q58"/>
      <c r="R58" s="369" t="s">
        <v>20700</v>
      </c>
      <c r="S58" s="321">
        <f t="shared" si="6"/>
        <v>4</v>
      </c>
      <c r="T58" s="321">
        <f t="shared" si="7"/>
        <v>2</v>
      </c>
      <c r="U58" s="321">
        <f t="shared" si="8"/>
        <v>0</v>
      </c>
      <c r="V58" s="324">
        <f t="shared" si="9"/>
        <v>32</v>
      </c>
      <c r="W58" s="324">
        <f t="shared" si="10"/>
        <v>12</v>
      </c>
      <c r="X58" s="324">
        <f t="shared" si="11"/>
        <v>0</v>
      </c>
      <c r="Z58" s="369" t="s">
        <v>20712</v>
      </c>
      <c r="AA58" s="321">
        <v>2</v>
      </c>
      <c r="AB58" s="321">
        <v>2</v>
      </c>
      <c r="AC58" s="321">
        <v>2</v>
      </c>
    </row>
    <row r="59" spans="2:30" x14ac:dyDescent="0.25">
      <c r="G59" s="369" t="s">
        <v>20712</v>
      </c>
      <c r="H59" s="321">
        <v>1</v>
      </c>
      <c r="I59" s="321">
        <v>3</v>
      </c>
      <c r="J59" s="321">
        <v>2</v>
      </c>
      <c r="K59" s="321">
        <v>2</v>
      </c>
      <c r="L59" s="321"/>
      <c r="M59" s="321"/>
      <c r="N59" s="321">
        <v>2</v>
      </c>
      <c r="O59" s="321">
        <v>2</v>
      </c>
      <c r="P59" s="321">
        <v>4</v>
      </c>
      <c r="Q59"/>
      <c r="R59" s="369" t="s">
        <v>20712</v>
      </c>
      <c r="S59" s="321">
        <f t="shared" si="6"/>
        <v>6</v>
      </c>
      <c r="T59" s="321">
        <f t="shared" si="7"/>
        <v>4</v>
      </c>
      <c r="U59" s="321">
        <f t="shared" si="8"/>
        <v>2</v>
      </c>
      <c r="V59" s="324">
        <f t="shared" si="9"/>
        <v>48</v>
      </c>
      <c r="W59" s="324">
        <f t="shared" si="10"/>
        <v>24</v>
      </c>
      <c r="X59" s="324">
        <f t="shared" si="11"/>
        <v>16</v>
      </c>
      <c r="Z59" s="369" t="s">
        <v>20708</v>
      </c>
      <c r="AA59" s="321">
        <v>1</v>
      </c>
      <c r="AB59" s="321">
        <v>1</v>
      </c>
      <c r="AC59" s="321">
        <v>1</v>
      </c>
    </row>
    <row r="60" spans="2:30" x14ac:dyDescent="0.25">
      <c r="G60" s="369" t="s">
        <v>20708</v>
      </c>
      <c r="H60" s="321">
        <v>1</v>
      </c>
      <c r="I60" s="321">
        <v>2</v>
      </c>
      <c r="J60" s="321">
        <v>1</v>
      </c>
      <c r="K60" s="321">
        <v>1</v>
      </c>
      <c r="L60" s="321"/>
      <c r="M60" s="321"/>
      <c r="N60" s="321">
        <v>1</v>
      </c>
      <c r="O60" s="321">
        <v>1</v>
      </c>
      <c r="P60" s="321">
        <v>2</v>
      </c>
      <c r="Q60"/>
      <c r="R60" s="369" t="s">
        <v>20708</v>
      </c>
      <c r="S60" s="321">
        <f t="shared" si="6"/>
        <v>4</v>
      </c>
      <c r="T60" s="321">
        <f t="shared" si="7"/>
        <v>2</v>
      </c>
      <c r="U60" s="321">
        <f t="shared" si="8"/>
        <v>1</v>
      </c>
      <c r="V60" s="324">
        <f t="shared" si="9"/>
        <v>32</v>
      </c>
      <c r="W60" s="324">
        <f t="shared" si="10"/>
        <v>12</v>
      </c>
      <c r="X60" s="324">
        <f t="shared" si="11"/>
        <v>8</v>
      </c>
      <c r="Z60" s="369" t="s">
        <v>20710</v>
      </c>
      <c r="AA60" s="321">
        <v>1</v>
      </c>
      <c r="AB60" s="321">
        <v>1</v>
      </c>
      <c r="AC60" s="321">
        <v>1</v>
      </c>
    </row>
    <row r="61" spans="2:30" x14ac:dyDescent="0.25">
      <c r="G61" s="369" t="s">
        <v>20710</v>
      </c>
      <c r="H61" s="321">
        <v>1</v>
      </c>
      <c r="I61" s="321">
        <v>2</v>
      </c>
      <c r="J61" s="321">
        <v>1</v>
      </c>
      <c r="K61" s="321">
        <v>1</v>
      </c>
      <c r="L61" s="321"/>
      <c r="M61" s="321"/>
      <c r="N61" s="321">
        <v>1</v>
      </c>
      <c r="O61" s="321">
        <v>1</v>
      </c>
      <c r="P61" s="321">
        <v>2</v>
      </c>
      <c r="Q61"/>
      <c r="R61" s="369" t="s">
        <v>20710</v>
      </c>
      <c r="S61" s="321">
        <f t="shared" si="6"/>
        <v>4</v>
      </c>
      <c r="T61" s="321">
        <f t="shared" si="7"/>
        <v>2</v>
      </c>
      <c r="U61" s="321">
        <f t="shared" si="8"/>
        <v>1</v>
      </c>
      <c r="V61" s="324">
        <f t="shared" si="9"/>
        <v>32</v>
      </c>
      <c r="W61" s="324">
        <f t="shared" si="10"/>
        <v>12</v>
      </c>
      <c r="X61" s="324">
        <f t="shared" si="11"/>
        <v>8</v>
      </c>
      <c r="Z61" s="369" t="s">
        <v>21367</v>
      </c>
      <c r="AA61" s="321">
        <v>2</v>
      </c>
      <c r="AB61" s="321">
        <v>2</v>
      </c>
      <c r="AC61" s="321">
        <v>1</v>
      </c>
    </row>
    <row r="62" spans="2:30" x14ac:dyDescent="0.25">
      <c r="G62" s="369" t="s">
        <v>21367</v>
      </c>
      <c r="H62" s="321">
        <v>1</v>
      </c>
      <c r="I62" s="321">
        <v>3</v>
      </c>
      <c r="J62" s="321">
        <v>2</v>
      </c>
      <c r="K62" s="321">
        <v>2</v>
      </c>
      <c r="L62" s="321"/>
      <c r="M62" s="321"/>
      <c r="N62" s="321">
        <v>2</v>
      </c>
      <c r="O62" s="321">
        <v>2</v>
      </c>
      <c r="P62" s="321">
        <v>1</v>
      </c>
      <c r="Q62"/>
      <c r="R62" s="369" t="s">
        <v>21367</v>
      </c>
      <c r="S62" s="321">
        <f t="shared" si="6"/>
        <v>6</v>
      </c>
      <c r="T62" s="321">
        <f t="shared" si="7"/>
        <v>4</v>
      </c>
      <c r="U62" s="321">
        <f t="shared" si="8"/>
        <v>2</v>
      </c>
      <c r="V62" s="324">
        <f t="shared" si="9"/>
        <v>48</v>
      </c>
      <c r="W62" s="324">
        <f t="shared" si="10"/>
        <v>24</v>
      </c>
      <c r="X62" s="324">
        <f t="shared" si="11"/>
        <v>16</v>
      </c>
      <c r="Z62" s="369" t="s">
        <v>21368</v>
      </c>
      <c r="AA62" s="321">
        <v>1</v>
      </c>
      <c r="AB62" s="321">
        <v>1</v>
      </c>
      <c r="AC62" s="321">
        <v>1</v>
      </c>
    </row>
    <row r="63" spans="2:30" x14ac:dyDescent="0.25">
      <c r="G63" s="369" t="s">
        <v>21368</v>
      </c>
      <c r="H63" s="321">
        <v>1</v>
      </c>
      <c r="I63" s="321">
        <v>2</v>
      </c>
      <c r="J63" s="321">
        <v>1</v>
      </c>
      <c r="K63" s="321">
        <v>1</v>
      </c>
      <c r="L63" s="321"/>
      <c r="M63" s="321"/>
      <c r="N63" s="321">
        <v>1</v>
      </c>
      <c r="O63" s="321">
        <v>1</v>
      </c>
      <c r="P63" s="321">
        <v>1</v>
      </c>
      <c r="Q63"/>
      <c r="R63" s="369" t="s">
        <v>21368</v>
      </c>
      <c r="S63" s="321">
        <f t="shared" si="6"/>
        <v>4</v>
      </c>
      <c r="T63" s="321">
        <f t="shared" si="7"/>
        <v>2</v>
      </c>
      <c r="U63" s="321">
        <f t="shared" si="8"/>
        <v>1</v>
      </c>
      <c r="V63" s="324">
        <f t="shared" si="9"/>
        <v>32</v>
      </c>
      <c r="W63" s="324">
        <f t="shared" si="10"/>
        <v>12</v>
      </c>
      <c r="X63" s="324">
        <f t="shared" si="11"/>
        <v>8</v>
      </c>
      <c r="Z63" s="369" t="s">
        <v>20695</v>
      </c>
      <c r="AA63" s="321"/>
      <c r="AB63" s="321">
        <v>1</v>
      </c>
      <c r="AC63" s="321"/>
    </row>
    <row r="64" spans="2:30" x14ac:dyDescent="0.25">
      <c r="G64" s="369" t="s">
        <v>20695</v>
      </c>
      <c r="H64" s="321">
        <v>1</v>
      </c>
      <c r="I64" s="321">
        <v>1</v>
      </c>
      <c r="J64" s="321"/>
      <c r="K64" s="321"/>
      <c r="L64" s="321"/>
      <c r="M64" s="321"/>
      <c r="N64" s="321"/>
      <c r="O64" s="321"/>
      <c r="P64" s="321">
        <v>1</v>
      </c>
      <c r="Q64"/>
      <c r="R64" s="369" t="s">
        <v>20695</v>
      </c>
      <c r="S64" s="321">
        <f t="shared" si="6"/>
        <v>2</v>
      </c>
      <c r="T64" s="321">
        <f t="shared" si="7"/>
        <v>0</v>
      </c>
      <c r="U64" s="321">
        <f t="shared" si="8"/>
        <v>0</v>
      </c>
      <c r="V64" s="324">
        <f t="shared" si="9"/>
        <v>16</v>
      </c>
      <c r="W64" s="324">
        <f t="shared" si="10"/>
        <v>0</v>
      </c>
      <c r="X64" s="324">
        <f t="shared" si="11"/>
        <v>0</v>
      </c>
      <c r="Z64" s="315" t="s">
        <v>7</v>
      </c>
      <c r="AA64" s="315">
        <f>SUM(AA55:AA63)</f>
        <v>9</v>
      </c>
      <c r="AB64" s="315">
        <f t="shared" ref="AB64:AC64" si="12">SUM(AB55:AB63)</f>
        <v>11</v>
      </c>
      <c r="AC64" s="315">
        <f t="shared" si="12"/>
        <v>8</v>
      </c>
    </row>
    <row r="65" spans="7:24" x14ac:dyDescent="0.25">
      <c r="G65" s="369" t="s">
        <v>21477</v>
      </c>
      <c r="H65" s="321">
        <v>3</v>
      </c>
      <c r="I65" s="321"/>
      <c r="J65" s="321"/>
      <c r="K65" s="321"/>
      <c r="L65" s="321"/>
      <c r="M65" s="321"/>
      <c r="N65" s="321"/>
      <c r="O65" s="321"/>
      <c r="P65" s="321"/>
      <c r="Q65"/>
      <c r="R65" s="369" t="s">
        <v>21477</v>
      </c>
      <c r="S65" s="321">
        <v>4</v>
      </c>
      <c r="T65" s="321">
        <v>0</v>
      </c>
      <c r="U65" s="321">
        <v>0</v>
      </c>
      <c r="V65" s="346">
        <f>15*S65</f>
        <v>60</v>
      </c>
      <c r="W65" s="324">
        <f t="shared" ref="W65" si="13">6*T65</f>
        <v>0</v>
      </c>
      <c r="X65" s="324">
        <f t="shared" ref="X65" si="14">U65*8</f>
        <v>0</v>
      </c>
    </row>
    <row r="66" spans="7:24" x14ac:dyDescent="0.25">
      <c r="G66" s="315" t="s">
        <v>7</v>
      </c>
      <c r="H66" s="315">
        <f>SUM(H55:H65)</f>
        <v>13</v>
      </c>
      <c r="I66" s="315">
        <f t="shared" ref="I66:P66" si="15">SUM(I55:I65)</f>
        <v>19</v>
      </c>
      <c r="J66" s="315">
        <f t="shared" si="15"/>
        <v>9</v>
      </c>
      <c r="K66" s="315">
        <f t="shared" si="15"/>
        <v>7</v>
      </c>
      <c r="L66" s="315">
        <f t="shared" si="15"/>
        <v>2</v>
      </c>
      <c r="M66" s="315">
        <f t="shared" si="15"/>
        <v>2</v>
      </c>
      <c r="N66" s="315">
        <f t="shared" si="15"/>
        <v>9</v>
      </c>
      <c r="O66" s="315">
        <f t="shared" si="15"/>
        <v>11</v>
      </c>
      <c r="P66" s="315">
        <f t="shared" si="15"/>
        <v>15</v>
      </c>
      <c r="Q66"/>
      <c r="R66" s="315" t="s">
        <v>7</v>
      </c>
      <c r="S66" s="315">
        <f>SUM(S55:S65)</f>
        <v>44</v>
      </c>
      <c r="T66" s="315">
        <f t="shared" ref="T66:U66" si="16">SUM(T55:T65)</f>
        <v>22</v>
      </c>
      <c r="U66" s="315">
        <f t="shared" si="16"/>
        <v>9</v>
      </c>
      <c r="V66" s="330">
        <f>SUM(V55:V65)</f>
        <v>380</v>
      </c>
      <c r="W66" s="330">
        <f t="shared" ref="W66:X66" si="17">SUM(W55:W65)</f>
        <v>132</v>
      </c>
      <c r="X66" s="330">
        <f t="shared" si="17"/>
        <v>72</v>
      </c>
    </row>
  </sheetData>
  <mergeCells count="16">
    <mergeCell ref="H2:L2"/>
    <mergeCell ref="Z53:AC53"/>
    <mergeCell ref="T19:W19"/>
    <mergeCell ref="T24:V24"/>
    <mergeCell ref="B30:E30"/>
    <mergeCell ref="B2:E2"/>
    <mergeCell ref="B6:D6"/>
    <mergeCell ref="B8:E8"/>
    <mergeCell ref="B17:D17"/>
    <mergeCell ref="B19:E19"/>
    <mergeCell ref="B28:D28"/>
    <mergeCell ref="G53:P53"/>
    <mergeCell ref="R53:X53"/>
    <mergeCell ref="B40:D40"/>
    <mergeCell ref="B42:E42"/>
    <mergeCell ref="B49:D49"/>
  </mergeCells>
  <phoneticPr fontId="81" type="noConversion"/>
  <pageMargins left="0.511811024" right="0.511811024" top="0.78740157499999996" bottom="0.78740157499999996" header="0.31496062000000002" footer="0.3149606200000000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1" tint="0.14999847407452621"/>
  </sheetPr>
  <dimension ref="B2:T59"/>
  <sheetViews>
    <sheetView workbookViewId="0">
      <selection activeCell="R26" sqref="R26"/>
    </sheetView>
  </sheetViews>
  <sheetFormatPr defaultRowHeight="12.75" x14ac:dyDescent="0.2"/>
  <cols>
    <col min="11" max="11" width="3.85546875" customWidth="1"/>
    <col min="12" max="12" width="9.5703125" customWidth="1"/>
    <col min="17" max="17" width="10" customWidth="1"/>
    <col min="19" max="19" width="0" hidden="1" customWidth="1"/>
    <col min="20" max="20" width="8.42578125" hidden="1" customWidth="1"/>
  </cols>
  <sheetData>
    <row r="2" spans="2:20" ht="15" x14ac:dyDescent="0.25">
      <c r="B2" s="778" t="s">
        <v>20642</v>
      </c>
      <c r="C2" s="778"/>
      <c r="D2" s="778"/>
      <c r="E2" s="778"/>
      <c r="F2" s="778"/>
      <c r="G2" s="778"/>
      <c r="H2" s="778"/>
      <c r="I2" s="778"/>
      <c r="J2" s="778"/>
      <c r="L2" s="780" t="s">
        <v>21687</v>
      </c>
      <c r="M2" s="781"/>
      <c r="N2" s="781"/>
      <c r="O2" s="782"/>
      <c r="Q2" s="780" t="s">
        <v>21689</v>
      </c>
      <c r="R2" s="781"/>
      <c r="S2" s="781"/>
      <c r="T2" s="782"/>
    </row>
    <row r="3" spans="2:20" ht="30" x14ac:dyDescent="0.2">
      <c r="B3" s="341" t="s">
        <v>107</v>
      </c>
      <c r="C3" s="342" t="s">
        <v>20604</v>
      </c>
      <c r="D3" s="342" t="s">
        <v>89</v>
      </c>
      <c r="E3" s="342" t="s">
        <v>87</v>
      </c>
      <c r="F3" s="342" t="s">
        <v>21255</v>
      </c>
      <c r="G3" s="342" t="s">
        <v>20605</v>
      </c>
      <c r="H3" s="342" t="s">
        <v>20361</v>
      </c>
      <c r="I3" s="342" t="s">
        <v>20659</v>
      </c>
      <c r="J3" s="342" t="s">
        <v>20660</v>
      </c>
      <c r="L3" s="341" t="s">
        <v>107</v>
      </c>
      <c r="M3" s="342" t="s">
        <v>21255</v>
      </c>
      <c r="N3" s="342" t="s">
        <v>21688</v>
      </c>
      <c r="O3" s="342" t="s">
        <v>20400</v>
      </c>
      <c r="Q3" s="341" t="s">
        <v>107</v>
      </c>
      <c r="R3" s="342" t="s">
        <v>20604</v>
      </c>
      <c r="S3" s="342" t="s">
        <v>87</v>
      </c>
      <c r="T3" s="342" t="s">
        <v>88</v>
      </c>
    </row>
    <row r="4" spans="2:20" ht="15" x14ac:dyDescent="0.25">
      <c r="B4" s="369" t="s">
        <v>21680</v>
      </c>
      <c r="C4" s="324">
        <v>29</v>
      </c>
      <c r="D4" s="324">
        <v>0.2</v>
      </c>
      <c r="E4" s="324">
        <v>0.4</v>
      </c>
      <c r="F4" s="324">
        <f>ROUND(0.05*C4*D4,2)</f>
        <v>0.28999999999999998</v>
      </c>
      <c r="G4" s="324">
        <f>ROUND(2*C4*E4,2)</f>
        <v>23.2</v>
      </c>
      <c r="H4" s="324">
        <f>ROUND(C4*D4*E4,2)</f>
        <v>2.3199999999999998</v>
      </c>
      <c r="I4" s="324">
        <v>75</v>
      </c>
      <c r="J4" s="324">
        <f>ROUND(H4*I4,2)</f>
        <v>174</v>
      </c>
      <c r="L4" s="369" t="s">
        <v>21680</v>
      </c>
      <c r="M4" s="324">
        <f>F4</f>
        <v>0.28999999999999998</v>
      </c>
      <c r="N4" s="324">
        <f>H4</f>
        <v>2.3199999999999998</v>
      </c>
      <c r="O4" s="324">
        <f>SUM(M4:N4)</f>
        <v>2.61</v>
      </c>
      <c r="Q4" s="369" t="s">
        <v>21690</v>
      </c>
      <c r="R4" s="324">
        <v>29</v>
      </c>
      <c r="S4" s="324">
        <v>2.6</v>
      </c>
      <c r="T4" s="324">
        <f>SUM(R4:S4)</f>
        <v>31.6</v>
      </c>
    </row>
    <row r="5" spans="2:20" ht="15" x14ac:dyDescent="0.25">
      <c r="B5" s="369" t="s">
        <v>21681</v>
      </c>
      <c r="C5" s="324">
        <f>24.08-0.6</f>
        <v>23.479999999999997</v>
      </c>
      <c r="D5" s="324">
        <v>0.2</v>
      </c>
      <c r="E5" s="324">
        <v>0.4</v>
      </c>
      <c r="F5" s="324">
        <f t="shared" ref="F5" si="0">ROUND(0.05*C5*D5,2)</f>
        <v>0.23</v>
      </c>
      <c r="G5" s="324">
        <f t="shared" ref="G5" si="1">ROUND(2*C5*E5,2)</f>
        <v>18.78</v>
      </c>
      <c r="H5" s="324">
        <f t="shared" ref="H5" si="2">ROUND(C5*D5*E5,2)</f>
        <v>1.88</v>
      </c>
      <c r="I5" s="324">
        <v>75</v>
      </c>
      <c r="J5" s="324">
        <f t="shared" ref="J5" si="3">ROUND(H5*I5,2)</f>
        <v>141</v>
      </c>
      <c r="L5" s="369" t="s">
        <v>21681</v>
      </c>
      <c r="M5" s="324">
        <f t="shared" ref="M5:M7" si="4">F5</f>
        <v>0.23</v>
      </c>
      <c r="N5" s="324">
        <f t="shared" ref="N5:N7" si="5">H5</f>
        <v>1.88</v>
      </c>
      <c r="O5" s="324">
        <f t="shared" ref="O5:O7" si="6">SUM(M5:N5)</f>
        <v>2.11</v>
      </c>
      <c r="Q5" s="369" t="s">
        <v>21691</v>
      </c>
      <c r="R5" s="324">
        <f>24.08-0.6</f>
        <v>23.479999999999997</v>
      </c>
      <c r="S5" s="324">
        <v>2.6</v>
      </c>
      <c r="T5" s="324">
        <f t="shared" ref="T5:T7" si="7">SUM(R5:S5)</f>
        <v>26.08</v>
      </c>
    </row>
    <row r="6" spans="2:20" ht="15" x14ac:dyDescent="0.25">
      <c r="B6" s="369" t="s">
        <v>21682</v>
      </c>
      <c r="C6" s="324">
        <f>5.14+2.91+21.55</f>
        <v>29.6</v>
      </c>
      <c r="D6" s="324">
        <v>0.2</v>
      </c>
      <c r="E6" s="324">
        <v>0.4</v>
      </c>
      <c r="F6" s="324">
        <f t="shared" ref="F6" si="8">ROUND(0.05*C6*D6,2)</f>
        <v>0.3</v>
      </c>
      <c r="G6" s="324">
        <f t="shared" ref="G6" si="9">ROUND(2*C6*E6,2)</f>
        <v>23.68</v>
      </c>
      <c r="H6" s="324">
        <f t="shared" ref="H6" si="10">ROUND(C6*D6*E6,2)</f>
        <v>2.37</v>
      </c>
      <c r="I6" s="324">
        <v>75</v>
      </c>
      <c r="J6" s="324">
        <f t="shared" ref="J6" si="11">ROUND(H6*I6,2)</f>
        <v>177.75</v>
      </c>
      <c r="L6" s="369" t="s">
        <v>21682</v>
      </c>
      <c r="M6" s="324">
        <f t="shared" si="4"/>
        <v>0.3</v>
      </c>
      <c r="N6" s="324">
        <f t="shared" si="5"/>
        <v>2.37</v>
      </c>
      <c r="O6" s="324">
        <f t="shared" si="6"/>
        <v>2.67</v>
      </c>
      <c r="Q6" s="369" t="s">
        <v>21692</v>
      </c>
      <c r="R6" s="324">
        <f>5.14+2.91+21.55</f>
        <v>29.6</v>
      </c>
      <c r="S6" s="324">
        <v>3</v>
      </c>
      <c r="T6" s="324">
        <f t="shared" si="7"/>
        <v>32.6</v>
      </c>
    </row>
    <row r="7" spans="2:20" ht="15" x14ac:dyDescent="0.25">
      <c r="B7" s="369" t="s">
        <v>21683</v>
      </c>
      <c r="C7" s="324">
        <v>8.81</v>
      </c>
      <c r="D7" s="324">
        <v>0.2</v>
      </c>
      <c r="E7" s="324">
        <v>0.4</v>
      </c>
      <c r="F7" s="324">
        <f t="shared" ref="F7" si="12">ROUND(0.05*C7*D7,2)</f>
        <v>0.09</v>
      </c>
      <c r="G7" s="324">
        <f t="shared" ref="G7" si="13">ROUND(2*C7*E7,2)</f>
        <v>7.05</v>
      </c>
      <c r="H7" s="324">
        <f t="shared" ref="H7" si="14">ROUND(C7*D7*E7,2)</f>
        <v>0.7</v>
      </c>
      <c r="I7" s="324">
        <v>75</v>
      </c>
      <c r="J7" s="324">
        <f t="shared" ref="J7" si="15">ROUND(H7*I7,2)</f>
        <v>52.5</v>
      </c>
      <c r="L7" s="442" t="s">
        <v>21683</v>
      </c>
      <c r="M7" s="339">
        <f t="shared" si="4"/>
        <v>0.09</v>
      </c>
      <c r="N7" s="324">
        <f t="shared" si="5"/>
        <v>0.7</v>
      </c>
      <c r="O7" s="324">
        <f t="shared" si="6"/>
        <v>0.78999999999999992</v>
      </c>
      <c r="Q7" s="369" t="s">
        <v>21693</v>
      </c>
      <c r="R7" s="324">
        <v>8.81</v>
      </c>
      <c r="S7" s="324">
        <v>3</v>
      </c>
      <c r="T7" s="324">
        <f t="shared" si="7"/>
        <v>11.81</v>
      </c>
    </row>
    <row r="8" spans="2:20" ht="15" x14ac:dyDescent="0.25">
      <c r="B8" s="778" t="s">
        <v>7</v>
      </c>
      <c r="C8" s="778"/>
      <c r="D8" s="778"/>
      <c r="E8" s="778"/>
      <c r="F8" s="371">
        <f>SUBTOTAL(9,F4:F7)</f>
        <v>0.91</v>
      </c>
      <c r="G8" s="371">
        <f t="shared" ref="G8:J8" si="16">SUBTOTAL(9,G4:G7)</f>
        <v>72.709999999999994</v>
      </c>
      <c r="H8" s="371">
        <f t="shared" si="16"/>
        <v>7.27</v>
      </c>
      <c r="I8" s="371"/>
      <c r="J8" s="371">
        <f t="shared" si="16"/>
        <v>545.25</v>
      </c>
      <c r="L8" s="812" t="s">
        <v>7</v>
      </c>
      <c r="M8" s="812"/>
      <c r="N8" s="812"/>
      <c r="O8" s="371">
        <f t="shared" ref="O8" si="17">SUBTOTAL(9,O4:O7)</f>
        <v>8.18</v>
      </c>
      <c r="Q8" s="444" t="s">
        <v>7</v>
      </c>
      <c r="R8" s="371">
        <f t="shared" ref="R8:T8" si="18">SUBTOTAL(9,R4:R7)</f>
        <v>90.89</v>
      </c>
      <c r="S8" s="443"/>
      <c r="T8" s="371">
        <f t="shared" si="18"/>
        <v>102.09</v>
      </c>
    </row>
    <row r="10" spans="2:20" ht="15" x14ac:dyDescent="0.25">
      <c r="L10" s="775" t="s">
        <v>21039</v>
      </c>
      <c r="M10" s="777"/>
    </row>
    <row r="11" spans="2:20" ht="30" x14ac:dyDescent="0.2">
      <c r="L11" s="341" t="s">
        <v>107</v>
      </c>
      <c r="M11" s="342" t="s">
        <v>20604</v>
      </c>
    </row>
    <row r="12" spans="2:20" ht="15" x14ac:dyDescent="0.25">
      <c r="L12" s="369" t="s">
        <v>20666</v>
      </c>
      <c r="M12" s="324">
        <v>3</v>
      </c>
    </row>
    <row r="13" spans="2:20" ht="15" x14ac:dyDescent="0.25">
      <c r="L13" s="369" t="s">
        <v>20667</v>
      </c>
      <c r="M13" s="324">
        <f>$M$12</f>
        <v>3</v>
      </c>
    </row>
    <row r="14" spans="2:20" ht="15" x14ac:dyDescent="0.25">
      <c r="L14" s="369" t="s">
        <v>20668</v>
      </c>
      <c r="M14" s="324">
        <f t="shared" ref="M14:M58" si="19">$M$12</f>
        <v>3</v>
      </c>
    </row>
    <row r="15" spans="2:20" ht="15" x14ac:dyDescent="0.25">
      <c r="L15" s="369" t="s">
        <v>20669</v>
      </c>
      <c r="M15" s="324">
        <f t="shared" si="19"/>
        <v>3</v>
      </c>
    </row>
    <row r="16" spans="2:20" ht="15" x14ac:dyDescent="0.25">
      <c r="L16" s="369" t="s">
        <v>20670</v>
      </c>
      <c r="M16" s="324">
        <f t="shared" si="19"/>
        <v>3</v>
      </c>
    </row>
    <row r="17" spans="12:13" ht="15" x14ac:dyDescent="0.25">
      <c r="L17" s="369" t="s">
        <v>20671</v>
      </c>
      <c r="M17" s="324">
        <f t="shared" si="19"/>
        <v>3</v>
      </c>
    </row>
    <row r="18" spans="12:13" ht="15" x14ac:dyDescent="0.25">
      <c r="L18" s="369" t="s">
        <v>20672</v>
      </c>
      <c r="M18" s="324">
        <f t="shared" si="19"/>
        <v>3</v>
      </c>
    </row>
    <row r="19" spans="12:13" ht="15" x14ac:dyDescent="0.25">
      <c r="L19" s="369" t="s">
        <v>20673</v>
      </c>
      <c r="M19" s="324">
        <f t="shared" si="19"/>
        <v>3</v>
      </c>
    </row>
    <row r="20" spans="12:13" ht="15" x14ac:dyDescent="0.25">
      <c r="L20" s="369" t="s">
        <v>20674</v>
      </c>
      <c r="M20" s="324">
        <f t="shared" si="19"/>
        <v>3</v>
      </c>
    </row>
    <row r="21" spans="12:13" ht="15" x14ac:dyDescent="0.25">
      <c r="L21" s="369" t="s">
        <v>20675</v>
      </c>
      <c r="M21" s="324">
        <f t="shared" si="19"/>
        <v>3</v>
      </c>
    </row>
    <row r="22" spans="12:13" ht="15" x14ac:dyDescent="0.25">
      <c r="L22" s="369" t="s">
        <v>20676</v>
      </c>
      <c r="M22" s="324">
        <f t="shared" si="19"/>
        <v>3</v>
      </c>
    </row>
    <row r="23" spans="12:13" ht="15" x14ac:dyDescent="0.25">
      <c r="L23" s="369" t="s">
        <v>20677</v>
      </c>
      <c r="M23" s="324">
        <f t="shared" si="19"/>
        <v>3</v>
      </c>
    </row>
    <row r="24" spans="12:13" ht="15" x14ac:dyDescent="0.25">
      <c r="L24" s="369" t="s">
        <v>20678</v>
      </c>
      <c r="M24" s="324">
        <f t="shared" si="19"/>
        <v>3</v>
      </c>
    </row>
    <row r="25" spans="12:13" ht="15" x14ac:dyDescent="0.25">
      <c r="L25" s="369" t="s">
        <v>20679</v>
      </c>
      <c r="M25" s="324">
        <f t="shared" si="19"/>
        <v>3</v>
      </c>
    </row>
    <row r="26" spans="12:13" ht="15" x14ac:dyDescent="0.25">
      <c r="L26" s="369" t="s">
        <v>20680</v>
      </c>
      <c r="M26" s="324">
        <f t="shared" si="19"/>
        <v>3</v>
      </c>
    </row>
    <row r="27" spans="12:13" ht="15" x14ac:dyDescent="0.25">
      <c r="L27" s="369" t="s">
        <v>20681</v>
      </c>
      <c r="M27" s="324">
        <f t="shared" si="19"/>
        <v>3</v>
      </c>
    </row>
    <row r="28" spans="12:13" ht="15" x14ac:dyDescent="0.25">
      <c r="L28" s="369" t="s">
        <v>20682</v>
      </c>
      <c r="M28" s="324">
        <f t="shared" si="19"/>
        <v>3</v>
      </c>
    </row>
    <row r="29" spans="12:13" ht="15" x14ac:dyDescent="0.25">
      <c r="L29" s="369" t="s">
        <v>20683</v>
      </c>
      <c r="M29" s="324">
        <f t="shared" si="19"/>
        <v>3</v>
      </c>
    </row>
    <row r="30" spans="12:13" ht="15" x14ac:dyDescent="0.25">
      <c r="L30" s="369" t="s">
        <v>20828</v>
      </c>
      <c r="M30" s="324">
        <f t="shared" si="19"/>
        <v>3</v>
      </c>
    </row>
    <row r="31" spans="12:13" ht="15" x14ac:dyDescent="0.25">
      <c r="L31" s="369" t="s">
        <v>20829</v>
      </c>
      <c r="M31" s="324">
        <f t="shared" si="19"/>
        <v>3</v>
      </c>
    </row>
    <row r="32" spans="12:13" ht="15" x14ac:dyDescent="0.25">
      <c r="L32" s="369" t="s">
        <v>20830</v>
      </c>
      <c r="M32" s="324">
        <f t="shared" si="19"/>
        <v>3</v>
      </c>
    </row>
    <row r="33" spans="12:13" ht="15" x14ac:dyDescent="0.25">
      <c r="L33" s="369" t="s">
        <v>20831</v>
      </c>
      <c r="M33" s="324">
        <f t="shared" si="19"/>
        <v>3</v>
      </c>
    </row>
    <row r="34" spans="12:13" ht="15" x14ac:dyDescent="0.25">
      <c r="L34" s="369" t="s">
        <v>20684</v>
      </c>
      <c r="M34" s="324">
        <f t="shared" si="19"/>
        <v>3</v>
      </c>
    </row>
    <row r="35" spans="12:13" ht="15" x14ac:dyDescent="0.25">
      <c r="L35" s="369" t="s">
        <v>20685</v>
      </c>
      <c r="M35" s="324">
        <f t="shared" si="19"/>
        <v>3</v>
      </c>
    </row>
    <row r="36" spans="12:13" ht="15" x14ac:dyDescent="0.25">
      <c r="L36" s="369" t="s">
        <v>20686</v>
      </c>
      <c r="M36" s="324">
        <f t="shared" si="19"/>
        <v>3</v>
      </c>
    </row>
    <row r="37" spans="12:13" ht="15" x14ac:dyDescent="0.25">
      <c r="L37" s="369" t="s">
        <v>20687</v>
      </c>
      <c r="M37" s="324">
        <f t="shared" si="19"/>
        <v>3</v>
      </c>
    </row>
    <row r="38" spans="12:13" ht="15" x14ac:dyDescent="0.25">
      <c r="L38" s="369" t="s">
        <v>20834</v>
      </c>
      <c r="M38" s="324">
        <f t="shared" si="19"/>
        <v>3</v>
      </c>
    </row>
    <row r="39" spans="12:13" ht="15" x14ac:dyDescent="0.25">
      <c r="L39" s="369" t="s">
        <v>20835</v>
      </c>
      <c r="M39" s="324">
        <f t="shared" si="19"/>
        <v>3</v>
      </c>
    </row>
    <row r="40" spans="12:13" ht="15" x14ac:dyDescent="0.25">
      <c r="L40" s="369" t="s">
        <v>20836</v>
      </c>
      <c r="M40" s="324">
        <f t="shared" si="19"/>
        <v>3</v>
      </c>
    </row>
    <row r="41" spans="12:13" ht="15" x14ac:dyDescent="0.25">
      <c r="L41" s="369" t="s">
        <v>20837</v>
      </c>
      <c r="M41" s="324">
        <f t="shared" si="19"/>
        <v>3</v>
      </c>
    </row>
    <row r="42" spans="12:13" ht="15" x14ac:dyDescent="0.25">
      <c r="L42" s="369" t="s">
        <v>20838</v>
      </c>
      <c r="M42" s="324">
        <f t="shared" si="19"/>
        <v>3</v>
      </c>
    </row>
    <row r="43" spans="12:13" ht="15" x14ac:dyDescent="0.25">
      <c r="L43" s="369" t="s">
        <v>20839</v>
      </c>
      <c r="M43" s="324">
        <f t="shared" si="19"/>
        <v>3</v>
      </c>
    </row>
    <row r="44" spans="12:13" ht="15" x14ac:dyDescent="0.25">
      <c r="L44" s="369" t="s">
        <v>20840</v>
      </c>
      <c r="M44" s="324">
        <f t="shared" si="19"/>
        <v>3</v>
      </c>
    </row>
    <row r="45" spans="12:13" ht="15" x14ac:dyDescent="0.25">
      <c r="L45" s="369" t="s">
        <v>20841</v>
      </c>
      <c r="M45" s="324">
        <f t="shared" si="19"/>
        <v>3</v>
      </c>
    </row>
    <row r="46" spans="12:13" ht="15" x14ac:dyDescent="0.25">
      <c r="L46" s="369" t="s">
        <v>20842</v>
      </c>
      <c r="M46" s="324">
        <f t="shared" si="19"/>
        <v>3</v>
      </c>
    </row>
    <row r="47" spans="12:13" ht="15" x14ac:dyDescent="0.25">
      <c r="L47" s="369" t="s">
        <v>20843</v>
      </c>
      <c r="M47" s="324">
        <f t="shared" si="19"/>
        <v>3</v>
      </c>
    </row>
    <row r="48" spans="12:13" ht="15" x14ac:dyDescent="0.25">
      <c r="L48" s="369" t="s">
        <v>20844</v>
      </c>
      <c r="M48" s="324">
        <f t="shared" si="19"/>
        <v>3</v>
      </c>
    </row>
    <row r="49" spans="12:13" ht="15" x14ac:dyDescent="0.25">
      <c r="L49" s="369" t="s">
        <v>20845</v>
      </c>
      <c r="M49" s="324">
        <f t="shared" si="19"/>
        <v>3</v>
      </c>
    </row>
    <row r="50" spans="12:13" ht="15" x14ac:dyDescent="0.25">
      <c r="L50" s="369" t="s">
        <v>20846</v>
      </c>
      <c r="M50" s="324">
        <f t="shared" si="19"/>
        <v>3</v>
      </c>
    </row>
    <row r="51" spans="12:13" ht="15" x14ac:dyDescent="0.25">
      <c r="L51" s="369" t="s">
        <v>20847</v>
      </c>
      <c r="M51" s="324">
        <f t="shared" si="19"/>
        <v>3</v>
      </c>
    </row>
    <row r="52" spans="12:13" ht="15" x14ac:dyDescent="0.25">
      <c r="L52" s="369" t="s">
        <v>20848</v>
      </c>
      <c r="M52" s="324">
        <f t="shared" si="19"/>
        <v>3</v>
      </c>
    </row>
    <row r="53" spans="12:13" ht="15" x14ac:dyDescent="0.25">
      <c r="L53" s="369" t="s">
        <v>20849</v>
      </c>
      <c r="M53" s="324">
        <f t="shared" si="19"/>
        <v>3</v>
      </c>
    </row>
    <row r="54" spans="12:13" ht="15" x14ac:dyDescent="0.25">
      <c r="L54" s="369" t="s">
        <v>20850</v>
      </c>
      <c r="M54" s="324">
        <f t="shared" si="19"/>
        <v>3</v>
      </c>
    </row>
    <row r="55" spans="12:13" ht="15" x14ac:dyDescent="0.25">
      <c r="L55" s="369" t="s">
        <v>20851</v>
      </c>
      <c r="M55" s="324">
        <f t="shared" si="19"/>
        <v>3</v>
      </c>
    </row>
    <row r="56" spans="12:13" ht="15" x14ac:dyDescent="0.25">
      <c r="L56" s="369" t="s">
        <v>20852</v>
      </c>
      <c r="M56" s="324">
        <f t="shared" si="19"/>
        <v>3</v>
      </c>
    </row>
    <row r="57" spans="12:13" ht="15" x14ac:dyDescent="0.25">
      <c r="L57" s="369" t="s">
        <v>20853</v>
      </c>
      <c r="M57" s="324">
        <f t="shared" si="19"/>
        <v>3</v>
      </c>
    </row>
    <row r="58" spans="12:13" ht="15" x14ac:dyDescent="0.25">
      <c r="L58" s="369" t="s">
        <v>20854</v>
      </c>
      <c r="M58" s="324">
        <f t="shared" si="19"/>
        <v>3</v>
      </c>
    </row>
    <row r="59" spans="12:13" ht="15" x14ac:dyDescent="0.2">
      <c r="L59" s="315" t="s">
        <v>7</v>
      </c>
      <c r="M59" s="330">
        <f>SUM(M12:M58)</f>
        <v>141</v>
      </c>
    </row>
  </sheetData>
  <mergeCells count="6">
    <mergeCell ref="Q2:T2"/>
    <mergeCell ref="B2:J2"/>
    <mergeCell ref="L10:M10"/>
    <mergeCell ref="B8:E8"/>
    <mergeCell ref="L8:N8"/>
    <mergeCell ref="L2:O2"/>
  </mergeCells>
  <phoneticPr fontId="82" type="noConversion"/>
  <pageMargins left="0.511811024" right="0.511811024" top="0.78740157499999996" bottom="0.78740157499999996" header="0.31496062000000002" footer="0.3149606200000000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FF0000"/>
  </sheetPr>
  <dimension ref="B2:AI42"/>
  <sheetViews>
    <sheetView topLeftCell="E1" workbookViewId="0">
      <selection activeCell="Z44" sqref="Z44"/>
    </sheetView>
  </sheetViews>
  <sheetFormatPr defaultColWidth="9.140625" defaultRowHeight="12.75" x14ac:dyDescent="0.2"/>
  <cols>
    <col min="1" max="5" width="9.140625" style="33"/>
    <col min="6" max="7" width="8.85546875" style="33" customWidth="1"/>
    <col min="8" max="8" width="2.140625" style="33" customWidth="1"/>
    <col min="9" max="11" width="9.140625" style="33"/>
    <col min="12" max="12" width="13.28515625" style="33" customWidth="1"/>
    <col min="13" max="13" width="9.140625" style="33"/>
    <col min="14" max="14" width="4.5703125" style="33" customWidth="1"/>
    <col min="15" max="15" width="9.85546875" style="33" customWidth="1"/>
    <col min="16" max="16" width="12.5703125" style="33" customWidth="1"/>
    <col min="17" max="17" width="16.85546875" style="33" customWidth="1"/>
    <col min="18" max="18" width="13.42578125" style="33" bestFit="1" customWidth="1"/>
    <col min="19" max="19" width="4.5703125" style="33" customWidth="1"/>
    <col min="20" max="20" width="18.140625" style="33" bestFit="1" customWidth="1"/>
    <col min="21" max="21" width="14.140625" style="33" customWidth="1"/>
    <col min="22" max="22" width="9.140625" style="33"/>
    <col min="23" max="23" width="8.7109375" style="33" customWidth="1"/>
    <col min="24" max="24" width="9.140625" style="33" customWidth="1"/>
    <col min="25" max="25" width="5.140625" style="33" customWidth="1"/>
    <col min="26" max="26" width="12.85546875" style="33" bestFit="1" customWidth="1"/>
    <col min="27" max="27" width="12" style="33" customWidth="1"/>
    <col min="28" max="28" width="18.140625" style="33" customWidth="1"/>
    <col min="29" max="29" width="12.42578125" style="33" customWidth="1"/>
    <col min="30" max="30" width="3.28515625" style="33" customWidth="1"/>
    <col min="31" max="31" width="16.28515625" style="33" customWidth="1"/>
    <col min="32" max="32" width="13.42578125" style="33" customWidth="1"/>
    <col min="33" max="33" width="13" style="33" customWidth="1"/>
    <col min="34" max="34" width="12.5703125" style="33" customWidth="1"/>
    <col min="35" max="16384" width="9.140625" style="33"/>
  </cols>
  <sheetData>
    <row r="2" spans="2:35" x14ac:dyDescent="0.2">
      <c r="B2" s="802" t="s">
        <v>20583</v>
      </c>
      <c r="C2" s="802"/>
      <c r="D2" s="802"/>
      <c r="E2" s="802"/>
      <c r="F2" s="802"/>
      <c r="G2" s="802"/>
    </row>
    <row r="3" spans="2:35" x14ac:dyDescent="0.2">
      <c r="B3" s="817" t="s">
        <v>20431</v>
      </c>
      <c r="C3" s="817" t="s">
        <v>20432</v>
      </c>
      <c r="D3" s="818" t="s">
        <v>20438</v>
      </c>
      <c r="E3" s="817" t="s">
        <v>5</v>
      </c>
      <c r="F3" s="817" t="s">
        <v>20433</v>
      </c>
      <c r="G3" s="817"/>
      <c r="I3" s="802" t="s">
        <v>20442</v>
      </c>
      <c r="J3" s="802"/>
      <c r="K3" s="802"/>
      <c r="L3" s="802"/>
      <c r="M3" s="802"/>
      <c r="O3" s="802" t="s">
        <v>20582</v>
      </c>
      <c r="P3" s="802"/>
      <c r="Q3" s="802"/>
      <c r="R3" s="802"/>
      <c r="T3" s="802" t="s">
        <v>20448</v>
      </c>
      <c r="U3" s="802"/>
      <c r="V3" s="802"/>
      <c r="W3" s="802"/>
      <c r="Z3" s="802" t="s">
        <v>20453</v>
      </c>
      <c r="AA3" s="802"/>
      <c r="AB3" s="802"/>
      <c r="AC3" s="802"/>
      <c r="AE3" s="802" t="s">
        <v>20468</v>
      </c>
      <c r="AF3" s="802"/>
      <c r="AG3" s="802"/>
      <c r="AH3" s="802"/>
      <c r="AI3" s="802"/>
    </row>
    <row r="4" spans="2:35" ht="30" x14ac:dyDescent="0.2">
      <c r="B4" s="817"/>
      <c r="C4" s="817"/>
      <c r="D4" s="818"/>
      <c r="E4" s="817"/>
      <c r="F4" s="182" t="s">
        <v>20434</v>
      </c>
      <c r="G4" s="182" t="s">
        <v>20435</v>
      </c>
      <c r="I4" s="181" t="s">
        <v>20431</v>
      </c>
      <c r="J4" s="182" t="s">
        <v>20445</v>
      </c>
      <c r="K4" s="182" t="s">
        <v>20443</v>
      </c>
      <c r="L4" s="182" t="s">
        <v>20447</v>
      </c>
      <c r="M4" s="182" t="s">
        <v>20444</v>
      </c>
      <c r="O4" s="182" t="s">
        <v>107</v>
      </c>
      <c r="P4" s="182" t="s">
        <v>20402</v>
      </c>
      <c r="Q4" s="182" t="s">
        <v>20463</v>
      </c>
      <c r="R4" s="182" t="s">
        <v>98</v>
      </c>
      <c r="T4" s="182" t="s">
        <v>107</v>
      </c>
      <c r="U4" s="182" t="s">
        <v>98</v>
      </c>
      <c r="V4" s="182" t="s">
        <v>87</v>
      </c>
      <c r="W4" s="182" t="s">
        <v>88</v>
      </c>
      <c r="Z4" s="213" t="s">
        <v>107</v>
      </c>
      <c r="AA4" s="214" t="s">
        <v>20359</v>
      </c>
      <c r="AB4" s="214" t="s">
        <v>20360</v>
      </c>
      <c r="AC4" s="214" t="s">
        <v>20451</v>
      </c>
      <c r="AE4" s="182" t="s">
        <v>107</v>
      </c>
      <c r="AF4" s="182" t="s">
        <v>20402</v>
      </c>
      <c r="AG4" s="182" t="s">
        <v>98</v>
      </c>
      <c r="AH4" s="182" t="s">
        <v>20469</v>
      </c>
      <c r="AI4" s="182" t="s">
        <v>20470</v>
      </c>
    </row>
    <row r="5" spans="2:35" x14ac:dyDescent="0.2">
      <c r="B5" s="814" t="s">
        <v>20437</v>
      </c>
      <c r="C5" s="815"/>
      <c r="D5" s="815"/>
      <c r="E5" s="815"/>
      <c r="F5" s="815"/>
      <c r="G5" s="816"/>
      <c r="I5" s="158" t="s">
        <v>20446</v>
      </c>
      <c r="J5" s="158">
        <v>8</v>
      </c>
      <c r="K5" s="169">
        <f>(G15+G19)/100</f>
        <v>831.3</v>
      </c>
      <c r="L5" s="164">
        <v>0.4</v>
      </c>
      <c r="M5" s="158">
        <f>ROUND(K5*L5,2)</f>
        <v>332.52</v>
      </c>
      <c r="O5" s="170" t="s">
        <v>20403</v>
      </c>
      <c r="P5" s="164">
        <v>11</v>
      </c>
      <c r="Q5" s="164">
        <v>2</v>
      </c>
      <c r="R5" s="164">
        <f>ROUND(P5*Q5,2)</f>
        <v>22</v>
      </c>
      <c r="T5" s="170" t="s">
        <v>20403</v>
      </c>
      <c r="U5" s="164">
        <v>21</v>
      </c>
      <c r="V5" s="164">
        <v>1.2</v>
      </c>
      <c r="W5" s="164">
        <f t="shared" ref="W5:W12" si="0">ROUND(U5*V5,2)</f>
        <v>25.2</v>
      </c>
      <c r="Z5" s="170" t="s">
        <v>20452</v>
      </c>
      <c r="AA5" s="215">
        <f>3*21+10.4+3*0.03</f>
        <v>73.490000000000009</v>
      </c>
      <c r="AB5" s="215">
        <v>3.29</v>
      </c>
      <c r="AC5" s="215">
        <f>ROUND(AB5*AA5,2)</f>
        <v>241.78</v>
      </c>
      <c r="AE5" s="170" t="s">
        <v>20473</v>
      </c>
      <c r="AF5" s="164">
        <v>54</v>
      </c>
      <c r="AG5" s="164">
        <v>1.2</v>
      </c>
      <c r="AH5" s="216">
        <v>2.1600000000000001E-2</v>
      </c>
      <c r="AI5" s="164">
        <f>ROUND(AF5*AG5*AH5,2)</f>
        <v>1.4</v>
      </c>
    </row>
    <row r="6" spans="2:35" x14ac:dyDescent="0.2">
      <c r="B6" s="173" t="s">
        <v>20436</v>
      </c>
      <c r="C6" s="158">
        <v>1</v>
      </c>
      <c r="D6" s="168">
        <v>10</v>
      </c>
      <c r="E6" s="168">
        <v>12</v>
      </c>
      <c r="F6" s="168">
        <v>940</v>
      </c>
      <c r="G6" s="168">
        <f>E6*F6</f>
        <v>11280</v>
      </c>
      <c r="I6" s="158" t="s">
        <v>20446</v>
      </c>
      <c r="J6" s="158">
        <v>10</v>
      </c>
      <c r="K6" s="169">
        <f>(G6+G7+G10+G14+G18)/100</f>
        <v>595.91999999999996</v>
      </c>
      <c r="L6" s="158">
        <v>0.62</v>
      </c>
      <c r="M6" s="158">
        <f>ROUND(K6*L6,2)</f>
        <v>369.47</v>
      </c>
      <c r="O6" s="170" t="s">
        <v>20404</v>
      </c>
      <c r="P6" s="164">
        <v>11</v>
      </c>
      <c r="Q6" s="164">
        <v>2</v>
      </c>
      <c r="R6" s="164">
        <f>ROUND(P6*Q6,2)</f>
        <v>22</v>
      </c>
      <c r="T6" s="170" t="s">
        <v>20404</v>
      </c>
      <c r="U6" s="164">
        <v>21</v>
      </c>
      <c r="V6" s="164">
        <v>1.2</v>
      </c>
      <c r="W6" s="164">
        <f t="shared" si="0"/>
        <v>25.2</v>
      </c>
      <c r="AE6" s="170" t="s">
        <v>20474</v>
      </c>
      <c r="AF6" s="164">
        <v>54</v>
      </c>
      <c r="AG6" s="164">
        <v>1.2</v>
      </c>
      <c r="AH6" s="216">
        <v>2.1600000000000001E-2</v>
      </c>
      <c r="AI6" s="164">
        <f t="shared" ref="AI6:AI12" si="1">ROUND(AF6*AG6*AH6,2)</f>
        <v>1.4</v>
      </c>
    </row>
    <row r="7" spans="2:35" x14ac:dyDescent="0.2">
      <c r="B7" s="173" t="s">
        <v>20436</v>
      </c>
      <c r="C7" s="158">
        <v>2</v>
      </c>
      <c r="D7" s="168">
        <v>10</v>
      </c>
      <c r="E7" s="168">
        <v>12</v>
      </c>
      <c r="F7" s="168">
        <v>1200</v>
      </c>
      <c r="G7" s="168">
        <f>E7*F7</f>
        <v>14400</v>
      </c>
      <c r="I7" s="158" t="s">
        <v>20446</v>
      </c>
      <c r="J7" s="158">
        <v>12.5</v>
      </c>
      <c r="K7" s="169">
        <f>(G8+G11+G13+G17)/100</f>
        <v>1077.4000000000001</v>
      </c>
      <c r="L7" s="158">
        <v>0.98</v>
      </c>
      <c r="M7" s="169">
        <f>ROUND(K7*L7,2)</f>
        <v>1055.8499999999999</v>
      </c>
      <c r="O7" s="170" t="s">
        <v>20449</v>
      </c>
      <c r="P7" s="164">
        <v>11</v>
      </c>
      <c r="Q7" s="164">
        <v>2</v>
      </c>
      <c r="R7" s="164">
        <f>ROUND(P7*Q7,2)</f>
        <v>22</v>
      </c>
      <c r="T7" s="170" t="s">
        <v>20449</v>
      </c>
      <c r="U7" s="164">
        <v>21</v>
      </c>
      <c r="V7" s="164">
        <v>1.2</v>
      </c>
      <c r="W7" s="164">
        <f t="shared" si="0"/>
        <v>25.2</v>
      </c>
      <c r="AE7" s="170" t="s">
        <v>20475</v>
      </c>
      <c r="AF7" s="164">
        <v>54</v>
      </c>
      <c r="AG7" s="164">
        <v>1.2</v>
      </c>
      <c r="AH7" s="216">
        <v>2.1600000000000001E-2</v>
      </c>
      <c r="AI7" s="164">
        <f t="shared" si="1"/>
        <v>1.4</v>
      </c>
    </row>
    <row r="8" spans="2:35" x14ac:dyDescent="0.2">
      <c r="B8" s="173" t="s">
        <v>20436</v>
      </c>
      <c r="C8" s="158">
        <v>3</v>
      </c>
      <c r="D8" s="217">
        <v>12.5</v>
      </c>
      <c r="E8" s="168">
        <v>162</v>
      </c>
      <c r="F8" s="168">
        <v>175</v>
      </c>
      <c r="G8" s="168">
        <f>E8*F8</f>
        <v>28350</v>
      </c>
      <c r="I8" s="803" t="s">
        <v>7</v>
      </c>
      <c r="J8" s="804"/>
      <c r="K8" s="804"/>
      <c r="L8" s="805"/>
      <c r="M8" s="174">
        <f>SUM(M5:M7)</f>
        <v>1757.84</v>
      </c>
      <c r="O8" s="170" t="s">
        <v>20450</v>
      </c>
      <c r="P8" s="164">
        <v>6</v>
      </c>
      <c r="Q8" s="164">
        <v>2</v>
      </c>
      <c r="R8" s="164">
        <f>ROUND(P8*Q8,2)</f>
        <v>12</v>
      </c>
      <c r="T8" s="170" t="s">
        <v>20450</v>
      </c>
      <c r="U8" s="164">
        <v>10.4</v>
      </c>
      <c r="V8" s="164">
        <v>1.2</v>
      </c>
      <c r="W8" s="164">
        <f t="shared" si="0"/>
        <v>12.48</v>
      </c>
      <c r="AE8" s="170" t="s">
        <v>20476</v>
      </c>
      <c r="AF8" s="164">
        <v>28</v>
      </c>
      <c r="AG8" s="164">
        <v>1.2</v>
      </c>
      <c r="AH8" s="216">
        <v>2.1600000000000001E-2</v>
      </c>
      <c r="AI8" s="164">
        <f t="shared" si="1"/>
        <v>0.73</v>
      </c>
    </row>
    <row r="9" spans="2:35" x14ac:dyDescent="0.2">
      <c r="B9" s="814" t="s">
        <v>20439</v>
      </c>
      <c r="C9" s="815"/>
      <c r="D9" s="815"/>
      <c r="E9" s="815"/>
      <c r="F9" s="815"/>
      <c r="G9" s="816"/>
      <c r="O9" s="813" t="s">
        <v>7</v>
      </c>
      <c r="P9" s="813"/>
      <c r="Q9" s="813"/>
      <c r="R9" s="174">
        <f>SUM(R5:R8)</f>
        <v>78</v>
      </c>
      <c r="T9" s="170" t="s">
        <v>20464</v>
      </c>
      <c r="U9" s="164">
        <f>11*0.2</f>
        <v>2.2000000000000002</v>
      </c>
      <c r="V9" s="164">
        <v>1.2</v>
      </c>
      <c r="W9" s="164">
        <f t="shared" si="0"/>
        <v>2.64</v>
      </c>
      <c r="AE9" s="170" t="s">
        <v>20471</v>
      </c>
      <c r="AF9" s="164">
        <v>2</v>
      </c>
      <c r="AG9" s="164">
        <v>21</v>
      </c>
      <c r="AH9" s="216">
        <v>2.29E-2</v>
      </c>
      <c r="AI9" s="164">
        <f t="shared" si="1"/>
        <v>0.96</v>
      </c>
    </row>
    <row r="10" spans="2:35" x14ac:dyDescent="0.2">
      <c r="B10" s="173" t="s">
        <v>20436</v>
      </c>
      <c r="C10" s="158">
        <v>1</v>
      </c>
      <c r="D10" s="168">
        <v>10</v>
      </c>
      <c r="E10" s="168">
        <v>4</v>
      </c>
      <c r="F10" s="168">
        <v>1029</v>
      </c>
      <c r="G10" s="168">
        <f>E10*F10</f>
        <v>4116</v>
      </c>
      <c r="T10" s="170" t="s">
        <v>20465</v>
      </c>
      <c r="U10" s="164">
        <f>11*0.2</f>
        <v>2.2000000000000002</v>
      </c>
      <c r="V10" s="164">
        <v>1.2</v>
      </c>
      <c r="W10" s="164">
        <f t="shared" si="0"/>
        <v>2.64</v>
      </c>
      <c r="AE10" s="170" t="s">
        <v>20472</v>
      </c>
      <c r="AF10" s="164">
        <v>2</v>
      </c>
      <c r="AG10" s="164">
        <v>21</v>
      </c>
      <c r="AH10" s="216">
        <v>2.29E-2</v>
      </c>
      <c r="AI10" s="164">
        <f t="shared" si="1"/>
        <v>0.96</v>
      </c>
    </row>
    <row r="11" spans="2:35" x14ac:dyDescent="0.2">
      <c r="B11" s="173" t="s">
        <v>20436</v>
      </c>
      <c r="C11" s="158">
        <v>2</v>
      </c>
      <c r="D11" s="217">
        <v>12.5</v>
      </c>
      <c r="E11" s="168">
        <v>28</v>
      </c>
      <c r="F11" s="168">
        <v>175</v>
      </c>
      <c r="G11" s="168">
        <f>E11*F11</f>
        <v>4900</v>
      </c>
      <c r="T11" s="170" t="s">
        <v>20466</v>
      </c>
      <c r="U11" s="164">
        <f>11*0.2</f>
        <v>2.2000000000000002</v>
      </c>
      <c r="V11" s="164">
        <v>1.2</v>
      </c>
      <c r="W11" s="164">
        <f t="shared" si="0"/>
        <v>2.64</v>
      </c>
      <c r="AE11" s="170" t="s">
        <v>20477</v>
      </c>
      <c r="AF11" s="164">
        <v>2</v>
      </c>
      <c r="AG11" s="164">
        <v>21</v>
      </c>
      <c r="AH11" s="216">
        <v>2.29E-2</v>
      </c>
      <c r="AI11" s="164">
        <f t="shared" si="1"/>
        <v>0.96</v>
      </c>
    </row>
    <row r="12" spans="2:35" x14ac:dyDescent="0.2">
      <c r="B12" s="814" t="s">
        <v>20440</v>
      </c>
      <c r="C12" s="815"/>
      <c r="D12" s="815"/>
      <c r="E12" s="815"/>
      <c r="F12" s="815"/>
      <c r="G12" s="816"/>
      <c r="T12" s="170" t="s">
        <v>20467</v>
      </c>
      <c r="U12" s="164">
        <f>11*0.2</f>
        <v>2.2000000000000002</v>
      </c>
      <c r="V12" s="164">
        <v>1.2</v>
      </c>
      <c r="W12" s="164">
        <f t="shared" si="0"/>
        <v>2.64</v>
      </c>
      <c r="AE12" s="170" t="s">
        <v>20478</v>
      </c>
      <c r="AF12" s="164">
        <v>2</v>
      </c>
      <c r="AG12" s="164">
        <v>10.4</v>
      </c>
      <c r="AH12" s="216">
        <v>2.29E-2</v>
      </c>
      <c r="AI12" s="164">
        <f t="shared" si="1"/>
        <v>0.48</v>
      </c>
    </row>
    <row r="13" spans="2:35" x14ac:dyDescent="0.2">
      <c r="B13" s="173" t="s">
        <v>20436</v>
      </c>
      <c r="C13" s="158">
        <v>1</v>
      </c>
      <c r="D13" s="217">
        <v>12.5</v>
      </c>
      <c r="E13" s="168">
        <v>60</v>
      </c>
      <c r="F13" s="168">
        <v>1070</v>
      </c>
      <c r="G13" s="168">
        <f>E13*F13</f>
        <v>64200</v>
      </c>
      <c r="T13" s="813" t="s">
        <v>7</v>
      </c>
      <c r="U13" s="813"/>
      <c r="V13" s="813"/>
      <c r="W13" s="174">
        <f>SUM(W5:W12)</f>
        <v>98.64</v>
      </c>
      <c r="AE13" s="813" t="s">
        <v>7</v>
      </c>
      <c r="AF13" s="813"/>
      <c r="AG13" s="813"/>
      <c r="AH13" s="813"/>
      <c r="AI13" s="174">
        <f>SUM(AI5:AI12)</f>
        <v>8.2899999999999991</v>
      </c>
    </row>
    <row r="14" spans="2:35" x14ac:dyDescent="0.2">
      <c r="B14" s="173" t="s">
        <v>20436</v>
      </c>
      <c r="C14" s="158">
        <v>2</v>
      </c>
      <c r="D14" s="168">
        <v>10</v>
      </c>
      <c r="E14" s="168">
        <v>24</v>
      </c>
      <c r="F14" s="168">
        <v>1070</v>
      </c>
      <c r="G14" s="168">
        <f>E14*F14</f>
        <v>25680</v>
      </c>
    </row>
    <row r="15" spans="2:35" x14ac:dyDescent="0.2">
      <c r="B15" s="173" t="s">
        <v>20436</v>
      </c>
      <c r="C15" s="158">
        <v>3</v>
      </c>
      <c r="D15" s="168">
        <v>8</v>
      </c>
      <c r="E15" s="168">
        <v>420</v>
      </c>
      <c r="F15" s="168">
        <v>170</v>
      </c>
      <c r="G15" s="168">
        <f>E15*F15</f>
        <v>71400</v>
      </c>
    </row>
    <row r="16" spans="2:35" x14ac:dyDescent="0.2">
      <c r="B16" s="814" t="s">
        <v>20441</v>
      </c>
      <c r="C16" s="815"/>
      <c r="D16" s="815"/>
      <c r="E16" s="815"/>
      <c r="F16" s="815"/>
      <c r="G16" s="816"/>
    </row>
    <row r="17" spans="2:24" x14ac:dyDescent="0.2">
      <c r="B17" s="173" t="s">
        <v>20436</v>
      </c>
      <c r="C17" s="158">
        <v>1</v>
      </c>
      <c r="D17" s="217">
        <v>12.5</v>
      </c>
      <c r="E17" s="168">
        <v>10</v>
      </c>
      <c r="F17" s="168">
        <v>1029</v>
      </c>
      <c r="G17" s="168">
        <f>E17*F17</f>
        <v>10290</v>
      </c>
    </row>
    <row r="18" spans="2:24" x14ac:dyDescent="0.2">
      <c r="B18" s="173" t="s">
        <v>20436</v>
      </c>
      <c r="C18" s="158">
        <v>2</v>
      </c>
      <c r="D18" s="168">
        <v>10</v>
      </c>
      <c r="E18" s="168">
        <v>4</v>
      </c>
      <c r="F18" s="168">
        <v>1029</v>
      </c>
      <c r="G18" s="168">
        <f>E18*F18</f>
        <v>4116</v>
      </c>
    </row>
    <row r="19" spans="2:24" x14ac:dyDescent="0.2">
      <c r="B19" s="173" t="s">
        <v>20436</v>
      </c>
      <c r="C19" s="158">
        <v>3</v>
      </c>
      <c r="D19" s="168">
        <v>8</v>
      </c>
      <c r="E19" s="168">
        <v>69</v>
      </c>
      <c r="F19" s="168">
        <v>170</v>
      </c>
      <c r="G19" s="168">
        <f>E19*F19</f>
        <v>11730</v>
      </c>
    </row>
    <row r="20" spans="2:24" x14ac:dyDescent="0.2">
      <c r="B20" s="180"/>
      <c r="C20" s="218"/>
      <c r="D20" s="219"/>
      <c r="E20" s="219"/>
      <c r="F20" s="219"/>
      <c r="G20" s="219"/>
    </row>
    <row r="22" spans="2:24" x14ac:dyDescent="0.2">
      <c r="T22" s="802" t="s">
        <v>20458</v>
      </c>
      <c r="U22" s="802"/>
      <c r="V22" s="802"/>
      <c r="W22" s="802"/>
    </row>
    <row r="23" spans="2:24" ht="25.5" x14ac:dyDescent="0.2">
      <c r="T23" s="182" t="s">
        <v>107</v>
      </c>
      <c r="U23" s="182" t="s">
        <v>98</v>
      </c>
      <c r="V23" s="182" t="s">
        <v>87</v>
      </c>
      <c r="W23" s="182" t="s">
        <v>20405</v>
      </c>
    </row>
    <row r="24" spans="2:24" x14ac:dyDescent="0.2">
      <c r="T24" s="170" t="s">
        <v>20454</v>
      </c>
      <c r="U24" s="164">
        <v>21</v>
      </c>
      <c r="V24" s="164">
        <v>0.5</v>
      </c>
      <c r="W24" s="164">
        <f>ROUND(2*U24*V24,2)</f>
        <v>21</v>
      </c>
    </row>
    <row r="25" spans="2:24" x14ac:dyDescent="0.2">
      <c r="T25" s="170" t="s">
        <v>20455</v>
      </c>
      <c r="U25" s="164">
        <v>21</v>
      </c>
      <c r="V25" s="164">
        <v>0.5</v>
      </c>
      <c r="W25" s="164">
        <f>ROUND(2*U25*V25,2)</f>
        <v>21</v>
      </c>
    </row>
    <row r="26" spans="2:24" x14ac:dyDescent="0.2">
      <c r="T26" s="808" t="s">
        <v>7</v>
      </c>
      <c r="U26" s="809"/>
      <c r="V26" s="810"/>
      <c r="W26" s="175">
        <f>SUM(W24:W25)</f>
        <v>42</v>
      </c>
    </row>
    <row r="28" spans="2:24" x14ac:dyDescent="0.2">
      <c r="T28" s="802" t="s">
        <v>20462</v>
      </c>
      <c r="U28" s="802"/>
      <c r="V28" s="802"/>
      <c r="W28" s="802"/>
      <c r="X28" s="802"/>
    </row>
    <row r="29" spans="2:24" ht="25.5" x14ac:dyDescent="0.2">
      <c r="T29" s="182" t="s">
        <v>107</v>
      </c>
      <c r="U29" s="182" t="s">
        <v>98</v>
      </c>
      <c r="V29" s="182" t="s">
        <v>89</v>
      </c>
      <c r="W29" s="182" t="s">
        <v>87</v>
      </c>
      <c r="X29" s="182" t="s">
        <v>20461</v>
      </c>
    </row>
    <row r="30" spans="2:24" x14ac:dyDescent="0.2">
      <c r="T30" s="170" t="s">
        <v>20454</v>
      </c>
      <c r="U30" s="164">
        <v>21</v>
      </c>
      <c r="V30" s="164">
        <v>0.5</v>
      </c>
      <c r="W30" s="164">
        <v>0.05</v>
      </c>
      <c r="X30" s="164">
        <f>ROUND(W30*V30*U30,2)</f>
        <v>0.53</v>
      </c>
    </row>
    <row r="31" spans="2:24" x14ac:dyDescent="0.2">
      <c r="T31" s="170" t="s">
        <v>20455</v>
      </c>
      <c r="U31" s="164">
        <v>21</v>
      </c>
      <c r="V31" s="164">
        <v>0.5</v>
      </c>
      <c r="W31" s="164">
        <v>0.05</v>
      </c>
      <c r="X31" s="164">
        <f>ROUND(W31*V31*U31,2)</f>
        <v>0.53</v>
      </c>
    </row>
    <row r="32" spans="2:24" x14ac:dyDescent="0.2">
      <c r="T32" s="170" t="s">
        <v>20456</v>
      </c>
      <c r="U32" s="164">
        <v>21</v>
      </c>
      <c r="V32" s="164">
        <v>0.5</v>
      </c>
      <c r="W32" s="164">
        <v>0.05</v>
      </c>
      <c r="X32" s="164">
        <f>ROUND(W32*V32*U32,2)</f>
        <v>0.53</v>
      </c>
    </row>
    <row r="33" spans="20:24" x14ac:dyDescent="0.2">
      <c r="T33" s="170" t="s">
        <v>20457</v>
      </c>
      <c r="U33" s="164">
        <v>10.4</v>
      </c>
      <c r="V33" s="164">
        <v>0.5</v>
      </c>
      <c r="W33" s="164">
        <v>0.05</v>
      </c>
      <c r="X33" s="164">
        <f>ROUND(W33*V33*U33,2)</f>
        <v>0.26</v>
      </c>
    </row>
    <row r="34" spans="20:24" x14ac:dyDescent="0.2">
      <c r="T34" s="803" t="s">
        <v>7</v>
      </c>
      <c r="U34" s="804"/>
      <c r="V34" s="804"/>
      <c r="W34" s="805"/>
      <c r="X34" s="159">
        <f>SUM(X30:X33)</f>
        <v>1.85</v>
      </c>
    </row>
    <row r="36" spans="20:24" x14ac:dyDescent="0.2">
      <c r="T36" s="802" t="s">
        <v>20459</v>
      </c>
      <c r="U36" s="802"/>
      <c r="V36" s="802"/>
      <c r="W36" s="802"/>
      <c r="X36" s="802"/>
    </row>
    <row r="37" spans="20:24" ht="25.5" x14ac:dyDescent="0.2">
      <c r="T37" s="182" t="s">
        <v>107</v>
      </c>
      <c r="U37" s="182" t="s">
        <v>98</v>
      </c>
      <c r="V37" s="182" t="s">
        <v>89</v>
      </c>
      <c r="W37" s="182" t="s">
        <v>87</v>
      </c>
      <c r="X37" s="182" t="s">
        <v>20460</v>
      </c>
    </row>
    <row r="38" spans="20:24" x14ac:dyDescent="0.2">
      <c r="T38" s="170" t="s">
        <v>20454</v>
      </c>
      <c r="U38" s="164">
        <v>21</v>
      </c>
      <c r="V38" s="164">
        <v>0.5</v>
      </c>
      <c r="W38" s="164">
        <v>0.5</v>
      </c>
      <c r="X38" s="164">
        <f>ROUND(W38*V38*U38,2)</f>
        <v>5.25</v>
      </c>
    </row>
    <row r="39" spans="20:24" x14ac:dyDescent="0.2">
      <c r="T39" s="170" t="s">
        <v>20455</v>
      </c>
      <c r="U39" s="164">
        <v>21</v>
      </c>
      <c r="V39" s="164">
        <v>0.5</v>
      </c>
      <c r="W39" s="164">
        <v>0.5</v>
      </c>
      <c r="X39" s="164">
        <f>ROUND(W39*V39*U39,2)</f>
        <v>5.25</v>
      </c>
    </row>
    <row r="40" spans="20:24" x14ac:dyDescent="0.2">
      <c r="T40" s="170" t="s">
        <v>20456</v>
      </c>
      <c r="U40" s="164">
        <v>21</v>
      </c>
      <c r="V40" s="164">
        <v>0.5</v>
      </c>
      <c r="W40" s="164">
        <v>0.5</v>
      </c>
      <c r="X40" s="164">
        <f>ROUND(W40*V40*U40,2)</f>
        <v>5.25</v>
      </c>
    </row>
    <row r="41" spans="20:24" x14ac:dyDescent="0.2">
      <c r="T41" s="170" t="s">
        <v>20457</v>
      </c>
      <c r="U41" s="164">
        <v>10.4</v>
      </c>
      <c r="V41" s="164">
        <v>0.5</v>
      </c>
      <c r="W41" s="164">
        <v>0.5</v>
      </c>
      <c r="X41" s="164">
        <f>ROUND(W41*V41*U41,2)</f>
        <v>2.6</v>
      </c>
    </row>
    <row r="42" spans="20:24" x14ac:dyDescent="0.2">
      <c r="T42" s="803" t="s">
        <v>7</v>
      </c>
      <c r="U42" s="804"/>
      <c r="V42" s="804"/>
      <c r="W42" s="805"/>
      <c r="X42" s="159">
        <f>SUM(X38:X41)</f>
        <v>18.350000000000001</v>
      </c>
    </row>
  </sheetData>
  <mergeCells count="25">
    <mergeCell ref="T42:W42"/>
    <mergeCell ref="T3:W3"/>
    <mergeCell ref="T13:V13"/>
    <mergeCell ref="B2:G2"/>
    <mergeCell ref="B9:G9"/>
    <mergeCell ref="B12:G12"/>
    <mergeCell ref="B16:G16"/>
    <mergeCell ref="I3:M3"/>
    <mergeCell ref="I8:L8"/>
    <mergeCell ref="B3:B4"/>
    <mergeCell ref="C3:C4"/>
    <mergeCell ref="D3:D4"/>
    <mergeCell ref="E3:E4"/>
    <mergeCell ref="F3:G3"/>
    <mergeCell ref="B5:G5"/>
    <mergeCell ref="AE3:AI3"/>
    <mergeCell ref="AE13:AH13"/>
    <mergeCell ref="T34:W34"/>
    <mergeCell ref="T36:X36"/>
    <mergeCell ref="O3:R3"/>
    <mergeCell ref="O9:Q9"/>
    <mergeCell ref="Z3:AC3"/>
    <mergeCell ref="T22:W22"/>
    <mergeCell ref="T26:V26"/>
    <mergeCell ref="T28:X28"/>
  </mergeCells>
  <phoneticPr fontId="4" type="noConversion"/>
  <pageMargins left="0.511811024" right="0.511811024" top="0.78740157499999996" bottom="0.78740157499999996" header="0.31496062000000002" footer="0.3149606200000000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FFFF00"/>
  </sheetPr>
  <dimension ref="B2:L202"/>
  <sheetViews>
    <sheetView topLeftCell="A136" workbookViewId="0">
      <selection activeCell="K150" sqref="K150"/>
    </sheetView>
  </sheetViews>
  <sheetFormatPr defaultColWidth="9.140625" defaultRowHeight="12.75" x14ac:dyDescent="0.2"/>
  <cols>
    <col min="1" max="1" width="9.140625" style="308"/>
    <col min="2" max="2" width="10.85546875" style="308" customWidth="1"/>
    <col min="3" max="5" width="9.140625" style="308"/>
    <col min="6" max="6" width="12.7109375" style="308" customWidth="1"/>
    <col min="7" max="7" width="9" style="308" bestFit="1" customWidth="1"/>
    <col min="8" max="8" width="11.42578125" style="308" customWidth="1"/>
    <col min="9" max="16384" width="9.140625" style="308"/>
  </cols>
  <sheetData>
    <row r="2" spans="2:9" ht="15.75" x14ac:dyDescent="0.2">
      <c r="B2" s="825" t="s">
        <v>21914</v>
      </c>
      <c r="C2" s="825"/>
      <c r="D2" s="825"/>
      <c r="E2" s="825"/>
      <c r="F2" s="825"/>
      <c r="G2" s="825"/>
      <c r="H2" s="825"/>
      <c r="I2" s="825"/>
    </row>
    <row r="3" spans="2:9" ht="30" x14ac:dyDescent="0.2">
      <c r="B3" s="579" t="s">
        <v>21910</v>
      </c>
      <c r="C3" s="580" t="s">
        <v>21906</v>
      </c>
      <c r="D3" s="580" t="s">
        <v>21907</v>
      </c>
      <c r="E3" s="580" t="s">
        <v>20431</v>
      </c>
      <c r="F3" s="580" t="s">
        <v>21912</v>
      </c>
      <c r="G3" s="580" t="s">
        <v>21954</v>
      </c>
      <c r="H3" s="580" t="s">
        <v>21908</v>
      </c>
      <c r="I3" s="580" t="s">
        <v>20482</v>
      </c>
    </row>
    <row r="4" spans="2:9" x14ac:dyDescent="0.2">
      <c r="B4" s="571" t="s">
        <v>21911</v>
      </c>
      <c r="C4" s="309">
        <v>10</v>
      </c>
      <c r="D4" s="309">
        <v>6</v>
      </c>
      <c r="E4" s="309" t="s">
        <v>21913</v>
      </c>
      <c r="F4" s="309">
        <v>3.79</v>
      </c>
      <c r="G4" s="572">
        <f>ROUND(D4*F4,2)</f>
        <v>22.74</v>
      </c>
      <c r="H4" s="309">
        <v>0.62</v>
      </c>
      <c r="I4" s="572">
        <f>ROUND(D4*F4*H4,2)</f>
        <v>14.1</v>
      </c>
    </row>
    <row r="5" spans="2:9" x14ac:dyDescent="0.2">
      <c r="B5" s="571" t="s">
        <v>21915</v>
      </c>
      <c r="C5" s="309">
        <v>10</v>
      </c>
      <c r="D5" s="309">
        <v>2</v>
      </c>
      <c r="E5" s="309" t="s">
        <v>21913</v>
      </c>
      <c r="F5" s="309">
        <v>2.59</v>
      </c>
      <c r="G5" s="572">
        <f t="shared" ref="G5:G7" si="0">ROUND(D5*F5,2)</f>
        <v>5.18</v>
      </c>
      <c r="H5" s="309">
        <v>0.62</v>
      </c>
      <c r="I5" s="572">
        <f t="shared" ref="I5:I7" si="1">ROUND(D5*F5*H5,2)</f>
        <v>3.21</v>
      </c>
    </row>
    <row r="6" spans="2:9" x14ac:dyDescent="0.2">
      <c r="B6" s="571" t="s">
        <v>21916</v>
      </c>
      <c r="C6" s="309">
        <v>12.5</v>
      </c>
      <c r="D6" s="309">
        <v>24</v>
      </c>
      <c r="E6" s="309" t="s">
        <v>21913</v>
      </c>
      <c r="F6" s="309">
        <v>1.08</v>
      </c>
      <c r="G6" s="572">
        <f t="shared" si="0"/>
        <v>25.92</v>
      </c>
      <c r="H6" s="309">
        <v>0.98</v>
      </c>
      <c r="I6" s="572">
        <f t="shared" si="1"/>
        <v>25.4</v>
      </c>
    </row>
    <row r="7" spans="2:9" x14ac:dyDescent="0.2">
      <c r="B7" s="571" t="s">
        <v>21917</v>
      </c>
      <c r="C7" s="309">
        <v>12.5</v>
      </c>
      <c r="D7" s="309">
        <v>48</v>
      </c>
      <c r="E7" s="309" t="s">
        <v>21913</v>
      </c>
      <c r="F7" s="572">
        <v>1.8</v>
      </c>
      <c r="G7" s="572">
        <f t="shared" si="0"/>
        <v>86.4</v>
      </c>
      <c r="H7" s="309">
        <v>0.98</v>
      </c>
      <c r="I7" s="309">
        <f t="shared" si="1"/>
        <v>84.67</v>
      </c>
    </row>
    <row r="8" spans="2:9" x14ac:dyDescent="0.2">
      <c r="B8" s="822" t="s">
        <v>21909</v>
      </c>
      <c r="C8" s="823"/>
      <c r="D8" s="823"/>
      <c r="E8" s="823"/>
      <c r="F8" s="823"/>
      <c r="G8" s="823"/>
      <c r="H8" s="824"/>
      <c r="I8" s="573">
        <f>SUBTOTAL(9,I4:I7)</f>
        <v>127.38</v>
      </c>
    </row>
    <row r="9" spans="2:9" x14ac:dyDescent="0.2">
      <c r="B9" s="571" t="s">
        <v>21911</v>
      </c>
      <c r="C9" s="309">
        <v>10</v>
      </c>
      <c r="D9" s="309">
        <v>2</v>
      </c>
      <c r="E9" s="309" t="s">
        <v>21913</v>
      </c>
      <c r="F9" s="309">
        <v>5.8</v>
      </c>
      <c r="G9" s="572">
        <f>ROUND(D9*F9,2)</f>
        <v>11.6</v>
      </c>
      <c r="H9" s="309">
        <v>0.62</v>
      </c>
      <c r="I9" s="572">
        <f>ROUND(D9*F9*H9,2)</f>
        <v>7.19</v>
      </c>
    </row>
    <row r="10" spans="2:9" x14ac:dyDescent="0.2">
      <c r="B10" s="571" t="s">
        <v>21915</v>
      </c>
      <c r="C10" s="309">
        <v>10</v>
      </c>
      <c r="D10" s="309">
        <v>2</v>
      </c>
      <c r="E10" s="309" t="s">
        <v>21913</v>
      </c>
      <c r="F10" s="309">
        <v>2.59</v>
      </c>
      <c r="G10" s="572">
        <f t="shared" ref="G10:G13" si="2">ROUND(D10*F10,2)</f>
        <v>5.18</v>
      </c>
      <c r="H10" s="309">
        <v>0.62</v>
      </c>
      <c r="I10" s="572">
        <f t="shared" ref="I10" si="3">ROUND(D10*F10*H10,2)</f>
        <v>3.21</v>
      </c>
    </row>
    <row r="11" spans="2:9" x14ac:dyDescent="0.2">
      <c r="B11" s="571" t="s">
        <v>21916</v>
      </c>
      <c r="C11" s="309">
        <v>10</v>
      </c>
      <c r="D11" s="309">
        <v>4</v>
      </c>
      <c r="E11" s="309" t="s">
        <v>21913</v>
      </c>
      <c r="F11" s="309">
        <v>3.99</v>
      </c>
      <c r="G11" s="572">
        <f t="shared" si="2"/>
        <v>15.96</v>
      </c>
      <c r="H11" s="309">
        <v>0.62</v>
      </c>
      <c r="I11" s="572">
        <f t="shared" ref="I11:I13" si="4">ROUND(D11*F11*H11,2)</f>
        <v>9.9</v>
      </c>
    </row>
    <row r="12" spans="2:9" x14ac:dyDescent="0.2">
      <c r="B12" s="571" t="s">
        <v>21917</v>
      </c>
      <c r="C12" s="309">
        <v>12.5</v>
      </c>
      <c r="D12" s="309">
        <v>16</v>
      </c>
      <c r="E12" s="309" t="s">
        <v>21913</v>
      </c>
      <c r="F12" s="309">
        <v>1.08</v>
      </c>
      <c r="G12" s="572">
        <f t="shared" si="2"/>
        <v>17.28</v>
      </c>
      <c r="H12" s="309">
        <v>0.98</v>
      </c>
      <c r="I12" s="572">
        <f t="shared" si="4"/>
        <v>16.93</v>
      </c>
    </row>
    <row r="13" spans="2:9" x14ac:dyDescent="0.2">
      <c r="B13" s="571" t="s">
        <v>21918</v>
      </c>
      <c r="C13" s="309">
        <v>12.5</v>
      </c>
      <c r="D13" s="309">
        <v>32</v>
      </c>
      <c r="E13" s="309" t="s">
        <v>21913</v>
      </c>
      <c r="F13" s="572">
        <v>1.8</v>
      </c>
      <c r="G13" s="572">
        <f t="shared" si="2"/>
        <v>57.6</v>
      </c>
      <c r="H13" s="309">
        <v>0.98</v>
      </c>
      <c r="I13" s="309">
        <f t="shared" si="4"/>
        <v>56.45</v>
      </c>
    </row>
    <row r="14" spans="2:9" x14ac:dyDescent="0.2">
      <c r="B14" s="822" t="s">
        <v>21919</v>
      </c>
      <c r="C14" s="823"/>
      <c r="D14" s="823"/>
      <c r="E14" s="823"/>
      <c r="F14" s="823"/>
      <c r="G14" s="823"/>
      <c r="H14" s="824"/>
      <c r="I14" s="573">
        <f>SUBTOTAL(9,I9:I13)</f>
        <v>93.68</v>
      </c>
    </row>
    <row r="15" spans="2:9" x14ac:dyDescent="0.2">
      <c r="B15" s="571" t="s">
        <v>21911</v>
      </c>
      <c r="C15" s="309">
        <v>10</v>
      </c>
      <c r="D15" s="309">
        <v>6</v>
      </c>
      <c r="E15" s="309" t="s">
        <v>21913</v>
      </c>
      <c r="F15" s="309">
        <v>4.79</v>
      </c>
      <c r="G15" s="572">
        <f>ROUND(D15*F15,2)</f>
        <v>28.74</v>
      </c>
      <c r="H15" s="309">
        <v>0.62</v>
      </c>
      <c r="I15" s="572">
        <f t="shared" ref="I15:I17" si="5">ROUND(D15*F15*H15,2)</f>
        <v>17.82</v>
      </c>
    </row>
    <row r="16" spans="2:9" x14ac:dyDescent="0.2">
      <c r="B16" s="571" t="s">
        <v>21915</v>
      </c>
      <c r="C16" s="309">
        <v>12.5</v>
      </c>
      <c r="D16" s="309">
        <v>6</v>
      </c>
      <c r="E16" s="309" t="s">
        <v>21913</v>
      </c>
      <c r="F16" s="309">
        <v>1.08</v>
      </c>
      <c r="G16" s="572">
        <f t="shared" ref="G16:G17" si="6">ROUND(D16*F16,2)</f>
        <v>6.48</v>
      </c>
      <c r="H16" s="309">
        <v>0.98</v>
      </c>
      <c r="I16" s="572">
        <f t="shared" si="5"/>
        <v>6.35</v>
      </c>
    </row>
    <row r="17" spans="2:12" x14ac:dyDescent="0.2">
      <c r="B17" s="571" t="s">
        <v>21916</v>
      </c>
      <c r="C17" s="309">
        <v>12.5</v>
      </c>
      <c r="D17" s="309">
        <v>12</v>
      </c>
      <c r="E17" s="309" t="s">
        <v>21913</v>
      </c>
      <c r="F17" s="572">
        <v>1.8</v>
      </c>
      <c r="G17" s="572">
        <f t="shared" si="6"/>
        <v>21.6</v>
      </c>
      <c r="H17" s="309">
        <v>0.98</v>
      </c>
      <c r="I17" s="309">
        <f t="shared" si="5"/>
        <v>21.17</v>
      </c>
    </row>
    <row r="18" spans="2:12" x14ac:dyDescent="0.2">
      <c r="B18" s="822" t="s">
        <v>21920</v>
      </c>
      <c r="C18" s="823"/>
      <c r="D18" s="823"/>
      <c r="E18" s="823"/>
      <c r="F18" s="823"/>
      <c r="G18" s="823"/>
      <c r="H18" s="824"/>
      <c r="I18" s="573">
        <f>SUBTOTAL(9,I15:I17)</f>
        <v>45.34</v>
      </c>
    </row>
    <row r="19" spans="2:12" x14ac:dyDescent="0.2">
      <c r="B19" s="571" t="s">
        <v>21911</v>
      </c>
      <c r="C19" s="309">
        <v>10</v>
      </c>
      <c r="D19" s="309">
        <v>2</v>
      </c>
      <c r="E19" s="309" t="s">
        <v>21913</v>
      </c>
      <c r="F19" s="309">
        <v>4.29</v>
      </c>
      <c r="G19" s="572">
        <f>ROUND(D19*F19,2)</f>
        <v>8.58</v>
      </c>
      <c r="H19" s="309">
        <v>0.62</v>
      </c>
      <c r="I19" s="572">
        <f>ROUND(D19*F19*H19,2)</f>
        <v>5.32</v>
      </c>
    </row>
    <row r="20" spans="2:12" x14ac:dyDescent="0.2">
      <c r="B20" s="571" t="s">
        <v>21915</v>
      </c>
      <c r="C20" s="309">
        <v>10</v>
      </c>
      <c r="D20" s="309">
        <v>2</v>
      </c>
      <c r="E20" s="309" t="s">
        <v>21913</v>
      </c>
      <c r="F20" s="309">
        <v>1.41</v>
      </c>
      <c r="G20" s="572">
        <f t="shared" ref="G20:G23" si="7">ROUND(D20*F20,2)</f>
        <v>2.82</v>
      </c>
      <c r="H20" s="309">
        <v>0.62</v>
      </c>
      <c r="I20" s="572">
        <f t="shared" ref="I20:I23" si="8">ROUND(D20*F20*H20,2)</f>
        <v>1.75</v>
      </c>
    </row>
    <row r="21" spans="2:12" x14ac:dyDescent="0.2">
      <c r="B21" s="571" t="s">
        <v>21916</v>
      </c>
      <c r="C21" s="309">
        <v>10</v>
      </c>
      <c r="D21" s="309">
        <v>4</v>
      </c>
      <c r="E21" s="309" t="s">
        <v>21913</v>
      </c>
      <c r="F21" s="309">
        <v>2.89</v>
      </c>
      <c r="G21" s="572">
        <f t="shared" si="7"/>
        <v>11.56</v>
      </c>
      <c r="H21" s="309">
        <v>0.62</v>
      </c>
      <c r="I21" s="572">
        <f t="shared" si="8"/>
        <v>7.17</v>
      </c>
    </row>
    <row r="22" spans="2:12" x14ac:dyDescent="0.2">
      <c r="B22" s="571" t="s">
        <v>21917</v>
      </c>
      <c r="C22" s="309">
        <v>12.5</v>
      </c>
      <c r="D22" s="309">
        <v>3</v>
      </c>
      <c r="E22" s="309" t="s">
        <v>21913</v>
      </c>
      <c r="F22" s="309">
        <v>1.08</v>
      </c>
      <c r="G22" s="572">
        <f t="shared" si="7"/>
        <v>3.24</v>
      </c>
      <c r="H22" s="309">
        <v>0.98</v>
      </c>
      <c r="I22" s="572">
        <f t="shared" si="8"/>
        <v>3.18</v>
      </c>
    </row>
    <row r="23" spans="2:12" x14ac:dyDescent="0.2">
      <c r="B23" s="571" t="s">
        <v>21918</v>
      </c>
      <c r="C23" s="309">
        <v>12.5</v>
      </c>
      <c r="D23" s="309">
        <v>6</v>
      </c>
      <c r="E23" s="309" t="s">
        <v>21913</v>
      </c>
      <c r="F23" s="572">
        <v>1.8</v>
      </c>
      <c r="G23" s="572">
        <f t="shared" si="7"/>
        <v>10.8</v>
      </c>
      <c r="H23" s="309">
        <v>0.98</v>
      </c>
      <c r="I23" s="309">
        <f t="shared" si="8"/>
        <v>10.58</v>
      </c>
    </row>
    <row r="24" spans="2:12" x14ac:dyDescent="0.2">
      <c r="B24" s="822" t="s">
        <v>21921</v>
      </c>
      <c r="C24" s="823"/>
      <c r="D24" s="823"/>
      <c r="E24" s="823"/>
      <c r="F24" s="823"/>
      <c r="G24" s="823"/>
      <c r="H24" s="824"/>
      <c r="I24" s="574">
        <f>SUBTOTAL(9,I19:I23)</f>
        <v>28</v>
      </c>
    </row>
    <row r="25" spans="2:12" x14ac:dyDescent="0.2">
      <c r="B25" s="571" t="s">
        <v>21911</v>
      </c>
      <c r="C25" s="309">
        <v>10</v>
      </c>
      <c r="D25" s="309">
        <v>2</v>
      </c>
      <c r="E25" s="309" t="s">
        <v>21913</v>
      </c>
      <c r="F25" s="572">
        <v>9.6</v>
      </c>
      <c r="G25" s="572">
        <f>ROUND(D25*F25,2)</f>
        <v>19.2</v>
      </c>
      <c r="H25" s="309">
        <v>0.62</v>
      </c>
      <c r="I25" s="572">
        <f>ROUND(D25*F25*H25,2)</f>
        <v>11.9</v>
      </c>
    </row>
    <row r="26" spans="2:12" x14ac:dyDescent="0.2">
      <c r="B26" s="571" t="s">
        <v>21915</v>
      </c>
      <c r="C26" s="309">
        <v>10</v>
      </c>
      <c r="D26" s="309">
        <v>2</v>
      </c>
      <c r="E26" s="309" t="s">
        <v>21913</v>
      </c>
      <c r="F26" s="309">
        <v>1.72</v>
      </c>
      <c r="G26" s="572">
        <f t="shared" ref="G26:G32" si="9">ROUND(D26*F26,2)</f>
        <v>3.44</v>
      </c>
      <c r="H26" s="309">
        <v>0.62</v>
      </c>
      <c r="I26" s="572">
        <f t="shared" ref="I26:I27" si="10">ROUND(D26*F26*H26,2)</f>
        <v>2.13</v>
      </c>
    </row>
    <row r="27" spans="2:12" x14ac:dyDescent="0.2">
      <c r="B27" s="571" t="s">
        <v>21916</v>
      </c>
      <c r="C27" s="309">
        <v>10</v>
      </c>
      <c r="D27" s="309">
        <v>2</v>
      </c>
      <c r="E27" s="309" t="s">
        <v>21913</v>
      </c>
      <c r="F27" s="309">
        <v>1.41</v>
      </c>
      <c r="G27" s="572">
        <f t="shared" si="9"/>
        <v>2.82</v>
      </c>
      <c r="H27" s="309">
        <v>0.62</v>
      </c>
      <c r="I27" s="572">
        <f t="shared" si="10"/>
        <v>1.75</v>
      </c>
      <c r="L27" s="308">
        <f>133/7</f>
        <v>19</v>
      </c>
    </row>
    <row r="28" spans="2:12" x14ac:dyDescent="0.2">
      <c r="B28" s="571" t="s">
        <v>21917</v>
      </c>
      <c r="C28" s="309">
        <v>10</v>
      </c>
      <c r="D28" s="309">
        <v>4</v>
      </c>
      <c r="E28" s="309" t="s">
        <v>21913</v>
      </c>
      <c r="F28" s="309">
        <v>4.29</v>
      </c>
      <c r="G28" s="572">
        <f t="shared" si="9"/>
        <v>17.16</v>
      </c>
      <c r="H28" s="309">
        <v>0.62</v>
      </c>
      <c r="I28" s="572">
        <f t="shared" ref="I28:I32" si="11">ROUND(D28*F28*H28,2)</f>
        <v>10.64</v>
      </c>
    </row>
    <row r="29" spans="2:12" x14ac:dyDescent="0.2">
      <c r="B29" s="571" t="s">
        <v>21918</v>
      </c>
      <c r="C29" s="309">
        <v>10</v>
      </c>
      <c r="D29" s="309">
        <v>4</v>
      </c>
      <c r="E29" s="309" t="s">
        <v>21913</v>
      </c>
      <c r="F29" s="309">
        <v>1.39</v>
      </c>
      <c r="G29" s="572">
        <f t="shared" si="9"/>
        <v>5.56</v>
      </c>
      <c r="H29" s="309">
        <v>0.62</v>
      </c>
      <c r="I29" s="572">
        <f t="shared" si="11"/>
        <v>3.45</v>
      </c>
    </row>
    <row r="30" spans="2:12" x14ac:dyDescent="0.2">
      <c r="B30" s="571" t="s">
        <v>21922</v>
      </c>
      <c r="C30" s="309">
        <v>10</v>
      </c>
      <c r="D30" s="309">
        <v>4</v>
      </c>
      <c r="E30" s="309" t="s">
        <v>21913</v>
      </c>
      <c r="F30" s="309">
        <v>2.5099999999999998</v>
      </c>
      <c r="G30" s="572">
        <f t="shared" si="9"/>
        <v>10.039999999999999</v>
      </c>
      <c r="H30" s="309">
        <v>0.62</v>
      </c>
      <c r="I30" s="572">
        <f t="shared" si="11"/>
        <v>6.22</v>
      </c>
    </row>
    <row r="31" spans="2:12" x14ac:dyDescent="0.2">
      <c r="B31" s="571" t="s">
        <v>21923</v>
      </c>
      <c r="C31" s="309">
        <v>12.5</v>
      </c>
      <c r="D31" s="309">
        <v>10</v>
      </c>
      <c r="E31" s="309" t="s">
        <v>21913</v>
      </c>
      <c r="F31" s="309">
        <v>1.08</v>
      </c>
      <c r="G31" s="572">
        <f t="shared" si="9"/>
        <v>10.8</v>
      </c>
      <c r="H31" s="309">
        <v>0.98</v>
      </c>
      <c r="I31" s="572">
        <f t="shared" si="11"/>
        <v>10.58</v>
      </c>
    </row>
    <row r="32" spans="2:12" x14ac:dyDescent="0.2">
      <c r="B32" s="571" t="s">
        <v>21924</v>
      </c>
      <c r="C32" s="309">
        <v>12.5</v>
      </c>
      <c r="D32" s="309">
        <v>20</v>
      </c>
      <c r="E32" s="309" t="s">
        <v>21913</v>
      </c>
      <c r="F32" s="572">
        <v>1.8</v>
      </c>
      <c r="G32" s="572">
        <f t="shared" si="9"/>
        <v>36</v>
      </c>
      <c r="H32" s="309">
        <v>0.98</v>
      </c>
      <c r="I32" s="309">
        <f t="shared" si="11"/>
        <v>35.28</v>
      </c>
    </row>
    <row r="33" spans="2:9" x14ac:dyDescent="0.2">
      <c r="B33" s="822" t="s">
        <v>21925</v>
      </c>
      <c r="C33" s="823"/>
      <c r="D33" s="823"/>
      <c r="E33" s="823"/>
      <c r="F33" s="823"/>
      <c r="G33" s="823"/>
      <c r="H33" s="824"/>
      <c r="I33" s="574">
        <f>SUBTOTAL(9,I25:I32)</f>
        <v>81.95</v>
      </c>
    </row>
    <row r="34" spans="2:9" x14ac:dyDescent="0.2">
      <c r="B34" s="571" t="s">
        <v>21911</v>
      </c>
      <c r="C34" s="309">
        <v>10</v>
      </c>
      <c r="D34" s="309">
        <v>2</v>
      </c>
      <c r="E34" s="309" t="s">
        <v>21913</v>
      </c>
      <c r="F34" s="309">
        <v>4.29</v>
      </c>
      <c r="G34" s="572">
        <f>ROUND(D34*F34,2)</f>
        <v>8.58</v>
      </c>
      <c r="H34" s="309">
        <v>0.62</v>
      </c>
      <c r="I34" s="572">
        <f>ROUND(D34*F34*H34,2)</f>
        <v>5.32</v>
      </c>
    </row>
    <row r="35" spans="2:9" x14ac:dyDescent="0.2">
      <c r="B35" s="571" t="s">
        <v>21915</v>
      </c>
      <c r="C35" s="309">
        <v>10</v>
      </c>
      <c r="D35" s="309">
        <v>2</v>
      </c>
      <c r="E35" s="309" t="s">
        <v>21913</v>
      </c>
      <c r="F35" s="309">
        <v>1.41</v>
      </c>
      <c r="G35" s="572">
        <f t="shared" ref="G35:G38" si="12">ROUND(D35*F35,2)</f>
        <v>2.82</v>
      </c>
      <c r="H35" s="309">
        <v>0.62</v>
      </c>
      <c r="I35" s="572">
        <f t="shared" ref="I35:I38" si="13">ROUND(D35*F35*H35,2)</f>
        <v>1.75</v>
      </c>
    </row>
    <row r="36" spans="2:9" x14ac:dyDescent="0.2">
      <c r="B36" s="571" t="s">
        <v>21916</v>
      </c>
      <c r="C36" s="309">
        <v>10</v>
      </c>
      <c r="D36" s="309">
        <v>4</v>
      </c>
      <c r="E36" s="309" t="s">
        <v>21913</v>
      </c>
      <c r="F36" s="309">
        <v>2.89</v>
      </c>
      <c r="G36" s="572">
        <f t="shared" si="12"/>
        <v>11.56</v>
      </c>
      <c r="H36" s="309">
        <v>0.62</v>
      </c>
      <c r="I36" s="572">
        <f t="shared" si="13"/>
        <v>7.17</v>
      </c>
    </row>
    <row r="37" spans="2:9" x14ac:dyDescent="0.2">
      <c r="B37" s="571" t="s">
        <v>21917</v>
      </c>
      <c r="C37" s="309">
        <v>12.5</v>
      </c>
      <c r="D37" s="309">
        <v>3</v>
      </c>
      <c r="E37" s="309" t="s">
        <v>21913</v>
      </c>
      <c r="F37" s="309">
        <v>1.08</v>
      </c>
      <c r="G37" s="572">
        <f t="shared" si="12"/>
        <v>3.24</v>
      </c>
      <c r="H37" s="309">
        <v>0.98</v>
      </c>
      <c r="I37" s="572">
        <f t="shared" si="13"/>
        <v>3.18</v>
      </c>
    </row>
    <row r="38" spans="2:9" x14ac:dyDescent="0.2">
      <c r="B38" s="571" t="s">
        <v>21918</v>
      </c>
      <c r="C38" s="309">
        <v>12.5</v>
      </c>
      <c r="D38" s="309">
        <v>6</v>
      </c>
      <c r="E38" s="309" t="s">
        <v>21913</v>
      </c>
      <c r="F38" s="572">
        <v>1.8</v>
      </c>
      <c r="G38" s="572">
        <f t="shared" si="12"/>
        <v>10.8</v>
      </c>
      <c r="H38" s="309">
        <v>0.98</v>
      </c>
      <c r="I38" s="572">
        <f t="shared" si="13"/>
        <v>10.58</v>
      </c>
    </row>
    <row r="39" spans="2:9" x14ac:dyDescent="0.2">
      <c r="B39" s="822" t="s">
        <v>21926</v>
      </c>
      <c r="C39" s="823"/>
      <c r="D39" s="823"/>
      <c r="E39" s="823"/>
      <c r="F39" s="823"/>
      <c r="G39" s="823"/>
      <c r="H39" s="824"/>
      <c r="I39" s="574">
        <f>SUBTOTAL(9,I34:I38)</f>
        <v>28</v>
      </c>
    </row>
    <row r="40" spans="2:9" x14ac:dyDescent="0.2">
      <c r="B40" s="571" t="s">
        <v>21911</v>
      </c>
      <c r="C40" s="309">
        <v>10</v>
      </c>
      <c r="D40" s="309">
        <v>2</v>
      </c>
      <c r="E40" s="309" t="s">
        <v>21913</v>
      </c>
      <c r="F40" s="572">
        <v>2.85</v>
      </c>
      <c r="G40" s="572">
        <f>ROUND(D40*F40,2)</f>
        <v>5.7</v>
      </c>
      <c r="H40" s="309">
        <v>0.62</v>
      </c>
      <c r="I40" s="572">
        <f>ROUND(D40*F40*H40,2)</f>
        <v>3.53</v>
      </c>
    </row>
    <row r="41" spans="2:9" x14ac:dyDescent="0.2">
      <c r="B41" s="571" t="s">
        <v>21915</v>
      </c>
      <c r="C41" s="309">
        <v>10</v>
      </c>
      <c r="D41" s="309">
        <v>2</v>
      </c>
      <c r="E41" s="309" t="s">
        <v>21913</v>
      </c>
      <c r="F41" s="309">
        <v>4.6500000000000004</v>
      </c>
      <c r="G41" s="572">
        <f t="shared" ref="G41:G49" si="14">ROUND(D41*F41,2)</f>
        <v>9.3000000000000007</v>
      </c>
      <c r="H41" s="309">
        <v>0.62</v>
      </c>
      <c r="I41" s="572">
        <f t="shared" ref="I41:I49" si="15">ROUND(D41*F41*H41,2)</f>
        <v>5.77</v>
      </c>
    </row>
    <row r="42" spans="2:9" x14ac:dyDescent="0.2">
      <c r="B42" s="571" t="s">
        <v>21916</v>
      </c>
      <c r="C42" s="309">
        <v>10</v>
      </c>
      <c r="D42" s="309">
        <v>2</v>
      </c>
      <c r="E42" s="309" t="s">
        <v>21913</v>
      </c>
      <c r="F42" s="572">
        <v>5.7</v>
      </c>
      <c r="G42" s="572">
        <f t="shared" si="14"/>
        <v>11.4</v>
      </c>
      <c r="H42" s="309">
        <v>0.62</v>
      </c>
      <c r="I42" s="572">
        <f t="shared" si="15"/>
        <v>7.07</v>
      </c>
    </row>
    <row r="43" spans="2:9" x14ac:dyDescent="0.2">
      <c r="B43" s="571" t="s">
        <v>21917</v>
      </c>
      <c r="C43" s="309">
        <v>10</v>
      </c>
      <c r="D43" s="309">
        <v>2</v>
      </c>
      <c r="E43" s="309" t="s">
        <v>21913</v>
      </c>
      <c r="F43" s="572">
        <v>7.6</v>
      </c>
      <c r="G43" s="572">
        <f t="shared" si="14"/>
        <v>15.2</v>
      </c>
      <c r="H43" s="309">
        <v>0.62</v>
      </c>
      <c r="I43" s="572">
        <f t="shared" si="15"/>
        <v>9.42</v>
      </c>
    </row>
    <row r="44" spans="2:9" x14ac:dyDescent="0.2">
      <c r="B44" s="571" t="s">
        <v>21918</v>
      </c>
      <c r="C44" s="309">
        <v>10</v>
      </c>
      <c r="D44" s="309">
        <v>4</v>
      </c>
      <c r="E44" s="309" t="s">
        <v>21913</v>
      </c>
      <c r="F44" s="572">
        <v>9.6</v>
      </c>
      <c r="G44" s="572">
        <f t="shared" si="14"/>
        <v>38.4</v>
      </c>
      <c r="H44" s="309">
        <v>0.62</v>
      </c>
      <c r="I44" s="572">
        <f t="shared" si="15"/>
        <v>23.81</v>
      </c>
    </row>
    <row r="45" spans="2:9" x14ac:dyDescent="0.2">
      <c r="B45" s="571" t="s">
        <v>21922</v>
      </c>
      <c r="C45" s="309">
        <v>10</v>
      </c>
      <c r="D45" s="309">
        <v>2</v>
      </c>
      <c r="E45" s="309" t="s">
        <v>21913</v>
      </c>
      <c r="F45" s="572">
        <v>1.7</v>
      </c>
      <c r="G45" s="572">
        <f t="shared" si="14"/>
        <v>3.4</v>
      </c>
      <c r="H45" s="309">
        <v>0.62</v>
      </c>
      <c r="I45" s="572">
        <f t="shared" si="15"/>
        <v>2.11</v>
      </c>
    </row>
    <row r="46" spans="2:9" x14ac:dyDescent="0.2">
      <c r="B46" s="571" t="s">
        <v>21923</v>
      </c>
      <c r="C46" s="309">
        <v>10</v>
      </c>
      <c r="D46" s="309">
        <v>4</v>
      </c>
      <c r="E46" s="309" t="s">
        <v>21913</v>
      </c>
      <c r="F46" s="309">
        <v>4.09</v>
      </c>
      <c r="G46" s="572">
        <f t="shared" si="14"/>
        <v>16.36</v>
      </c>
      <c r="H46" s="309">
        <v>0.62</v>
      </c>
      <c r="I46" s="572">
        <f t="shared" si="15"/>
        <v>10.14</v>
      </c>
    </row>
    <row r="47" spans="2:9" x14ac:dyDescent="0.2">
      <c r="B47" s="571" t="s">
        <v>21924</v>
      </c>
      <c r="C47" s="309">
        <v>10</v>
      </c>
      <c r="D47" s="309">
        <v>4</v>
      </c>
      <c r="E47" s="309" t="s">
        <v>21913</v>
      </c>
      <c r="F47" s="309">
        <v>4.79</v>
      </c>
      <c r="G47" s="572">
        <f t="shared" si="14"/>
        <v>19.16</v>
      </c>
      <c r="H47" s="309">
        <v>0.62</v>
      </c>
      <c r="I47" s="572">
        <f t="shared" si="15"/>
        <v>11.88</v>
      </c>
    </row>
    <row r="48" spans="2:9" x14ac:dyDescent="0.2">
      <c r="B48" s="571" t="s">
        <v>21928</v>
      </c>
      <c r="C48" s="309">
        <v>12.5</v>
      </c>
      <c r="D48" s="309">
        <v>11</v>
      </c>
      <c r="E48" s="309" t="s">
        <v>21913</v>
      </c>
      <c r="F48" s="309">
        <v>1.08</v>
      </c>
      <c r="G48" s="572">
        <f t="shared" si="14"/>
        <v>11.88</v>
      </c>
      <c r="H48" s="309">
        <v>0.98</v>
      </c>
      <c r="I48" s="572">
        <f t="shared" si="15"/>
        <v>11.64</v>
      </c>
    </row>
    <row r="49" spans="2:9" x14ac:dyDescent="0.2">
      <c r="B49" s="571" t="s">
        <v>21929</v>
      </c>
      <c r="C49" s="309">
        <v>12.5</v>
      </c>
      <c r="D49" s="309">
        <f>16+28+11</f>
        <v>55</v>
      </c>
      <c r="E49" s="309" t="s">
        <v>21913</v>
      </c>
      <c r="F49" s="572">
        <v>1.8</v>
      </c>
      <c r="G49" s="572">
        <f t="shared" si="14"/>
        <v>99</v>
      </c>
      <c r="H49" s="309">
        <v>0.98</v>
      </c>
      <c r="I49" s="572">
        <f t="shared" si="15"/>
        <v>97.02</v>
      </c>
    </row>
    <row r="50" spans="2:9" x14ac:dyDescent="0.2">
      <c r="B50" s="822" t="s">
        <v>21927</v>
      </c>
      <c r="C50" s="823"/>
      <c r="D50" s="823"/>
      <c r="E50" s="823"/>
      <c r="F50" s="823"/>
      <c r="G50" s="823"/>
      <c r="H50" s="824"/>
      <c r="I50" s="574">
        <f>SUBTOTAL(9,I40:I49)</f>
        <v>182.39</v>
      </c>
    </row>
    <row r="51" spans="2:9" x14ac:dyDescent="0.2">
      <c r="B51" s="571" t="s">
        <v>21911</v>
      </c>
      <c r="C51" s="309">
        <v>10</v>
      </c>
      <c r="D51" s="309">
        <v>2</v>
      </c>
      <c r="E51" s="309" t="s">
        <v>21913</v>
      </c>
      <c r="F51" s="309">
        <v>2.85</v>
      </c>
      <c r="G51" s="572">
        <f>ROUND(D51*F51,2)</f>
        <v>5.7</v>
      </c>
      <c r="H51" s="309">
        <v>0.62</v>
      </c>
      <c r="I51" s="572">
        <f>ROUND(D51*F51*H51,2)</f>
        <v>3.53</v>
      </c>
    </row>
    <row r="52" spans="2:9" x14ac:dyDescent="0.2">
      <c r="B52" s="571" t="s">
        <v>21915</v>
      </c>
      <c r="C52" s="309">
        <v>10</v>
      </c>
      <c r="D52" s="309">
        <v>2</v>
      </c>
      <c r="E52" s="309" t="s">
        <v>21913</v>
      </c>
      <c r="F52" s="309">
        <v>4.6500000000000004</v>
      </c>
      <c r="G52" s="572">
        <f t="shared" ref="G52:G58" si="16">ROUND(D52*F52,2)</f>
        <v>9.3000000000000007</v>
      </c>
      <c r="H52" s="309">
        <v>0.62</v>
      </c>
      <c r="I52" s="572">
        <f t="shared" ref="I52:I58" si="17">ROUND(D52*F52*H52,2)</f>
        <v>5.77</v>
      </c>
    </row>
    <row r="53" spans="2:9" x14ac:dyDescent="0.2">
      <c r="B53" s="571" t="s">
        <v>21916</v>
      </c>
      <c r="C53" s="309">
        <v>10</v>
      </c>
      <c r="D53" s="309">
        <v>4</v>
      </c>
      <c r="E53" s="309" t="s">
        <v>21913</v>
      </c>
      <c r="F53" s="572">
        <v>6</v>
      </c>
      <c r="G53" s="572">
        <f t="shared" si="16"/>
        <v>24</v>
      </c>
      <c r="H53" s="309">
        <v>0.62</v>
      </c>
      <c r="I53" s="572">
        <f t="shared" si="17"/>
        <v>14.88</v>
      </c>
    </row>
    <row r="54" spans="2:9" x14ac:dyDescent="0.2">
      <c r="B54" s="571" t="s">
        <v>21917</v>
      </c>
      <c r="C54" s="309">
        <v>10</v>
      </c>
      <c r="D54" s="309">
        <v>2</v>
      </c>
      <c r="E54" s="309" t="s">
        <v>21913</v>
      </c>
      <c r="F54" s="309">
        <v>1.42</v>
      </c>
      <c r="G54" s="572">
        <f t="shared" si="16"/>
        <v>2.84</v>
      </c>
      <c r="H54" s="309">
        <v>0.62</v>
      </c>
      <c r="I54" s="572">
        <f t="shared" si="17"/>
        <v>1.76</v>
      </c>
    </row>
    <row r="55" spans="2:9" x14ac:dyDescent="0.2">
      <c r="B55" s="571" t="s">
        <v>21918</v>
      </c>
      <c r="C55" s="309">
        <v>10</v>
      </c>
      <c r="D55" s="309">
        <v>2</v>
      </c>
      <c r="E55" s="309" t="s">
        <v>21913</v>
      </c>
      <c r="F55" s="309">
        <v>4.59</v>
      </c>
      <c r="G55" s="572">
        <f t="shared" si="16"/>
        <v>9.18</v>
      </c>
      <c r="H55" s="309">
        <v>0.62</v>
      </c>
      <c r="I55" s="572">
        <f t="shared" si="17"/>
        <v>5.69</v>
      </c>
    </row>
    <row r="56" spans="2:9" x14ac:dyDescent="0.2">
      <c r="B56" s="571" t="s">
        <v>21922</v>
      </c>
      <c r="C56" s="309">
        <v>10</v>
      </c>
      <c r="D56" s="309">
        <v>2</v>
      </c>
      <c r="E56" s="309" t="s">
        <v>21913</v>
      </c>
      <c r="F56" s="309">
        <v>4.3899999999999997</v>
      </c>
      <c r="G56" s="572">
        <f t="shared" si="16"/>
        <v>8.7799999999999994</v>
      </c>
      <c r="H56" s="309">
        <v>0.62</v>
      </c>
      <c r="I56" s="572">
        <f t="shared" si="17"/>
        <v>5.44</v>
      </c>
    </row>
    <row r="57" spans="2:9" x14ac:dyDescent="0.2">
      <c r="B57" s="571" t="s">
        <v>21923</v>
      </c>
      <c r="C57" s="309">
        <v>12.5</v>
      </c>
      <c r="D57" s="309">
        <v>7</v>
      </c>
      <c r="E57" s="309" t="s">
        <v>21913</v>
      </c>
      <c r="F57" s="309">
        <v>1.08</v>
      </c>
      <c r="G57" s="572">
        <f t="shared" si="16"/>
        <v>7.56</v>
      </c>
      <c r="H57" s="309">
        <v>0.98</v>
      </c>
      <c r="I57" s="572">
        <f t="shared" si="17"/>
        <v>7.41</v>
      </c>
    </row>
    <row r="58" spans="2:9" x14ac:dyDescent="0.2">
      <c r="B58" s="571" t="s">
        <v>21924</v>
      </c>
      <c r="C58" s="309">
        <v>12.5</v>
      </c>
      <c r="D58" s="309">
        <f>14+27+7</f>
        <v>48</v>
      </c>
      <c r="E58" s="309" t="s">
        <v>21913</v>
      </c>
      <c r="F58" s="572">
        <v>1.8</v>
      </c>
      <c r="G58" s="572">
        <f t="shared" si="16"/>
        <v>86.4</v>
      </c>
      <c r="H58" s="309">
        <v>0.98</v>
      </c>
      <c r="I58" s="572">
        <f t="shared" si="17"/>
        <v>84.67</v>
      </c>
    </row>
    <row r="59" spans="2:9" x14ac:dyDescent="0.2">
      <c r="B59" s="822" t="s">
        <v>21930</v>
      </c>
      <c r="C59" s="823"/>
      <c r="D59" s="823"/>
      <c r="E59" s="823"/>
      <c r="F59" s="823"/>
      <c r="G59" s="823"/>
      <c r="H59" s="824"/>
      <c r="I59" s="574">
        <f>SUBTOTAL(9,I51:I58)</f>
        <v>129.15</v>
      </c>
    </row>
    <row r="60" spans="2:9" x14ac:dyDescent="0.2">
      <c r="B60" s="571" t="s">
        <v>21911</v>
      </c>
      <c r="C60" s="309">
        <v>10</v>
      </c>
      <c r="D60" s="309">
        <v>2</v>
      </c>
      <c r="E60" s="309" t="s">
        <v>21913</v>
      </c>
      <c r="F60" s="572">
        <v>3</v>
      </c>
      <c r="G60" s="572">
        <f>ROUND(D60*F60,2)</f>
        <v>6</v>
      </c>
      <c r="H60" s="309">
        <v>0.62</v>
      </c>
      <c r="I60" s="572">
        <f>ROUND(D60*F60*H60,2)</f>
        <v>3.72</v>
      </c>
    </row>
    <row r="61" spans="2:9" x14ac:dyDescent="0.2">
      <c r="B61" s="571" t="s">
        <v>21915</v>
      </c>
      <c r="C61" s="309">
        <v>10</v>
      </c>
      <c r="D61" s="309">
        <v>2</v>
      </c>
      <c r="E61" s="309" t="s">
        <v>21913</v>
      </c>
      <c r="F61" s="572">
        <v>6.45</v>
      </c>
      <c r="G61" s="572">
        <f t="shared" ref="G61:G71" si="18">ROUND(D61*F61,2)</f>
        <v>12.9</v>
      </c>
      <c r="H61" s="309">
        <v>0.62</v>
      </c>
      <c r="I61" s="572">
        <f t="shared" ref="I61:I71" si="19">ROUND(D61*F61*H61,2)</f>
        <v>8</v>
      </c>
    </row>
    <row r="62" spans="2:9" x14ac:dyDescent="0.2">
      <c r="B62" s="571" t="s">
        <v>21916</v>
      </c>
      <c r="C62" s="309">
        <v>10</v>
      </c>
      <c r="D62" s="309">
        <v>6</v>
      </c>
      <c r="E62" s="309" t="s">
        <v>21913</v>
      </c>
      <c r="F62" s="572">
        <v>4.3</v>
      </c>
      <c r="G62" s="572">
        <f t="shared" si="18"/>
        <v>25.8</v>
      </c>
      <c r="H62" s="309">
        <v>0.62</v>
      </c>
      <c r="I62" s="572">
        <f t="shared" si="19"/>
        <v>16</v>
      </c>
    </row>
    <row r="63" spans="2:9" x14ac:dyDescent="0.2">
      <c r="B63" s="571" t="s">
        <v>21917</v>
      </c>
      <c r="C63" s="309">
        <v>10</v>
      </c>
      <c r="D63" s="309">
        <v>2</v>
      </c>
      <c r="E63" s="309" t="s">
        <v>21913</v>
      </c>
      <c r="F63" s="572">
        <v>9.6</v>
      </c>
      <c r="G63" s="572">
        <f t="shared" si="18"/>
        <v>19.2</v>
      </c>
      <c r="H63" s="309">
        <v>0.62</v>
      </c>
      <c r="I63" s="572">
        <f t="shared" si="19"/>
        <v>11.9</v>
      </c>
    </row>
    <row r="64" spans="2:9" x14ac:dyDescent="0.2">
      <c r="B64" s="571" t="s">
        <v>21918</v>
      </c>
      <c r="C64" s="309">
        <v>10</v>
      </c>
      <c r="D64" s="309">
        <v>2</v>
      </c>
      <c r="E64" s="309" t="s">
        <v>21913</v>
      </c>
      <c r="F64" s="572">
        <v>1.41</v>
      </c>
      <c r="G64" s="572">
        <f t="shared" si="18"/>
        <v>2.82</v>
      </c>
      <c r="H64" s="309">
        <v>0.62</v>
      </c>
      <c r="I64" s="572">
        <f t="shared" si="19"/>
        <v>1.75</v>
      </c>
    </row>
    <row r="65" spans="2:9" x14ac:dyDescent="0.2">
      <c r="B65" s="571" t="s">
        <v>21922</v>
      </c>
      <c r="C65" s="309">
        <v>10</v>
      </c>
      <c r="D65" s="309">
        <v>2</v>
      </c>
      <c r="E65" s="309" t="s">
        <v>21913</v>
      </c>
      <c r="F65" s="572">
        <v>1.38</v>
      </c>
      <c r="G65" s="572">
        <f t="shared" si="18"/>
        <v>2.76</v>
      </c>
      <c r="H65" s="309">
        <v>0.62</v>
      </c>
      <c r="I65" s="572">
        <f t="shared" si="19"/>
        <v>1.71</v>
      </c>
    </row>
    <row r="66" spans="2:9" x14ac:dyDescent="0.2">
      <c r="B66" s="571" t="s">
        <v>21923</v>
      </c>
      <c r="C66" s="309">
        <v>10</v>
      </c>
      <c r="D66" s="309">
        <v>4</v>
      </c>
      <c r="E66" s="309" t="s">
        <v>21913</v>
      </c>
      <c r="F66" s="572">
        <v>2.89</v>
      </c>
      <c r="G66" s="572">
        <f t="shared" si="18"/>
        <v>11.56</v>
      </c>
      <c r="H66" s="309">
        <v>0.62</v>
      </c>
      <c r="I66" s="572">
        <f t="shared" si="19"/>
        <v>7.17</v>
      </c>
    </row>
    <row r="67" spans="2:9" x14ac:dyDescent="0.2">
      <c r="B67" s="571" t="s">
        <v>21924</v>
      </c>
      <c r="C67" s="309">
        <v>10</v>
      </c>
      <c r="D67" s="309">
        <v>4</v>
      </c>
      <c r="E67" s="309" t="s">
        <v>21913</v>
      </c>
      <c r="F67" s="572">
        <v>3.44</v>
      </c>
      <c r="G67" s="572">
        <f t="shared" si="18"/>
        <v>13.76</v>
      </c>
      <c r="H67" s="309">
        <v>0.62</v>
      </c>
      <c r="I67" s="572">
        <f t="shared" si="19"/>
        <v>8.5299999999999994</v>
      </c>
    </row>
    <row r="68" spans="2:9" x14ac:dyDescent="0.2">
      <c r="B68" s="571" t="s">
        <v>21928</v>
      </c>
      <c r="C68" s="309">
        <v>12.5</v>
      </c>
      <c r="D68" s="309">
        <v>8</v>
      </c>
      <c r="E68" s="309" t="s">
        <v>21913</v>
      </c>
      <c r="F68" s="309">
        <v>1.08</v>
      </c>
      <c r="G68" s="572">
        <f t="shared" si="18"/>
        <v>8.64</v>
      </c>
      <c r="H68" s="309">
        <v>0.98</v>
      </c>
      <c r="I68" s="572">
        <f t="shared" si="19"/>
        <v>8.4700000000000006</v>
      </c>
    </row>
    <row r="69" spans="2:9" x14ac:dyDescent="0.2">
      <c r="B69" s="571" t="s">
        <v>21929</v>
      </c>
      <c r="C69" s="309">
        <v>12.5</v>
      </c>
      <c r="D69" s="309">
        <v>39</v>
      </c>
      <c r="E69" s="309" t="s">
        <v>21913</v>
      </c>
      <c r="F69" s="572">
        <v>1.8</v>
      </c>
      <c r="G69" s="572">
        <f t="shared" si="18"/>
        <v>70.2</v>
      </c>
      <c r="H69" s="309">
        <v>0.98</v>
      </c>
      <c r="I69" s="572">
        <f t="shared" si="19"/>
        <v>68.8</v>
      </c>
    </row>
    <row r="70" spans="2:9" x14ac:dyDescent="0.2">
      <c r="B70" s="571" t="s">
        <v>21931</v>
      </c>
      <c r="C70" s="309">
        <v>12.5</v>
      </c>
      <c r="D70" s="309">
        <v>5</v>
      </c>
      <c r="E70" s="309" t="s">
        <v>21913</v>
      </c>
      <c r="F70" s="572">
        <v>2</v>
      </c>
      <c r="G70" s="572">
        <f t="shared" si="18"/>
        <v>10</v>
      </c>
      <c r="H70" s="309">
        <v>0.98</v>
      </c>
      <c r="I70" s="572">
        <f t="shared" si="19"/>
        <v>9.8000000000000007</v>
      </c>
    </row>
    <row r="71" spans="2:9" x14ac:dyDescent="0.2">
      <c r="B71" s="571" t="s">
        <v>21932</v>
      </c>
      <c r="C71" s="309">
        <v>12.5</v>
      </c>
      <c r="D71" s="309">
        <v>1</v>
      </c>
      <c r="E71" s="309" t="s">
        <v>21913</v>
      </c>
      <c r="F71" s="572">
        <v>1.4</v>
      </c>
      <c r="G71" s="572">
        <f t="shared" si="18"/>
        <v>1.4</v>
      </c>
      <c r="H71" s="309">
        <v>0.98</v>
      </c>
      <c r="I71" s="572">
        <f t="shared" si="19"/>
        <v>1.37</v>
      </c>
    </row>
    <row r="72" spans="2:9" x14ac:dyDescent="0.2">
      <c r="B72" s="822" t="s">
        <v>21933</v>
      </c>
      <c r="C72" s="823"/>
      <c r="D72" s="823"/>
      <c r="E72" s="823"/>
      <c r="F72" s="823"/>
      <c r="G72" s="823"/>
      <c r="H72" s="824"/>
      <c r="I72" s="574">
        <f>SUBTOTAL(9,I60:I71)</f>
        <v>147.22000000000003</v>
      </c>
    </row>
    <row r="73" spans="2:9" x14ac:dyDescent="0.2">
      <c r="B73" s="571" t="s">
        <v>21911</v>
      </c>
      <c r="C73" s="309">
        <v>10</v>
      </c>
      <c r="D73" s="309">
        <v>6</v>
      </c>
      <c r="E73" s="309" t="s">
        <v>21913</v>
      </c>
      <c r="F73" s="309">
        <v>4.29</v>
      </c>
      <c r="G73" s="572">
        <f>ROUND(D73*F73,2)</f>
        <v>25.74</v>
      </c>
      <c r="H73" s="309">
        <v>0.62</v>
      </c>
      <c r="I73" s="572">
        <f t="shared" ref="I73:I75" si="20">ROUND(D73*F73*H73,2)</f>
        <v>15.96</v>
      </c>
    </row>
    <row r="74" spans="2:9" x14ac:dyDescent="0.2">
      <c r="B74" s="571" t="s">
        <v>21915</v>
      </c>
      <c r="C74" s="309">
        <v>12.5</v>
      </c>
      <c r="D74" s="309">
        <v>4</v>
      </c>
      <c r="E74" s="309" t="s">
        <v>21913</v>
      </c>
      <c r="F74" s="309">
        <v>1.08</v>
      </c>
      <c r="G74" s="572">
        <f t="shared" ref="G74:G75" si="21">ROUND(D74*F74,2)</f>
        <v>4.32</v>
      </c>
      <c r="H74" s="309">
        <v>0.98</v>
      </c>
      <c r="I74" s="572">
        <f t="shared" si="20"/>
        <v>4.2300000000000004</v>
      </c>
    </row>
    <row r="75" spans="2:9" x14ac:dyDescent="0.2">
      <c r="B75" s="571" t="s">
        <v>21916</v>
      </c>
      <c r="C75" s="309">
        <v>12.5</v>
      </c>
      <c r="D75" s="309">
        <v>8</v>
      </c>
      <c r="E75" s="309" t="s">
        <v>21913</v>
      </c>
      <c r="F75" s="572">
        <v>1.8</v>
      </c>
      <c r="G75" s="572">
        <f t="shared" si="21"/>
        <v>14.4</v>
      </c>
      <c r="H75" s="309">
        <v>0.98</v>
      </c>
      <c r="I75" s="309">
        <f t="shared" si="20"/>
        <v>14.11</v>
      </c>
    </row>
    <row r="76" spans="2:9" x14ac:dyDescent="0.2">
      <c r="B76" s="822" t="s">
        <v>21934</v>
      </c>
      <c r="C76" s="823"/>
      <c r="D76" s="823"/>
      <c r="E76" s="823"/>
      <c r="F76" s="823"/>
      <c r="G76" s="823"/>
      <c r="H76" s="824"/>
      <c r="I76" s="574">
        <f>SUBTOTAL(9,I73:I75)</f>
        <v>34.299999999999997</v>
      </c>
    </row>
    <row r="77" spans="2:9" x14ac:dyDescent="0.2">
      <c r="B77" s="571" t="s">
        <v>21911</v>
      </c>
      <c r="C77" s="309">
        <v>10</v>
      </c>
      <c r="D77" s="309">
        <v>2</v>
      </c>
      <c r="E77" s="309" t="s">
        <v>21913</v>
      </c>
      <c r="F77" s="309">
        <v>2.66</v>
      </c>
      <c r="G77" s="572">
        <f>ROUND(D77*F77,2)</f>
        <v>5.32</v>
      </c>
      <c r="H77" s="309">
        <v>0.62</v>
      </c>
      <c r="I77" s="572">
        <f>ROUND(D77*F77*H77,2)</f>
        <v>3.3</v>
      </c>
    </row>
    <row r="78" spans="2:9" x14ac:dyDescent="0.2">
      <c r="B78" s="571" t="s">
        <v>21915</v>
      </c>
      <c r="C78" s="309">
        <v>10</v>
      </c>
      <c r="D78" s="309">
        <v>4</v>
      </c>
      <c r="E78" s="309" t="s">
        <v>21913</v>
      </c>
      <c r="F78" s="309">
        <v>4.3099999999999996</v>
      </c>
      <c r="G78" s="572">
        <f t="shared" ref="G78:G84" si="22">ROUND(D78*F78,2)</f>
        <v>17.239999999999998</v>
      </c>
      <c r="H78" s="309">
        <v>0.62</v>
      </c>
      <c r="I78" s="572">
        <f t="shared" ref="I78:I84" si="23">ROUND(D78*F78*H78,2)</f>
        <v>10.69</v>
      </c>
    </row>
    <row r="79" spans="2:9" x14ac:dyDescent="0.2">
      <c r="B79" s="571" t="s">
        <v>21916</v>
      </c>
      <c r="C79" s="309">
        <v>10</v>
      </c>
      <c r="D79" s="309">
        <v>2</v>
      </c>
      <c r="E79" s="309" t="s">
        <v>21913</v>
      </c>
      <c r="F79" s="572">
        <v>9.6</v>
      </c>
      <c r="G79" s="572">
        <f t="shared" si="22"/>
        <v>19.2</v>
      </c>
      <c r="H79" s="309">
        <v>0.62</v>
      </c>
      <c r="I79" s="572">
        <f t="shared" si="23"/>
        <v>11.9</v>
      </c>
    </row>
    <row r="80" spans="2:9" x14ac:dyDescent="0.2">
      <c r="B80" s="571" t="s">
        <v>21917</v>
      </c>
      <c r="C80" s="309">
        <v>10</v>
      </c>
      <c r="D80" s="309">
        <v>2</v>
      </c>
      <c r="E80" s="309" t="s">
        <v>21913</v>
      </c>
      <c r="F80" s="309">
        <v>1.72</v>
      </c>
      <c r="G80" s="572">
        <f t="shared" si="22"/>
        <v>3.44</v>
      </c>
      <c r="H80" s="309">
        <v>0.62</v>
      </c>
      <c r="I80" s="572">
        <f t="shared" si="23"/>
        <v>2.13</v>
      </c>
    </row>
    <row r="81" spans="2:9" x14ac:dyDescent="0.2">
      <c r="B81" s="571" t="s">
        <v>21918</v>
      </c>
      <c r="C81" s="309">
        <v>10</v>
      </c>
      <c r="D81" s="309">
        <v>2</v>
      </c>
      <c r="E81" s="309" t="s">
        <v>21913</v>
      </c>
      <c r="F81" s="572">
        <v>4</v>
      </c>
      <c r="G81" s="572">
        <f t="shared" si="22"/>
        <v>8</v>
      </c>
      <c r="H81" s="309">
        <v>0.62</v>
      </c>
      <c r="I81" s="572">
        <f t="shared" si="23"/>
        <v>4.96</v>
      </c>
    </row>
    <row r="82" spans="2:9" x14ac:dyDescent="0.2">
      <c r="B82" s="571" t="s">
        <v>21922</v>
      </c>
      <c r="C82" s="309">
        <v>10</v>
      </c>
      <c r="D82" s="309">
        <v>2</v>
      </c>
      <c r="E82" s="309" t="s">
        <v>21913</v>
      </c>
      <c r="F82" s="309">
        <v>4.51</v>
      </c>
      <c r="G82" s="572">
        <f t="shared" si="22"/>
        <v>9.02</v>
      </c>
      <c r="H82" s="309">
        <v>0.62</v>
      </c>
      <c r="I82" s="572">
        <f t="shared" si="23"/>
        <v>5.59</v>
      </c>
    </row>
    <row r="83" spans="2:9" x14ac:dyDescent="0.2">
      <c r="B83" s="571" t="s">
        <v>21923</v>
      </c>
      <c r="C83" s="309">
        <v>12.5</v>
      </c>
      <c r="D83" s="309">
        <v>44</v>
      </c>
      <c r="E83" s="309" t="s">
        <v>21913</v>
      </c>
      <c r="F83" s="309">
        <v>1.08</v>
      </c>
      <c r="G83" s="572">
        <f t="shared" si="22"/>
        <v>47.52</v>
      </c>
      <c r="H83" s="309">
        <v>0.98</v>
      </c>
      <c r="I83" s="572">
        <f t="shared" si="23"/>
        <v>46.57</v>
      </c>
    </row>
    <row r="84" spans="2:9" x14ac:dyDescent="0.2">
      <c r="B84" s="571" t="s">
        <v>21924</v>
      </c>
      <c r="C84" s="309">
        <v>12.5</v>
      </c>
      <c r="D84" s="309">
        <f>40+36+6+48</f>
        <v>130</v>
      </c>
      <c r="E84" s="309" t="s">
        <v>21913</v>
      </c>
      <c r="F84" s="572">
        <v>1.8</v>
      </c>
      <c r="G84" s="572">
        <f t="shared" si="22"/>
        <v>234</v>
      </c>
      <c r="H84" s="309">
        <v>0.98</v>
      </c>
      <c r="I84" s="572">
        <f t="shared" si="23"/>
        <v>229.32</v>
      </c>
    </row>
    <row r="85" spans="2:9" x14ac:dyDescent="0.2">
      <c r="B85" s="822" t="s">
        <v>21935</v>
      </c>
      <c r="C85" s="823"/>
      <c r="D85" s="823"/>
      <c r="E85" s="823"/>
      <c r="F85" s="823"/>
      <c r="G85" s="823"/>
      <c r="H85" s="824"/>
      <c r="I85" s="574">
        <f>SUBTOTAL(9,I77:I84)</f>
        <v>314.45999999999998</v>
      </c>
    </row>
    <row r="86" spans="2:9" x14ac:dyDescent="0.2">
      <c r="B86" s="571" t="s">
        <v>21911</v>
      </c>
      <c r="C86" s="309">
        <v>10</v>
      </c>
      <c r="D86" s="309">
        <v>12</v>
      </c>
      <c r="E86" s="309" t="s">
        <v>21913</v>
      </c>
      <c r="F86" s="572">
        <v>2.6</v>
      </c>
      <c r="G86" s="572">
        <f>ROUND(D86*F86,2)</f>
        <v>31.2</v>
      </c>
      <c r="H86" s="309">
        <v>0.62</v>
      </c>
      <c r="I86" s="572">
        <f t="shared" ref="I86:I88" si="24">ROUND(D86*F86*H86,2)</f>
        <v>19.34</v>
      </c>
    </row>
    <row r="87" spans="2:9" x14ac:dyDescent="0.2">
      <c r="B87" s="571" t="s">
        <v>21915</v>
      </c>
      <c r="C87" s="309">
        <v>12.5</v>
      </c>
      <c r="D87" s="309">
        <v>8</v>
      </c>
      <c r="E87" s="309" t="s">
        <v>21913</v>
      </c>
      <c r="F87" s="309">
        <v>1.08</v>
      </c>
      <c r="G87" s="572">
        <f t="shared" ref="G87:G88" si="25">ROUND(D87*F87,2)</f>
        <v>8.64</v>
      </c>
      <c r="H87" s="309">
        <v>0.98</v>
      </c>
      <c r="I87" s="572">
        <f t="shared" si="24"/>
        <v>8.4700000000000006</v>
      </c>
    </row>
    <row r="88" spans="2:9" x14ac:dyDescent="0.2">
      <c r="B88" s="571" t="s">
        <v>21916</v>
      </c>
      <c r="C88" s="309">
        <v>12.5</v>
      </c>
      <c r="D88" s="309">
        <v>16</v>
      </c>
      <c r="E88" s="309" t="s">
        <v>21913</v>
      </c>
      <c r="F88" s="572">
        <v>1.8</v>
      </c>
      <c r="G88" s="572">
        <f t="shared" si="25"/>
        <v>28.8</v>
      </c>
      <c r="H88" s="309">
        <v>0.98</v>
      </c>
      <c r="I88" s="309">
        <f t="shared" si="24"/>
        <v>28.22</v>
      </c>
    </row>
    <row r="89" spans="2:9" x14ac:dyDescent="0.2">
      <c r="B89" s="822" t="s">
        <v>21936</v>
      </c>
      <c r="C89" s="823"/>
      <c r="D89" s="823"/>
      <c r="E89" s="823"/>
      <c r="F89" s="823"/>
      <c r="G89" s="823"/>
      <c r="H89" s="824"/>
      <c r="I89" s="574">
        <f>SUBTOTAL(9,I86:I88)</f>
        <v>56.03</v>
      </c>
    </row>
    <row r="90" spans="2:9" x14ac:dyDescent="0.2">
      <c r="B90" s="571" t="s">
        <v>21911</v>
      </c>
      <c r="C90" s="309">
        <v>10</v>
      </c>
      <c r="D90" s="309">
        <v>2</v>
      </c>
      <c r="E90" s="309" t="s">
        <v>21913</v>
      </c>
      <c r="F90" s="572">
        <v>2.79</v>
      </c>
      <c r="G90" s="572">
        <f>ROUND(D90*F90,2)</f>
        <v>5.58</v>
      </c>
      <c r="H90" s="309">
        <v>0.62</v>
      </c>
      <c r="I90" s="572">
        <f>ROUND(D90*F90*H90,2)</f>
        <v>3.46</v>
      </c>
    </row>
    <row r="91" spans="2:9" x14ac:dyDescent="0.2">
      <c r="B91" s="571" t="s">
        <v>21915</v>
      </c>
      <c r="C91" s="309">
        <v>10</v>
      </c>
      <c r="D91" s="309">
        <v>2</v>
      </c>
      <c r="E91" s="309" t="s">
        <v>21913</v>
      </c>
      <c r="F91" s="572">
        <v>4.59</v>
      </c>
      <c r="G91" s="572">
        <f t="shared" ref="G91:G111" si="26">ROUND(D91*F91,2)</f>
        <v>9.18</v>
      </c>
      <c r="H91" s="309">
        <v>0.62</v>
      </c>
      <c r="I91" s="572">
        <f t="shared" ref="I91:I103" si="27">ROUND(D91*F91*H91,2)</f>
        <v>5.69</v>
      </c>
    </row>
    <row r="92" spans="2:9" x14ac:dyDescent="0.2">
      <c r="B92" s="571" t="s">
        <v>21916</v>
      </c>
      <c r="C92" s="309">
        <v>10</v>
      </c>
      <c r="D92" s="309">
        <v>2</v>
      </c>
      <c r="E92" s="309" t="s">
        <v>21913</v>
      </c>
      <c r="F92" s="572">
        <v>5.07</v>
      </c>
      <c r="G92" s="572">
        <f t="shared" si="26"/>
        <v>10.14</v>
      </c>
      <c r="H92" s="309">
        <v>0.62</v>
      </c>
      <c r="I92" s="572">
        <f t="shared" si="27"/>
        <v>6.29</v>
      </c>
    </row>
    <row r="93" spans="2:9" x14ac:dyDescent="0.2">
      <c r="B93" s="571" t="s">
        <v>21917</v>
      </c>
      <c r="C93" s="309">
        <v>10</v>
      </c>
      <c r="D93" s="309">
        <v>2</v>
      </c>
      <c r="E93" s="309" t="s">
        <v>21913</v>
      </c>
      <c r="F93" s="572">
        <v>5.75</v>
      </c>
      <c r="G93" s="572">
        <f t="shared" si="26"/>
        <v>11.5</v>
      </c>
      <c r="H93" s="309">
        <v>0.62</v>
      </c>
      <c r="I93" s="572">
        <f t="shared" si="27"/>
        <v>7.13</v>
      </c>
    </row>
    <row r="94" spans="2:9" x14ac:dyDescent="0.2">
      <c r="B94" s="571" t="s">
        <v>21918</v>
      </c>
      <c r="C94" s="309">
        <v>10</v>
      </c>
      <c r="D94" s="309">
        <v>2</v>
      </c>
      <c r="E94" s="309" t="s">
        <v>21913</v>
      </c>
      <c r="F94" s="572">
        <v>7.45</v>
      </c>
      <c r="G94" s="572">
        <f t="shared" si="26"/>
        <v>14.9</v>
      </c>
      <c r="H94" s="309">
        <v>0.62</v>
      </c>
      <c r="I94" s="572">
        <f t="shared" si="27"/>
        <v>9.24</v>
      </c>
    </row>
    <row r="95" spans="2:9" x14ac:dyDescent="0.2">
      <c r="B95" s="571" t="s">
        <v>21922</v>
      </c>
      <c r="C95" s="309">
        <v>10</v>
      </c>
      <c r="D95" s="309">
        <v>2</v>
      </c>
      <c r="E95" s="309" t="s">
        <v>21913</v>
      </c>
      <c r="F95" s="572">
        <v>1.51</v>
      </c>
      <c r="G95" s="572">
        <f t="shared" si="26"/>
        <v>3.02</v>
      </c>
      <c r="H95" s="309">
        <v>0.62</v>
      </c>
      <c r="I95" s="572">
        <f t="shared" si="27"/>
        <v>1.87</v>
      </c>
    </row>
    <row r="96" spans="2:9" x14ac:dyDescent="0.2">
      <c r="B96" s="571" t="s">
        <v>21923</v>
      </c>
      <c r="C96" s="309">
        <v>10</v>
      </c>
      <c r="D96" s="309">
        <v>4</v>
      </c>
      <c r="E96" s="309" t="s">
        <v>21913</v>
      </c>
      <c r="F96" s="572">
        <v>2.67</v>
      </c>
      <c r="G96" s="572">
        <f t="shared" si="26"/>
        <v>10.68</v>
      </c>
      <c r="H96" s="309">
        <v>0.62</v>
      </c>
      <c r="I96" s="572">
        <f t="shared" si="27"/>
        <v>6.62</v>
      </c>
    </row>
    <row r="97" spans="2:9" x14ac:dyDescent="0.2">
      <c r="B97" s="571" t="s">
        <v>21924</v>
      </c>
      <c r="C97" s="309">
        <v>10</v>
      </c>
      <c r="D97" s="309">
        <v>2</v>
      </c>
      <c r="E97" s="309" t="s">
        <v>21913</v>
      </c>
      <c r="F97" s="572">
        <v>1.9</v>
      </c>
      <c r="G97" s="572">
        <f t="shared" si="26"/>
        <v>3.8</v>
      </c>
      <c r="H97" s="309">
        <v>0.62</v>
      </c>
      <c r="I97" s="572">
        <f t="shared" si="27"/>
        <v>2.36</v>
      </c>
    </row>
    <row r="98" spans="2:9" x14ac:dyDescent="0.2">
      <c r="B98" s="571" t="s">
        <v>21928</v>
      </c>
      <c r="C98" s="309">
        <v>10</v>
      </c>
      <c r="D98" s="309">
        <v>2</v>
      </c>
      <c r="E98" s="309" t="s">
        <v>21913</v>
      </c>
      <c r="F98" s="572">
        <v>2.79</v>
      </c>
      <c r="G98" s="572">
        <f t="shared" si="26"/>
        <v>5.58</v>
      </c>
      <c r="H98" s="309">
        <v>0.62</v>
      </c>
      <c r="I98" s="572">
        <f t="shared" ref="I98" si="28">ROUND(D98*F98*H98,2)</f>
        <v>3.46</v>
      </c>
    </row>
    <row r="99" spans="2:9" x14ac:dyDescent="0.2">
      <c r="B99" s="571" t="s">
        <v>21929</v>
      </c>
      <c r="C99" s="309">
        <v>12.5</v>
      </c>
      <c r="D99" s="309">
        <v>22</v>
      </c>
      <c r="E99" s="309" t="s">
        <v>21913</v>
      </c>
      <c r="F99" s="572">
        <v>1.08</v>
      </c>
      <c r="G99" s="572">
        <f t="shared" si="26"/>
        <v>23.76</v>
      </c>
      <c r="H99" s="309">
        <v>0.98</v>
      </c>
      <c r="I99" s="572">
        <f t="shared" si="27"/>
        <v>23.28</v>
      </c>
    </row>
    <row r="100" spans="2:9" x14ac:dyDescent="0.2">
      <c r="B100" s="571" t="s">
        <v>21931</v>
      </c>
      <c r="C100" s="309">
        <v>12.5</v>
      </c>
      <c r="D100" s="309">
        <f>44+36+15</f>
        <v>95</v>
      </c>
      <c r="E100" s="309" t="s">
        <v>21913</v>
      </c>
      <c r="F100" s="572">
        <v>1.8</v>
      </c>
      <c r="G100" s="572">
        <f t="shared" si="26"/>
        <v>171</v>
      </c>
      <c r="H100" s="309">
        <v>0.98</v>
      </c>
      <c r="I100" s="572">
        <f t="shared" ref="I100:I101" si="29">ROUND(D100*F100*H100,2)</f>
        <v>167.58</v>
      </c>
    </row>
    <row r="101" spans="2:9" x14ac:dyDescent="0.2">
      <c r="B101" s="571" t="s">
        <v>21932</v>
      </c>
      <c r="C101" s="309">
        <v>12.5</v>
      </c>
      <c r="D101" s="309">
        <v>22</v>
      </c>
      <c r="E101" s="309" t="s">
        <v>21913</v>
      </c>
      <c r="F101" s="572">
        <v>1.33</v>
      </c>
      <c r="G101" s="572">
        <f t="shared" si="26"/>
        <v>29.26</v>
      </c>
      <c r="H101" s="309">
        <v>0.98</v>
      </c>
      <c r="I101" s="572">
        <f t="shared" si="29"/>
        <v>28.67</v>
      </c>
    </row>
    <row r="102" spans="2:9" x14ac:dyDescent="0.2">
      <c r="B102" s="571" t="s">
        <v>21937</v>
      </c>
      <c r="C102" s="309">
        <v>12.5</v>
      </c>
      <c r="D102" s="309">
        <v>4</v>
      </c>
      <c r="E102" s="309" t="s">
        <v>21913</v>
      </c>
      <c r="F102" s="572">
        <v>1.43</v>
      </c>
      <c r="G102" s="572">
        <f t="shared" si="26"/>
        <v>5.72</v>
      </c>
      <c r="H102" s="309">
        <v>0.98</v>
      </c>
      <c r="I102" s="572">
        <f t="shared" si="27"/>
        <v>5.61</v>
      </c>
    </row>
    <row r="103" spans="2:9" x14ac:dyDescent="0.2">
      <c r="B103" s="571" t="s">
        <v>21938</v>
      </c>
      <c r="C103" s="309">
        <v>12.5</v>
      </c>
      <c r="D103" s="309">
        <v>6</v>
      </c>
      <c r="E103" s="309" t="s">
        <v>21913</v>
      </c>
      <c r="F103" s="572">
        <v>1.48</v>
      </c>
      <c r="G103" s="572">
        <f t="shared" si="26"/>
        <v>8.8800000000000008</v>
      </c>
      <c r="H103" s="309">
        <v>0.98</v>
      </c>
      <c r="I103" s="572">
        <f t="shared" si="27"/>
        <v>8.6999999999999993</v>
      </c>
    </row>
    <row r="104" spans="2:9" x14ac:dyDescent="0.2">
      <c r="B104" s="822" t="s">
        <v>21939</v>
      </c>
      <c r="C104" s="823"/>
      <c r="D104" s="823"/>
      <c r="E104" s="823"/>
      <c r="F104" s="823"/>
      <c r="G104" s="823"/>
      <c r="H104" s="824"/>
      <c r="I104" s="574">
        <f>SUBTOTAL(9,I90:I103)</f>
        <v>279.96000000000004</v>
      </c>
    </row>
    <row r="105" spans="2:9" x14ac:dyDescent="0.2">
      <c r="B105" s="571" t="s">
        <v>21911</v>
      </c>
      <c r="C105" s="309">
        <v>10</v>
      </c>
      <c r="D105" s="309">
        <v>2</v>
      </c>
      <c r="E105" s="309" t="s">
        <v>21913</v>
      </c>
      <c r="F105" s="309">
        <v>6.15</v>
      </c>
      <c r="G105" s="572">
        <f t="shared" si="26"/>
        <v>12.3</v>
      </c>
      <c r="H105" s="309">
        <v>0.62</v>
      </c>
      <c r="I105" s="572">
        <f>ROUND(D105*F105*H105,2)</f>
        <v>7.63</v>
      </c>
    </row>
    <row r="106" spans="2:9" x14ac:dyDescent="0.2">
      <c r="B106" s="571" t="s">
        <v>21915</v>
      </c>
      <c r="C106" s="309">
        <v>10</v>
      </c>
      <c r="D106" s="309">
        <v>4</v>
      </c>
      <c r="E106" s="309" t="s">
        <v>21913</v>
      </c>
      <c r="F106" s="309">
        <v>1.1100000000000001</v>
      </c>
      <c r="G106" s="572">
        <f t="shared" si="26"/>
        <v>4.4400000000000004</v>
      </c>
      <c r="H106" s="309">
        <v>0.62</v>
      </c>
      <c r="I106" s="572">
        <f t="shared" ref="I106:I111" si="30">ROUND(D106*F106*H106,2)</f>
        <v>2.75</v>
      </c>
    </row>
    <row r="107" spans="2:9" x14ac:dyDescent="0.2">
      <c r="B107" s="571" t="s">
        <v>21916</v>
      </c>
      <c r="C107" s="309">
        <v>10</v>
      </c>
      <c r="D107" s="309">
        <v>2</v>
      </c>
      <c r="E107" s="309" t="s">
        <v>21913</v>
      </c>
      <c r="F107" s="572">
        <v>0.73</v>
      </c>
      <c r="G107" s="572">
        <f t="shared" si="26"/>
        <v>1.46</v>
      </c>
      <c r="H107" s="309">
        <v>0.62</v>
      </c>
      <c r="I107" s="572">
        <f t="shared" si="30"/>
        <v>0.91</v>
      </c>
    </row>
    <row r="108" spans="2:9" x14ac:dyDescent="0.2">
      <c r="B108" s="571" t="s">
        <v>21917</v>
      </c>
      <c r="C108" s="309">
        <v>10</v>
      </c>
      <c r="D108" s="309">
        <v>3</v>
      </c>
      <c r="E108" s="309" t="s">
        <v>21913</v>
      </c>
      <c r="F108" s="572">
        <v>0.91</v>
      </c>
      <c r="G108" s="572">
        <f t="shared" si="26"/>
        <v>2.73</v>
      </c>
      <c r="H108" s="309">
        <v>0.62</v>
      </c>
      <c r="I108" s="572">
        <f t="shared" si="30"/>
        <v>1.69</v>
      </c>
    </row>
    <row r="109" spans="2:9" x14ac:dyDescent="0.2">
      <c r="B109" s="571" t="s">
        <v>21918</v>
      </c>
      <c r="C109" s="309">
        <v>10</v>
      </c>
      <c r="D109" s="309">
        <v>2</v>
      </c>
      <c r="E109" s="309" t="s">
        <v>21913</v>
      </c>
      <c r="F109" s="309">
        <v>3.72</v>
      </c>
      <c r="G109" s="572">
        <f t="shared" si="26"/>
        <v>7.44</v>
      </c>
      <c r="H109" s="309">
        <v>0.62</v>
      </c>
      <c r="I109" s="572">
        <f t="shared" si="30"/>
        <v>4.6100000000000003</v>
      </c>
    </row>
    <row r="110" spans="2:9" x14ac:dyDescent="0.2">
      <c r="B110" s="571" t="s">
        <v>21922</v>
      </c>
      <c r="C110" s="309">
        <v>12.5</v>
      </c>
      <c r="D110" s="309">
        <v>15</v>
      </c>
      <c r="E110" s="309" t="s">
        <v>21913</v>
      </c>
      <c r="F110" s="309">
        <v>1.08</v>
      </c>
      <c r="G110" s="572">
        <f t="shared" si="26"/>
        <v>16.2</v>
      </c>
      <c r="H110" s="309">
        <v>0.98</v>
      </c>
      <c r="I110" s="572">
        <f t="shared" si="30"/>
        <v>15.88</v>
      </c>
    </row>
    <row r="111" spans="2:9" x14ac:dyDescent="0.2">
      <c r="B111" s="571" t="s">
        <v>21923</v>
      </c>
      <c r="C111" s="309">
        <v>12.5</v>
      </c>
      <c r="D111" s="309">
        <v>22</v>
      </c>
      <c r="E111" s="309" t="s">
        <v>21913</v>
      </c>
      <c r="F111" s="572">
        <v>1.8</v>
      </c>
      <c r="G111" s="572">
        <f t="shared" si="26"/>
        <v>39.6</v>
      </c>
      <c r="H111" s="309">
        <v>0.98</v>
      </c>
      <c r="I111" s="572">
        <f t="shared" si="30"/>
        <v>38.81</v>
      </c>
    </row>
    <row r="112" spans="2:9" x14ac:dyDescent="0.2">
      <c r="B112" s="822" t="s">
        <v>21940</v>
      </c>
      <c r="C112" s="823"/>
      <c r="D112" s="823"/>
      <c r="E112" s="823"/>
      <c r="F112" s="823"/>
      <c r="G112" s="823"/>
      <c r="H112" s="824"/>
      <c r="I112" s="574">
        <f>SUBTOTAL(9,I105:I111)</f>
        <v>72.28</v>
      </c>
    </row>
    <row r="113" spans="2:9" x14ac:dyDescent="0.2">
      <c r="B113" s="571" t="s">
        <v>21911</v>
      </c>
      <c r="C113" s="309">
        <v>10</v>
      </c>
      <c r="D113" s="309">
        <v>12</v>
      </c>
      <c r="E113" s="309" t="s">
        <v>21913</v>
      </c>
      <c r="F113" s="309">
        <v>4.29</v>
      </c>
      <c r="G113" s="572">
        <f t="shared" ref="G113:G178" si="31">ROUND(D113*F113,2)</f>
        <v>51.48</v>
      </c>
      <c r="H113" s="309">
        <v>0.62</v>
      </c>
      <c r="I113" s="572">
        <f>ROUND(D113*F113*H113,2)</f>
        <v>31.92</v>
      </c>
    </row>
    <row r="114" spans="2:9" x14ac:dyDescent="0.2">
      <c r="B114" s="571" t="s">
        <v>21915</v>
      </c>
      <c r="C114" s="309">
        <v>12.5</v>
      </c>
      <c r="D114" s="309">
        <v>5</v>
      </c>
      <c r="E114" s="309" t="s">
        <v>21913</v>
      </c>
      <c r="F114" s="309">
        <v>1.08</v>
      </c>
      <c r="G114" s="572">
        <f t="shared" si="31"/>
        <v>5.4</v>
      </c>
      <c r="H114" s="309">
        <v>0.98</v>
      </c>
      <c r="I114" s="572">
        <f t="shared" ref="I114:I116" si="32">ROUND(D114*F114*H114,2)</f>
        <v>5.29</v>
      </c>
    </row>
    <row r="115" spans="2:9" x14ac:dyDescent="0.2">
      <c r="B115" s="571" t="s">
        <v>21916</v>
      </c>
      <c r="C115" s="309">
        <v>12.5</v>
      </c>
      <c r="D115" s="309">
        <v>10</v>
      </c>
      <c r="E115" s="309" t="s">
        <v>21913</v>
      </c>
      <c r="F115" s="572">
        <v>1.8</v>
      </c>
      <c r="G115" s="572">
        <f t="shared" si="31"/>
        <v>18</v>
      </c>
      <c r="H115" s="309">
        <v>0.98</v>
      </c>
      <c r="I115" s="572">
        <f t="shared" si="32"/>
        <v>17.64</v>
      </c>
    </row>
    <row r="116" spans="2:9" x14ac:dyDescent="0.2">
      <c r="B116" s="571" t="s">
        <v>21917</v>
      </c>
      <c r="C116" s="309">
        <v>12.5</v>
      </c>
      <c r="D116" s="309">
        <v>5</v>
      </c>
      <c r="E116" s="309" t="s">
        <v>21913</v>
      </c>
      <c r="F116" s="572">
        <v>1.27</v>
      </c>
      <c r="G116" s="572">
        <f t="shared" si="31"/>
        <v>6.35</v>
      </c>
      <c r="H116" s="309">
        <v>0.98</v>
      </c>
      <c r="I116" s="309">
        <f t="shared" si="32"/>
        <v>6.22</v>
      </c>
    </row>
    <row r="117" spans="2:9" x14ac:dyDescent="0.2">
      <c r="B117" s="822" t="s">
        <v>21941</v>
      </c>
      <c r="C117" s="823"/>
      <c r="D117" s="823"/>
      <c r="E117" s="823"/>
      <c r="F117" s="823"/>
      <c r="G117" s="823"/>
      <c r="H117" s="824"/>
      <c r="I117" s="573">
        <f>SUBTOTAL(9,I113:I116)</f>
        <v>61.07</v>
      </c>
    </row>
    <row r="118" spans="2:9" x14ac:dyDescent="0.2">
      <c r="B118" s="571" t="s">
        <v>21911</v>
      </c>
      <c r="C118" s="309">
        <v>10</v>
      </c>
      <c r="D118" s="309">
        <v>2</v>
      </c>
      <c r="E118" s="309" t="s">
        <v>21913</v>
      </c>
      <c r="F118" s="572">
        <v>1.1000000000000001</v>
      </c>
      <c r="G118" s="572">
        <f t="shared" si="31"/>
        <v>2.2000000000000002</v>
      </c>
      <c r="H118" s="309">
        <v>0.62</v>
      </c>
      <c r="I118" s="572">
        <f>ROUND(D118*F118*H118,2)</f>
        <v>1.36</v>
      </c>
    </row>
    <row r="119" spans="2:9" x14ac:dyDescent="0.2">
      <c r="B119" s="571" t="s">
        <v>21915</v>
      </c>
      <c r="C119" s="309">
        <v>10</v>
      </c>
      <c r="D119" s="309">
        <v>2</v>
      </c>
      <c r="E119" s="309" t="s">
        <v>21913</v>
      </c>
      <c r="F119" s="572">
        <v>2.9</v>
      </c>
      <c r="G119" s="572">
        <f t="shared" si="31"/>
        <v>5.8</v>
      </c>
      <c r="H119" s="309">
        <v>0.62</v>
      </c>
      <c r="I119" s="572">
        <f t="shared" ref="I119:I132" si="33">ROUND(D119*F119*H119,2)</f>
        <v>3.6</v>
      </c>
    </row>
    <row r="120" spans="2:9" x14ac:dyDescent="0.2">
      <c r="B120" s="571" t="s">
        <v>21916</v>
      </c>
      <c r="C120" s="309">
        <v>10</v>
      </c>
      <c r="D120" s="309">
        <v>2</v>
      </c>
      <c r="E120" s="309" t="s">
        <v>21913</v>
      </c>
      <c r="F120" s="572">
        <v>8.9</v>
      </c>
      <c r="G120" s="572">
        <f t="shared" si="31"/>
        <v>17.8</v>
      </c>
      <c r="H120" s="309">
        <v>0.62</v>
      </c>
      <c r="I120" s="572">
        <f t="shared" si="33"/>
        <v>11.04</v>
      </c>
    </row>
    <row r="121" spans="2:9" x14ac:dyDescent="0.2">
      <c r="B121" s="571" t="s">
        <v>21917</v>
      </c>
      <c r="C121" s="309">
        <v>10</v>
      </c>
      <c r="D121" s="309">
        <v>12</v>
      </c>
      <c r="E121" s="309" t="s">
        <v>21913</v>
      </c>
      <c r="F121" s="572">
        <v>2.61</v>
      </c>
      <c r="G121" s="572">
        <f t="shared" si="31"/>
        <v>31.32</v>
      </c>
      <c r="H121" s="309">
        <v>0.62</v>
      </c>
      <c r="I121" s="572">
        <f t="shared" si="33"/>
        <v>19.420000000000002</v>
      </c>
    </row>
    <row r="122" spans="2:9" x14ac:dyDescent="0.2">
      <c r="B122" s="571" t="s">
        <v>21918</v>
      </c>
      <c r="C122" s="309">
        <v>10</v>
      </c>
      <c r="D122" s="309">
        <v>2</v>
      </c>
      <c r="E122" s="309" t="s">
        <v>21913</v>
      </c>
      <c r="F122" s="572">
        <v>2.21</v>
      </c>
      <c r="G122" s="572">
        <f t="shared" si="31"/>
        <v>4.42</v>
      </c>
      <c r="H122" s="309">
        <v>0.62</v>
      </c>
      <c r="I122" s="572">
        <f t="shared" si="33"/>
        <v>2.74</v>
      </c>
    </row>
    <row r="123" spans="2:9" x14ac:dyDescent="0.2">
      <c r="B123" s="571" t="s">
        <v>21922</v>
      </c>
      <c r="C123" s="309">
        <v>10</v>
      </c>
      <c r="D123" s="309">
        <v>2</v>
      </c>
      <c r="E123" s="309" t="s">
        <v>21913</v>
      </c>
      <c r="F123" s="572">
        <v>1.71</v>
      </c>
      <c r="G123" s="572">
        <f t="shared" si="31"/>
        <v>3.42</v>
      </c>
      <c r="H123" s="309">
        <v>0.62</v>
      </c>
      <c r="I123" s="572">
        <f t="shared" si="33"/>
        <v>2.12</v>
      </c>
    </row>
    <row r="124" spans="2:9" x14ac:dyDescent="0.2">
      <c r="B124" s="571" t="s">
        <v>21923</v>
      </c>
      <c r="C124" s="309">
        <v>10</v>
      </c>
      <c r="D124" s="309">
        <v>10</v>
      </c>
      <c r="E124" s="309" t="s">
        <v>21913</v>
      </c>
      <c r="F124" s="572">
        <v>12</v>
      </c>
      <c r="G124" s="572">
        <f t="shared" si="31"/>
        <v>120</v>
      </c>
      <c r="H124" s="309">
        <v>0.62</v>
      </c>
      <c r="I124" s="572">
        <f t="shared" si="33"/>
        <v>74.400000000000006</v>
      </c>
    </row>
    <row r="125" spans="2:9" x14ac:dyDescent="0.2">
      <c r="B125" s="571" t="s">
        <v>21924</v>
      </c>
      <c r="C125" s="309">
        <v>10</v>
      </c>
      <c r="D125" s="309">
        <v>2</v>
      </c>
      <c r="E125" s="309" t="s">
        <v>21913</v>
      </c>
      <c r="F125" s="572">
        <v>2.71</v>
      </c>
      <c r="G125" s="572">
        <f t="shared" si="31"/>
        <v>5.42</v>
      </c>
      <c r="H125" s="309">
        <v>0.62</v>
      </c>
      <c r="I125" s="572">
        <f t="shared" si="33"/>
        <v>3.36</v>
      </c>
    </row>
    <row r="126" spans="2:9" x14ac:dyDescent="0.2">
      <c r="B126" s="571" t="s">
        <v>21928</v>
      </c>
      <c r="C126" s="309">
        <v>10</v>
      </c>
      <c r="D126" s="309">
        <v>14</v>
      </c>
      <c r="E126" s="309" t="s">
        <v>21913</v>
      </c>
      <c r="F126" s="572">
        <v>1.61</v>
      </c>
      <c r="G126" s="572">
        <f t="shared" si="31"/>
        <v>22.54</v>
      </c>
      <c r="H126" s="309">
        <v>0.62</v>
      </c>
      <c r="I126" s="572">
        <f t="shared" si="33"/>
        <v>13.97</v>
      </c>
    </row>
    <row r="127" spans="2:9" x14ac:dyDescent="0.2">
      <c r="B127" s="571" t="s">
        <v>21929</v>
      </c>
      <c r="C127" s="309">
        <v>12.5</v>
      </c>
      <c r="D127" s="309">
        <f>10+18+36</f>
        <v>64</v>
      </c>
      <c r="E127" s="309" t="s">
        <v>21913</v>
      </c>
      <c r="F127" s="572">
        <v>1.08</v>
      </c>
      <c r="G127" s="572">
        <f t="shared" si="31"/>
        <v>69.12</v>
      </c>
      <c r="H127" s="309">
        <v>0.98</v>
      </c>
      <c r="I127" s="572">
        <f t="shared" si="33"/>
        <v>67.739999999999995</v>
      </c>
    </row>
    <row r="128" spans="2:9" x14ac:dyDescent="0.2">
      <c r="B128" s="571" t="s">
        <v>21931</v>
      </c>
      <c r="C128" s="309">
        <v>12.5</v>
      </c>
      <c r="D128" s="309">
        <f>17+17+54+72</f>
        <v>160</v>
      </c>
      <c r="E128" s="309" t="s">
        <v>21913</v>
      </c>
      <c r="F128" s="572">
        <v>1.8</v>
      </c>
      <c r="G128" s="572">
        <f t="shared" si="31"/>
        <v>288</v>
      </c>
      <c r="H128" s="309">
        <v>0.98</v>
      </c>
      <c r="I128" s="572">
        <f t="shared" si="33"/>
        <v>282.24</v>
      </c>
    </row>
    <row r="129" spans="2:9" x14ac:dyDescent="0.2">
      <c r="B129" s="571" t="s">
        <v>21932</v>
      </c>
      <c r="C129" s="309">
        <v>12.5</v>
      </c>
      <c r="D129" s="309">
        <v>4</v>
      </c>
      <c r="E129" s="309" t="s">
        <v>21913</v>
      </c>
      <c r="F129" s="572">
        <v>1.7</v>
      </c>
      <c r="G129" s="572">
        <f t="shared" si="31"/>
        <v>6.8</v>
      </c>
      <c r="H129" s="309">
        <v>0.98</v>
      </c>
      <c r="I129" s="572">
        <f t="shared" si="33"/>
        <v>6.66</v>
      </c>
    </row>
    <row r="130" spans="2:9" x14ac:dyDescent="0.2">
      <c r="B130" s="571" t="s">
        <v>21937</v>
      </c>
      <c r="C130" s="309">
        <v>12.5</v>
      </c>
      <c r="D130" s="309">
        <v>2</v>
      </c>
      <c r="E130" s="309" t="s">
        <v>21913</v>
      </c>
      <c r="F130" s="572">
        <v>2</v>
      </c>
      <c r="G130" s="572">
        <f t="shared" si="31"/>
        <v>4</v>
      </c>
      <c r="H130" s="309">
        <v>0.98</v>
      </c>
      <c r="I130" s="572">
        <f t="shared" si="33"/>
        <v>3.92</v>
      </c>
    </row>
    <row r="131" spans="2:9" x14ac:dyDescent="0.2">
      <c r="B131" s="571" t="s">
        <v>21938</v>
      </c>
      <c r="C131" s="309">
        <v>12.5</v>
      </c>
      <c r="D131" s="309">
        <v>2</v>
      </c>
      <c r="E131" s="309" t="s">
        <v>21913</v>
      </c>
      <c r="F131" s="572">
        <v>2</v>
      </c>
      <c r="G131" s="572">
        <f t="shared" si="31"/>
        <v>4</v>
      </c>
      <c r="H131" s="309">
        <v>0.98</v>
      </c>
      <c r="I131" s="572">
        <f t="shared" si="33"/>
        <v>3.92</v>
      </c>
    </row>
    <row r="132" spans="2:9" x14ac:dyDescent="0.2">
      <c r="B132" s="571" t="s">
        <v>21942</v>
      </c>
      <c r="C132" s="309">
        <v>12.5</v>
      </c>
      <c r="D132" s="309">
        <v>5</v>
      </c>
      <c r="E132" s="309" t="s">
        <v>21913</v>
      </c>
      <c r="F132" s="572">
        <v>1</v>
      </c>
      <c r="G132" s="572">
        <f t="shared" si="31"/>
        <v>5</v>
      </c>
      <c r="H132" s="309">
        <v>0.98</v>
      </c>
      <c r="I132" s="572">
        <f t="shared" si="33"/>
        <v>4.9000000000000004</v>
      </c>
    </row>
    <row r="133" spans="2:9" x14ac:dyDescent="0.2">
      <c r="B133" s="822" t="s">
        <v>21943</v>
      </c>
      <c r="C133" s="823"/>
      <c r="D133" s="823"/>
      <c r="E133" s="823"/>
      <c r="F133" s="823"/>
      <c r="G133" s="823"/>
      <c r="H133" s="824"/>
      <c r="I133" s="574">
        <f>SUBTOTAL(9,I118:I132)</f>
        <v>501.39000000000004</v>
      </c>
    </row>
    <row r="134" spans="2:9" x14ac:dyDescent="0.2">
      <c r="B134" s="571" t="s">
        <v>21911</v>
      </c>
      <c r="C134" s="309">
        <v>10</v>
      </c>
      <c r="D134" s="309">
        <v>2</v>
      </c>
      <c r="E134" s="309" t="s">
        <v>21913</v>
      </c>
      <c r="F134" s="309">
        <v>6.69</v>
      </c>
      <c r="G134" s="572">
        <f t="shared" si="31"/>
        <v>13.38</v>
      </c>
      <c r="H134" s="309">
        <v>0.62</v>
      </c>
      <c r="I134" s="572">
        <f>ROUND(D134*F134*H134,2)</f>
        <v>8.3000000000000007</v>
      </c>
    </row>
    <row r="135" spans="2:9" x14ac:dyDescent="0.2">
      <c r="B135" s="571" t="s">
        <v>21915</v>
      </c>
      <c r="C135" s="309">
        <v>10</v>
      </c>
      <c r="D135" s="309">
        <v>2</v>
      </c>
      <c r="E135" s="309" t="s">
        <v>21913</v>
      </c>
      <c r="F135" s="309">
        <v>2.76</v>
      </c>
      <c r="G135" s="572">
        <f t="shared" si="31"/>
        <v>5.52</v>
      </c>
      <c r="H135" s="309">
        <v>0.62</v>
      </c>
      <c r="I135" s="572">
        <f t="shared" ref="I135:I140" si="34">ROUND(D135*F135*H135,2)</f>
        <v>3.42</v>
      </c>
    </row>
    <row r="136" spans="2:9" x14ac:dyDescent="0.2">
      <c r="B136" s="571" t="s">
        <v>21916</v>
      </c>
      <c r="C136" s="309">
        <v>10</v>
      </c>
      <c r="D136" s="309">
        <v>2</v>
      </c>
      <c r="E136" s="309" t="s">
        <v>21913</v>
      </c>
      <c r="F136" s="572">
        <v>1.36</v>
      </c>
      <c r="G136" s="572">
        <f t="shared" si="31"/>
        <v>2.72</v>
      </c>
      <c r="H136" s="309">
        <v>0.62</v>
      </c>
      <c r="I136" s="572">
        <f t="shared" si="34"/>
        <v>1.69</v>
      </c>
    </row>
    <row r="137" spans="2:9" x14ac:dyDescent="0.2">
      <c r="B137" s="571" t="s">
        <v>21917</v>
      </c>
      <c r="C137" s="309">
        <v>10</v>
      </c>
      <c r="D137" s="309">
        <v>4</v>
      </c>
      <c r="E137" s="309" t="s">
        <v>21913</v>
      </c>
      <c r="F137" s="572">
        <v>1.5</v>
      </c>
      <c r="G137" s="572">
        <f t="shared" si="31"/>
        <v>6</v>
      </c>
      <c r="H137" s="309">
        <v>0.62</v>
      </c>
      <c r="I137" s="572">
        <f t="shared" si="34"/>
        <v>3.72</v>
      </c>
    </row>
    <row r="138" spans="2:9" x14ac:dyDescent="0.2">
      <c r="B138" s="571" t="s">
        <v>21918</v>
      </c>
      <c r="C138" s="309">
        <v>10</v>
      </c>
      <c r="D138" s="309">
        <v>4</v>
      </c>
      <c r="E138" s="309" t="s">
        <v>21913</v>
      </c>
      <c r="F138" s="572">
        <v>1.7</v>
      </c>
      <c r="G138" s="572">
        <f t="shared" si="31"/>
        <v>6.8</v>
      </c>
      <c r="H138" s="309">
        <v>0.62</v>
      </c>
      <c r="I138" s="572">
        <f t="shared" si="34"/>
        <v>4.22</v>
      </c>
    </row>
    <row r="139" spans="2:9" x14ac:dyDescent="0.2">
      <c r="B139" s="571" t="s">
        <v>21922</v>
      </c>
      <c r="C139" s="309">
        <v>12.5</v>
      </c>
      <c r="D139" s="309">
        <v>9</v>
      </c>
      <c r="E139" s="309" t="s">
        <v>21913</v>
      </c>
      <c r="F139" s="309">
        <v>1.08</v>
      </c>
      <c r="G139" s="572">
        <f t="shared" si="31"/>
        <v>9.7200000000000006</v>
      </c>
      <c r="H139" s="309">
        <v>0.98</v>
      </c>
      <c r="I139" s="572">
        <f t="shared" si="34"/>
        <v>9.5299999999999994</v>
      </c>
    </row>
    <row r="140" spans="2:9" x14ac:dyDescent="0.2">
      <c r="B140" s="571" t="s">
        <v>21923</v>
      </c>
      <c r="C140" s="309">
        <v>12.5</v>
      </c>
      <c r="D140" s="309">
        <v>18</v>
      </c>
      <c r="E140" s="309" t="s">
        <v>21913</v>
      </c>
      <c r="F140" s="572">
        <v>1.8</v>
      </c>
      <c r="G140" s="572">
        <f t="shared" si="31"/>
        <v>32.4</v>
      </c>
      <c r="H140" s="309">
        <v>0.98</v>
      </c>
      <c r="I140" s="572">
        <f t="shared" si="34"/>
        <v>31.75</v>
      </c>
    </row>
    <row r="141" spans="2:9" x14ac:dyDescent="0.2">
      <c r="B141" s="822" t="s">
        <v>21944</v>
      </c>
      <c r="C141" s="823"/>
      <c r="D141" s="823"/>
      <c r="E141" s="823"/>
      <c r="F141" s="823"/>
      <c r="G141" s="823"/>
      <c r="H141" s="824"/>
      <c r="I141" s="574">
        <f>SUBTOTAL(9,I134:I140)</f>
        <v>62.629999999999995</v>
      </c>
    </row>
    <row r="142" spans="2:9" x14ac:dyDescent="0.2">
      <c r="B142" s="571" t="s">
        <v>21911</v>
      </c>
      <c r="C142" s="309">
        <v>10</v>
      </c>
      <c r="D142" s="309">
        <v>6</v>
      </c>
      <c r="E142" s="309" t="s">
        <v>21913</v>
      </c>
      <c r="F142" s="572">
        <v>5.29</v>
      </c>
      <c r="G142" s="572">
        <f t="shared" si="31"/>
        <v>31.74</v>
      </c>
      <c r="H142" s="309">
        <v>0.62</v>
      </c>
      <c r="I142" s="572">
        <f>ROUND(D142*F142*H142,2)</f>
        <v>19.68</v>
      </c>
    </row>
    <row r="143" spans="2:9" x14ac:dyDescent="0.2">
      <c r="B143" s="571" t="s">
        <v>21915</v>
      </c>
      <c r="C143" s="309">
        <v>10</v>
      </c>
      <c r="D143" s="309">
        <v>8</v>
      </c>
      <c r="E143" s="309" t="s">
        <v>21913</v>
      </c>
      <c r="F143" s="572">
        <v>8</v>
      </c>
      <c r="G143" s="572">
        <f t="shared" si="31"/>
        <v>64</v>
      </c>
      <c r="H143" s="309">
        <v>0.62</v>
      </c>
      <c r="I143" s="572">
        <f t="shared" ref="I143:I162" si="35">ROUND(D143*F143*H143,2)</f>
        <v>39.68</v>
      </c>
    </row>
    <row r="144" spans="2:9" x14ac:dyDescent="0.2">
      <c r="B144" s="571" t="s">
        <v>21916</v>
      </c>
      <c r="C144" s="309">
        <v>10</v>
      </c>
      <c r="D144" s="309">
        <v>2</v>
      </c>
      <c r="E144" s="309" t="s">
        <v>21913</v>
      </c>
      <c r="F144" s="572">
        <v>5.49</v>
      </c>
      <c r="G144" s="572">
        <f t="shared" si="31"/>
        <v>10.98</v>
      </c>
      <c r="H144" s="309">
        <v>0.62</v>
      </c>
      <c r="I144" s="572">
        <f t="shared" si="35"/>
        <v>6.81</v>
      </c>
    </row>
    <row r="145" spans="2:9" x14ac:dyDescent="0.2">
      <c r="B145" s="571" t="s">
        <v>21917</v>
      </c>
      <c r="C145" s="309">
        <v>10</v>
      </c>
      <c r="D145" s="309">
        <v>8</v>
      </c>
      <c r="E145" s="309" t="s">
        <v>21913</v>
      </c>
      <c r="F145" s="572">
        <v>1.41</v>
      </c>
      <c r="G145" s="572">
        <f t="shared" si="31"/>
        <v>11.28</v>
      </c>
      <c r="H145" s="309">
        <v>0.62</v>
      </c>
      <c r="I145" s="572">
        <f t="shared" si="35"/>
        <v>6.99</v>
      </c>
    </row>
    <row r="146" spans="2:9" x14ac:dyDescent="0.2">
      <c r="B146" s="571" t="s">
        <v>21918</v>
      </c>
      <c r="C146" s="309">
        <v>10</v>
      </c>
      <c r="D146" s="309">
        <v>2</v>
      </c>
      <c r="E146" s="309" t="s">
        <v>21913</v>
      </c>
      <c r="F146" s="572">
        <v>1.51</v>
      </c>
      <c r="G146" s="572">
        <f t="shared" si="31"/>
        <v>3.02</v>
      </c>
      <c r="H146" s="309">
        <v>0.62</v>
      </c>
      <c r="I146" s="572">
        <f t="shared" si="35"/>
        <v>1.87</v>
      </c>
    </row>
    <row r="147" spans="2:9" x14ac:dyDescent="0.2">
      <c r="B147" s="571" t="s">
        <v>21922</v>
      </c>
      <c r="C147" s="309">
        <v>10</v>
      </c>
      <c r="D147" s="309">
        <v>4</v>
      </c>
      <c r="E147" s="309" t="s">
        <v>21913</v>
      </c>
      <c r="F147" s="572">
        <v>5.29</v>
      </c>
      <c r="G147" s="572">
        <f t="shared" si="31"/>
        <v>21.16</v>
      </c>
      <c r="H147" s="309">
        <v>0.62</v>
      </c>
      <c r="I147" s="572">
        <f t="shared" si="35"/>
        <v>13.12</v>
      </c>
    </row>
    <row r="148" spans="2:9" x14ac:dyDescent="0.2">
      <c r="B148" s="571" t="s">
        <v>21923</v>
      </c>
      <c r="C148" s="309">
        <v>10</v>
      </c>
      <c r="D148" s="309">
        <v>4</v>
      </c>
      <c r="E148" s="309" t="s">
        <v>21913</v>
      </c>
      <c r="F148" s="572">
        <v>2.99</v>
      </c>
      <c r="G148" s="572">
        <f t="shared" si="31"/>
        <v>11.96</v>
      </c>
      <c r="H148" s="309">
        <v>0.62</v>
      </c>
      <c r="I148" s="572">
        <f t="shared" si="35"/>
        <v>7.42</v>
      </c>
    </row>
    <row r="149" spans="2:9" x14ac:dyDescent="0.2">
      <c r="B149" s="571" t="s">
        <v>21924</v>
      </c>
      <c r="C149" s="309">
        <v>10</v>
      </c>
      <c r="D149" s="309">
        <v>4</v>
      </c>
      <c r="E149" s="309" t="s">
        <v>21913</v>
      </c>
      <c r="F149" s="572">
        <v>4.6399999999999997</v>
      </c>
      <c r="G149" s="572">
        <f t="shared" si="31"/>
        <v>18.559999999999999</v>
      </c>
      <c r="H149" s="309">
        <v>0.62</v>
      </c>
      <c r="I149" s="572">
        <f t="shared" si="35"/>
        <v>11.51</v>
      </c>
    </row>
    <row r="150" spans="2:9" x14ac:dyDescent="0.2">
      <c r="B150" s="571" t="s">
        <v>21928</v>
      </c>
      <c r="C150" s="309">
        <v>10</v>
      </c>
      <c r="D150" s="309">
        <v>4</v>
      </c>
      <c r="E150" s="309" t="s">
        <v>21913</v>
      </c>
      <c r="F150" s="572">
        <v>10</v>
      </c>
      <c r="G150" s="572">
        <f t="shared" si="31"/>
        <v>40</v>
      </c>
      <c r="H150" s="309">
        <v>0.62</v>
      </c>
      <c r="I150" s="572">
        <f t="shared" si="35"/>
        <v>24.8</v>
      </c>
    </row>
    <row r="151" spans="2:9" x14ac:dyDescent="0.2">
      <c r="B151" s="571" t="s">
        <v>21929</v>
      </c>
      <c r="C151" s="309">
        <v>10</v>
      </c>
      <c r="D151" s="309">
        <v>2</v>
      </c>
      <c r="E151" s="309" t="s">
        <v>21913</v>
      </c>
      <c r="F151" s="572">
        <v>4.5999999999999996</v>
      </c>
      <c r="G151" s="572">
        <f t="shared" si="31"/>
        <v>9.1999999999999993</v>
      </c>
      <c r="H151" s="309">
        <v>0.62</v>
      </c>
      <c r="I151" s="572">
        <f t="shared" si="35"/>
        <v>5.7</v>
      </c>
    </row>
    <row r="152" spans="2:9" x14ac:dyDescent="0.2">
      <c r="B152" s="571" t="s">
        <v>21931</v>
      </c>
      <c r="C152" s="309">
        <v>10</v>
      </c>
      <c r="D152" s="309">
        <v>2</v>
      </c>
      <c r="E152" s="309" t="s">
        <v>21913</v>
      </c>
      <c r="F152" s="572">
        <v>6</v>
      </c>
      <c r="G152" s="572">
        <f t="shared" si="31"/>
        <v>12</v>
      </c>
      <c r="H152" s="309">
        <v>0.62</v>
      </c>
      <c r="I152" s="572">
        <f t="shared" si="35"/>
        <v>7.44</v>
      </c>
    </row>
    <row r="153" spans="2:9" x14ac:dyDescent="0.2">
      <c r="B153" s="571" t="s">
        <v>21932</v>
      </c>
      <c r="C153" s="309">
        <v>10</v>
      </c>
      <c r="D153" s="309">
        <v>2</v>
      </c>
      <c r="E153" s="309" t="s">
        <v>21913</v>
      </c>
      <c r="F153" s="572">
        <v>1.43</v>
      </c>
      <c r="G153" s="572">
        <f t="shared" si="31"/>
        <v>2.86</v>
      </c>
      <c r="H153" s="309">
        <v>0.62</v>
      </c>
      <c r="I153" s="572">
        <f t="shared" si="35"/>
        <v>1.77</v>
      </c>
    </row>
    <row r="154" spans="2:9" x14ac:dyDescent="0.2">
      <c r="B154" s="571" t="s">
        <v>21937</v>
      </c>
      <c r="C154" s="309">
        <v>10</v>
      </c>
      <c r="D154" s="309">
        <v>4</v>
      </c>
      <c r="E154" s="309" t="s">
        <v>21913</v>
      </c>
      <c r="F154" s="572">
        <v>2.34</v>
      </c>
      <c r="G154" s="572">
        <f t="shared" si="31"/>
        <v>9.36</v>
      </c>
      <c r="H154" s="309">
        <v>0.62</v>
      </c>
      <c r="I154" s="572">
        <f t="shared" si="35"/>
        <v>5.8</v>
      </c>
    </row>
    <row r="155" spans="2:9" x14ac:dyDescent="0.2">
      <c r="B155" s="571" t="s">
        <v>21938</v>
      </c>
      <c r="C155" s="309">
        <v>10</v>
      </c>
      <c r="D155" s="309">
        <v>4</v>
      </c>
      <c r="E155" s="309" t="s">
        <v>21913</v>
      </c>
      <c r="F155" s="572">
        <v>5.73</v>
      </c>
      <c r="G155" s="572">
        <f t="shared" si="31"/>
        <v>22.92</v>
      </c>
      <c r="H155" s="309">
        <v>0.62</v>
      </c>
      <c r="I155" s="572">
        <f t="shared" si="35"/>
        <v>14.21</v>
      </c>
    </row>
    <row r="156" spans="2:9" x14ac:dyDescent="0.2">
      <c r="B156" s="571" t="s">
        <v>21942</v>
      </c>
      <c r="C156" s="309">
        <v>10</v>
      </c>
      <c r="D156" s="309">
        <v>4</v>
      </c>
      <c r="E156" s="309" t="s">
        <v>21913</v>
      </c>
      <c r="F156" s="572">
        <v>1.73</v>
      </c>
      <c r="G156" s="572">
        <f t="shared" si="31"/>
        <v>6.92</v>
      </c>
      <c r="H156" s="309">
        <v>0.62</v>
      </c>
      <c r="I156" s="572">
        <f t="shared" si="35"/>
        <v>4.29</v>
      </c>
    </row>
    <row r="157" spans="2:9" x14ac:dyDescent="0.2">
      <c r="B157" s="571" t="s">
        <v>21945</v>
      </c>
      <c r="C157" s="309">
        <v>10</v>
      </c>
      <c r="D157" s="309">
        <v>4</v>
      </c>
      <c r="E157" s="309" t="s">
        <v>21913</v>
      </c>
      <c r="F157" s="572">
        <v>3.93</v>
      </c>
      <c r="G157" s="572">
        <f t="shared" si="31"/>
        <v>15.72</v>
      </c>
      <c r="H157" s="309">
        <v>0.62</v>
      </c>
      <c r="I157" s="572">
        <f t="shared" si="35"/>
        <v>9.75</v>
      </c>
    </row>
    <row r="158" spans="2:9" x14ac:dyDescent="0.2">
      <c r="B158" s="571" t="s">
        <v>21946</v>
      </c>
      <c r="C158" s="309">
        <v>10</v>
      </c>
      <c r="D158" s="309">
        <v>4</v>
      </c>
      <c r="E158" s="309" t="s">
        <v>21913</v>
      </c>
      <c r="F158" s="572">
        <v>2.5099999999999998</v>
      </c>
      <c r="G158" s="572">
        <f t="shared" si="31"/>
        <v>10.039999999999999</v>
      </c>
      <c r="H158" s="309">
        <v>0.62</v>
      </c>
      <c r="I158" s="572">
        <f t="shared" si="35"/>
        <v>6.22</v>
      </c>
    </row>
    <row r="159" spans="2:9" x14ac:dyDescent="0.2">
      <c r="B159" s="571" t="s">
        <v>21947</v>
      </c>
      <c r="C159" s="309">
        <v>12.5</v>
      </c>
      <c r="D159" s="309">
        <v>27</v>
      </c>
      <c r="E159" s="309" t="s">
        <v>21913</v>
      </c>
      <c r="F159" s="572">
        <v>1.08</v>
      </c>
      <c r="G159" s="572">
        <f t="shared" si="31"/>
        <v>29.16</v>
      </c>
      <c r="H159" s="309">
        <v>0.98</v>
      </c>
      <c r="I159" s="572">
        <f t="shared" si="35"/>
        <v>28.58</v>
      </c>
    </row>
    <row r="160" spans="2:9" x14ac:dyDescent="0.2">
      <c r="B160" s="571" t="s">
        <v>21948</v>
      </c>
      <c r="C160" s="309">
        <v>12.5</v>
      </c>
      <c r="D160" s="309">
        <f>89+24</f>
        <v>113</v>
      </c>
      <c r="E160" s="309" t="s">
        <v>21913</v>
      </c>
      <c r="F160" s="572">
        <v>1.8</v>
      </c>
      <c r="G160" s="572">
        <f t="shared" si="31"/>
        <v>203.4</v>
      </c>
      <c r="H160" s="309">
        <v>0.98</v>
      </c>
      <c r="I160" s="572">
        <f t="shared" si="35"/>
        <v>199.33</v>
      </c>
    </row>
    <row r="161" spans="2:9" x14ac:dyDescent="0.2">
      <c r="B161" s="571" t="s">
        <v>21949</v>
      </c>
      <c r="C161" s="309">
        <v>12.5</v>
      </c>
      <c r="D161" s="309">
        <v>8</v>
      </c>
      <c r="E161" s="309" t="s">
        <v>21913</v>
      </c>
      <c r="F161" s="572">
        <v>1.7</v>
      </c>
      <c r="G161" s="572">
        <f t="shared" si="31"/>
        <v>13.6</v>
      </c>
      <c r="H161" s="309">
        <v>0.98</v>
      </c>
      <c r="I161" s="572">
        <f t="shared" si="35"/>
        <v>13.33</v>
      </c>
    </row>
    <row r="162" spans="2:9" x14ac:dyDescent="0.2">
      <c r="B162" s="571" t="s">
        <v>21950</v>
      </c>
      <c r="C162" s="309">
        <v>12.5</v>
      </c>
      <c r="D162" s="309">
        <v>2</v>
      </c>
      <c r="E162" s="309" t="s">
        <v>21913</v>
      </c>
      <c r="F162" s="572">
        <v>1.1000000000000001</v>
      </c>
      <c r="G162" s="572">
        <f t="shared" si="31"/>
        <v>2.2000000000000002</v>
      </c>
      <c r="H162" s="309">
        <v>0.98</v>
      </c>
      <c r="I162" s="572">
        <f t="shared" si="35"/>
        <v>2.16</v>
      </c>
    </row>
    <row r="163" spans="2:9" x14ac:dyDescent="0.2">
      <c r="B163" s="822" t="s">
        <v>21951</v>
      </c>
      <c r="C163" s="823"/>
      <c r="D163" s="823"/>
      <c r="E163" s="823"/>
      <c r="F163" s="823"/>
      <c r="G163" s="823"/>
      <c r="H163" s="824"/>
      <c r="I163" s="574">
        <f>SUBTOTAL(9,I142:I162)</f>
        <v>430.46000000000004</v>
      </c>
    </row>
    <row r="164" spans="2:9" x14ac:dyDescent="0.2">
      <c r="B164" s="571" t="s">
        <v>21911</v>
      </c>
      <c r="C164" s="309">
        <v>10</v>
      </c>
      <c r="D164" s="309">
        <v>2</v>
      </c>
      <c r="E164" s="309" t="s">
        <v>21913</v>
      </c>
      <c r="F164" s="572">
        <v>12</v>
      </c>
      <c r="G164" s="572">
        <f t="shared" si="31"/>
        <v>24</v>
      </c>
      <c r="H164" s="309">
        <v>0.62</v>
      </c>
      <c r="I164" s="572">
        <f>ROUND(D164*F164*H164,2)</f>
        <v>14.88</v>
      </c>
    </row>
    <row r="165" spans="2:9" x14ac:dyDescent="0.2">
      <c r="B165" s="571" t="s">
        <v>21915</v>
      </c>
      <c r="C165" s="309">
        <v>10</v>
      </c>
      <c r="D165" s="309">
        <v>2</v>
      </c>
      <c r="E165" s="309" t="s">
        <v>21913</v>
      </c>
      <c r="F165" s="572">
        <v>8.1</v>
      </c>
      <c r="G165" s="572">
        <f t="shared" si="31"/>
        <v>16.2</v>
      </c>
      <c r="H165" s="309">
        <v>0.62</v>
      </c>
      <c r="I165" s="572">
        <f t="shared" ref="I165:I175" si="36">ROUND(D165*F165*H165,2)</f>
        <v>10.039999999999999</v>
      </c>
    </row>
    <row r="166" spans="2:9" x14ac:dyDescent="0.2">
      <c r="B166" s="571" t="s">
        <v>21916</v>
      </c>
      <c r="C166" s="309">
        <v>10</v>
      </c>
      <c r="D166" s="309">
        <v>2</v>
      </c>
      <c r="E166" s="309" t="s">
        <v>21913</v>
      </c>
      <c r="F166" s="572">
        <v>1.46</v>
      </c>
      <c r="G166" s="572">
        <f t="shared" si="31"/>
        <v>2.92</v>
      </c>
      <c r="H166" s="309">
        <v>0.62</v>
      </c>
      <c r="I166" s="572">
        <f t="shared" si="36"/>
        <v>1.81</v>
      </c>
    </row>
    <row r="167" spans="2:9" x14ac:dyDescent="0.2">
      <c r="B167" s="571" t="s">
        <v>21917</v>
      </c>
      <c r="C167" s="309">
        <v>10</v>
      </c>
      <c r="D167" s="309">
        <v>2</v>
      </c>
      <c r="E167" s="309" t="s">
        <v>21913</v>
      </c>
      <c r="F167" s="572">
        <v>2.61</v>
      </c>
      <c r="G167" s="572">
        <f t="shared" si="31"/>
        <v>5.22</v>
      </c>
      <c r="H167" s="309">
        <v>0.62</v>
      </c>
      <c r="I167" s="572">
        <f t="shared" si="36"/>
        <v>3.24</v>
      </c>
    </row>
    <row r="168" spans="2:9" x14ac:dyDescent="0.2">
      <c r="B168" s="571" t="s">
        <v>21918</v>
      </c>
      <c r="C168" s="309">
        <v>10</v>
      </c>
      <c r="D168" s="309">
        <v>2</v>
      </c>
      <c r="E168" s="309" t="s">
        <v>21913</v>
      </c>
      <c r="F168" s="572">
        <v>1.41</v>
      </c>
      <c r="G168" s="572">
        <f t="shared" si="31"/>
        <v>2.82</v>
      </c>
      <c r="H168" s="309">
        <v>0.62</v>
      </c>
      <c r="I168" s="572">
        <f t="shared" si="36"/>
        <v>1.75</v>
      </c>
    </row>
    <row r="169" spans="2:9" x14ac:dyDescent="0.2">
      <c r="B169" s="571" t="s">
        <v>21922</v>
      </c>
      <c r="C169" s="309">
        <v>10</v>
      </c>
      <c r="D169" s="309">
        <v>2</v>
      </c>
      <c r="E169" s="309" t="s">
        <v>21913</v>
      </c>
      <c r="F169" s="572">
        <v>1.61</v>
      </c>
      <c r="G169" s="572">
        <f t="shared" si="31"/>
        <v>3.22</v>
      </c>
      <c r="H169" s="309">
        <v>0.62</v>
      </c>
      <c r="I169" s="572">
        <f t="shared" si="36"/>
        <v>2</v>
      </c>
    </row>
    <row r="170" spans="2:9" x14ac:dyDescent="0.2">
      <c r="B170" s="571" t="s">
        <v>21923</v>
      </c>
      <c r="C170" s="309">
        <v>10</v>
      </c>
      <c r="D170" s="309">
        <v>4</v>
      </c>
      <c r="E170" s="309" t="s">
        <v>21913</v>
      </c>
      <c r="F170" s="572">
        <v>4.93</v>
      </c>
      <c r="G170" s="572">
        <f t="shared" si="31"/>
        <v>19.72</v>
      </c>
      <c r="H170" s="309">
        <v>0.62</v>
      </c>
      <c r="I170" s="572">
        <f t="shared" si="36"/>
        <v>12.23</v>
      </c>
    </row>
    <row r="171" spans="2:9" x14ac:dyDescent="0.2">
      <c r="B171" s="571" t="s">
        <v>21924</v>
      </c>
      <c r="C171" s="309">
        <v>10</v>
      </c>
      <c r="D171" s="309">
        <v>4</v>
      </c>
      <c r="E171" s="309" t="s">
        <v>21913</v>
      </c>
      <c r="F171" s="572">
        <v>5.67</v>
      </c>
      <c r="G171" s="572">
        <f t="shared" si="31"/>
        <v>22.68</v>
      </c>
      <c r="H171" s="309">
        <v>0.62</v>
      </c>
      <c r="I171" s="572">
        <f t="shared" si="36"/>
        <v>14.06</v>
      </c>
    </row>
    <row r="172" spans="2:9" x14ac:dyDescent="0.2">
      <c r="B172" s="571" t="s">
        <v>21928</v>
      </c>
      <c r="C172" s="309">
        <v>10</v>
      </c>
      <c r="D172" s="309">
        <v>4</v>
      </c>
      <c r="E172" s="309" t="s">
        <v>21913</v>
      </c>
      <c r="F172" s="309">
        <v>2.11</v>
      </c>
      <c r="G172" s="572">
        <f t="shared" si="31"/>
        <v>8.44</v>
      </c>
      <c r="H172" s="309">
        <v>0.62</v>
      </c>
      <c r="I172" s="572">
        <f t="shared" si="36"/>
        <v>5.23</v>
      </c>
    </row>
    <row r="173" spans="2:9" x14ac:dyDescent="0.2">
      <c r="B173" s="571" t="s">
        <v>21929</v>
      </c>
      <c r="C173" s="309">
        <v>10</v>
      </c>
      <c r="D173" s="309">
        <v>4</v>
      </c>
      <c r="E173" s="309" t="s">
        <v>21913</v>
      </c>
      <c r="F173" s="572">
        <v>2.93</v>
      </c>
      <c r="G173" s="572">
        <f t="shared" si="31"/>
        <v>11.72</v>
      </c>
      <c r="H173" s="309">
        <v>0.62</v>
      </c>
      <c r="I173" s="572">
        <f t="shared" si="36"/>
        <v>7.27</v>
      </c>
    </row>
    <row r="174" spans="2:9" x14ac:dyDescent="0.2">
      <c r="B174" s="571" t="s">
        <v>21931</v>
      </c>
      <c r="C174" s="309">
        <v>12.5</v>
      </c>
      <c r="D174" s="309">
        <v>28</v>
      </c>
      <c r="E174" s="309" t="s">
        <v>21913</v>
      </c>
      <c r="F174" s="309">
        <v>1.08</v>
      </c>
      <c r="G174" s="572">
        <f t="shared" si="31"/>
        <v>30.24</v>
      </c>
      <c r="H174" s="309">
        <v>0.98</v>
      </c>
      <c r="I174" s="572">
        <f t="shared" si="36"/>
        <v>29.64</v>
      </c>
    </row>
    <row r="175" spans="2:9" x14ac:dyDescent="0.2">
      <c r="B175" s="571" t="s">
        <v>21932</v>
      </c>
      <c r="C175" s="309">
        <v>12.5</v>
      </c>
      <c r="D175" s="309">
        <v>56</v>
      </c>
      <c r="E175" s="309" t="s">
        <v>21913</v>
      </c>
      <c r="F175" s="572">
        <v>1.8</v>
      </c>
      <c r="G175" s="572">
        <f t="shared" si="31"/>
        <v>100.8</v>
      </c>
      <c r="H175" s="309">
        <v>0.98</v>
      </c>
      <c r="I175" s="572">
        <f t="shared" si="36"/>
        <v>98.78</v>
      </c>
    </row>
    <row r="176" spans="2:9" x14ac:dyDescent="0.2">
      <c r="B176" s="822" t="s">
        <v>21952</v>
      </c>
      <c r="C176" s="823"/>
      <c r="D176" s="823"/>
      <c r="E176" s="823"/>
      <c r="F176" s="823"/>
      <c r="G176" s="823"/>
      <c r="H176" s="824"/>
      <c r="I176" s="574">
        <f>SUBTOTAL(9,I164:I175)</f>
        <v>200.93</v>
      </c>
    </row>
    <row r="177" spans="2:12" x14ac:dyDescent="0.2">
      <c r="B177" s="571" t="s">
        <v>21911</v>
      </c>
      <c r="C177" s="309">
        <v>10</v>
      </c>
      <c r="D177" s="309">
        <v>2</v>
      </c>
      <c r="E177" s="309" t="s">
        <v>21913</v>
      </c>
      <c r="F177" s="309">
        <v>10.74</v>
      </c>
      <c r="G177" s="572">
        <f t="shared" si="31"/>
        <v>21.48</v>
      </c>
      <c r="H177" s="309">
        <v>0.62</v>
      </c>
      <c r="I177" s="572">
        <f>ROUND(D177*F177*H177,2)</f>
        <v>13.32</v>
      </c>
    </row>
    <row r="178" spans="2:12" x14ac:dyDescent="0.2">
      <c r="B178" s="571" t="s">
        <v>21915</v>
      </c>
      <c r="C178" s="309">
        <v>10</v>
      </c>
      <c r="D178" s="309">
        <v>2</v>
      </c>
      <c r="E178" s="309" t="s">
        <v>21913</v>
      </c>
      <c r="F178" s="309">
        <v>6.21</v>
      </c>
      <c r="G178" s="572">
        <f t="shared" si="31"/>
        <v>12.42</v>
      </c>
      <c r="H178" s="309">
        <v>0.62</v>
      </c>
      <c r="I178" s="572">
        <f t="shared" ref="I178:I184" si="37">ROUND(D178*F178*H178,2)</f>
        <v>7.7</v>
      </c>
    </row>
    <row r="179" spans="2:12" x14ac:dyDescent="0.2">
      <c r="B179" s="571" t="s">
        <v>21916</v>
      </c>
      <c r="C179" s="309">
        <v>10</v>
      </c>
      <c r="D179" s="309">
        <v>4</v>
      </c>
      <c r="E179" s="309" t="s">
        <v>21913</v>
      </c>
      <c r="F179" s="572">
        <v>1.06</v>
      </c>
      <c r="G179" s="572">
        <f t="shared" ref="G179:G184" si="38">ROUND(D179*F179,2)</f>
        <v>4.24</v>
      </c>
      <c r="H179" s="309">
        <v>0.62</v>
      </c>
      <c r="I179" s="572">
        <f t="shared" si="37"/>
        <v>2.63</v>
      </c>
    </row>
    <row r="180" spans="2:12" x14ac:dyDescent="0.2">
      <c r="B180" s="571" t="s">
        <v>21917</v>
      </c>
      <c r="C180" s="309">
        <v>10</v>
      </c>
      <c r="D180" s="309">
        <v>2</v>
      </c>
      <c r="E180" s="309" t="s">
        <v>21913</v>
      </c>
      <c r="F180" s="309">
        <v>8.61</v>
      </c>
      <c r="G180" s="572">
        <f t="shared" si="38"/>
        <v>17.22</v>
      </c>
      <c r="H180" s="309">
        <v>0.62</v>
      </c>
      <c r="I180" s="572">
        <f t="shared" si="37"/>
        <v>10.68</v>
      </c>
    </row>
    <row r="181" spans="2:12" x14ac:dyDescent="0.2">
      <c r="B181" s="571" t="s">
        <v>21918</v>
      </c>
      <c r="C181" s="309">
        <v>10</v>
      </c>
      <c r="D181" s="309">
        <v>12</v>
      </c>
      <c r="E181" s="309" t="s">
        <v>21913</v>
      </c>
      <c r="F181" s="572">
        <v>10</v>
      </c>
      <c r="G181" s="572">
        <f t="shared" si="38"/>
        <v>120</v>
      </c>
      <c r="H181" s="309">
        <v>0.62</v>
      </c>
      <c r="I181" s="572">
        <f t="shared" si="37"/>
        <v>74.400000000000006</v>
      </c>
    </row>
    <row r="182" spans="2:12" x14ac:dyDescent="0.2">
      <c r="B182" s="571" t="s">
        <v>21922</v>
      </c>
      <c r="C182" s="309">
        <v>10</v>
      </c>
      <c r="D182" s="309">
        <v>6</v>
      </c>
      <c r="E182" s="309" t="s">
        <v>21913</v>
      </c>
      <c r="F182" s="309">
        <v>4.5999999999999996</v>
      </c>
      <c r="G182" s="572">
        <f t="shared" si="38"/>
        <v>27.6</v>
      </c>
      <c r="H182" s="309">
        <v>0.62</v>
      </c>
      <c r="I182" s="572">
        <f t="shared" si="37"/>
        <v>17.11</v>
      </c>
    </row>
    <row r="183" spans="2:12" x14ac:dyDescent="0.2">
      <c r="B183" s="571" t="s">
        <v>21923</v>
      </c>
      <c r="C183" s="309">
        <v>12.5</v>
      </c>
      <c r="D183" s="309">
        <v>54</v>
      </c>
      <c r="E183" s="309" t="s">
        <v>21913</v>
      </c>
      <c r="F183" s="309">
        <v>1.08</v>
      </c>
      <c r="G183" s="572">
        <f t="shared" si="38"/>
        <v>58.32</v>
      </c>
      <c r="H183" s="309">
        <v>0.98</v>
      </c>
      <c r="I183" s="572">
        <f t="shared" si="37"/>
        <v>57.15</v>
      </c>
    </row>
    <row r="184" spans="2:12" x14ac:dyDescent="0.2">
      <c r="B184" s="571" t="s">
        <v>21924</v>
      </c>
      <c r="C184" s="309">
        <v>12.5</v>
      </c>
      <c r="D184" s="309">
        <v>124</v>
      </c>
      <c r="E184" s="309" t="s">
        <v>21913</v>
      </c>
      <c r="F184" s="572">
        <v>1.8</v>
      </c>
      <c r="G184" s="572">
        <f t="shared" si="38"/>
        <v>223.2</v>
      </c>
      <c r="H184" s="309">
        <v>0.98</v>
      </c>
      <c r="I184" s="572">
        <f t="shared" si="37"/>
        <v>218.74</v>
      </c>
    </row>
    <row r="185" spans="2:12" x14ac:dyDescent="0.2">
      <c r="B185" s="822" t="s">
        <v>21953</v>
      </c>
      <c r="C185" s="823"/>
      <c r="D185" s="823"/>
      <c r="E185" s="823"/>
      <c r="F185" s="823"/>
      <c r="G185" s="823"/>
      <c r="H185" s="824"/>
      <c r="I185" s="574">
        <f>SUBTOTAL(9,I177:I184)</f>
        <v>401.73</v>
      </c>
    </row>
    <row r="186" spans="2:12" ht="15.75" x14ac:dyDescent="0.25">
      <c r="B186" s="819" t="s">
        <v>21955</v>
      </c>
      <c r="C186" s="820"/>
      <c r="D186" s="820"/>
      <c r="E186" s="820"/>
      <c r="F186" s="820"/>
      <c r="G186" s="820"/>
      <c r="H186" s="821"/>
      <c r="I186" s="578">
        <f>SUM(I4:I5,I9:I11,I15,I19:I21,I25:I30,I34:I36,I40:I47,I51:I56,I60:I67,I73,I77:I82,I86,I90:I98,I105:I109,I113,I118:I126,I134:I138,I142:I158,I164:I173,I177:I182)</f>
        <v>997.8499999999998</v>
      </c>
    </row>
    <row r="187" spans="2:12" ht="15.75" x14ac:dyDescent="0.25">
      <c r="B187" s="819" t="s">
        <v>21956</v>
      </c>
      <c r="C187" s="820"/>
      <c r="D187" s="820"/>
      <c r="E187" s="820"/>
      <c r="F187" s="820"/>
      <c r="G187" s="820"/>
      <c r="H187" s="821"/>
      <c r="I187" s="578">
        <f>SUM(I6:I7,I12:I13,I16:I17,I22:I23,I31:I32,I37:I38,I48:I49,I57:I58,I68:I71,I74:I75,I83:I84,I87:I88,I99:I103,I110:I111,I114:I116,I127:I132,I139:I140,I159:I162,I174:I175,I183:I184)</f>
        <v>2280.5</v>
      </c>
    </row>
    <row r="188" spans="2:12" ht="15.75" x14ac:dyDescent="0.25">
      <c r="B188" s="830" t="s">
        <v>7</v>
      </c>
      <c r="C188" s="831"/>
      <c r="D188" s="831"/>
      <c r="E188" s="831"/>
      <c r="F188" s="831"/>
      <c r="G188" s="831"/>
      <c r="H188" s="832"/>
      <c r="I188" s="578">
        <f>SUBTOTAL(9,I4:I184)</f>
        <v>3278.3499999999995</v>
      </c>
      <c r="K188" s="308">
        <v>3854.5</v>
      </c>
    </row>
    <row r="189" spans="2:12" x14ac:dyDescent="0.2">
      <c r="K189" s="308">
        <f>K188/I188</f>
        <v>1.1757438955572164</v>
      </c>
      <c r="L189" s="575">
        <f>K189-1</f>
        <v>0.17574389555721637</v>
      </c>
    </row>
    <row r="190" spans="2:12" x14ac:dyDescent="0.2">
      <c r="I190" s="577">
        <f>I186+I187</f>
        <v>3278.35</v>
      </c>
    </row>
    <row r="199" spans="2:9" ht="15.75" x14ac:dyDescent="0.25">
      <c r="B199" s="827" t="s">
        <v>21957</v>
      </c>
      <c r="C199" s="828"/>
      <c r="D199" s="828"/>
      <c r="E199" s="828"/>
      <c r="F199" s="828"/>
      <c r="G199" s="828"/>
      <c r="H199" s="828"/>
      <c r="I199" s="829"/>
    </row>
    <row r="200" spans="2:9" ht="15" x14ac:dyDescent="0.25">
      <c r="B200" s="826" t="s">
        <v>21958</v>
      </c>
      <c r="C200" s="826"/>
      <c r="D200" s="826"/>
      <c r="E200" s="826"/>
      <c r="F200" s="826"/>
      <c r="G200" s="826"/>
      <c r="H200" s="826"/>
      <c r="I200" s="581">
        <v>997.8499999999998</v>
      </c>
    </row>
    <row r="201" spans="2:9" ht="15" x14ac:dyDescent="0.25">
      <c r="B201" s="826" t="s">
        <v>21959</v>
      </c>
      <c r="C201" s="826"/>
      <c r="D201" s="826"/>
      <c r="E201" s="826"/>
      <c r="F201" s="826"/>
      <c r="G201" s="826"/>
      <c r="H201" s="826"/>
      <c r="I201" s="581">
        <v>2280.5</v>
      </c>
    </row>
    <row r="202" spans="2:9" ht="15" x14ac:dyDescent="0.25">
      <c r="B202" s="826" t="s">
        <v>21960</v>
      </c>
      <c r="C202" s="826"/>
      <c r="D202" s="826"/>
      <c r="E202" s="826"/>
      <c r="F202" s="826"/>
      <c r="G202" s="826"/>
      <c r="H202" s="826"/>
      <c r="I202" s="581">
        <v>3278.3499999999995</v>
      </c>
    </row>
  </sheetData>
  <mergeCells count="28">
    <mergeCell ref="B200:H200"/>
    <mergeCell ref="B201:H201"/>
    <mergeCell ref="B202:H202"/>
    <mergeCell ref="B199:I199"/>
    <mergeCell ref="B188:H188"/>
    <mergeCell ref="B176:H176"/>
    <mergeCell ref="B185:H185"/>
    <mergeCell ref="B85:H85"/>
    <mergeCell ref="B89:H89"/>
    <mergeCell ref="B104:H104"/>
    <mergeCell ref="B112:H112"/>
    <mergeCell ref="B117:H117"/>
    <mergeCell ref="B186:H186"/>
    <mergeCell ref="B187:H187"/>
    <mergeCell ref="B76:H76"/>
    <mergeCell ref="B2:I2"/>
    <mergeCell ref="B8:H8"/>
    <mergeCell ref="B14:H14"/>
    <mergeCell ref="B18:H18"/>
    <mergeCell ref="B24:H24"/>
    <mergeCell ref="B33:H33"/>
    <mergeCell ref="B39:H39"/>
    <mergeCell ref="B50:H50"/>
    <mergeCell ref="B59:H59"/>
    <mergeCell ref="B72:H72"/>
    <mergeCell ref="B133:H133"/>
    <mergeCell ref="B141:H141"/>
    <mergeCell ref="B163:H16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2:I6"/>
  <sheetViews>
    <sheetView workbookViewId="0">
      <selection activeCell="I13" sqref="I13"/>
    </sheetView>
  </sheetViews>
  <sheetFormatPr defaultRowHeight="12.75" x14ac:dyDescent="0.2"/>
  <cols>
    <col min="2" max="2" width="9.5703125" bestFit="1" customWidth="1"/>
    <col min="3" max="3" width="7.5703125" customWidth="1"/>
    <col min="4" max="4" width="7.85546875" bestFit="1" customWidth="1"/>
    <col min="5" max="5" width="6.42578125" bestFit="1" customWidth="1"/>
    <col min="6" max="6" width="9" bestFit="1" customWidth="1"/>
    <col min="7" max="7" width="8" bestFit="1" customWidth="1"/>
    <col min="8" max="8" width="8.7109375" bestFit="1" customWidth="1"/>
    <col min="9" max="9" width="7.85546875" bestFit="1" customWidth="1"/>
  </cols>
  <sheetData>
    <row r="2" spans="2:9" ht="15" x14ac:dyDescent="0.25">
      <c r="B2" s="778" t="s">
        <v>20916</v>
      </c>
      <c r="C2" s="778"/>
      <c r="D2" s="778"/>
      <c r="E2" s="778"/>
      <c r="F2" s="778"/>
      <c r="G2" s="778"/>
      <c r="H2" s="778"/>
      <c r="I2" s="778"/>
    </row>
    <row r="3" spans="2:9" ht="30" x14ac:dyDescent="0.2">
      <c r="B3" s="341" t="s">
        <v>107</v>
      </c>
      <c r="C3" s="342" t="s">
        <v>88</v>
      </c>
      <c r="D3" s="342" t="s">
        <v>21255</v>
      </c>
      <c r="E3" s="342" t="s">
        <v>87</v>
      </c>
      <c r="F3" s="342" t="s">
        <v>20361</v>
      </c>
      <c r="G3" s="342" t="s">
        <v>20883</v>
      </c>
      <c r="H3" s="342" t="s">
        <v>20885</v>
      </c>
      <c r="I3" s="342" t="s">
        <v>20587</v>
      </c>
    </row>
    <row r="4" spans="2:9" ht="15" x14ac:dyDescent="0.25">
      <c r="B4" s="369" t="s">
        <v>20693</v>
      </c>
      <c r="C4" s="324">
        <v>7.87</v>
      </c>
      <c r="D4" s="324">
        <f>ROUND(0.05*C4,2)</f>
        <v>0.39</v>
      </c>
      <c r="E4" s="324">
        <v>0.1</v>
      </c>
      <c r="F4" s="324">
        <f t="shared" ref="F4" si="0">ROUND(C4*E4,2)</f>
        <v>0.79</v>
      </c>
      <c r="G4" s="324" t="s">
        <v>21071</v>
      </c>
      <c r="H4" s="324">
        <v>2.63</v>
      </c>
      <c r="I4" s="324">
        <f>ROUND(C4*H4,2)</f>
        <v>20.7</v>
      </c>
    </row>
    <row r="5" spans="2:9" ht="15" x14ac:dyDescent="0.25">
      <c r="B5" s="369" t="s">
        <v>21587</v>
      </c>
      <c r="C5" s="324">
        <f>26.41+18.2</f>
        <v>44.61</v>
      </c>
      <c r="D5" s="324">
        <f>ROUND(0.05*C5,2)</f>
        <v>2.23</v>
      </c>
      <c r="E5" s="324">
        <v>0.1</v>
      </c>
      <c r="F5" s="324">
        <f t="shared" ref="F5" si="1">ROUND(C5*E5,2)</f>
        <v>4.46</v>
      </c>
      <c r="G5" s="324" t="s">
        <v>21071</v>
      </c>
      <c r="H5" s="324">
        <v>2.63</v>
      </c>
      <c r="I5" s="324">
        <f t="shared" ref="I5" si="2">ROUND(C5*H5,2)</f>
        <v>117.32</v>
      </c>
    </row>
    <row r="6" spans="2:9" ht="15" x14ac:dyDescent="0.2">
      <c r="B6" s="315" t="s">
        <v>7</v>
      </c>
      <c r="C6" s="398">
        <f>SUM(C4:C5)</f>
        <v>52.48</v>
      </c>
      <c r="D6" s="398">
        <f t="shared" ref="D6:I6" si="3">SUM(D4:D5)</f>
        <v>2.62</v>
      </c>
      <c r="E6" s="398"/>
      <c r="F6" s="398">
        <f t="shared" si="3"/>
        <v>5.25</v>
      </c>
      <c r="G6" s="398"/>
      <c r="H6" s="398"/>
      <c r="I6" s="398">
        <f t="shared" si="3"/>
        <v>138.01999999999998</v>
      </c>
    </row>
  </sheetData>
  <mergeCells count="1">
    <mergeCell ref="B2:I2"/>
  </mergeCells>
  <phoneticPr fontId="4" type="noConversion"/>
  <pageMargins left="0.511811024" right="0.511811024" top="0.78740157499999996" bottom="0.78740157499999996" header="0.31496062000000002" footer="0.3149606200000000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FF0000"/>
    <pageSetUpPr fitToPage="1"/>
  </sheetPr>
  <dimension ref="B3:G12"/>
  <sheetViews>
    <sheetView workbookViewId="0">
      <selection activeCell="I25" sqref="I25"/>
    </sheetView>
  </sheetViews>
  <sheetFormatPr defaultRowHeight="12.75" x14ac:dyDescent="0.2"/>
  <cols>
    <col min="2" max="2" width="38.7109375" bestFit="1" customWidth="1"/>
    <col min="3" max="3" width="17" customWidth="1"/>
    <col min="6" max="6" width="15" bestFit="1" customWidth="1"/>
  </cols>
  <sheetData>
    <row r="3" spans="2:7" x14ac:dyDescent="0.2">
      <c r="B3" s="308"/>
      <c r="C3" s="308"/>
      <c r="D3" s="311"/>
      <c r="E3" s="308"/>
      <c r="F3" s="312">
        <v>2042739.59</v>
      </c>
    </row>
    <row r="4" spans="2:7" x14ac:dyDescent="0.2">
      <c r="B4" s="184" t="s">
        <v>21048</v>
      </c>
      <c r="C4" s="184" t="s">
        <v>21049</v>
      </c>
      <c r="D4" s="184" t="s">
        <v>21050</v>
      </c>
      <c r="E4" s="184" t="s">
        <v>21046</v>
      </c>
      <c r="F4" s="184" t="s">
        <v>21047</v>
      </c>
      <c r="G4" s="184" t="s">
        <v>73</v>
      </c>
    </row>
    <row r="5" spans="2:7" x14ac:dyDescent="0.2">
      <c r="B5" s="637" t="s">
        <v>21045</v>
      </c>
      <c r="C5" s="637" t="s">
        <v>21051</v>
      </c>
      <c r="D5" s="158" t="s">
        <v>2</v>
      </c>
      <c r="E5" s="169">
        <f>337.83+43.32</f>
        <v>381.15</v>
      </c>
      <c r="F5" s="638">
        <f>61755.32+5579.18</f>
        <v>67334.5</v>
      </c>
      <c r="G5" s="639">
        <f>ROUND(F5/$F$3,4)</f>
        <v>3.3000000000000002E-2</v>
      </c>
    </row>
    <row r="6" spans="2:7" ht="38.25" x14ac:dyDescent="0.2">
      <c r="B6" s="637" t="s">
        <v>21052</v>
      </c>
      <c r="C6" s="640" t="s">
        <v>21064</v>
      </c>
      <c r="D6" s="158" t="s">
        <v>21053</v>
      </c>
      <c r="E6" s="169">
        <f>1097.4+2117.37+503.3+63+215.47</f>
        <v>3996.54</v>
      </c>
      <c r="F6" s="638">
        <f>42458.41+81921.05+19472.68+2437.47+8336.53</f>
        <v>154626.14000000001</v>
      </c>
      <c r="G6" s="641">
        <f t="shared" ref="G6:G12" si="0">ROUND(F6/$F$3,4)</f>
        <v>7.5700000000000003E-2</v>
      </c>
    </row>
    <row r="7" spans="2:7" x14ac:dyDescent="0.2">
      <c r="B7" s="637" t="s">
        <v>21054</v>
      </c>
      <c r="C7" s="640" t="s">
        <v>21055</v>
      </c>
      <c r="D7" s="158" t="s">
        <v>2</v>
      </c>
      <c r="E7" s="169">
        <v>105.44</v>
      </c>
      <c r="F7" s="638">
        <v>68202.81</v>
      </c>
      <c r="G7" s="639">
        <f t="shared" si="0"/>
        <v>3.3399999999999999E-2</v>
      </c>
    </row>
    <row r="8" spans="2:7" x14ac:dyDescent="0.2">
      <c r="B8" s="637" t="s">
        <v>21057</v>
      </c>
      <c r="C8" s="640" t="s">
        <v>21056</v>
      </c>
      <c r="D8" s="158" t="s">
        <v>2</v>
      </c>
      <c r="E8" s="169">
        <v>229.33</v>
      </c>
      <c r="F8" s="638">
        <v>43591.05</v>
      </c>
      <c r="G8" s="639">
        <f t="shared" si="0"/>
        <v>2.1299999999999999E-2</v>
      </c>
    </row>
    <row r="9" spans="2:7" x14ac:dyDescent="0.2">
      <c r="B9" s="637" t="s">
        <v>21058</v>
      </c>
      <c r="C9" s="640" t="s">
        <v>21059</v>
      </c>
      <c r="D9" s="158" t="s">
        <v>2</v>
      </c>
      <c r="E9" s="169">
        <v>281.27</v>
      </c>
      <c r="F9" s="638">
        <v>112094.53</v>
      </c>
      <c r="G9" s="641">
        <f t="shared" si="0"/>
        <v>5.4899999999999997E-2</v>
      </c>
    </row>
    <row r="10" spans="2:7" ht="25.5" x14ac:dyDescent="0.2">
      <c r="B10" s="637" t="s">
        <v>21060</v>
      </c>
      <c r="C10" s="640" t="s">
        <v>21063</v>
      </c>
      <c r="D10" s="158" t="s">
        <v>2</v>
      </c>
      <c r="E10" s="169">
        <f>5719+340+186+373+36+100</f>
        <v>6754</v>
      </c>
      <c r="F10" s="638">
        <f>24648.89+2094.4+1528.92+5897.13+798.84+14035</f>
        <v>49003.179999999993</v>
      </c>
      <c r="G10" s="639">
        <f t="shared" si="0"/>
        <v>2.4E-2</v>
      </c>
    </row>
    <row r="11" spans="2:7" x14ac:dyDescent="0.2">
      <c r="B11" s="637" t="s">
        <v>21061</v>
      </c>
      <c r="C11" s="640" t="s">
        <v>21062</v>
      </c>
      <c r="D11" s="158" t="s">
        <v>21067</v>
      </c>
      <c r="E11" s="169">
        <v>7</v>
      </c>
      <c r="F11" s="638">
        <f>10775.28+66674.52</f>
        <v>77449.8</v>
      </c>
      <c r="G11" s="639">
        <f t="shared" si="0"/>
        <v>3.7900000000000003E-2</v>
      </c>
    </row>
    <row r="12" spans="2:7" ht="25.5" x14ac:dyDescent="0.2">
      <c r="B12" s="637" t="s">
        <v>21065</v>
      </c>
      <c r="C12" s="640" t="s">
        <v>21066</v>
      </c>
      <c r="D12" s="158" t="s">
        <v>20358</v>
      </c>
      <c r="E12" s="169">
        <f>534+53+17+229+102+44+9+7+85+6+25+9+82+14+10</f>
        <v>1226</v>
      </c>
      <c r="F12" s="638">
        <f>11598.48+1303.27+382.67+15114+8340.54+4482.72+1081.35+998.83+824.5+83.4+488+195.48+5412+1144.78+97</f>
        <v>51547.020000000004</v>
      </c>
      <c r="G12" s="639">
        <f t="shared" si="0"/>
        <v>2.52E-2</v>
      </c>
    </row>
  </sheetData>
  <phoneticPr fontId="4" type="noConversion"/>
  <pageMargins left="0.511811024" right="0.511811024" top="0.78740157499999996" bottom="0.78740157499999996" header="0.31496062000000002" footer="0.31496062000000002"/>
  <pageSetup paperSize="9" scale="87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AAF19-B915-4457-B644-7EB751E6EF06}">
  <sheetPr>
    <tabColor rgb="FFFF0000"/>
  </sheetPr>
  <dimension ref="A1"/>
  <sheetViews>
    <sheetView workbookViewId="0"/>
  </sheetViews>
  <sheetFormatPr defaultRowHeight="12.75" x14ac:dyDescent="0.2"/>
  <sheetData/>
  <pageMargins left="0.511811024" right="0.511811024" top="0.78740157499999996" bottom="0.78740157499999996" header="0.31496062000000002" footer="0.3149606200000000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FF0000"/>
  </sheetPr>
  <dimension ref="B2:AF72"/>
  <sheetViews>
    <sheetView workbookViewId="0">
      <selection activeCell="T36" sqref="T36"/>
    </sheetView>
  </sheetViews>
  <sheetFormatPr defaultColWidth="9.140625" defaultRowHeight="12.75" x14ac:dyDescent="0.2"/>
  <cols>
    <col min="1" max="1" width="9.140625" style="33"/>
    <col min="2" max="2" width="10.42578125" style="33" customWidth="1"/>
    <col min="3" max="3" width="14.85546875" style="33" customWidth="1"/>
    <col min="4" max="4" width="9.140625" style="33"/>
    <col min="5" max="5" width="7.5703125" style="33" customWidth="1"/>
    <col min="6" max="6" width="8.28515625" style="33" customWidth="1"/>
    <col min="7" max="7" width="9.140625" style="33"/>
    <col min="8" max="8" width="12.5703125" style="33" bestFit="1" customWidth="1"/>
    <col min="9" max="9" width="14.42578125" style="33" customWidth="1"/>
    <col min="10" max="10" width="9.140625" style="33"/>
    <col min="11" max="11" width="7.5703125" style="33" customWidth="1"/>
    <col min="12" max="12" width="9.140625" style="33"/>
    <col min="13" max="13" width="10.5703125" style="33" customWidth="1"/>
    <col min="14" max="16" width="9.140625" style="33"/>
    <col min="17" max="17" width="19.140625" style="33" customWidth="1"/>
    <col min="18" max="18" width="9.140625" style="33"/>
    <col min="19" max="19" width="13.5703125" style="33" customWidth="1"/>
    <col min="20" max="20" width="9.140625" style="33"/>
    <col min="21" max="21" width="6.42578125" style="33" bestFit="1" customWidth="1"/>
    <col min="22" max="22" width="8" style="33" bestFit="1" customWidth="1"/>
    <col min="23" max="23" width="6.85546875" style="33" bestFit="1" customWidth="1"/>
    <col min="24" max="24" width="3.140625" style="33" customWidth="1"/>
    <col min="25" max="25" width="14.7109375" style="33" customWidth="1"/>
    <col min="26" max="26" width="7" style="33" bestFit="1" customWidth="1"/>
    <col min="27" max="27" width="13.140625" style="33" customWidth="1"/>
    <col min="28" max="28" width="8.140625" style="33" bestFit="1" customWidth="1"/>
    <col min="29" max="29" width="8.7109375" style="33" customWidth="1"/>
    <col min="30" max="30" width="9.140625" style="33"/>
    <col min="31" max="31" width="10.28515625" style="33" customWidth="1"/>
    <col min="32" max="16384" width="9.140625" style="33"/>
  </cols>
  <sheetData>
    <row r="2" spans="2:32" x14ac:dyDescent="0.2">
      <c r="B2" s="802" t="s">
        <v>20584</v>
      </c>
      <c r="C2" s="802"/>
      <c r="H2" s="802" t="s">
        <v>20532</v>
      </c>
      <c r="I2" s="802"/>
      <c r="Q2" s="802" t="s">
        <v>20588</v>
      </c>
      <c r="R2" s="802"/>
      <c r="S2" s="802"/>
      <c r="T2" s="802"/>
      <c r="U2" s="802"/>
      <c r="V2" s="802"/>
      <c r="W2" s="802"/>
      <c r="Y2" s="808" t="s">
        <v>20528</v>
      </c>
      <c r="Z2" s="809"/>
      <c r="AA2" s="809"/>
      <c r="AB2" s="809"/>
      <c r="AC2" s="809"/>
      <c r="AD2" s="809"/>
      <c r="AE2" s="809"/>
      <c r="AF2" s="810"/>
    </row>
    <row r="3" spans="2:32" ht="25.5" x14ac:dyDescent="0.2">
      <c r="B3" s="220" t="s">
        <v>107</v>
      </c>
      <c r="C3" s="221" t="s">
        <v>98</v>
      </c>
      <c r="H3" s="220" t="s">
        <v>107</v>
      </c>
      <c r="I3" s="221" t="s">
        <v>88</v>
      </c>
      <c r="Q3" s="220" t="s">
        <v>107</v>
      </c>
      <c r="R3" s="221" t="s">
        <v>20517</v>
      </c>
      <c r="S3" s="221" t="s">
        <v>98</v>
      </c>
      <c r="T3" s="221" t="s">
        <v>89</v>
      </c>
      <c r="U3" s="221" t="s">
        <v>87</v>
      </c>
      <c r="V3" s="221" t="s">
        <v>20400</v>
      </c>
      <c r="W3" s="221" t="s">
        <v>20518</v>
      </c>
      <c r="Y3" s="220" t="s">
        <v>107</v>
      </c>
      <c r="Z3" s="221" t="s">
        <v>20517</v>
      </c>
      <c r="AA3" s="221" t="s">
        <v>98</v>
      </c>
      <c r="AB3" s="221" t="s">
        <v>89</v>
      </c>
      <c r="AC3" s="221" t="s">
        <v>87</v>
      </c>
      <c r="AD3" s="221" t="s">
        <v>20400</v>
      </c>
      <c r="AE3" s="221" t="s">
        <v>20524</v>
      </c>
      <c r="AF3" s="221" t="s">
        <v>20525</v>
      </c>
    </row>
    <row r="4" spans="2:32" x14ac:dyDescent="0.2">
      <c r="B4" s="170" t="s">
        <v>20501</v>
      </c>
      <c r="C4" s="215">
        <v>2</v>
      </c>
      <c r="H4" s="170" t="s">
        <v>20505</v>
      </c>
      <c r="I4" s="215">
        <v>36.75</v>
      </c>
      <c r="Q4" s="170" t="s">
        <v>20519</v>
      </c>
      <c r="R4" s="164">
        <v>4</v>
      </c>
      <c r="S4" s="164">
        <v>5.2</v>
      </c>
      <c r="T4" s="164">
        <v>0.06</v>
      </c>
      <c r="U4" s="164">
        <v>0.3</v>
      </c>
      <c r="V4" s="164">
        <f>ROUND(R4*S4*T4*U4,2)</f>
        <v>0.37</v>
      </c>
      <c r="W4" s="164">
        <f>R4*(2*S4)*(T4+U4)</f>
        <v>14.975999999999999</v>
      </c>
      <c r="Y4" s="170" t="s">
        <v>20523</v>
      </c>
      <c r="Z4" s="164">
        <v>8</v>
      </c>
      <c r="AA4" s="215">
        <v>0.25</v>
      </c>
      <c r="AB4" s="164">
        <v>0.25</v>
      </c>
      <c r="AC4" s="164">
        <v>0.01</v>
      </c>
      <c r="AD4" s="216">
        <f>ROUND(Z4*AA4*AB4*AC4,4)</f>
        <v>5.0000000000000001E-3</v>
      </c>
      <c r="AE4" s="169">
        <v>7850</v>
      </c>
      <c r="AF4" s="158">
        <f>ROUND(AD4*AE4,2)</f>
        <v>39.25</v>
      </c>
    </row>
    <row r="5" spans="2:32" x14ac:dyDescent="0.2">
      <c r="B5" s="170" t="s">
        <v>20502</v>
      </c>
      <c r="C5" s="215">
        <v>2</v>
      </c>
      <c r="H5" s="170" t="s">
        <v>20506</v>
      </c>
      <c r="I5" s="215">
        <v>50.26</v>
      </c>
      <c r="Q5" s="170" t="s">
        <v>20520</v>
      </c>
      <c r="R5" s="164">
        <v>8</v>
      </c>
      <c r="S5" s="164">
        <v>6</v>
      </c>
      <c r="T5" s="164">
        <v>0.05</v>
      </c>
      <c r="U5" s="164">
        <v>0.25</v>
      </c>
      <c r="V5" s="164">
        <f>ROUND(R5*S5*T5*U5,2)</f>
        <v>0.6</v>
      </c>
      <c r="W5" s="164">
        <f>R5*(2*S5)*(T5+U5)</f>
        <v>28.799999999999997</v>
      </c>
      <c r="Y5" s="170" t="s">
        <v>20527</v>
      </c>
      <c r="Z5" s="164">
        <f>4*8</f>
        <v>32</v>
      </c>
      <c r="AA5" s="215">
        <v>0.25</v>
      </c>
      <c r="AB5" s="164">
        <v>0.1</v>
      </c>
      <c r="AC5" s="164">
        <v>0.01</v>
      </c>
      <c r="AD5" s="216">
        <f>ROUND(Z5*AA5*AB5*AC5,4)</f>
        <v>8.0000000000000002E-3</v>
      </c>
      <c r="AE5" s="169">
        <v>7850</v>
      </c>
      <c r="AF5" s="164">
        <f>ROUND(AD5*AE5,2)</f>
        <v>62.8</v>
      </c>
    </row>
    <row r="6" spans="2:32" x14ac:dyDescent="0.2">
      <c r="B6" s="170" t="s">
        <v>20503</v>
      </c>
      <c r="C6" s="215">
        <v>2</v>
      </c>
      <c r="H6" s="159" t="s">
        <v>7</v>
      </c>
      <c r="I6" s="159">
        <f>SUM(I4:I5)</f>
        <v>87.009999999999991</v>
      </c>
      <c r="Q6" s="170" t="s">
        <v>20521</v>
      </c>
      <c r="R6" s="164">
        <v>12</v>
      </c>
      <c r="S6" s="164">
        <v>5.5</v>
      </c>
      <c r="T6" s="164">
        <v>0.05</v>
      </c>
      <c r="U6" s="164">
        <v>0.25</v>
      </c>
      <c r="V6" s="164">
        <f>ROUND(R6*S6*T6*U6,2)</f>
        <v>0.83</v>
      </c>
      <c r="W6" s="164">
        <f>R6*(2*S6)*(T6+U6)</f>
        <v>39.6</v>
      </c>
      <c r="Y6" s="170" t="s">
        <v>20526</v>
      </c>
      <c r="Z6" s="164">
        <f>4*4*2</f>
        <v>32</v>
      </c>
      <c r="AA6" s="215">
        <v>0.6</v>
      </c>
      <c r="AB6" s="164">
        <v>0.01</v>
      </c>
      <c r="AC6" s="164" t="s">
        <v>106</v>
      </c>
      <c r="AD6" s="216">
        <f>ROUND(Z6*AA6*(PI()*0.005^2),4)</f>
        <v>1.5E-3</v>
      </c>
      <c r="AE6" s="169">
        <v>7850</v>
      </c>
      <c r="AF6" s="158">
        <f>ROUND(AD6*AE6,2)</f>
        <v>11.78</v>
      </c>
    </row>
    <row r="7" spans="2:32" x14ac:dyDescent="0.2">
      <c r="B7" s="170" t="s">
        <v>20504</v>
      </c>
      <c r="C7" s="215">
        <v>2</v>
      </c>
      <c r="Q7" s="170" t="s">
        <v>20522</v>
      </c>
      <c r="R7" s="164">
        <v>8</v>
      </c>
      <c r="S7" s="164">
        <v>3</v>
      </c>
      <c r="T7" s="164">
        <v>0.2</v>
      </c>
      <c r="U7" s="164">
        <v>0.2</v>
      </c>
      <c r="V7" s="164">
        <f>ROUND(R7*S7*T7*U7,2)</f>
        <v>0.96</v>
      </c>
      <c r="W7" s="164">
        <f>R7*(2*S7)*(T7+U7)</f>
        <v>19.200000000000003</v>
      </c>
      <c r="Y7" s="170" t="s">
        <v>20531</v>
      </c>
      <c r="Z7" s="164">
        <f>4*2</f>
        <v>8</v>
      </c>
      <c r="AA7" s="215">
        <v>0.4</v>
      </c>
      <c r="AB7" s="164">
        <v>0.2</v>
      </c>
      <c r="AC7" s="164">
        <v>0.02</v>
      </c>
      <c r="AD7" s="216">
        <f>ROUND(Z7*AA7*AB7*AC7,4)</f>
        <v>1.2800000000000001E-2</v>
      </c>
      <c r="AE7" s="169">
        <v>7850</v>
      </c>
      <c r="AF7" s="164">
        <f>ROUND(AD7*AE7,2)</f>
        <v>100.48</v>
      </c>
    </row>
    <row r="8" spans="2:32" x14ac:dyDescent="0.2">
      <c r="B8" s="170" t="s">
        <v>20511</v>
      </c>
      <c r="C8" s="215">
        <v>2</v>
      </c>
      <c r="Q8" s="833" t="s">
        <v>7</v>
      </c>
      <c r="R8" s="834"/>
      <c r="S8" s="834"/>
      <c r="T8" s="834"/>
      <c r="U8" s="835"/>
      <c r="V8" s="159">
        <f>SUM(V4:V7)</f>
        <v>2.76</v>
      </c>
      <c r="W8" s="159">
        <f>SUM(W4:W7)</f>
        <v>102.57600000000001</v>
      </c>
      <c r="Y8" s="836" t="s">
        <v>7</v>
      </c>
      <c r="Z8" s="836"/>
      <c r="AA8" s="836"/>
      <c r="AB8" s="836"/>
      <c r="AC8" s="836"/>
      <c r="AD8" s="836"/>
      <c r="AE8" s="836"/>
      <c r="AF8" s="184">
        <f>SUM(AF4:AF7)</f>
        <v>214.31</v>
      </c>
    </row>
    <row r="9" spans="2:32" x14ac:dyDescent="0.2">
      <c r="B9" s="170" t="s">
        <v>20512</v>
      </c>
      <c r="C9" s="215">
        <v>2</v>
      </c>
    </row>
    <row r="10" spans="2:32" x14ac:dyDescent="0.2">
      <c r="B10" s="170" t="s">
        <v>20513</v>
      </c>
      <c r="C10" s="215">
        <v>2</v>
      </c>
    </row>
    <row r="11" spans="2:32" x14ac:dyDescent="0.2">
      <c r="B11" s="170" t="s">
        <v>20514</v>
      </c>
      <c r="C11" s="215">
        <v>2</v>
      </c>
      <c r="AD11" s="33">
        <v>7.85</v>
      </c>
      <c r="AE11" s="33">
        <f>1000000*AD11</f>
        <v>7850000</v>
      </c>
      <c r="AF11" s="33">
        <f>AE11/1000</f>
        <v>7850</v>
      </c>
    </row>
    <row r="12" spans="2:32" x14ac:dyDescent="0.2">
      <c r="B12" s="159" t="s">
        <v>7</v>
      </c>
      <c r="C12" s="159">
        <f>SUM(C4:C11)</f>
        <v>16</v>
      </c>
    </row>
    <row r="14" spans="2:32" x14ac:dyDescent="0.2">
      <c r="B14" s="802" t="s">
        <v>20480</v>
      </c>
      <c r="C14" s="802"/>
      <c r="D14" s="802"/>
      <c r="E14" s="802"/>
      <c r="F14" s="802"/>
      <c r="Y14" s="813" t="s">
        <v>20529</v>
      </c>
      <c r="Z14" s="813"/>
      <c r="AA14" s="813"/>
      <c r="AB14" s="813"/>
      <c r="AC14" s="813"/>
      <c r="AD14" s="813"/>
    </row>
    <row r="15" spans="2:32" ht="25.5" x14ac:dyDescent="0.2">
      <c r="B15" s="220" t="s">
        <v>107</v>
      </c>
      <c r="C15" s="221" t="s">
        <v>98</v>
      </c>
      <c r="D15" s="221" t="s">
        <v>89</v>
      </c>
      <c r="E15" s="221" t="s">
        <v>87</v>
      </c>
      <c r="F15" s="221" t="s">
        <v>20400</v>
      </c>
      <c r="Y15" s="220" t="s">
        <v>107</v>
      </c>
      <c r="Z15" s="221" t="s">
        <v>20517</v>
      </c>
      <c r="AA15" s="221" t="s">
        <v>98</v>
      </c>
      <c r="AB15" s="221" t="s">
        <v>89</v>
      </c>
      <c r="AC15" s="221" t="s">
        <v>20530</v>
      </c>
      <c r="AD15" s="221" t="s">
        <v>20589</v>
      </c>
    </row>
    <row r="16" spans="2:32" x14ac:dyDescent="0.2">
      <c r="B16" s="170" t="s">
        <v>20496</v>
      </c>
      <c r="C16" s="215">
        <v>0.5</v>
      </c>
      <c r="D16" s="164">
        <v>0.5</v>
      </c>
      <c r="E16" s="164">
        <v>0.05</v>
      </c>
      <c r="F16" s="164">
        <f t="shared" ref="F16:F23" si="0">ROUND(C16*D16*E16,2)</f>
        <v>0.01</v>
      </c>
      <c r="Y16" s="170" t="s">
        <v>20523</v>
      </c>
      <c r="Z16" s="164">
        <v>8</v>
      </c>
      <c r="AA16" s="215">
        <v>0.25</v>
      </c>
      <c r="AB16" s="164">
        <v>0.25</v>
      </c>
      <c r="AC16" s="164">
        <v>1</v>
      </c>
      <c r="AD16" s="164">
        <f>ROUND(Z16*AA16*AB16*AC16,4)</f>
        <v>0.5</v>
      </c>
    </row>
    <row r="17" spans="2:30" x14ac:dyDescent="0.2">
      <c r="B17" s="170" t="s">
        <v>20497</v>
      </c>
      <c r="C17" s="215">
        <v>0.5</v>
      </c>
      <c r="D17" s="164">
        <v>0.5</v>
      </c>
      <c r="E17" s="164">
        <v>0.05</v>
      </c>
      <c r="F17" s="164">
        <f t="shared" si="0"/>
        <v>0.01</v>
      </c>
      <c r="Y17" s="170" t="s">
        <v>20527</v>
      </c>
      <c r="Z17" s="164">
        <v>8</v>
      </c>
      <c r="AA17" s="215">
        <v>0.25</v>
      </c>
      <c r="AB17" s="164">
        <v>0.1</v>
      </c>
      <c r="AC17" s="164">
        <v>4</v>
      </c>
      <c r="AD17" s="164">
        <f>ROUND(Z17*AA17*AB17*AC17,4)</f>
        <v>0.8</v>
      </c>
    </row>
    <row r="18" spans="2:30" x14ac:dyDescent="0.2">
      <c r="B18" s="170" t="s">
        <v>20498</v>
      </c>
      <c r="C18" s="215">
        <v>0.5</v>
      </c>
      <c r="D18" s="164">
        <v>0.5</v>
      </c>
      <c r="E18" s="164">
        <v>0.05</v>
      </c>
      <c r="F18" s="164">
        <f t="shared" si="0"/>
        <v>0.01</v>
      </c>
      <c r="Y18" s="170" t="s">
        <v>20531</v>
      </c>
      <c r="Z18" s="164">
        <v>4</v>
      </c>
      <c r="AA18" s="215">
        <v>0.4</v>
      </c>
      <c r="AB18" s="164">
        <v>0.2</v>
      </c>
      <c r="AC18" s="164">
        <v>2</v>
      </c>
      <c r="AD18" s="164">
        <f>ROUND(Z18*AA18*AB18*AC18,4)</f>
        <v>0.64</v>
      </c>
    </row>
    <row r="19" spans="2:30" x14ac:dyDescent="0.2">
      <c r="B19" s="170" t="s">
        <v>20499</v>
      </c>
      <c r="C19" s="215">
        <v>0.5</v>
      </c>
      <c r="D19" s="164">
        <v>0.5</v>
      </c>
      <c r="E19" s="164">
        <v>0.05</v>
      </c>
      <c r="F19" s="164">
        <f t="shared" si="0"/>
        <v>0.01</v>
      </c>
      <c r="Y19" s="802" t="s">
        <v>7</v>
      </c>
      <c r="Z19" s="802"/>
      <c r="AA19" s="802"/>
      <c r="AB19" s="802"/>
      <c r="AC19" s="802"/>
      <c r="AD19" s="184">
        <f>SUM(AD16:AD18)</f>
        <v>1.94</v>
      </c>
    </row>
    <row r="20" spans="2:30" x14ac:dyDescent="0.2">
      <c r="B20" s="170" t="s">
        <v>20507</v>
      </c>
      <c r="C20" s="215">
        <v>0.5</v>
      </c>
      <c r="D20" s="164">
        <v>0.5</v>
      </c>
      <c r="E20" s="164">
        <v>0.05</v>
      </c>
      <c r="F20" s="164">
        <f t="shared" si="0"/>
        <v>0.01</v>
      </c>
    </row>
    <row r="21" spans="2:30" x14ac:dyDescent="0.2">
      <c r="B21" s="170" t="s">
        <v>20508</v>
      </c>
      <c r="C21" s="215">
        <v>0.5</v>
      </c>
      <c r="D21" s="164">
        <v>0.5</v>
      </c>
      <c r="E21" s="164">
        <v>0.05</v>
      </c>
      <c r="F21" s="164">
        <f t="shared" si="0"/>
        <v>0.01</v>
      </c>
    </row>
    <row r="22" spans="2:30" x14ac:dyDescent="0.2">
      <c r="B22" s="170" t="s">
        <v>20509</v>
      </c>
      <c r="C22" s="215">
        <v>0.5</v>
      </c>
      <c r="D22" s="164">
        <v>0.5</v>
      </c>
      <c r="E22" s="164">
        <v>0.05</v>
      </c>
      <c r="F22" s="164">
        <f t="shared" si="0"/>
        <v>0.01</v>
      </c>
    </row>
    <row r="23" spans="2:30" x14ac:dyDescent="0.2">
      <c r="B23" s="170" t="s">
        <v>20510</v>
      </c>
      <c r="C23" s="215">
        <v>0.5</v>
      </c>
      <c r="D23" s="164">
        <v>0.5</v>
      </c>
      <c r="E23" s="164">
        <v>0.05</v>
      </c>
      <c r="F23" s="164">
        <f t="shared" si="0"/>
        <v>0.01</v>
      </c>
    </row>
    <row r="24" spans="2:30" x14ac:dyDescent="0.2">
      <c r="B24" s="170" t="s">
        <v>20505</v>
      </c>
      <c r="C24" s="215" t="s">
        <v>106</v>
      </c>
      <c r="D24" s="215" t="s">
        <v>106</v>
      </c>
      <c r="E24" s="164">
        <v>0.05</v>
      </c>
      <c r="F24" s="164">
        <f>ROUND(36.75*0.05,2)</f>
        <v>1.84</v>
      </c>
    </row>
    <row r="25" spans="2:30" x14ac:dyDescent="0.2">
      <c r="B25" s="170" t="s">
        <v>20506</v>
      </c>
      <c r="C25" s="215" t="s">
        <v>106</v>
      </c>
      <c r="D25" s="215" t="s">
        <v>106</v>
      </c>
      <c r="E25" s="164">
        <v>0.05</v>
      </c>
      <c r="F25" s="164">
        <f>ROUND(50.26*0.05,2)</f>
        <v>2.5099999999999998</v>
      </c>
    </row>
    <row r="26" spans="2:30" x14ac:dyDescent="0.2">
      <c r="B26" s="802" t="s">
        <v>7</v>
      </c>
      <c r="C26" s="802"/>
      <c r="D26" s="802"/>
      <c r="E26" s="802"/>
      <c r="F26" s="159">
        <f>SUM(F16:F25)</f>
        <v>4.43</v>
      </c>
    </row>
    <row r="28" spans="2:30" x14ac:dyDescent="0.2">
      <c r="B28" s="802" t="s">
        <v>20500</v>
      </c>
      <c r="C28" s="802"/>
      <c r="D28" s="802"/>
      <c r="E28" s="802"/>
      <c r="F28" s="802"/>
    </row>
    <row r="29" spans="2:30" ht="25.5" x14ac:dyDescent="0.2">
      <c r="B29" s="220" t="s">
        <v>107</v>
      </c>
      <c r="C29" s="221" t="s">
        <v>98</v>
      </c>
      <c r="D29" s="221" t="s">
        <v>89</v>
      </c>
      <c r="E29" s="221" t="s">
        <v>87</v>
      </c>
      <c r="F29" s="221" t="s">
        <v>88</v>
      </c>
    </row>
    <row r="30" spans="2:30" x14ac:dyDescent="0.2">
      <c r="B30" s="170" t="s">
        <v>20496</v>
      </c>
      <c r="C30" s="215">
        <v>0.5</v>
      </c>
      <c r="D30" s="164">
        <v>0.5</v>
      </c>
      <c r="E30" s="164">
        <v>0.5</v>
      </c>
      <c r="F30" s="164">
        <f>ROUND((2*C30+2*D30)*E30,2)</f>
        <v>1</v>
      </c>
    </row>
    <row r="31" spans="2:30" x14ac:dyDescent="0.2">
      <c r="B31" s="170" t="s">
        <v>20497</v>
      </c>
      <c r="C31" s="215">
        <v>0.5</v>
      </c>
      <c r="D31" s="164">
        <v>0.5</v>
      </c>
      <c r="E31" s="164">
        <v>0.5</v>
      </c>
      <c r="F31" s="164">
        <f t="shared" ref="F31:F37" si="1">ROUND((2*C31+2*D31)*E31,2)</f>
        <v>1</v>
      </c>
    </row>
    <row r="32" spans="2:30" x14ac:dyDescent="0.2">
      <c r="B32" s="170" t="s">
        <v>20498</v>
      </c>
      <c r="C32" s="215">
        <v>0.5</v>
      </c>
      <c r="D32" s="164">
        <v>0.5</v>
      </c>
      <c r="E32" s="164">
        <v>0.5</v>
      </c>
      <c r="F32" s="164">
        <f t="shared" si="1"/>
        <v>1</v>
      </c>
    </row>
    <row r="33" spans="2:14" x14ac:dyDescent="0.2">
      <c r="B33" s="170" t="s">
        <v>20499</v>
      </c>
      <c r="C33" s="215">
        <v>0.5</v>
      </c>
      <c r="D33" s="164">
        <v>0.5</v>
      </c>
      <c r="E33" s="164">
        <v>0.5</v>
      </c>
      <c r="F33" s="164">
        <f t="shared" si="1"/>
        <v>1</v>
      </c>
    </row>
    <row r="34" spans="2:14" x14ac:dyDescent="0.2">
      <c r="B34" s="170" t="s">
        <v>20507</v>
      </c>
      <c r="C34" s="215">
        <v>0.5</v>
      </c>
      <c r="D34" s="164">
        <v>0.5</v>
      </c>
      <c r="E34" s="164">
        <v>0.5</v>
      </c>
      <c r="F34" s="164">
        <f t="shared" si="1"/>
        <v>1</v>
      </c>
    </row>
    <row r="35" spans="2:14" x14ac:dyDescent="0.2">
      <c r="B35" s="170" t="s">
        <v>20508</v>
      </c>
      <c r="C35" s="215">
        <v>0.5</v>
      </c>
      <c r="D35" s="164">
        <v>0.5</v>
      </c>
      <c r="E35" s="164">
        <v>0.5</v>
      </c>
      <c r="F35" s="164">
        <f t="shared" si="1"/>
        <v>1</v>
      </c>
    </row>
    <row r="36" spans="2:14" x14ac:dyDescent="0.2">
      <c r="B36" s="170" t="s">
        <v>20509</v>
      </c>
      <c r="C36" s="215">
        <v>0.5</v>
      </c>
      <c r="D36" s="164">
        <v>0.5</v>
      </c>
      <c r="E36" s="164">
        <v>0.5</v>
      </c>
      <c r="F36" s="164">
        <f t="shared" si="1"/>
        <v>1</v>
      </c>
    </row>
    <row r="37" spans="2:14" x14ac:dyDescent="0.2">
      <c r="B37" s="170" t="s">
        <v>20510</v>
      </c>
      <c r="C37" s="215">
        <v>0.5</v>
      </c>
      <c r="D37" s="164">
        <v>0.5</v>
      </c>
      <c r="E37" s="164">
        <v>0.5</v>
      </c>
      <c r="F37" s="164">
        <f t="shared" si="1"/>
        <v>1</v>
      </c>
    </row>
    <row r="38" spans="2:14" x14ac:dyDescent="0.2">
      <c r="B38" s="802" t="s">
        <v>7</v>
      </c>
      <c r="C38" s="802"/>
      <c r="D38" s="802"/>
      <c r="E38" s="802"/>
      <c r="F38" s="159">
        <f>SUM(F30:F37)</f>
        <v>8</v>
      </c>
    </row>
    <row r="40" spans="2:14" x14ac:dyDescent="0.2">
      <c r="B40" s="802" t="s">
        <v>20491</v>
      </c>
      <c r="C40" s="802"/>
      <c r="D40" s="802"/>
      <c r="E40" s="802"/>
      <c r="F40" s="802"/>
      <c r="H40" s="808" t="s">
        <v>20486</v>
      </c>
      <c r="I40" s="809"/>
      <c r="J40" s="809"/>
      <c r="K40" s="809"/>
      <c r="L40" s="809"/>
      <c r="M40" s="809"/>
      <c r="N40" s="810"/>
    </row>
    <row r="41" spans="2:14" ht="25.5" x14ac:dyDescent="0.2">
      <c r="B41" s="220" t="s">
        <v>107</v>
      </c>
      <c r="C41" s="221" t="s">
        <v>98</v>
      </c>
      <c r="D41" s="221" t="s">
        <v>89</v>
      </c>
      <c r="E41" s="221" t="s">
        <v>87</v>
      </c>
      <c r="F41" s="221" t="s">
        <v>20400</v>
      </c>
      <c r="H41" s="220" t="s">
        <v>107</v>
      </c>
      <c r="I41" s="221" t="s">
        <v>98</v>
      </c>
      <c r="J41" s="221" t="s">
        <v>89</v>
      </c>
      <c r="K41" s="221" t="s">
        <v>87</v>
      </c>
      <c r="L41" s="221" t="s">
        <v>20400</v>
      </c>
      <c r="M41" s="221" t="s">
        <v>20481</v>
      </c>
      <c r="N41" s="221" t="s">
        <v>20485</v>
      </c>
    </row>
    <row r="42" spans="2:14" x14ac:dyDescent="0.2">
      <c r="B42" s="170" t="s">
        <v>20496</v>
      </c>
      <c r="C42" s="215">
        <v>0.5</v>
      </c>
      <c r="D42" s="164">
        <v>0.5</v>
      </c>
      <c r="E42" s="164">
        <v>0.5</v>
      </c>
      <c r="F42" s="164">
        <f t="shared" ref="F42:F49" si="2">ROUND(C42*D42*E42,2)</f>
        <v>0.13</v>
      </c>
      <c r="H42" s="170" t="s">
        <v>20496</v>
      </c>
      <c r="I42" s="215">
        <v>0.5</v>
      </c>
      <c r="J42" s="164">
        <v>0.5</v>
      </c>
      <c r="K42" s="164">
        <v>0.5</v>
      </c>
      <c r="L42" s="164">
        <f t="shared" ref="L42:L49" si="3">ROUND(I42*J42*K42,2)</f>
        <v>0.13</v>
      </c>
      <c r="M42" s="164">
        <v>85</v>
      </c>
      <c r="N42" s="158">
        <f>ROUND(L42*M42,2)</f>
        <v>11.05</v>
      </c>
    </row>
    <row r="43" spans="2:14" x14ac:dyDescent="0.2">
      <c r="B43" s="170" t="s">
        <v>20497</v>
      </c>
      <c r="C43" s="215">
        <v>0.5</v>
      </c>
      <c r="D43" s="164">
        <v>0.5</v>
      </c>
      <c r="E43" s="164">
        <v>0.5</v>
      </c>
      <c r="F43" s="164">
        <f t="shared" si="2"/>
        <v>0.13</v>
      </c>
      <c r="H43" s="170" t="s">
        <v>20497</v>
      </c>
      <c r="I43" s="215">
        <v>0.5</v>
      </c>
      <c r="J43" s="164">
        <v>0.5</v>
      </c>
      <c r="K43" s="164">
        <v>0.5</v>
      </c>
      <c r="L43" s="164">
        <f t="shared" si="3"/>
        <v>0.13</v>
      </c>
      <c r="M43" s="164">
        <v>85</v>
      </c>
      <c r="N43" s="164">
        <f>ROUND(L43*M43,2)</f>
        <v>11.05</v>
      </c>
    </row>
    <row r="44" spans="2:14" x14ac:dyDescent="0.2">
      <c r="B44" s="170" t="s">
        <v>20498</v>
      </c>
      <c r="C44" s="215">
        <v>0.5</v>
      </c>
      <c r="D44" s="164">
        <v>0.5</v>
      </c>
      <c r="E44" s="164">
        <v>0.5</v>
      </c>
      <c r="F44" s="164">
        <f t="shared" si="2"/>
        <v>0.13</v>
      </c>
      <c r="H44" s="170" t="s">
        <v>20498</v>
      </c>
      <c r="I44" s="215">
        <v>0.5</v>
      </c>
      <c r="J44" s="164">
        <v>0.5</v>
      </c>
      <c r="K44" s="164">
        <v>0.5</v>
      </c>
      <c r="L44" s="164">
        <f t="shared" si="3"/>
        <v>0.13</v>
      </c>
      <c r="M44" s="164">
        <v>85</v>
      </c>
      <c r="N44" s="164">
        <f t="shared" ref="N44:N49" si="4">ROUND(L44*M44,2)</f>
        <v>11.05</v>
      </c>
    </row>
    <row r="45" spans="2:14" x14ac:dyDescent="0.2">
      <c r="B45" s="170" t="s">
        <v>20499</v>
      </c>
      <c r="C45" s="215">
        <v>0.5</v>
      </c>
      <c r="D45" s="164">
        <v>0.5</v>
      </c>
      <c r="E45" s="164">
        <v>0.5</v>
      </c>
      <c r="F45" s="164">
        <f t="shared" si="2"/>
        <v>0.13</v>
      </c>
      <c r="H45" s="170" t="s">
        <v>20499</v>
      </c>
      <c r="I45" s="215">
        <v>0.5</v>
      </c>
      <c r="J45" s="164">
        <v>0.5</v>
      </c>
      <c r="K45" s="164">
        <v>0.5</v>
      </c>
      <c r="L45" s="164">
        <f t="shared" si="3"/>
        <v>0.13</v>
      </c>
      <c r="M45" s="164">
        <v>85</v>
      </c>
      <c r="N45" s="164">
        <f t="shared" si="4"/>
        <v>11.05</v>
      </c>
    </row>
    <row r="46" spans="2:14" x14ac:dyDescent="0.2">
      <c r="B46" s="170" t="s">
        <v>20507</v>
      </c>
      <c r="C46" s="215">
        <v>0.5</v>
      </c>
      <c r="D46" s="164">
        <v>0.5</v>
      </c>
      <c r="E46" s="164">
        <v>0.5</v>
      </c>
      <c r="F46" s="164">
        <f t="shared" si="2"/>
        <v>0.13</v>
      </c>
      <c r="H46" s="170" t="s">
        <v>20507</v>
      </c>
      <c r="I46" s="215">
        <v>0.5</v>
      </c>
      <c r="J46" s="164">
        <v>0.5</v>
      </c>
      <c r="K46" s="164">
        <v>0.5</v>
      </c>
      <c r="L46" s="164">
        <f t="shared" si="3"/>
        <v>0.13</v>
      </c>
      <c r="M46" s="164">
        <v>85</v>
      </c>
      <c r="N46" s="164">
        <f t="shared" si="4"/>
        <v>11.05</v>
      </c>
    </row>
    <row r="47" spans="2:14" x14ac:dyDescent="0.2">
      <c r="B47" s="170" t="s">
        <v>20508</v>
      </c>
      <c r="C47" s="215">
        <v>0.5</v>
      </c>
      <c r="D47" s="164">
        <v>0.5</v>
      </c>
      <c r="E47" s="164">
        <v>0.5</v>
      </c>
      <c r="F47" s="164">
        <f t="shared" si="2"/>
        <v>0.13</v>
      </c>
      <c r="H47" s="170" t="s">
        <v>20508</v>
      </c>
      <c r="I47" s="215">
        <v>0.5</v>
      </c>
      <c r="J47" s="164">
        <v>0.5</v>
      </c>
      <c r="K47" s="164">
        <v>0.5</v>
      </c>
      <c r="L47" s="164">
        <f t="shared" si="3"/>
        <v>0.13</v>
      </c>
      <c r="M47" s="164">
        <v>85</v>
      </c>
      <c r="N47" s="164">
        <f t="shared" si="4"/>
        <v>11.05</v>
      </c>
    </row>
    <row r="48" spans="2:14" x14ac:dyDescent="0.2">
      <c r="B48" s="170" t="s">
        <v>20509</v>
      </c>
      <c r="C48" s="215">
        <v>0.5</v>
      </c>
      <c r="D48" s="164">
        <v>0.5</v>
      </c>
      <c r="E48" s="164">
        <v>0.5</v>
      </c>
      <c r="F48" s="164">
        <f t="shared" si="2"/>
        <v>0.13</v>
      </c>
      <c r="H48" s="170" t="s">
        <v>20509</v>
      </c>
      <c r="I48" s="215">
        <v>0.5</v>
      </c>
      <c r="J48" s="164">
        <v>0.5</v>
      </c>
      <c r="K48" s="164">
        <v>0.5</v>
      </c>
      <c r="L48" s="164">
        <f t="shared" si="3"/>
        <v>0.13</v>
      </c>
      <c r="M48" s="164">
        <v>85</v>
      </c>
      <c r="N48" s="164">
        <f t="shared" si="4"/>
        <v>11.05</v>
      </c>
    </row>
    <row r="49" spans="2:14" x14ac:dyDescent="0.2">
      <c r="B49" s="170" t="s">
        <v>20510</v>
      </c>
      <c r="C49" s="215">
        <v>0.5</v>
      </c>
      <c r="D49" s="164">
        <v>0.5</v>
      </c>
      <c r="E49" s="164">
        <v>0.5</v>
      </c>
      <c r="F49" s="164">
        <f t="shared" si="2"/>
        <v>0.13</v>
      </c>
      <c r="H49" s="170" t="s">
        <v>20510</v>
      </c>
      <c r="I49" s="215">
        <v>0.5</v>
      </c>
      <c r="J49" s="164">
        <v>0.5</v>
      </c>
      <c r="K49" s="164">
        <v>0.5</v>
      </c>
      <c r="L49" s="164">
        <f t="shared" si="3"/>
        <v>0.13</v>
      </c>
      <c r="M49" s="164">
        <v>85</v>
      </c>
      <c r="N49" s="164">
        <f t="shared" si="4"/>
        <v>11.05</v>
      </c>
    </row>
    <row r="50" spans="2:14" x14ac:dyDescent="0.2">
      <c r="B50" s="170" t="s">
        <v>20505</v>
      </c>
      <c r="C50" s="215" t="s">
        <v>106</v>
      </c>
      <c r="D50" s="215" t="s">
        <v>106</v>
      </c>
      <c r="E50" s="164">
        <v>0.1</v>
      </c>
      <c r="F50" s="164">
        <f>ROUND(36.75*E50,2)</f>
        <v>3.68</v>
      </c>
      <c r="H50" s="836" t="s">
        <v>7</v>
      </c>
      <c r="I50" s="836"/>
      <c r="J50" s="836"/>
      <c r="K50" s="836"/>
      <c r="L50" s="836"/>
      <c r="M50" s="836"/>
      <c r="N50" s="159">
        <f>SUM(N42:N49)</f>
        <v>88.399999999999991</v>
      </c>
    </row>
    <row r="51" spans="2:14" x14ac:dyDescent="0.2">
      <c r="B51" s="170" t="s">
        <v>20506</v>
      </c>
      <c r="C51" s="215" t="s">
        <v>106</v>
      </c>
      <c r="D51" s="215" t="s">
        <v>106</v>
      </c>
      <c r="E51" s="164">
        <v>0.1</v>
      </c>
      <c r="F51" s="164">
        <f>ROUND(50.26*E51,2)</f>
        <v>5.03</v>
      </c>
    </row>
    <row r="52" spans="2:14" x14ac:dyDescent="0.2">
      <c r="B52" s="802" t="s">
        <v>7</v>
      </c>
      <c r="C52" s="802"/>
      <c r="D52" s="802"/>
      <c r="E52" s="802"/>
      <c r="F52" s="159">
        <f>SUM(F42:F51)</f>
        <v>9.75</v>
      </c>
    </row>
    <row r="54" spans="2:14" x14ac:dyDescent="0.2">
      <c r="B54" s="802" t="s">
        <v>20515</v>
      </c>
      <c r="C54" s="802"/>
      <c r="D54" s="802"/>
      <c r="E54" s="802"/>
      <c r="F54" s="802"/>
      <c r="H54"/>
      <c r="I54"/>
      <c r="J54"/>
      <c r="K54"/>
      <c r="L54"/>
      <c r="M54"/>
      <c r="N54"/>
    </row>
    <row r="55" spans="2:14" ht="25.5" x14ac:dyDescent="0.2">
      <c r="B55" s="220" t="s">
        <v>107</v>
      </c>
      <c r="C55" s="221" t="s">
        <v>98</v>
      </c>
      <c r="D55" s="221" t="s">
        <v>89</v>
      </c>
      <c r="E55" s="221" t="s">
        <v>87</v>
      </c>
      <c r="F55" s="221" t="s">
        <v>20400</v>
      </c>
      <c r="H55"/>
      <c r="I55"/>
      <c r="J55"/>
      <c r="K55"/>
      <c r="L55"/>
      <c r="M55"/>
      <c r="N55"/>
    </row>
    <row r="56" spans="2:14" x14ac:dyDescent="0.2">
      <c r="B56" s="170" t="s">
        <v>20496</v>
      </c>
      <c r="C56" s="215">
        <v>0.5</v>
      </c>
      <c r="D56" s="164">
        <v>0.5</v>
      </c>
      <c r="E56" s="164">
        <v>0.5</v>
      </c>
      <c r="F56" s="164">
        <f t="shared" ref="F56:F63" si="5">ROUND(C56*D56*E56,2)</f>
        <v>0.13</v>
      </c>
      <c r="H56"/>
      <c r="I56"/>
      <c r="J56"/>
      <c r="K56"/>
      <c r="L56"/>
      <c r="M56"/>
      <c r="N56"/>
    </row>
    <row r="57" spans="2:14" x14ac:dyDescent="0.2">
      <c r="B57" s="170" t="s">
        <v>20497</v>
      </c>
      <c r="C57" s="215">
        <v>0.5</v>
      </c>
      <c r="D57" s="164">
        <v>0.5</v>
      </c>
      <c r="E57" s="164">
        <v>0.5</v>
      </c>
      <c r="F57" s="164">
        <f t="shared" si="5"/>
        <v>0.13</v>
      </c>
      <c r="H57"/>
      <c r="I57"/>
      <c r="J57"/>
      <c r="K57"/>
      <c r="L57"/>
      <c r="M57"/>
      <c r="N57"/>
    </row>
    <row r="58" spans="2:14" x14ac:dyDescent="0.2">
      <c r="B58" s="170" t="s">
        <v>20498</v>
      </c>
      <c r="C58" s="215">
        <v>0.5</v>
      </c>
      <c r="D58" s="164">
        <v>0.5</v>
      </c>
      <c r="E58" s="164">
        <v>0.5</v>
      </c>
      <c r="F58" s="164">
        <f t="shared" si="5"/>
        <v>0.13</v>
      </c>
      <c r="H58"/>
      <c r="I58"/>
      <c r="J58"/>
      <c r="K58"/>
      <c r="L58"/>
      <c r="M58"/>
      <c r="N58"/>
    </row>
    <row r="59" spans="2:14" x14ac:dyDescent="0.2">
      <c r="B59" s="170" t="s">
        <v>20499</v>
      </c>
      <c r="C59" s="215">
        <v>0.5</v>
      </c>
      <c r="D59" s="164">
        <v>0.5</v>
      </c>
      <c r="E59" s="164">
        <v>0.5</v>
      </c>
      <c r="F59" s="164">
        <f t="shared" si="5"/>
        <v>0.13</v>
      </c>
      <c r="H59"/>
      <c r="I59"/>
      <c r="J59"/>
      <c r="K59"/>
      <c r="L59"/>
      <c r="M59"/>
      <c r="N59"/>
    </row>
    <row r="60" spans="2:14" x14ac:dyDescent="0.2">
      <c r="B60" s="170" t="s">
        <v>20507</v>
      </c>
      <c r="C60" s="215">
        <v>0.5</v>
      </c>
      <c r="D60" s="164">
        <v>0.5</v>
      </c>
      <c r="E60" s="164">
        <v>0.5</v>
      </c>
      <c r="F60" s="164">
        <f t="shared" si="5"/>
        <v>0.13</v>
      </c>
      <c r="H60"/>
      <c r="I60"/>
      <c r="J60"/>
      <c r="K60"/>
      <c r="L60"/>
      <c r="M60"/>
      <c r="N60"/>
    </row>
    <row r="61" spans="2:14" x14ac:dyDescent="0.2">
      <c r="B61" s="170" t="s">
        <v>20508</v>
      </c>
      <c r="C61" s="215">
        <v>0.5</v>
      </c>
      <c r="D61" s="164">
        <v>0.5</v>
      </c>
      <c r="E61" s="164">
        <v>0.5</v>
      </c>
      <c r="F61" s="164">
        <f t="shared" si="5"/>
        <v>0.13</v>
      </c>
      <c r="H61"/>
      <c r="I61"/>
      <c r="J61"/>
      <c r="K61"/>
      <c r="L61"/>
      <c r="M61"/>
      <c r="N61"/>
    </row>
    <row r="62" spans="2:14" x14ac:dyDescent="0.2">
      <c r="B62" s="170" t="s">
        <v>20509</v>
      </c>
      <c r="C62" s="215">
        <v>0.5</v>
      </c>
      <c r="D62" s="164">
        <v>0.5</v>
      </c>
      <c r="E62" s="164">
        <v>0.5</v>
      </c>
      <c r="F62" s="164">
        <f t="shared" si="5"/>
        <v>0.13</v>
      </c>
      <c r="H62"/>
      <c r="I62"/>
      <c r="J62"/>
      <c r="K62"/>
      <c r="L62"/>
      <c r="M62"/>
      <c r="N62"/>
    </row>
    <row r="63" spans="2:14" x14ac:dyDescent="0.2">
      <c r="B63" s="170" t="s">
        <v>20510</v>
      </c>
      <c r="C63" s="215">
        <v>0.5</v>
      </c>
      <c r="D63" s="164">
        <v>0.5</v>
      </c>
      <c r="E63" s="164">
        <v>0.5</v>
      </c>
      <c r="F63" s="164">
        <f t="shared" si="5"/>
        <v>0.13</v>
      </c>
    </row>
    <row r="64" spans="2:14" x14ac:dyDescent="0.2">
      <c r="B64" s="170" t="s">
        <v>20505</v>
      </c>
      <c r="C64" s="215" t="s">
        <v>106</v>
      </c>
      <c r="D64" s="215" t="s">
        <v>106</v>
      </c>
      <c r="E64" s="164">
        <v>0.1</v>
      </c>
      <c r="F64" s="164">
        <f>ROUND(36.75*E64,2)</f>
        <v>3.68</v>
      </c>
    </row>
    <row r="65" spans="2:14" x14ac:dyDescent="0.2">
      <c r="B65" s="170" t="s">
        <v>20506</v>
      </c>
      <c r="C65" s="215" t="s">
        <v>106</v>
      </c>
      <c r="D65" s="215" t="s">
        <v>106</v>
      </c>
      <c r="E65" s="164">
        <v>0.1</v>
      </c>
      <c r="F65" s="164">
        <f>ROUND(50.26*E65,2)</f>
        <v>5.03</v>
      </c>
    </row>
    <row r="66" spans="2:14" x14ac:dyDescent="0.2">
      <c r="B66" s="802" t="s">
        <v>7</v>
      </c>
      <c r="C66" s="802"/>
      <c r="D66" s="802"/>
      <c r="E66" s="802"/>
      <c r="F66" s="159">
        <f>SUM(F56:F65)</f>
        <v>9.75</v>
      </c>
    </row>
    <row r="67" spans="2:14" x14ac:dyDescent="0.2">
      <c r="L67"/>
      <c r="M67"/>
      <c r="N67"/>
    </row>
    <row r="68" spans="2:14" x14ac:dyDescent="0.2">
      <c r="H68" s="808" t="s">
        <v>20586</v>
      </c>
      <c r="I68" s="809"/>
      <c r="J68" s="809"/>
      <c r="K68" s="810"/>
      <c r="L68"/>
      <c r="M68"/>
      <c r="N68"/>
    </row>
    <row r="69" spans="2:14" ht="38.25" x14ac:dyDescent="0.2">
      <c r="H69" s="220" t="s">
        <v>107</v>
      </c>
      <c r="I69" s="221" t="s">
        <v>88</v>
      </c>
      <c r="J69" s="221" t="s">
        <v>20516</v>
      </c>
      <c r="K69" s="221" t="s">
        <v>20587</v>
      </c>
      <c r="L69"/>
      <c r="M69"/>
      <c r="N69"/>
    </row>
    <row r="70" spans="2:14" x14ac:dyDescent="0.2">
      <c r="H70" s="170" t="s">
        <v>20505</v>
      </c>
      <c r="I70" s="215">
        <v>36.75</v>
      </c>
      <c r="J70" s="164">
        <v>2.52</v>
      </c>
      <c r="K70" s="158">
        <f>ROUND(I70*J70,2)</f>
        <v>92.61</v>
      </c>
      <c r="L70"/>
      <c r="M70"/>
    </row>
    <row r="71" spans="2:14" x14ac:dyDescent="0.2">
      <c r="H71" s="170" t="s">
        <v>20506</v>
      </c>
      <c r="I71" s="215">
        <v>50.26</v>
      </c>
      <c r="J71" s="164">
        <v>2.52</v>
      </c>
      <c r="K71" s="164">
        <f>ROUND(I71*J71,2)</f>
        <v>126.66</v>
      </c>
      <c r="L71"/>
      <c r="M71"/>
    </row>
    <row r="72" spans="2:14" x14ac:dyDescent="0.2">
      <c r="H72" s="833" t="s">
        <v>7</v>
      </c>
      <c r="I72" s="834"/>
      <c r="J72" s="835"/>
      <c r="K72" s="159">
        <f>SUM(K70:K71)</f>
        <v>219.26999999999998</v>
      </c>
      <c r="L72"/>
      <c r="M72"/>
    </row>
  </sheetData>
  <mergeCells count="20">
    <mergeCell ref="H72:J72"/>
    <mergeCell ref="H68:K68"/>
    <mergeCell ref="B2:C2"/>
    <mergeCell ref="B54:F54"/>
    <mergeCell ref="B66:E66"/>
    <mergeCell ref="H40:N40"/>
    <mergeCell ref="H50:M50"/>
    <mergeCell ref="B14:F14"/>
    <mergeCell ref="B26:E26"/>
    <mergeCell ref="B28:F28"/>
    <mergeCell ref="B38:E38"/>
    <mergeCell ref="B40:F40"/>
    <mergeCell ref="B52:E52"/>
    <mergeCell ref="H2:I2"/>
    <mergeCell ref="Q8:U8"/>
    <mergeCell ref="Y2:AF2"/>
    <mergeCell ref="Y8:AE8"/>
    <mergeCell ref="Y14:AD14"/>
    <mergeCell ref="Y19:AC19"/>
    <mergeCell ref="Q2:W2"/>
  </mergeCells>
  <phoneticPr fontId="4" type="noConversion"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27</vt:i4>
      </vt:variant>
      <vt:variant>
        <vt:lpstr>Intervalos Nomeados</vt:lpstr>
      </vt:variant>
      <vt:variant>
        <vt:i4>3</vt:i4>
      </vt:variant>
    </vt:vector>
  </HeadingPairs>
  <TitlesOfParts>
    <vt:vector size="30" baseType="lpstr">
      <vt:lpstr>200 DESONERADO</vt:lpstr>
      <vt:lpstr>BDI DESON.</vt:lpstr>
      <vt:lpstr>P.O.-DES</vt:lpstr>
      <vt:lpstr>200 ONERADO</vt:lpstr>
      <vt:lpstr>BDI-ONER.</vt:lpstr>
      <vt:lpstr>P.O.</vt:lpstr>
      <vt:lpstr>CFF_PREF</vt:lpstr>
      <vt:lpstr>LICITAÇÃO</vt:lpstr>
      <vt:lpstr>INFRAESTRUTURA</vt:lpstr>
      <vt:lpstr>GARAGEM F.</vt:lpstr>
      <vt:lpstr>PAGINAÇÃO</vt:lpstr>
      <vt:lpstr>REVESTIMENTOS</vt:lpstr>
      <vt:lpstr>CIMBRAMENTO</vt:lpstr>
      <vt:lpstr>ESQUADRIAS</vt:lpstr>
      <vt:lpstr>LAJES</vt:lpstr>
      <vt:lpstr>TELHADO</vt:lpstr>
      <vt:lpstr>PINTURA</vt:lpstr>
      <vt:lpstr>ILUMINAÇÃO</vt:lpstr>
      <vt:lpstr>ESCADA</vt:lpstr>
      <vt:lpstr>HIDRÁULICA</vt:lpstr>
      <vt:lpstr>DIVISA</vt:lpstr>
      <vt:lpstr>MURETA CONT.</vt:lpstr>
      <vt:lpstr>ARMADURAS PAREDES</vt:lpstr>
      <vt:lpstr>PISO EXTERNO</vt:lpstr>
      <vt:lpstr>Planilha1</vt:lpstr>
      <vt:lpstr>Planilha2</vt:lpstr>
      <vt:lpstr>PÉRGOLAS</vt:lpstr>
      <vt:lpstr>'BDI-ONER.'!Area_de_impressao</vt:lpstr>
      <vt:lpstr>CFF_PREF!Area_de_impressao</vt:lpstr>
      <vt:lpstr>P.O.!Area_de_impressao</vt:lpstr>
    </vt:vector>
  </TitlesOfParts>
  <Company>Cia. Paulista de Obras e Serviços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FREDERICO</dc:creator>
  <cp:lastModifiedBy>user</cp:lastModifiedBy>
  <cp:lastPrinted>2026-03-23T12:25:44Z</cp:lastPrinted>
  <dcterms:created xsi:type="dcterms:W3CDTF">2011-05-11T11:57:53Z</dcterms:created>
  <dcterms:modified xsi:type="dcterms:W3CDTF">2026-05-21T19:39:53Z</dcterms:modified>
</cp:coreProperties>
</file>